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neomnicom-my.sharepoint.com/personal/papia_sarkar_omc_com/Documents/Documents/Papia/"/>
    </mc:Choice>
  </mc:AlternateContent>
  <xr:revisionPtr revIDLastSave="3782" documentId="8_{FF8A9FD4-52F5-431E-AED5-D0AAF2084780}" xr6:coauthVersionLast="47" xr6:coauthVersionMax="47" xr10:uidLastSave="{CD5EB492-7F58-454E-8467-95B4064C0356}"/>
  <bookViews>
    <workbookView xWindow="-110" yWindow="-110" windowWidth="19420" windowHeight="11500" tabRatio="812" xr2:uid="{00000000-000D-0000-FFFF-FFFF00000000}"/>
  </bookViews>
  <sheets>
    <sheet name="Finance_Data" sheetId="1" r:id="rId1"/>
    <sheet name="Data_Validation" sheetId="3" r:id="rId2"/>
    <sheet name="KPI_Calculation" sheetId="4" r:id="rId3"/>
    <sheet name="Outlier_Detection" sheetId="5" r:id="rId4"/>
    <sheet name="Region_Analysis" sheetId="6" r:id="rId5"/>
    <sheet name="Country_Analysis" sheetId="7" r:id="rId6"/>
    <sheet name="Product_Analysis" sheetId="8" r:id="rId7"/>
    <sheet name="Channel_Analysis" sheetId="9" r:id="rId8"/>
    <sheet name="Campaign_Analysis" sheetId="10" r:id="rId9"/>
    <sheet name="Time-Trend_Analysis" sheetId="11" r:id="rId10"/>
    <sheet name="Executive_Summary" sheetId="12" r:id="rId11"/>
    <sheet name="Top_Driver_Analysis" sheetId="13" r:id="rId12"/>
    <sheet name="Bottom_Driver_Analysis" sheetId="15" r:id="rId13"/>
    <sheet name="Comparison_Analysis" sheetId="14" r:id="rId14"/>
  </sheets>
  <definedNames>
    <definedName name="_xlnm._FilterDatabase" localSheetId="1" hidden="1">Data_Validation!$A$5:$N$1005</definedName>
    <definedName name="_xlnm._FilterDatabase" localSheetId="0" hidden="1">Finance_Data!$A$1:$T$1001</definedName>
  </definedName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T11" i="5"/>
  <c r="T1009" i="5"/>
  <c r="T1008" i="5"/>
  <c r="T1007" i="5"/>
  <c r="T1006" i="5"/>
  <c r="T1005" i="5"/>
  <c r="T1004" i="5"/>
  <c r="T1003" i="5"/>
  <c r="T1002" i="5"/>
  <c r="T1001" i="5"/>
  <c r="T1000" i="5"/>
  <c r="T999" i="5"/>
  <c r="T998" i="5"/>
  <c r="T997" i="5"/>
  <c r="T996" i="5"/>
  <c r="T995" i="5"/>
  <c r="T994" i="5"/>
  <c r="T993" i="5"/>
  <c r="T992" i="5"/>
  <c r="T991" i="5"/>
  <c r="T990" i="5"/>
  <c r="T989" i="5"/>
  <c r="T988" i="5"/>
  <c r="T987" i="5"/>
  <c r="T986" i="5"/>
  <c r="T985" i="5"/>
  <c r="T984" i="5"/>
  <c r="T983" i="5"/>
  <c r="T982" i="5"/>
  <c r="T981" i="5"/>
  <c r="T980" i="5"/>
  <c r="T979" i="5"/>
  <c r="T978" i="5"/>
  <c r="T977" i="5"/>
  <c r="T976" i="5"/>
  <c r="T975" i="5"/>
  <c r="T974" i="5"/>
  <c r="T973" i="5"/>
  <c r="T972" i="5"/>
  <c r="T971" i="5"/>
  <c r="T970" i="5"/>
  <c r="T969" i="5"/>
  <c r="T968" i="5"/>
  <c r="T967" i="5"/>
  <c r="T966" i="5"/>
  <c r="T965" i="5"/>
  <c r="T964" i="5"/>
  <c r="T963" i="5"/>
  <c r="T962" i="5"/>
  <c r="T961" i="5"/>
  <c r="T960" i="5"/>
  <c r="T959" i="5"/>
  <c r="T958" i="5"/>
  <c r="T957" i="5"/>
  <c r="T956" i="5"/>
  <c r="T955" i="5"/>
  <c r="T954" i="5"/>
  <c r="T953" i="5"/>
  <c r="T952" i="5"/>
  <c r="T951" i="5"/>
  <c r="T950" i="5"/>
  <c r="T949" i="5"/>
  <c r="T948" i="5"/>
  <c r="T947" i="5"/>
  <c r="T946" i="5"/>
  <c r="T945" i="5"/>
  <c r="T944" i="5"/>
  <c r="T943" i="5"/>
  <c r="T942" i="5"/>
  <c r="T941" i="5"/>
  <c r="T940" i="5"/>
  <c r="T939" i="5"/>
  <c r="T938" i="5"/>
  <c r="T937" i="5"/>
  <c r="T936" i="5"/>
  <c r="T935" i="5"/>
  <c r="T934" i="5"/>
  <c r="T933" i="5"/>
  <c r="T932" i="5"/>
  <c r="T931" i="5"/>
  <c r="T930" i="5"/>
  <c r="T929" i="5"/>
  <c r="T928" i="5"/>
  <c r="T927" i="5"/>
  <c r="T926" i="5"/>
  <c r="T925" i="5"/>
  <c r="T924" i="5"/>
  <c r="T923" i="5"/>
  <c r="T922" i="5"/>
  <c r="T921" i="5"/>
  <c r="T920" i="5"/>
  <c r="T919" i="5"/>
  <c r="T918" i="5"/>
  <c r="T917" i="5"/>
  <c r="T916" i="5"/>
  <c r="T915" i="5"/>
  <c r="T914" i="5"/>
  <c r="T913" i="5"/>
  <c r="T912" i="5"/>
  <c r="T911" i="5"/>
  <c r="T910" i="5"/>
  <c r="T909" i="5"/>
  <c r="T908" i="5"/>
  <c r="T907" i="5"/>
  <c r="T906" i="5"/>
  <c r="T905" i="5"/>
  <c r="T904" i="5"/>
  <c r="T903" i="5"/>
  <c r="T902" i="5"/>
  <c r="T901" i="5"/>
  <c r="T900" i="5"/>
  <c r="T899" i="5"/>
  <c r="T898" i="5"/>
  <c r="T897" i="5"/>
  <c r="T896" i="5"/>
  <c r="T895" i="5"/>
  <c r="T894" i="5"/>
  <c r="T893" i="5"/>
  <c r="T892" i="5"/>
  <c r="T891" i="5"/>
  <c r="T890" i="5"/>
  <c r="T889" i="5"/>
  <c r="T888" i="5"/>
  <c r="T887" i="5"/>
  <c r="T886" i="5"/>
  <c r="T885" i="5"/>
  <c r="T884" i="5"/>
  <c r="T883" i="5"/>
  <c r="T882" i="5"/>
  <c r="T881" i="5"/>
  <c r="T880" i="5"/>
  <c r="T879" i="5"/>
  <c r="T878" i="5"/>
  <c r="T877" i="5"/>
  <c r="T876" i="5"/>
  <c r="T875" i="5"/>
  <c r="T874" i="5"/>
  <c r="T873" i="5"/>
  <c r="T872" i="5"/>
  <c r="T871" i="5"/>
  <c r="T870" i="5"/>
  <c r="T869" i="5"/>
  <c r="T868" i="5"/>
  <c r="T867" i="5"/>
  <c r="T866" i="5"/>
  <c r="T865" i="5"/>
  <c r="T864" i="5"/>
  <c r="T863" i="5"/>
  <c r="T862" i="5"/>
  <c r="T861" i="5"/>
  <c r="T860" i="5"/>
  <c r="T859" i="5"/>
  <c r="T858" i="5"/>
  <c r="T857" i="5"/>
  <c r="T856" i="5"/>
  <c r="T855" i="5"/>
  <c r="T854" i="5"/>
  <c r="T853" i="5"/>
  <c r="T852" i="5"/>
  <c r="T851" i="5"/>
  <c r="T850" i="5"/>
  <c r="T849" i="5"/>
  <c r="T848" i="5"/>
  <c r="T847" i="5"/>
  <c r="T846" i="5"/>
  <c r="T845" i="5"/>
  <c r="T844" i="5"/>
  <c r="T843" i="5"/>
  <c r="T842" i="5"/>
  <c r="T841" i="5"/>
  <c r="T840" i="5"/>
  <c r="T839" i="5"/>
  <c r="T838" i="5"/>
  <c r="T837" i="5"/>
  <c r="T836" i="5"/>
  <c r="T835" i="5"/>
  <c r="T834" i="5"/>
  <c r="T833" i="5"/>
  <c r="T832" i="5"/>
  <c r="T831" i="5"/>
  <c r="T830" i="5"/>
  <c r="T829" i="5"/>
  <c r="T828" i="5"/>
  <c r="T827" i="5"/>
  <c r="T826" i="5"/>
  <c r="T825" i="5"/>
  <c r="T824" i="5"/>
  <c r="T823" i="5"/>
  <c r="T822" i="5"/>
  <c r="T821" i="5"/>
  <c r="T820" i="5"/>
  <c r="T819" i="5"/>
  <c r="T818" i="5"/>
  <c r="T817" i="5"/>
  <c r="T816" i="5"/>
  <c r="T815" i="5"/>
  <c r="T814" i="5"/>
  <c r="T813" i="5"/>
  <c r="T812" i="5"/>
  <c r="T811" i="5"/>
  <c r="T810" i="5"/>
  <c r="T809" i="5"/>
  <c r="T808" i="5"/>
  <c r="T807" i="5"/>
  <c r="T806" i="5"/>
  <c r="T805" i="5"/>
  <c r="T804" i="5"/>
  <c r="T803" i="5"/>
  <c r="T802" i="5"/>
  <c r="T801" i="5"/>
  <c r="T800" i="5"/>
  <c r="T799" i="5"/>
  <c r="T798" i="5"/>
  <c r="T797" i="5"/>
  <c r="T796" i="5"/>
  <c r="T795" i="5"/>
  <c r="T794" i="5"/>
  <c r="T793" i="5"/>
  <c r="T792" i="5"/>
  <c r="T791" i="5"/>
  <c r="T790" i="5"/>
  <c r="T789" i="5"/>
  <c r="T788" i="5"/>
  <c r="T787" i="5"/>
  <c r="T786" i="5"/>
  <c r="T785" i="5"/>
  <c r="T784" i="5"/>
  <c r="T783" i="5"/>
  <c r="T782" i="5"/>
  <c r="T781" i="5"/>
  <c r="T780" i="5"/>
  <c r="T779" i="5"/>
  <c r="T778" i="5"/>
  <c r="T777" i="5"/>
  <c r="T776" i="5"/>
  <c r="T775" i="5"/>
  <c r="T774" i="5"/>
  <c r="T773" i="5"/>
  <c r="T772" i="5"/>
  <c r="T771" i="5"/>
  <c r="T770" i="5"/>
  <c r="T769" i="5"/>
  <c r="T768" i="5"/>
  <c r="T767" i="5"/>
  <c r="T766" i="5"/>
  <c r="T765" i="5"/>
  <c r="T764" i="5"/>
  <c r="T763" i="5"/>
  <c r="T762" i="5"/>
  <c r="T761" i="5"/>
  <c r="T760" i="5"/>
  <c r="T759" i="5"/>
  <c r="T758" i="5"/>
  <c r="T757" i="5"/>
  <c r="T756" i="5"/>
  <c r="T755" i="5"/>
  <c r="T754" i="5"/>
  <c r="T753" i="5"/>
  <c r="T752" i="5"/>
  <c r="T751" i="5"/>
  <c r="T750" i="5"/>
  <c r="T749" i="5"/>
  <c r="T748" i="5"/>
  <c r="T747" i="5"/>
  <c r="T746" i="5"/>
  <c r="T745" i="5"/>
  <c r="T744" i="5"/>
  <c r="T743" i="5"/>
  <c r="T742" i="5"/>
  <c r="T741" i="5"/>
  <c r="T740" i="5"/>
  <c r="T739" i="5"/>
  <c r="T738" i="5"/>
  <c r="T737" i="5"/>
  <c r="T736" i="5"/>
  <c r="T735" i="5"/>
  <c r="T734" i="5"/>
  <c r="T733" i="5"/>
  <c r="T732" i="5"/>
  <c r="T731" i="5"/>
  <c r="T730" i="5"/>
  <c r="T729" i="5"/>
  <c r="T728" i="5"/>
  <c r="T727" i="5"/>
  <c r="T726" i="5"/>
  <c r="T725" i="5"/>
  <c r="T724" i="5"/>
  <c r="T723" i="5"/>
  <c r="T722" i="5"/>
  <c r="T721" i="5"/>
  <c r="T720" i="5"/>
  <c r="T719" i="5"/>
  <c r="T718" i="5"/>
  <c r="T717" i="5"/>
  <c r="T716" i="5"/>
  <c r="T715" i="5"/>
  <c r="T714" i="5"/>
  <c r="T713" i="5"/>
  <c r="T712" i="5"/>
  <c r="T711" i="5"/>
  <c r="T710" i="5"/>
  <c r="T709" i="5"/>
  <c r="T708" i="5"/>
  <c r="T707" i="5"/>
  <c r="T706" i="5"/>
  <c r="T705" i="5"/>
  <c r="T704" i="5"/>
  <c r="T703" i="5"/>
  <c r="T702" i="5"/>
  <c r="T701" i="5"/>
  <c r="T700" i="5"/>
  <c r="T699" i="5"/>
  <c r="T698" i="5"/>
  <c r="T697" i="5"/>
  <c r="T696" i="5"/>
  <c r="T695" i="5"/>
  <c r="T694" i="5"/>
  <c r="T693" i="5"/>
  <c r="T692" i="5"/>
  <c r="T691" i="5"/>
  <c r="T690" i="5"/>
  <c r="T689" i="5"/>
  <c r="T688" i="5"/>
  <c r="T687" i="5"/>
  <c r="T686" i="5"/>
  <c r="T685" i="5"/>
  <c r="T684" i="5"/>
  <c r="T683" i="5"/>
  <c r="T682" i="5"/>
  <c r="T681" i="5"/>
  <c r="T680" i="5"/>
  <c r="T679" i="5"/>
  <c r="T678" i="5"/>
  <c r="T677" i="5"/>
  <c r="T676" i="5"/>
  <c r="T675" i="5"/>
  <c r="T674" i="5"/>
  <c r="T673" i="5"/>
  <c r="T672" i="5"/>
  <c r="T671" i="5"/>
  <c r="T670" i="5"/>
  <c r="T669" i="5"/>
  <c r="T668" i="5"/>
  <c r="T667" i="5"/>
  <c r="T666" i="5"/>
  <c r="T665" i="5"/>
  <c r="T664" i="5"/>
  <c r="T663" i="5"/>
  <c r="T662" i="5"/>
  <c r="T661" i="5"/>
  <c r="T660" i="5"/>
  <c r="T659" i="5"/>
  <c r="T658" i="5"/>
  <c r="T657" i="5"/>
  <c r="T656" i="5"/>
  <c r="T655" i="5"/>
  <c r="T654" i="5"/>
  <c r="T653" i="5"/>
  <c r="T652" i="5"/>
  <c r="T651" i="5"/>
  <c r="T650" i="5"/>
  <c r="T649" i="5"/>
  <c r="T648" i="5"/>
  <c r="T647" i="5"/>
  <c r="T646" i="5"/>
  <c r="T645" i="5"/>
  <c r="T644" i="5"/>
  <c r="T643" i="5"/>
  <c r="T642" i="5"/>
  <c r="T641" i="5"/>
  <c r="T640" i="5"/>
  <c r="T639" i="5"/>
  <c r="T638" i="5"/>
  <c r="T637" i="5"/>
  <c r="T636" i="5"/>
  <c r="T635" i="5"/>
  <c r="T634" i="5"/>
  <c r="T633" i="5"/>
  <c r="T632" i="5"/>
  <c r="T631" i="5"/>
  <c r="T630" i="5"/>
  <c r="T629" i="5"/>
  <c r="T628" i="5"/>
  <c r="T627" i="5"/>
  <c r="T626" i="5"/>
  <c r="T625" i="5"/>
  <c r="T624" i="5"/>
  <c r="T623" i="5"/>
  <c r="T622" i="5"/>
  <c r="T621" i="5"/>
  <c r="T620" i="5"/>
  <c r="T619" i="5"/>
  <c r="T618" i="5"/>
  <c r="T617" i="5"/>
  <c r="T616" i="5"/>
  <c r="T615" i="5"/>
  <c r="T614" i="5"/>
  <c r="T613" i="5"/>
  <c r="T612" i="5"/>
  <c r="T611" i="5"/>
  <c r="T610" i="5"/>
  <c r="T609" i="5"/>
  <c r="T608" i="5"/>
  <c r="T607" i="5"/>
  <c r="T606" i="5"/>
  <c r="T605" i="5"/>
  <c r="T604" i="5"/>
  <c r="T603" i="5"/>
  <c r="T602" i="5"/>
  <c r="T601" i="5"/>
  <c r="T600" i="5"/>
  <c r="T599" i="5"/>
  <c r="T598" i="5"/>
  <c r="T597" i="5"/>
  <c r="T596" i="5"/>
  <c r="T595" i="5"/>
  <c r="T594" i="5"/>
  <c r="T593" i="5"/>
  <c r="T592" i="5"/>
  <c r="T591" i="5"/>
  <c r="T590" i="5"/>
  <c r="T589" i="5"/>
  <c r="T588" i="5"/>
  <c r="T587" i="5"/>
  <c r="T586" i="5"/>
  <c r="T585" i="5"/>
  <c r="T584" i="5"/>
  <c r="T583" i="5"/>
  <c r="T582" i="5"/>
  <c r="T581" i="5"/>
  <c r="T580" i="5"/>
  <c r="T579" i="5"/>
  <c r="T578" i="5"/>
  <c r="T577" i="5"/>
  <c r="T576" i="5"/>
  <c r="T575" i="5"/>
  <c r="T574" i="5"/>
  <c r="T573" i="5"/>
  <c r="T572" i="5"/>
  <c r="T571" i="5"/>
  <c r="T570" i="5"/>
  <c r="T569" i="5"/>
  <c r="T568" i="5"/>
  <c r="T567" i="5"/>
  <c r="T566" i="5"/>
  <c r="T565" i="5"/>
  <c r="T564" i="5"/>
  <c r="T563" i="5"/>
  <c r="T562" i="5"/>
  <c r="T561" i="5"/>
  <c r="T560" i="5"/>
  <c r="T559" i="5"/>
  <c r="T558" i="5"/>
  <c r="T557" i="5"/>
  <c r="T556" i="5"/>
  <c r="T555" i="5"/>
  <c r="T554" i="5"/>
  <c r="T553" i="5"/>
  <c r="T552" i="5"/>
  <c r="T551" i="5"/>
  <c r="T550" i="5"/>
  <c r="T549" i="5"/>
  <c r="T548" i="5"/>
  <c r="T547" i="5"/>
  <c r="T546" i="5"/>
  <c r="T545" i="5"/>
  <c r="T544" i="5"/>
  <c r="T543" i="5"/>
  <c r="T542" i="5"/>
  <c r="T541" i="5"/>
  <c r="T540" i="5"/>
  <c r="T539" i="5"/>
  <c r="T538" i="5"/>
  <c r="T537" i="5"/>
  <c r="T536" i="5"/>
  <c r="T535" i="5"/>
  <c r="T534" i="5"/>
  <c r="T533" i="5"/>
  <c r="T532" i="5"/>
  <c r="T531" i="5"/>
  <c r="T530" i="5"/>
  <c r="T529" i="5"/>
  <c r="T528" i="5"/>
  <c r="T527" i="5"/>
  <c r="T526" i="5"/>
  <c r="T525" i="5"/>
  <c r="T524" i="5"/>
  <c r="T523" i="5"/>
  <c r="T522" i="5"/>
  <c r="T521" i="5"/>
  <c r="T520" i="5"/>
  <c r="T519" i="5"/>
  <c r="T518" i="5"/>
  <c r="T517" i="5"/>
  <c r="T516" i="5"/>
  <c r="T515" i="5"/>
  <c r="T514" i="5"/>
  <c r="T513" i="5"/>
  <c r="T512" i="5"/>
  <c r="T511" i="5"/>
  <c r="T510" i="5"/>
  <c r="T509" i="5"/>
  <c r="T508" i="5"/>
  <c r="T507" i="5"/>
  <c r="T506" i="5"/>
  <c r="T505" i="5"/>
  <c r="T504" i="5"/>
  <c r="T503" i="5"/>
  <c r="T502" i="5"/>
  <c r="T501" i="5"/>
  <c r="T500" i="5"/>
  <c r="T499" i="5"/>
  <c r="T498" i="5"/>
  <c r="T497" i="5"/>
  <c r="T496" i="5"/>
  <c r="T495" i="5"/>
  <c r="T494" i="5"/>
  <c r="T493" i="5"/>
  <c r="T492" i="5"/>
  <c r="T491" i="5"/>
  <c r="T490" i="5"/>
  <c r="T489" i="5"/>
  <c r="T488" i="5"/>
  <c r="T487" i="5"/>
  <c r="T486" i="5"/>
  <c r="T485" i="5"/>
  <c r="T484" i="5"/>
  <c r="T483" i="5"/>
  <c r="T482" i="5"/>
  <c r="T481" i="5"/>
  <c r="T480" i="5"/>
  <c r="T479" i="5"/>
  <c r="T478" i="5"/>
  <c r="T477" i="5"/>
  <c r="T476" i="5"/>
  <c r="T475" i="5"/>
  <c r="T474" i="5"/>
  <c r="T473" i="5"/>
  <c r="T472" i="5"/>
  <c r="T471" i="5"/>
  <c r="T470" i="5"/>
  <c r="T469" i="5"/>
  <c r="T468" i="5"/>
  <c r="T467" i="5"/>
  <c r="T466" i="5"/>
  <c r="T465" i="5"/>
  <c r="T464" i="5"/>
  <c r="T463" i="5"/>
  <c r="T462" i="5"/>
  <c r="T461" i="5"/>
  <c r="T460" i="5"/>
  <c r="T459" i="5"/>
  <c r="T458" i="5"/>
  <c r="T457" i="5"/>
  <c r="T456" i="5"/>
  <c r="T455" i="5"/>
  <c r="T454" i="5"/>
  <c r="T453" i="5"/>
  <c r="T452" i="5"/>
  <c r="T451" i="5"/>
  <c r="T450" i="5"/>
  <c r="T449" i="5"/>
  <c r="T448" i="5"/>
  <c r="T447" i="5"/>
  <c r="T446" i="5"/>
  <c r="T445" i="5"/>
  <c r="T444" i="5"/>
  <c r="T443" i="5"/>
  <c r="T442" i="5"/>
  <c r="T441" i="5"/>
  <c r="T440" i="5"/>
  <c r="T439" i="5"/>
  <c r="T438" i="5"/>
  <c r="T437" i="5"/>
  <c r="T436" i="5"/>
  <c r="T435" i="5"/>
  <c r="T434" i="5"/>
  <c r="T433" i="5"/>
  <c r="T432" i="5"/>
  <c r="T431" i="5"/>
  <c r="T430" i="5"/>
  <c r="T429" i="5"/>
  <c r="T428" i="5"/>
  <c r="T427" i="5"/>
  <c r="T426" i="5"/>
  <c r="T425" i="5"/>
  <c r="T424" i="5"/>
  <c r="T423" i="5"/>
  <c r="T422" i="5"/>
  <c r="T421" i="5"/>
  <c r="T420" i="5"/>
  <c r="T419" i="5"/>
  <c r="T418" i="5"/>
  <c r="T417" i="5"/>
  <c r="T416" i="5"/>
  <c r="T415" i="5"/>
  <c r="T414" i="5"/>
  <c r="T413" i="5"/>
  <c r="T412" i="5"/>
  <c r="T411" i="5"/>
  <c r="T410" i="5"/>
  <c r="T409" i="5"/>
  <c r="T408" i="5"/>
  <c r="T407" i="5"/>
  <c r="T406" i="5"/>
  <c r="T405" i="5"/>
  <c r="T404" i="5"/>
  <c r="T403" i="5"/>
  <c r="T402" i="5"/>
  <c r="T401" i="5"/>
  <c r="T400" i="5"/>
  <c r="T399" i="5"/>
  <c r="T398" i="5"/>
  <c r="T397" i="5"/>
  <c r="T396" i="5"/>
  <c r="T395" i="5"/>
  <c r="T394" i="5"/>
  <c r="T393" i="5"/>
  <c r="T392" i="5"/>
  <c r="T391" i="5"/>
  <c r="T390" i="5"/>
  <c r="T389" i="5"/>
  <c r="T388" i="5"/>
  <c r="T387" i="5"/>
  <c r="T386" i="5"/>
  <c r="T385" i="5"/>
  <c r="T384" i="5"/>
  <c r="T383" i="5"/>
  <c r="T382" i="5"/>
  <c r="T381" i="5"/>
  <c r="T380" i="5"/>
  <c r="T379" i="5"/>
  <c r="T378" i="5"/>
  <c r="T377" i="5"/>
  <c r="T376" i="5"/>
  <c r="T375" i="5"/>
  <c r="T374" i="5"/>
  <c r="T373" i="5"/>
  <c r="T372" i="5"/>
  <c r="T371" i="5"/>
  <c r="T370" i="5"/>
  <c r="T369" i="5"/>
  <c r="T368" i="5"/>
  <c r="T367" i="5"/>
  <c r="T366" i="5"/>
  <c r="T365" i="5"/>
  <c r="T364" i="5"/>
  <c r="T363" i="5"/>
  <c r="T362" i="5"/>
  <c r="T361" i="5"/>
  <c r="T360" i="5"/>
  <c r="T359" i="5"/>
  <c r="T358" i="5"/>
  <c r="T357" i="5"/>
  <c r="T356" i="5"/>
  <c r="T355" i="5"/>
  <c r="T354" i="5"/>
  <c r="T353" i="5"/>
  <c r="T352" i="5"/>
  <c r="T351" i="5"/>
  <c r="T350" i="5"/>
  <c r="T349" i="5"/>
  <c r="T348" i="5"/>
  <c r="T347" i="5"/>
  <c r="T346" i="5"/>
  <c r="T345" i="5"/>
  <c r="T344" i="5"/>
  <c r="T343" i="5"/>
  <c r="T342" i="5"/>
  <c r="T341" i="5"/>
  <c r="T340" i="5"/>
  <c r="T339" i="5"/>
  <c r="T338" i="5"/>
  <c r="T337" i="5"/>
  <c r="T336" i="5"/>
  <c r="T335" i="5"/>
  <c r="T334" i="5"/>
  <c r="T333" i="5"/>
  <c r="T332" i="5"/>
  <c r="T331" i="5"/>
  <c r="T330" i="5"/>
  <c r="T329" i="5"/>
  <c r="T328" i="5"/>
  <c r="T327" i="5"/>
  <c r="T326" i="5"/>
  <c r="T325" i="5"/>
  <c r="T324" i="5"/>
  <c r="T323" i="5"/>
  <c r="T322" i="5"/>
  <c r="T321" i="5"/>
  <c r="T320" i="5"/>
  <c r="T319" i="5"/>
  <c r="T318" i="5"/>
  <c r="T317" i="5"/>
  <c r="T316" i="5"/>
  <c r="T315" i="5"/>
  <c r="T314" i="5"/>
  <c r="T313" i="5"/>
  <c r="T312" i="5"/>
  <c r="T311" i="5"/>
  <c r="T310" i="5"/>
  <c r="T309" i="5"/>
  <c r="T308" i="5"/>
  <c r="T307" i="5"/>
  <c r="T306" i="5"/>
  <c r="T305" i="5"/>
  <c r="T304" i="5"/>
  <c r="T303" i="5"/>
  <c r="T302" i="5"/>
  <c r="T301" i="5"/>
  <c r="T300" i="5"/>
  <c r="T299" i="5"/>
  <c r="T298" i="5"/>
  <c r="T297" i="5"/>
  <c r="T296" i="5"/>
  <c r="T295" i="5"/>
  <c r="T294" i="5"/>
  <c r="T293" i="5"/>
  <c r="T292" i="5"/>
  <c r="T291" i="5"/>
  <c r="T290" i="5"/>
  <c r="T289" i="5"/>
  <c r="T288" i="5"/>
  <c r="T287" i="5"/>
  <c r="T286" i="5"/>
  <c r="T285" i="5"/>
  <c r="T284" i="5"/>
  <c r="T283" i="5"/>
  <c r="T282" i="5"/>
  <c r="T281" i="5"/>
  <c r="T280" i="5"/>
  <c r="T279" i="5"/>
  <c r="T278" i="5"/>
  <c r="T277" i="5"/>
  <c r="T276" i="5"/>
  <c r="T275" i="5"/>
  <c r="T274" i="5"/>
  <c r="T273" i="5"/>
  <c r="T272" i="5"/>
  <c r="T271" i="5"/>
  <c r="T270" i="5"/>
  <c r="T269" i="5"/>
  <c r="T268" i="5"/>
  <c r="T267" i="5"/>
  <c r="T266" i="5"/>
  <c r="T265" i="5"/>
  <c r="T264" i="5"/>
  <c r="T263" i="5"/>
  <c r="T262" i="5"/>
  <c r="T261" i="5"/>
  <c r="T260" i="5"/>
  <c r="T259" i="5"/>
  <c r="T258" i="5"/>
  <c r="T257" i="5"/>
  <c r="T256" i="5"/>
  <c r="T255" i="5"/>
  <c r="T254" i="5"/>
  <c r="T253" i="5"/>
  <c r="T252" i="5"/>
  <c r="T251" i="5"/>
  <c r="T250" i="5"/>
  <c r="T249" i="5"/>
  <c r="T248" i="5"/>
  <c r="T247" i="5"/>
  <c r="T246" i="5"/>
  <c r="T245" i="5"/>
  <c r="T244" i="5"/>
  <c r="T243" i="5"/>
  <c r="T242" i="5"/>
  <c r="T241" i="5"/>
  <c r="T240" i="5"/>
  <c r="T239" i="5"/>
  <c r="T238" i="5"/>
  <c r="T237" i="5"/>
  <c r="T236" i="5"/>
  <c r="T235" i="5"/>
  <c r="T234" i="5"/>
  <c r="T233" i="5"/>
  <c r="T232" i="5"/>
  <c r="T231" i="5"/>
  <c r="T230" i="5"/>
  <c r="T229" i="5"/>
  <c r="T228" i="5"/>
  <c r="T227" i="5"/>
  <c r="T226" i="5"/>
  <c r="T225" i="5"/>
  <c r="T224" i="5"/>
  <c r="T223" i="5"/>
  <c r="T222" i="5"/>
  <c r="T221" i="5"/>
  <c r="T220" i="5"/>
  <c r="T219" i="5"/>
  <c r="T218" i="5"/>
  <c r="T217" i="5"/>
  <c r="T216" i="5"/>
  <c r="T215" i="5"/>
  <c r="T214" i="5"/>
  <c r="T213" i="5"/>
  <c r="T212" i="5"/>
  <c r="T211" i="5"/>
  <c r="T210" i="5"/>
  <c r="T209" i="5"/>
  <c r="T208" i="5"/>
  <c r="T207" i="5"/>
  <c r="T206" i="5"/>
  <c r="T205" i="5"/>
  <c r="T204" i="5"/>
  <c r="T203" i="5"/>
  <c r="T202" i="5"/>
  <c r="T201" i="5"/>
  <c r="T200" i="5"/>
  <c r="T199" i="5"/>
  <c r="T198" i="5"/>
  <c r="T197" i="5"/>
  <c r="T196" i="5"/>
  <c r="T195" i="5"/>
  <c r="T194" i="5"/>
  <c r="T193" i="5"/>
  <c r="T192" i="5"/>
  <c r="T191" i="5"/>
  <c r="T190" i="5"/>
  <c r="T189" i="5"/>
  <c r="T188" i="5"/>
  <c r="T187" i="5"/>
  <c r="T186" i="5"/>
  <c r="T185" i="5"/>
  <c r="T184" i="5"/>
  <c r="T183" i="5"/>
  <c r="T182" i="5"/>
  <c r="T181" i="5"/>
  <c r="T180" i="5"/>
  <c r="T179" i="5"/>
  <c r="T178" i="5"/>
  <c r="T177" i="5"/>
  <c r="T176" i="5"/>
  <c r="T175" i="5"/>
  <c r="T174" i="5"/>
  <c r="T173" i="5"/>
  <c r="T172" i="5"/>
  <c r="T171" i="5"/>
  <c r="T170" i="5"/>
  <c r="T169" i="5"/>
  <c r="T168" i="5"/>
  <c r="T167" i="5"/>
  <c r="T166" i="5"/>
  <c r="T165" i="5"/>
  <c r="T164" i="5"/>
  <c r="T163" i="5"/>
  <c r="T162" i="5"/>
  <c r="T161" i="5"/>
  <c r="T160" i="5"/>
  <c r="T159" i="5"/>
  <c r="T158" i="5"/>
  <c r="T157" i="5"/>
  <c r="T156" i="5"/>
  <c r="T155" i="5"/>
  <c r="T154" i="5"/>
  <c r="T153" i="5"/>
  <c r="T152" i="5"/>
  <c r="T151" i="5"/>
  <c r="T150" i="5"/>
  <c r="T149" i="5"/>
  <c r="T148" i="5"/>
  <c r="T147" i="5"/>
  <c r="T146" i="5"/>
  <c r="T145" i="5"/>
  <c r="T144" i="5"/>
  <c r="T143" i="5"/>
  <c r="T142" i="5"/>
  <c r="T141" i="5"/>
  <c r="T140" i="5"/>
  <c r="T139" i="5"/>
  <c r="T138" i="5"/>
  <c r="T137" i="5"/>
  <c r="T136" i="5"/>
  <c r="T135" i="5"/>
  <c r="T134" i="5"/>
  <c r="T133" i="5"/>
  <c r="T132" i="5"/>
  <c r="T131" i="5"/>
  <c r="T130" i="5"/>
  <c r="T129" i="5"/>
  <c r="T128" i="5"/>
  <c r="T127" i="5"/>
  <c r="T126" i="5"/>
  <c r="T125" i="5"/>
  <c r="T124" i="5"/>
  <c r="T123" i="5"/>
  <c r="T122" i="5"/>
  <c r="T121" i="5"/>
  <c r="T120" i="5"/>
  <c r="T119" i="5"/>
  <c r="T118" i="5"/>
  <c r="T117" i="5"/>
  <c r="T116" i="5"/>
  <c r="T115" i="5"/>
  <c r="T114" i="5"/>
  <c r="T113" i="5"/>
  <c r="T112" i="5"/>
  <c r="T111" i="5"/>
  <c r="T110" i="5"/>
  <c r="T109" i="5"/>
  <c r="T108" i="5"/>
  <c r="T107" i="5"/>
  <c r="T106" i="5"/>
  <c r="T105" i="5"/>
  <c r="T104" i="5"/>
  <c r="T103" i="5"/>
  <c r="T102" i="5"/>
  <c r="T101" i="5"/>
  <c r="T100" i="5"/>
  <c r="T99" i="5"/>
  <c r="T98" i="5"/>
  <c r="T97" i="5"/>
  <c r="T96" i="5"/>
  <c r="T95" i="5"/>
  <c r="T94" i="5"/>
  <c r="T93" i="5"/>
  <c r="T92" i="5"/>
  <c r="T91" i="5"/>
  <c r="T90" i="5"/>
  <c r="T89" i="5"/>
  <c r="T88" i="5"/>
  <c r="T87" i="5"/>
  <c r="T86" i="5"/>
  <c r="T85" i="5"/>
  <c r="T84" i="5"/>
  <c r="T83" i="5"/>
  <c r="T82" i="5"/>
  <c r="T81" i="5"/>
  <c r="T80" i="5"/>
  <c r="T79" i="5"/>
  <c r="T78" i="5"/>
  <c r="T77" i="5"/>
  <c r="T76" i="5"/>
  <c r="T75" i="5"/>
  <c r="T74" i="5"/>
  <c r="T73" i="5"/>
  <c r="T72" i="5"/>
  <c r="T71" i="5"/>
  <c r="T70" i="5"/>
  <c r="T69" i="5"/>
  <c r="T68" i="5"/>
  <c r="T67" i="5"/>
  <c r="T66" i="5"/>
  <c r="T65" i="5"/>
  <c r="T64" i="5"/>
  <c r="T63" i="5"/>
  <c r="T62" i="5"/>
  <c r="T61" i="5"/>
  <c r="T60" i="5"/>
  <c r="T59" i="5"/>
  <c r="T58" i="5"/>
  <c r="T57" i="5"/>
  <c r="T56" i="5"/>
  <c r="T55" i="5"/>
  <c r="T54" i="5"/>
  <c r="T53" i="5"/>
  <c r="T52" i="5"/>
  <c r="T51" i="5"/>
  <c r="T50" i="5"/>
  <c r="T49" i="5"/>
  <c r="T48" i="5"/>
  <c r="T47" i="5"/>
  <c r="T46" i="5"/>
  <c r="T45" i="5"/>
  <c r="T44" i="5"/>
  <c r="T43" i="5"/>
  <c r="T42" i="5"/>
  <c r="T41" i="5"/>
  <c r="T40"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0" i="5"/>
  <c r="X7" i="14"/>
  <c r="F5" i="7"/>
  <c r="F4" i="7"/>
  <c r="C5" i="7"/>
  <c r="C4" i="7"/>
  <c r="F5" i="6"/>
  <c r="F4" i="6"/>
  <c r="C5" i="6"/>
  <c r="C4" i="6"/>
  <c r="K3" i="12" s="1"/>
  <c r="O11" i="7"/>
  <c r="O12" i="7"/>
  <c r="O13" i="7"/>
  <c r="O14" i="7"/>
  <c r="O15" i="7"/>
  <c r="O11" i="6"/>
  <c r="O12" i="6"/>
  <c r="O13" i="6"/>
  <c r="O14" i="6"/>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B1005" i="3"/>
  <c r="B1004" i="3"/>
  <c r="B1003" i="3"/>
  <c r="B1002" i="3"/>
  <c r="B1001" i="3"/>
  <c r="B1000" i="3"/>
  <c r="B999" i="3"/>
  <c r="B998" i="3"/>
  <c r="B997" i="3"/>
  <c r="B996" i="3"/>
  <c r="B995" i="3"/>
  <c r="B994" i="3"/>
  <c r="B993" i="3"/>
  <c r="B992" i="3"/>
  <c r="B991" i="3"/>
  <c r="B990" i="3"/>
  <c r="B989" i="3"/>
  <c r="B988" i="3"/>
  <c r="B987" i="3"/>
  <c r="B986" i="3"/>
  <c r="B985" i="3"/>
  <c r="B984" i="3"/>
  <c r="B983" i="3"/>
  <c r="B982" i="3"/>
  <c r="B981" i="3"/>
  <c r="B980" i="3"/>
  <c r="B979" i="3"/>
  <c r="B978" i="3"/>
  <c r="B977" i="3"/>
  <c r="B976" i="3"/>
  <c r="B975" i="3"/>
  <c r="B974" i="3"/>
  <c r="B973" i="3"/>
  <c r="B972" i="3"/>
  <c r="B971"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6" i="3"/>
  <c r="D8" i="12"/>
  <c r="D7" i="12"/>
  <c r="D6" i="12"/>
  <c r="D5" i="12"/>
  <c r="D4" i="12"/>
  <c r="D3" i="12"/>
  <c r="D2" i="12"/>
  <c r="A7" i="12"/>
  <c r="A6" i="12"/>
  <c r="A5" i="12"/>
  <c r="A4" i="12"/>
  <c r="A3" i="12"/>
  <c r="A2" i="12"/>
  <c r="F2" i="11"/>
  <c r="C6" i="11"/>
  <c r="C5" i="11"/>
  <c r="C4" i="11"/>
  <c r="C3" i="11"/>
  <c r="C2" i="11"/>
  <c r="F6" i="11"/>
  <c r="F5" i="11"/>
  <c r="F4" i="11"/>
  <c r="F3" i="11"/>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F6" i="10"/>
  <c r="F5" i="10"/>
  <c r="F4" i="10"/>
  <c r="F3" i="10"/>
  <c r="F2" i="10"/>
  <c r="C6" i="10"/>
  <c r="C5" i="10"/>
  <c r="C4" i="10"/>
  <c r="K7" i="12" s="1"/>
  <c r="C3" i="10"/>
  <c r="C2" i="10"/>
  <c r="H7" i="12" s="1"/>
  <c r="R10" i="9"/>
  <c r="R11" i="9"/>
  <c r="R12" i="9"/>
  <c r="R13" i="9"/>
  <c r="O10" i="9"/>
  <c r="O11" i="9"/>
  <c r="O12" i="9"/>
  <c r="O13" i="9"/>
  <c r="J10" i="9"/>
  <c r="K10" i="9"/>
  <c r="L10" i="9"/>
  <c r="J11" i="9"/>
  <c r="K11" i="9"/>
  <c r="L11" i="9"/>
  <c r="J12" i="9"/>
  <c r="K12" i="9"/>
  <c r="L12" i="9"/>
  <c r="J13" i="9"/>
  <c r="K13" i="9"/>
  <c r="L13" i="9"/>
  <c r="F6" i="9"/>
  <c r="F5" i="9"/>
  <c r="F4" i="9"/>
  <c r="F3" i="9"/>
  <c r="F2" i="9"/>
  <c r="C6" i="9"/>
  <c r="C5" i="9"/>
  <c r="C4" i="9"/>
  <c r="K6" i="12" s="1"/>
  <c r="C3" i="9"/>
  <c r="C2" i="9"/>
  <c r="H6" i="12" s="1"/>
  <c r="R10" i="8"/>
  <c r="R11" i="8"/>
  <c r="R12" i="8"/>
  <c r="R13" i="8"/>
  <c r="R14" i="8"/>
  <c r="R15" i="8"/>
  <c r="R16" i="8"/>
  <c r="O10" i="8"/>
  <c r="O11" i="8"/>
  <c r="O12" i="8"/>
  <c r="O13" i="8"/>
  <c r="O14" i="8"/>
  <c r="O15" i="8"/>
  <c r="O16" i="8"/>
  <c r="J10" i="8"/>
  <c r="K10" i="8"/>
  <c r="L10" i="8"/>
  <c r="J11" i="8"/>
  <c r="K11" i="8"/>
  <c r="L11" i="8"/>
  <c r="J12" i="8"/>
  <c r="K12" i="8"/>
  <c r="L12" i="8"/>
  <c r="J13" i="8"/>
  <c r="K13" i="8"/>
  <c r="L13" i="8"/>
  <c r="J14" i="8"/>
  <c r="K14" i="8"/>
  <c r="L14" i="8"/>
  <c r="J15" i="8"/>
  <c r="K15" i="8"/>
  <c r="L15" i="8"/>
  <c r="J16" i="8"/>
  <c r="K16" i="8"/>
  <c r="L16" i="8"/>
  <c r="F6" i="8"/>
  <c r="F5" i="8"/>
  <c r="F4" i="8"/>
  <c r="F3" i="8"/>
  <c r="F2" i="8"/>
  <c r="C6" i="8"/>
  <c r="C5" i="8"/>
  <c r="C4" i="8"/>
  <c r="K5" i="12" s="1"/>
  <c r="C3" i="8"/>
  <c r="C2" i="8"/>
  <c r="H5" i="12" s="1"/>
  <c r="R10" i="7"/>
  <c r="R11" i="7"/>
  <c r="R12" i="7"/>
  <c r="R13" i="7"/>
  <c r="R14" i="7"/>
  <c r="R15" i="7"/>
  <c r="Q10" i="7"/>
  <c r="Q11" i="7"/>
  <c r="Q12" i="7"/>
  <c r="Q13" i="7"/>
  <c r="Q14" i="7"/>
  <c r="Q15" i="7"/>
  <c r="O10" i="7"/>
  <c r="J10" i="7"/>
  <c r="K10" i="7"/>
  <c r="L10" i="7"/>
  <c r="J11" i="7"/>
  <c r="K11" i="7"/>
  <c r="L11" i="7"/>
  <c r="J12" i="7"/>
  <c r="K12" i="7"/>
  <c r="L12" i="7"/>
  <c r="J13" i="7"/>
  <c r="K13" i="7"/>
  <c r="L13" i="7"/>
  <c r="J14" i="7"/>
  <c r="K14" i="7"/>
  <c r="L14" i="7"/>
  <c r="J15" i="7"/>
  <c r="K15" i="7"/>
  <c r="L15" i="7"/>
  <c r="F6" i="7"/>
  <c r="F3" i="7"/>
  <c r="F2" i="7"/>
  <c r="C6" i="7"/>
  <c r="K4" i="12"/>
  <c r="C3" i="7"/>
  <c r="C2" i="7"/>
  <c r="H4" i="12" s="1"/>
  <c r="F6" i="6"/>
  <c r="F3" i="6"/>
  <c r="F2" i="6"/>
  <c r="C6" i="6"/>
  <c r="C3" i="6"/>
  <c r="C2" i="6"/>
  <c r="H3" i="12" s="1"/>
  <c r="R10" i="6"/>
  <c r="R11" i="6"/>
  <c r="R12" i="6"/>
  <c r="R13" i="6"/>
  <c r="R14" i="6"/>
  <c r="O10" i="6"/>
  <c r="K11" i="6"/>
  <c r="L11" i="6"/>
  <c r="K12" i="6"/>
  <c r="L12" i="6"/>
  <c r="K13" i="6"/>
  <c r="L13" i="6"/>
  <c r="K14" i="6"/>
  <c r="L14" i="6"/>
  <c r="R571" i="5"/>
  <c r="R689" i="5"/>
  <c r="S187" i="5"/>
  <c r="S215" i="5"/>
  <c r="S463" i="5"/>
  <c r="S477" i="5"/>
  <c r="S631" i="5"/>
  <c r="S644" i="5"/>
  <c r="S788" i="5"/>
  <c r="S800" i="5"/>
  <c r="S932" i="5"/>
  <c r="S944" i="5"/>
  <c r="B5" i="5"/>
  <c r="S11" i="5" s="1"/>
  <c r="B7" i="5"/>
  <c r="B6" i="5"/>
  <c r="B3" i="5"/>
  <c r="P453" i="5" s="1"/>
  <c r="B2" i="5"/>
  <c r="O23" i="5" s="1"/>
  <c r="K10" i="5"/>
  <c r="L10" i="5"/>
  <c r="R10" i="5" s="1"/>
  <c r="M10" i="5"/>
  <c r="N10" i="5"/>
  <c r="K11" i="5"/>
  <c r="L11" i="5"/>
  <c r="R11" i="5" s="1"/>
  <c r="M11" i="5"/>
  <c r="N11" i="5"/>
  <c r="K12" i="5"/>
  <c r="L12" i="5"/>
  <c r="R12" i="5" s="1"/>
  <c r="M12" i="5"/>
  <c r="N12" i="5"/>
  <c r="K13" i="5"/>
  <c r="L13" i="5"/>
  <c r="R13" i="5" s="1"/>
  <c r="M13" i="5"/>
  <c r="N13" i="5"/>
  <c r="N1009" i="5"/>
  <c r="M1009" i="5"/>
  <c r="L1009" i="5"/>
  <c r="R1009" i="5" s="1"/>
  <c r="K1009" i="5"/>
  <c r="N1008" i="5"/>
  <c r="M1008" i="5"/>
  <c r="L1008" i="5"/>
  <c r="R1008" i="5" s="1"/>
  <c r="K1008" i="5"/>
  <c r="N1007" i="5"/>
  <c r="M1007" i="5"/>
  <c r="L1007" i="5"/>
  <c r="R1007" i="5" s="1"/>
  <c r="K1007" i="5"/>
  <c r="N1006" i="5"/>
  <c r="M1006" i="5"/>
  <c r="L1006" i="5"/>
  <c r="R1006" i="5" s="1"/>
  <c r="K1006" i="5"/>
  <c r="N1005" i="5"/>
  <c r="M1005" i="5"/>
  <c r="L1005" i="5"/>
  <c r="R1005" i="5" s="1"/>
  <c r="K1005" i="5"/>
  <c r="N1004" i="5"/>
  <c r="M1004" i="5"/>
  <c r="L1004" i="5"/>
  <c r="R1004" i="5" s="1"/>
  <c r="K1004" i="5"/>
  <c r="N1003" i="5"/>
  <c r="M1003" i="5"/>
  <c r="L1003" i="5"/>
  <c r="R1003" i="5" s="1"/>
  <c r="K1003" i="5"/>
  <c r="N1002" i="5"/>
  <c r="M1002" i="5"/>
  <c r="L1002" i="5"/>
  <c r="R1002" i="5" s="1"/>
  <c r="K1002" i="5"/>
  <c r="N1001" i="5"/>
  <c r="M1001" i="5"/>
  <c r="L1001" i="5"/>
  <c r="R1001" i="5" s="1"/>
  <c r="K1001" i="5"/>
  <c r="N1000" i="5"/>
  <c r="M1000" i="5"/>
  <c r="L1000" i="5"/>
  <c r="R1000" i="5" s="1"/>
  <c r="K1000" i="5"/>
  <c r="N999" i="5"/>
  <c r="M999" i="5"/>
  <c r="L999" i="5"/>
  <c r="R999" i="5" s="1"/>
  <c r="K999" i="5"/>
  <c r="N998" i="5"/>
  <c r="M998" i="5"/>
  <c r="L998" i="5"/>
  <c r="R998" i="5" s="1"/>
  <c r="K998" i="5"/>
  <c r="N997" i="5"/>
  <c r="M997" i="5"/>
  <c r="L997" i="5"/>
  <c r="R997" i="5" s="1"/>
  <c r="K997" i="5"/>
  <c r="N996" i="5"/>
  <c r="M996" i="5"/>
  <c r="L996" i="5"/>
  <c r="R996" i="5" s="1"/>
  <c r="K996" i="5"/>
  <c r="N995" i="5"/>
  <c r="M995" i="5"/>
  <c r="L995" i="5"/>
  <c r="R995" i="5" s="1"/>
  <c r="K995" i="5"/>
  <c r="N994" i="5"/>
  <c r="M994" i="5"/>
  <c r="L994" i="5"/>
  <c r="R994" i="5" s="1"/>
  <c r="K994" i="5"/>
  <c r="N993" i="5"/>
  <c r="M993" i="5"/>
  <c r="L993" i="5"/>
  <c r="R993" i="5" s="1"/>
  <c r="K993" i="5"/>
  <c r="N992" i="5"/>
  <c r="M992" i="5"/>
  <c r="L992" i="5"/>
  <c r="R992" i="5" s="1"/>
  <c r="K992" i="5"/>
  <c r="N991" i="5"/>
  <c r="M991" i="5"/>
  <c r="L991" i="5"/>
  <c r="R991" i="5" s="1"/>
  <c r="K991" i="5"/>
  <c r="N990" i="5"/>
  <c r="M990" i="5"/>
  <c r="L990" i="5"/>
  <c r="R990" i="5" s="1"/>
  <c r="K990" i="5"/>
  <c r="N989" i="5"/>
  <c r="M989" i="5"/>
  <c r="L989" i="5"/>
  <c r="R989" i="5" s="1"/>
  <c r="K989" i="5"/>
  <c r="N988" i="5"/>
  <c r="M988" i="5"/>
  <c r="L988" i="5"/>
  <c r="R988" i="5" s="1"/>
  <c r="K988" i="5"/>
  <c r="N987" i="5"/>
  <c r="M987" i="5"/>
  <c r="L987" i="5"/>
  <c r="R987" i="5" s="1"/>
  <c r="K987" i="5"/>
  <c r="N986" i="5"/>
  <c r="M986" i="5"/>
  <c r="L986" i="5"/>
  <c r="R986" i="5" s="1"/>
  <c r="K986" i="5"/>
  <c r="N985" i="5"/>
  <c r="M985" i="5"/>
  <c r="L985" i="5"/>
  <c r="R985" i="5" s="1"/>
  <c r="K985" i="5"/>
  <c r="N984" i="5"/>
  <c r="M984" i="5"/>
  <c r="L984" i="5"/>
  <c r="R984" i="5" s="1"/>
  <c r="K984" i="5"/>
  <c r="N983" i="5"/>
  <c r="M983" i="5"/>
  <c r="L983" i="5"/>
  <c r="R983" i="5" s="1"/>
  <c r="K983" i="5"/>
  <c r="N982" i="5"/>
  <c r="M982" i="5"/>
  <c r="L982" i="5"/>
  <c r="R982" i="5" s="1"/>
  <c r="K982" i="5"/>
  <c r="N981" i="5"/>
  <c r="M981" i="5"/>
  <c r="L981" i="5"/>
  <c r="R981" i="5" s="1"/>
  <c r="K981" i="5"/>
  <c r="N980" i="5"/>
  <c r="M980" i="5"/>
  <c r="L980" i="5"/>
  <c r="R980" i="5" s="1"/>
  <c r="K980" i="5"/>
  <c r="N979" i="5"/>
  <c r="M979" i="5"/>
  <c r="L979" i="5"/>
  <c r="R979" i="5" s="1"/>
  <c r="K979" i="5"/>
  <c r="N978" i="5"/>
  <c r="M978" i="5"/>
  <c r="L978" i="5"/>
  <c r="R978" i="5" s="1"/>
  <c r="K978" i="5"/>
  <c r="N977" i="5"/>
  <c r="M977" i="5"/>
  <c r="L977" i="5"/>
  <c r="R977" i="5" s="1"/>
  <c r="K977" i="5"/>
  <c r="N976" i="5"/>
  <c r="M976" i="5"/>
  <c r="L976" i="5"/>
  <c r="R976" i="5" s="1"/>
  <c r="K976" i="5"/>
  <c r="N975" i="5"/>
  <c r="M975" i="5"/>
  <c r="L975" i="5"/>
  <c r="R975" i="5" s="1"/>
  <c r="K975" i="5"/>
  <c r="N974" i="5"/>
  <c r="M974" i="5"/>
  <c r="L974" i="5"/>
  <c r="R974" i="5" s="1"/>
  <c r="K974" i="5"/>
  <c r="N973" i="5"/>
  <c r="M973" i="5"/>
  <c r="L973" i="5"/>
  <c r="R973" i="5" s="1"/>
  <c r="K973" i="5"/>
  <c r="N972" i="5"/>
  <c r="M972" i="5"/>
  <c r="L972" i="5"/>
  <c r="R972" i="5" s="1"/>
  <c r="K972" i="5"/>
  <c r="N971" i="5"/>
  <c r="M971" i="5"/>
  <c r="L971" i="5"/>
  <c r="R971" i="5" s="1"/>
  <c r="K971" i="5"/>
  <c r="N970" i="5"/>
  <c r="M970" i="5"/>
  <c r="L970" i="5"/>
  <c r="R970" i="5" s="1"/>
  <c r="K970" i="5"/>
  <c r="N969" i="5"/>
  <c r="M969" i="5"/>
  <c r="L969" i="5"/>
  <c r="R969" i="5" s="1"/>
  <c r="K969" i="5"/>
  <c r="N968" i="5"/>
  <c r="M968" i="5"/>
  <c r="L968" i="5"/>
  <c r="R968" i="5" s="1"/>
  <c r="K968" i="5"/>
  <c r="N967" i="5"/>
  <c r="M967" i="5"/>
  <c r="L967" i="5"/>
  <c r="R967" i="5" s="1"/>
  <c r="K967" i="5"/>
  <c r="N966" i="5"/>
  <c r="M966" i="5"/>
  <c r="L966" i="5"/>
  <c r="R966" i="5" s="1"/>
  <c r="K966" i="5"/>
  <c r="N965" i="5"/>
  <c r="M965" i="5"/>
  <c r="L965" i="5"/>
  <c r="R965" i="5" s="1"/>
  <c r="K965" i="5"/>
  <c r="N964" i="5"/>
  <c r="M964" i="5"/>
  <c r="L964" i="5"/>
  <c r="R964" i="5" s="1"/>
  <c r="K964" i="5"/>
  <c r="N963" i="5"/>
  <c r="M963" i="5"/>
  <c r="L963" i="5"/>
  <c r="R963" i="5" s="1"/>
  <c r="K963" i="5"/>
  <c r="N962" i="5"/>
  <c r="M962" i="5"/>
  <c r="L962" i="5"/>
  <c r="R962" i="5" s="1"/>
  <c r="K962" i="5"/>
  <c r="N961" i="5"/>
  <c r="M961" i="5"/>
  <c r="L961" i="5"/>
  <c r="R961" i="5" s="1"/>
  <c r="K961" i="5"/>
  <c r="N960" i="5"/>
  <c r="M960" i="5"/>
  <c r="L960" i="5"/>
  <c r="R960" i="5" s="1"/>
  <c r="K960" i="5"/>
  <c r="N959" i="5"/>
  <c r="M959" i="5"/>
  <c r="L959" i="5"/>
  <c r="R959" i="5" s="1"/>
  <c r="K959" i="5"/>
  <c r="N958" i="5"/>
  <c r="M958" i="5"/>
  <c r="L958" i="5"/>
  <c r="R958" i="5" s="1"/>
  <c r="K958" i="5"/>
  <c r="N957" i="5"/>
  <c r="M957" i="5"/>
  <c r="L957" i="5"/>
  <c r="R957" i="5" s="1"/>
  <c r="K957" i="5"/>
  <c r="N956" i="5"/>
  <c r="M956" i="5"/>
  <c r="L956" i="5"/>
  <c r="R956" i="5" s="1"/>
  <c r="K956" i="5"/>
  <c r="N955" i="5"/>
  <c r="M955" i="5"/>
  <c r="L955" i="5"/>
  <c r="R955" i="5" s="1"/>
  <c r="K955" i="5"/>
  <c r="N954" i="5"/>
  <c r="M954" i="5"/>
  <c r="L954" i="5"/>
  <c r="R954" i="5" s="1"/>
  <c r="K954" i="5"/>
  <c r="N953" i="5"/>
  <c r="M953" i="5"/>
  <c r="L953" i="5"/>
  <c r="R953" i="5" s="1"/>
  <c r="K953" i="5"/>
  <c r="N952" i="5"/>
  <c r="M952" i="5"/>
  <c r="L952" i="5"/>
  <c r="R952" i="5" s="1"/>
  <c r="K952" i="5"/>
  <c r="N951" i="5"/>
  <c r="M951" i="5"/>
  <c r="L951" i="5"/>
  <c r="R951" i="5" s="1"/>
  <c r="K951" i="5"/>
  <c r="N950" i="5"/>
  <c r="M950" i="5"/>
  <c r="L950" i="5"/>
  <c r="R950" i="5" s="1"/>
  <c r="K950" i="5"/>
  <c r="N949" i="5"/>
  <c r="M949" i="5"/>
  <c r="L949" i="5"/>
  <c r="R949" i="5" s="1"/>
  <c r="K949" i="5"/>
  <c r="N948" i="5"/>
  <c r="M948" i="5"/>
  <c r="L948" i="5"/>
  <c r="R948" i="5" s="1"/>
  <c r="K948" i="5"/>
  <c r="N947" i="5"/>
  <c r="M947" i="5"/>
  <c r="L947" i="5"/>
  <c r="R947" i="5" s="1"/>
  <c r="K947" i="5"/>
  <c r="N946" i="5"/>
  <c r="M946" i="5"/>
  <c r="L946" i="5"/>
  <c r="R946" i="5" s="1"/>
  <c r="K946" i="5"/>
  <c r="N945" i="5"/>
  <c r="M945" i="5"/>
  <c r="L945" i="5"/>
  <c r="R945" i="5" s="1"/>
  <c r="K945" i="5"/>
  <c r="N944" i="5"/>
  <c r="M944" i="5"/>
  <c r="L944" i="5"/>
  <c r="R944" i="5" s="1"/>
  <c r="K944" i="5"/>
  <c r="N943" i="5"/>
  <c r="M943" i="5"/>
  <c r="L943" i="5"/>
  <c r="R943" i="5" s="1"/>
  <c r="K943" i="5"/>
  <c r="N942" i="5"/>
  <c r="M942" i="5"/>
  <c r="L942" i="5"/>
  <c r="R942" i="5" s="1"/>
  <c r="K942" i="5"/>
  <c r="N941" i="5"/>
  <c r="M941" i="5"/>
  <c r="L941" i="5"/>
  <c r="R941" i="5" s="1"/>
  <c r="K941" i="5"/>
  <c r="N940" i="5"/>
  <c r="M940" i="5"/>
  <c r="L940" i="5"/>
  <c r="R940" i="5" s="1"/>
  <c r="K940" i="5"/>
  <c r="N939" i="5"/>
  <c r="M939" i="5"/>
  <c r="L939" i="5"/>
  <c r="R939" i="5" s="1"/>
  <c r="K939" i="5"/>
  <c r="N938" i="5"/>
  <c r="M938" i="5"/>
  <c r="L938" i="5"/>
  <c r="R938" i="5" s="1"/>
  <c r="K938" i="5"/>
  <c r="N937" i="5"/>
  <c r="M937" i="5"/>
  <c r="L937" i="5"/>
  <c r="R937" i="5" s="1"/>
  <c r="K937" i="5"/>
  <c r="N936" i="5"/>
  <c r="M936" i="5"/>
  <c r="L936" i="5"/>
  <c r="R936" i="5" s="1"/>
  <c r="K936" i="5"/>
  <c r="N935" i="5"/>
  <c r="M935" i="5"/>
  <c r="L935" i="5"/>
  <c r="R935" i="5" s="1"/>
  <c r="K935" i="5"/>
  <c r="N934" i="5"/>
  <c r="M934" i="5"/>
  <c r="L934" i="5"/>
  <c r="R934" i="5" s="1"/>
  <c r="K934" i="5"/>
  <c r="N933" i="5"/>
  <c r="M933" i="5"/>
  <c r="L933" i="5"/>
  <c r="R933" i="5" s="1"/>
  <c r="K933" i="5"/>
  <c r="N932" i="5"/>
  <c r="M932" i="5"/>
  <c r="L932" i="5"/>
  <c r="R932" i="5" s="1"/>
  <c r="K932" i="5"/>
  <c r="N931" i="5"/>
  <c r="M931" i="5"/>
  <c r="L931" i="5"/>
  <c r="R931" i="5" s="1"/>
  <c r="K931" i="5"/>
  <c r="N930" i="5"/>
  <c r="M930" i="5"/>
  <c r="L930" i="5"/>
  <c r="R930" i="5" s="1"/>
  <c r="K930" i="5"/>
  <c r="N929" i="5"/>
  <c r="M929" i="5"/>
  <c r="L929" i="5"/>
  <c r="R929" i="5" s="1"/>
  <c r="K929" i="5"/>
  <c r="N928" i="5"/>
  <c r="M928" i="5"/>
  <c r="L928" i="5"/>
  <c r="R928" i="5" s="1"/>
  <c r="K928" i="5"/>
  <c r="N927" i="5"/>
  <c r="M927" i="5"/>
  <c r="L927" i="5"/>
  <c r="R927" i="5" s="1"/>
  <c r="K927" i="5"/>
  <c r="N926" i="5"/>
  <c r="M926" i="5"/>
  <c r="L926" i="5"/>
  <c r="R926" i="5" s="1"/>
  <c r="K926" i="5"/>
  <c r="N925" i="5"/>
  <c r="M925" i="5"/>
  <c r="L925" i="5"/>
  <c r="R925" i="5" s="1"/>
  <c r="K925" i="5"/>
  <c r="N924" i="5"/>
  <c r="M924" i="5"/>
  <c r="L924" i="5"/>
  <c r="R924" i="5" s="1"/>
  <c r="K924" i="5"/>
  <c r="N923" i="5"/>
  <c r="M923" i="5"/>
  <c r="L923" i="5"/>
  <c r="R923" i="5" s="1"/>
  <c r="K923" i="5"/>
  <c r="N922" i="5"/>
  <c r="M922" i="5"/>
  <c r="L922" i="5"/>
  <c r="R922" i="5" s="1"/>
  <c r="K922" i="5"/>
  <c r="N921" i="5"/>
  <c r="M921" i="5"/>
  <c r="L921" i="5"/>
  <c r="R921" i="5" s="1"/>
  <c r="K921" i="5"/>
  <c r="N920" i="5"/>
  <c r="M920" i="5"/>
  <c r="L920" i="5"/>
  <c r="R920" i="5" s="1"/>
  <c r="K920" i="5"/>
  <c r="N919" i="5"/>
  <c r="M919" i="5"/>
  <c r="L919" i="5"/>
  <c r="R919" i="5" s="1"/>
  <c r="K919" i="5"/>
  <c r="N918" i="5"/>
  <c r="M918" i="5"/>
  <c r="L918" i="5"/>
  <c r="R918" i="5" s="1"/>
  <c r="K918" i="5"/>
  <c r="N917" i="5"/>
  <c r="M917" i="5"/>
  <c r="L917" i="5"/>
  <c r="R917" i="5" s="1"/>
  <c r="K917" i="5"/>
  <c r="N916" i="5"/>
  <c r="M916" i="5"/>
  <c r="L916" i="5"/>
  <c r="R916" i="5" s="1"/>
  <c r="K916" i="5"/>
  <c r="N915" i="5"/>
  <c r="M915" i="5"/>
  <c r="L915" i="5"/>
  <c r="R915" i="5" s="1"/>
  <c r="K915" i="5"/>
  <c r="N914" i="5"/>
  <c r="M914" i="5"/>
  <c r="L914" i="5"/>
  <c r="R914" i="5" s="1"/>
  <c r="K914" i="5"/>
  <c r="N913" i="5"/>
  <c r="M913" i="5"/>
  <c r="L913" i="5"/>
  <c r="R913" i="5" s="1"/>
  <c r="K913" i="5"/>
  <c r="N912" i="5"/>
  <c r="M912" i="5"/>
  <c r="L912" i="5"/>
  <c r="R912" i="5" s="1"/>
  <c r="K912" i="5"/>
  <c r="N911" i="5"/>
  <c r="M911" i="5"/>
  <c r="L911" i="5"/>
  <c r="R911" i="5" s="1"/>
  <c r="K911" i="5"/>
  <c r="N910" i="5"/>
  <c r="M910" i="5"/>
  <c r="L910" i="5"/>
  <c r="R910" i="5" s="1"/>
  <c r="K910" i="5"/>
  <c r="N909" i="5"/>
  <c r="M909" i="5"/>
  <c r="L909" i="5"/>
  <c r="R909" i="5" s="1"/>
  <c r="K909" i="5"/>
  <c r="N908" i="5"/>
  <c r="M908" i="5"/>
  <c r="L908" i="5"/>
  <c r="R908" i="5" s="1"/>
  <c r="K908" i="5"/>
  <c r="N907" i="5"/>
  <c r="M907" i="5"/>
  <c r="L907" i="5"/>
  <c r="R907" i="5" s="1"/>
  <c r="K907" i="5"/>
  <c r="N906" i="5"/>
  <c r="M906" i="5"/>
  <c r="L906" i="5"/>
  <c r="R906" i="5" s="1"/>
  <c r="K906" i="5"/>
  <c r="N905" i="5"/>
  <c r="M905" i="5"/>
  <c r="L905" i="5"/>
  <c r="R905" i="5" s="1"/>
  <c r="K905" i="5"/>
  <c r="N904" i="5"/>
  <c r="M904" i="5"/>
  <c r="L904" i="5"/>
  <c r="R904" i="5" s="1"/>
  <c r="K904" i="5"/>
  <c r="N903" i="5"/>
  <c r="M903" i="5"/>
  <c r="L903" i="5"/>
  <c r="R903" i="5" s="1"/>
  <c r="K903" i="5"/>
  <c r="N902" i="5"/>
  <c r="M902" i="5"/>
  <c r="L902" i="5"/>
  <c r="R902" i="5" s="1"/>
  <c r="K902" i="5"/>
  <c r="N901" i="5"/>
  <c r="M901" i="5"/>
  <c r="L901" i="5"/>
  <c r="R901" i="5" s="1"/>
  <c r="K901" i="5"/>
  <c r="N900" i="5"/>
  <c r="M900" i="5"/>
  <c r="L900" i="5"/>
  <c r="R900" i="5" s="1"/>
  <c r="K900" i="5"/>
  <c r="N899" i="5"/>
  <c r="M899" i="5"/>
  <c r="L899" i="5"/>
  <c r="R899" i="5" s="1"/>
  <c r="K899" i="5"/>
  <c r="N898" i="5"/>
  <c r="M898" i="5"/>
  <c r="L898" i="5"/>
  <c r="R898" i="5" s="1"/>
  <c r="K898" i="5"/>
  <c r="N897" i="5"/>
  <c r="M897" i="5"/>
  <c r="L897" i="5"/>
  <c r="R897" i="5" s="1"/>
  <c r="K897" i="5"/>
  <c r="N896" i="5"/>
  <c r="M896" i="5"/>
  <c r="L896" i="5"/>
  <c r="R896" i="5" s="1"/>
  <c r="K896" i="5"/>
  <c r="N895" i="5"/>
  <c r="M895" i="5"/>
  <c r="L895" i="5"/>
  <c r="R895" i="5" s="1"/>
  <c r="K895" i="5"/>
  <c r="N894" i="5"/>
  <c r="M894" i="5"/>
  <c r="L894" i="5"/>
  <c r="R894" i="5" s="1"/>
  <c r="K894" i="5"/>
  <c r="N893" i="5"/>
  <c r="M893" i="5"/>
  <c r="L893" i="5"/>
  <c r="R893" i="5" s="1"/>
  <c r="K893" i="5"/>
  <c r="N892" i="5"/>
  <c r="M892" i="5"/>
  <c r="L892" i="5"/>
  <c r="R892" i="5" s="1"/>
  <c r="K892" i="5"/>
  <c r="N891" i="5"/>
  <c r="M891" i="5"/>
  <c r="L891" i="5"/>
  <c r="R891" i="5" s="1"/>
  <c r="K891" i="5"/>
  <c r="N890" i="5"/>
  <c r="M890" i="5"/>
  <c r="L890" i="5"/>
  <c r="R890" i="5" s="1"/>
  <c r="K890" i="5"/>
  <c r="N889" i="5"/>
  <c r="M889" i="5"/>
  <c r="L889" i="5"/>
  <c r="R889" i="5" s="1"/>
  <c r="K889" i="5"/>
  <c r="N888" i="5"/>
  <c r="M888" i="5"/>
  <c r="L888" i="5"/>
  <c r="R888" i="5" s="1"/>
  <c r="K888" i="5"/>
  <c r="N887" i="5"/>
  <c r="M887" i="5"/>
  <c r="L887" i="5"/>
  <c r="R887" i="5" s="1"/>
  <c r="K887" i="5"/>
  <c r="N886" i="5"/>
  <c r="M886" i="5"/>
  <c r="L886" i="5"/>
  <c r="R886" i="5" s="1"/>
  <c r="K886" i="5"/>
  <c r="N885" i="5"/>
  <c r="M885" i="5"/>
  <c r="L885" i="5"/>
  <c r="R885" i="5" s="1"/>
  <c r="K885" i="5"/>
  <c r="N884" i="5"/>
  <c r="M884" i="5"/>
  <c r="L884" i="5"/>
  <c r="R884" i="5" s="1"/>
  <c r="K884" i="5"/>
  <c r="N883" i="5"/>
  <c r="M883" i="5"/>
  <c r="L883" i="5"/>
  <c r="R883" i="5" s="1"/>
  <c r="K883" i="5"/>
  <c r="N882" i="5"/>
  <c r="M882" i="5"/>
  <c r="L882" i="5"/>
  <c r="R882" i="5" s="1"/>
  <c r="K882" i="5"/>
  <c r="N881" i="5"/>
  <c r="M881" i="5"/>
  <c r="L881" i="5"/>
  <c r="R881" i="5" s="1"/>
  <c r="K881" i="5"/>
  <c r="N880" i="5"/>
  <c r="M880" i="5"/>
  <c r="L880" i="5"/>
  <c r="R880" i="5" s="1"/>
  <c r="K880" i="5"/>
  <c r="N879" i="5"/>
  <c r="M879" i="5"/>
  <c r="L879" i="5"/>
  <c r="R879" i="5" s="1"/>
  <c r="K879" i="5"/>
  <c r="N878" i="5"/>
  <c r="M878" i="5"/>
  <c r="L878" i="5"/>
  <c r="R878" i="5" s="1"/>
  <c r="K878" i="5"/>
  <c r="N877" i="5"/>
  <c r="M877" i="5"/>
  <c r="L877" i="5"/>
  <c r="R877" i="5" s="1"/>
  <c r="K877" i="5"/>
  <c r="N876" i="5"/>
  <c r="M876" i="5"/>
  <c r="L876" i="5"/>
  <c r="R876" i="5" s="1"/>
  <c r="K876" i="5"/>
  <c r="N875" i="5"/>
  <c r="M875" i="5"/>
  <c r="L875" i="5"/>
  <c r="R875" i="5" s="1"/>
  <c r="K875" i="5"/>
  <c r="N874" i="5"/>
  <c r="M874" i="5"/>
  <c r="L874" i="5"/>
  <c r="R874" i="5" s="1"/>
  <c r="K874" i="5"/>
  <c r="N873" i="5"/>
  <c r="M873" i="5"/>
  <c r="L873" i="5"/>
  <c r="R873" i="5" s="1"/>
  <c r="K873" i="5"/>
  <c r="N872" i="5"/>
  <c r="M872" i="5"/>
  <c r="L872" i="5"/>
  <c r="R872" i="5" s="1"/>
  <c r="K872" i="5"/>
  <c r="N871" i="5"/>
  <c r="M871" i="5"/>
  <c r="L871" i="5"/>
  <c r="R871" i="5" s="1"/>
  <c r="K871" i="5"/>
  <c r="N870" i="5"/>
  <c r="M870" i="5"/>
  <c r="L870" i="5"/>
  <c r="R870" i="5" s="1"/>
  <c r="K870" i="5"/>
  <c r="N869" i="5"/>
  <c r="M869" i="5"/>
  <c r="L869" i="5"/>
  <c r="R869" i="5" s="1"/>
  <c r="K869" i="5"/>
  <c r="N868" i="5"/>
  <c r="M868" i="5"/>
  <c r="L868" i="5"/>
  <c r="R868" i="5" s="1"/>
  <c r="K868" i="5"/>
  <c r="N867" i="5"/>
  <c r="M867" i="5"/>
  <c r="L867" i="5"/>
  <c r="R867" i="5" s="1"/>
  <c r="K867" i="5"/>
  <c r="N866" i="5"/>
  <c r="M866" i="5"/>
  <c r="L866" i="5"/>
  <c r="R866" i="5" s="1"/>
  <c r="K866" i="5"/>
  <c r="N865" i="5"/>
  <c r="M865" i="5"/>
  <c r="L865" i="5"/>
  <c r="R865" i="5" s="1"/>
  <c r="K865" i="5"/>
  <c r="N864" i="5"/>
  <c r="M864" i="5"/>
  <c r="L864" i="5"/>
  <c r="R864" i="5" s="1"/>
  <c r="K864" i="5"/>
  <c r="N863" i="5"/>
  <c r="M863" i="5"/>
  <c r="L863" i="5"/>
  <c r="R863" i="5" s="1"/>
  <c r="K863" i="5"/>
  <c r="N862" i="5"/>
  <c r="M862" i="5"/>
  <c r="L862" i="5"/>
  <c r="R862" i="5" s="1"/>
  <c r="K862" i="5"/>
  <c r="N861" i="5"/>
  <c r="M861" i="5"/>
  <c r="L861" i="5"/>
  <c r="R861" i="5" s="1"/>
  <c r="K861" i="5"/>
  <c r="N860" i="5"/>
  <c r="M860" i="5"/>
  <c r="L860" i="5"/>
  <c r="R860" i="5" s="1"/>
  <c r="K860" i="5"/>
  <c r="N859" i="5"/>
  <c r="M859" i="5"/>
  <c r="L859" i="5"/>
  <c r="R859" i="5" s="1"/>
  <c r="K859" i="5"/>
  <c r="N858" i="5"/>
  <c r="M858" i="5"/>
  <c r="L858" i="5"/>
  <c r="R858" i="5" s="1"/>
  <c r="K858" i="5"/>
  <c r="N857" i="5"/>
  <c r="M857" i="5"/>
  <c r="L857" i="5"/>
  <c r="R857" i="5" s="1"/>
  <c r="K857" i="5"/>
  <c r="N856" i="5"/>
  <c r="M856" i="5"/>
  <c r="L856" i="5"/>
  <c r="R856" i="5" s="1"/>
  <c r="K856" i="5"/>
  <c r="N855" i="5"/>
  <c r="M855" i="5"/>
  <c r="L855" i="5"/>
  <c r="R855" i="5" s="1"/>
  <c r="K855" i="5"/>
  <c r="N854" i="5"/>
  <c r="M854" i="5"/>
  <c r="L854" i="5"/>
  <c r="R854" i="5" s="1"/>
  <c r="K854" i="5"/>
  <c r="N853" i="5"/>
  <c r="M853" i="5"/>
  <c r="L853" i="5"/>
  <c r="R853" i="5" s="1"/>
  <c r="K853" i="5"/>
  <c r="N852" i="5"/>
  <c r="M852" i="5"/>
  <c r="L852" i="5"/>
  <c r="R852" i="5" s="1"/>
  <c r="K852" i="5"/>
  <c r="N851" i="5"/>
  <c r="M851" i="5"/>
  <c r="L851" i="5"/>
  <c r="R851" i="5" s="1"/>
  <c r="K851" i="5"/>
  <c r="N850" i="5"/>
  <c r="M850" i="5"/>
  <c r="L850" i="5"/>
  <c r="R850" i="5" s="1"/>
  <c r="K850" i="5"/>
  <c r="N849" i="5"/>
  <c r="M849" i="5"/>
  <c r="L849" i="5"/>
  <c r="R849" i="5" s="1"/>
  <c r="K849" i="5"/>
  <c r="N848" i="5"/>
  <c r="M848" i="5"/>
  <c r="L848" i="5"/>
  <c r="R848" i="5" s="1"/>
  <c r="K848" i="5"/>
  <c r="N847" i="5"/>
  <c r="M847" i="5"/>
  <c r="L847" i="5"/>
  <c r="R847" i="5" s="1"/>
  <c r="K847" i="5"/>
  <c r="N846" i="5"/>
  <c r="M846" i="5"/>
  <c r="L846" i="5"/>
  <c r="R846" i="5" s="1"/>
  <c r="K846" i="5"/>
  <c r="N845" i="5"/>
  <c r="M845" i="5"/>
  <c r="L845" i="5"/>
  <c r="R845" i="5" s="1"/>
  <c r="K845" i="5"/>
  <c r="N844" i="5"/>
  <c r="M844" i="5"/>
  <c r="L844" i="5"/>
  <c r="R844" i="5" s="1"/>
  <c r="K844" i="5"/>
  <c r="N843" i="5"/>
  <c r="M843" i="5"/>
  <c r="L843" i="5"/>
  <c r="R843" i="5" s="1"/>
  <c r="K843" i="5"/>
  <c r="N842" i="5"/>
  <c r="M842" i="5"/>
  <c r="L842" i="5"/>
  <c r="R842" i="5" s="1"/>
  <c r="K842" i="5"/>
  <c r="N841" i="5"/>
  <c r="M841" i="5"/>
  <c r="L841" i="5"/>
  <c r="R841" i="5" s="1"/>
  <c r="K841" i="5"/>
  <c r="N840" i="5"/>
  <c r="M840" i="5"/>
  <c r="L840" i="5"/>
  <c r="R840" i="5" s="1"/>
  <c r="K840" i="5"/>
  <c r="N839" i="5"/>
  <c r="M839" i="5"/>
  <c r="L839" i="5"/>
  <c r="R839" i="5" s="1"/>
  <c r="K839" i="5"/>
  <c r="N838" i="5"/>
  <c r="M838" i="5"/>
  <c r="L838" i="5"/>
  <c r="R838" i="5" s="1"/>
  <c r="K838" i="5"/>
  <c r="N837" i="5"/>
  <c r="M837" i="5"/>
  <c r="L837" i="5"/>
  <c r="R837" i="5" s="1"/>
  <c r="K837" i="5"/>
  <c r="N836" i="5"/>
  <c r="M836" i="5"/>
  <c r="L836" i="5"/>
  <c r="R836" i="5" s="1"/>
  <c r="K836" i="5"/>
  <c r="N835" i="5"/>
  <c r="M835" i="5"/>
  <c r="L835" i="5"/>
  <c r="R835" i="5" s="1"/>
  <c r="K835" i="5"/>
  <c r="N834" i="5"/>
  <c r="M834" i="5"/>
  <c r="L834" i="5"/>
  <c r="R834" i="5" s="1"/>
  <c r="K834" i="5"/>
  <c r="N833" i="5"/>
  <c r="M833" i="5"/>
  <c r="L833" i="5"/>
  <c r="R833" i="5" s="1"/>
  <c r="K833" i="5"/>
  <c r="N832" i="5"/>
  <c r="M832" i="5"/>
  <c r="L832" i="5"/>
  <c r="R832" i="5" s="1"/>
  <c r="K832" i="5"/>
  <c r="N831" i="5"/>
  <c r="M831" i="5"/>
  <c r="L831" i="5"/>
  <c r="R831" i="5" s="1"/>
  <c r="K831" i="5"/>
  <c r="N830" i="5"/>
  <c r="M830" i="5"/>
  <c r="L830" i="5"/>
  <c r="R830" i="5" s="1"/>
  <c r="K830" i="5"/>
  <c r="N829" i="5"/>
  <c r="M829" i="5"/>
  <c r="L829" i="5"/>
  <c r="R829" i="5" s="1"/>
  <c r="K829" i="5"/>
  <c r="N828" i="5"/>
  <c r="M828" i="5"/>
  <c r="L828" i="5"/>
  <c r="R828" i="5" s="1"/>
  <c r="K828" i="5"/>
  <c r="N827" i="5"/>
  <c r="M827" i="5"/>
  <c r="L827" i="5"/>
  <c r="R827" i="5" s="1"/>
  <c r="K827" i="5"/>
  <c r="N826" i="5"/>
  <c r="M826" i="5"/>
  <c r="L826" i="5"/>
  <c r="R826" i="5" s="1"/>
  <c r="K826" i="5"/>
  <c r="N825" i="5"/>
  <c r="M825" i="5"/>
  <c r="L825" i="5"/>
  <c r="R825" i="5" s="1"/>
  <c r="K825" i="5"/>
  <c r="N824" i="5"/>
  <c r="M824" i="5"/>
  <c r="L824" i="5"/>
  <c r="R824" i="5" s="1"/>
  <c r="K824" i="5"/>
  <c r="N823" i="5"/>
  <c r="M823" i="5"/>
  <c r="L823" i="5"/>
  <c r="R823" i="5" s="1"/>
  <c r="K823" i="5"/>
  <c r="N822" i="5"/>
  <c r="M822" i="5"/>
  <c r="L822" i="5"/>
  <c r="R822" i="5" s="1"/>
  <c r="K822" i="5"/>
  <c r="N821" i="5"/>
  <c r="M821" i="5"/>
  <c r="L821" i="5"/>
  <c r="R821" i="5" s="1"/>
  <c r="K821" i="5"/>
  <c r="N820" i="5"/>
  <c r="M820" i="5"/>
  <c r="L820" i="5"/>
  <c r="R820" i="5" s="1"/>
  <c r="K820" i="5"/>
  <c r="N819" i="5"/>
  <c r="M819" i="5"/>
  <c r="L819" i="5"/>
  <c r="R819" i="5" s="1"/>
  <c r="K819" i="5"/>
  <c r="N818" i="5"/>
  <c r="M818" i="5"/>
  <c r="L818" i="5"/>
  <c r="R818" i="5" s="1"/>
  <c r="K818" i="5"/>
  <c r="N817" i="5"/>
  <c r="M817" i="5"/>
  <c r="L817" i="5"/>
  <c r="R817" i="5" s="1"/>
  <c r="K817" i="5"/>
  <c r="N816" i="5"/>
  <c r="M816" i="5"/>
  <c r="L816" i="5"/>
  <c r="R816" i="5" s="1"/>
  <c r="K816" i="5"/>
  <c r="N815" i="5"/>
  <c r="M815" i="5"/>
  <c r="L815" i="5"/>
  <c r="R815" i="5" s="1"/>
  <c r="K815" i="5"/>
  <c r="N814" i="5"/>
  <c r="M814" i="5"/>
  <c r="L814" i="5"/>
  <c r="R814" i="5" s="1"/>
  <c r="K814" i="5"/>
  <c r="N813" i="5"/>
  <c r="M813" i="5"/>
  <c r="L813" i="5"/>
  <c r="R813" i="5" s="1"/>
  <c r="K813" i="5"/>
  <c r="N812" i="5"/>
  <c r="M812" i="5"/>
  <c r="L812" i="5"/>
  <c r="R812" i="5" s="1"/>
  <c r="K812" i="5"/>
  <c r="N811" i="5"/>
  <c r="M811" i="5"/>
  <c r="L811" i="5"/>
  <c r="R811" i="5" s="1"/>
  <c r="K811" i="5"/>
  <c r="N810" i="5"/>
  <c r="M810" i="5"/>
  <c r="L810" i="5"/>
  <c r="R810" i="5" s="1"/>
  <c r="K810" i="5"/>
  <c r="N809" i="5"/>
  <c r="M809" i="5"/>
  <c r="L809" i="5"/>
  <c r="R809" i="5" s="1"/>
  <c r="K809" i="5"/>
  <c r="N808" i="5"/>
  <c r="M808" i="5"/>
  <c r="L808" i="5"/>
  <c r="R808" i="5" s="1"/>
  <c r="K808" i="5"/>
  <c r="N807" i="5"/>
  <c r="M807" i="5"/>
  <c r="L807" i="5"/>
  <c r="R807" i="5" s="1"/>
  <c r="K807" i="5"/>
  <c r="N806" i="5"/>
  <c r="M806" i="5"/>
  <c r="L806" i="5"/>
  <c r="R806" i="5" s="1"/>
  <c r="K806" i="5"/>
  <c r="N805" i="5"/>
  <c r="M805" i="5"/>
  <c r="L805" i="5"/>
  <c r="R805" i="5" s="1"/>
  <c r="K805" i="5"/>
  <c r="N804" i="5"/>
  <c r="M804" i="5"/>
  <c r="L804" i="5"/>
  <c r="R804" i="5" s="1"/>
  <c r="K804" i="5"/>
  <c r="N803" i="5"/>
  <c r="M803" i="5"/>
  <c r="L803" i="5"/>
  <c r="R803" i="5" s="1"/>
  <c r="K803" i="5"/>
  <c r="N802" i="5"/>
  <c r="M802" i="5"/>
  <c r="L802" i="5"/>
  <c r="R802" i="5" s="1"/>
  <c r="K802" i="5"/>
  <c r="N801" i="5"/>
  <c r="M801" i="5"/>
  <c r="L801" i="5"/>
  <c r="R801" i="5" s="1"/>
  <c r="K801" i="5"/>
  <c r="N800" i="5"/>
  <c r="M800" i="5"/>
  <c r="L800" i="5"/>
  <c r="R800" i="5" s="1"/>
  <c r="K800" i="5"/>
  <c r="N799" i="5"/>
  <c r="M799" i="5"/>
  <c r="L799" i="5"/>
  <c r="R799" i="5" s="1"/>
  <c r="K799" i="5"/>
  <c r="N798" i="5"/>
  <c r="M798" i="5"/>
  <c r="L798" i="5"/>
  <c r="R798" i="5" s="1"/>
  <c r="K798" i="5"/>
  <c r="N797" i="5"/>
  <c r="M797" i="5"/>
  <c r="L797" i="5"/>
  <c r="R797" i="5" s="1"/>
  <c r="K797" i="5"/>
  <c r="N796" i="5"/>
  <c r="M796" i="5"/>
  <c r="L796" i="5"/>
  <c r="R796" i="5" s="1"/>
  <c r="K796" i="5"/>
  <c r="N795" i="5"/>
  <c r="M795" i="5"/>
  <c r="L795" i="5"/>
  <c r="R795" i="5" s="1"/>
  <c r="K795" i="5"/>
  <c r="N794" i="5"/>
  <c r="M794" i="5"/>
  <c r="L794" i="5"/>
  <c r="R794" i="5" s="1"/>
  <c r="K794" i="5"/>
  <c r="N793" i="5"/>
  <c r="M793" i="5"/>
  <c r="L793" i="5"/>
  <c r="R793" i="5" s="1"/>
  <c r="K793" i="5"/>
  <c r="N792" i="5"/>
  <c r="M792" i="5"/>
  <c r="L792" i="5"/>
  <c r="R792" i="5" s="1"/>
  <c r="K792" i="5"/>
  <c r="N791" i="5"/>
  <c r="M791" i="5"/>
  <c r="L791" i="5"/>
  <c r="R791" i="5" s="1"/>
  <c r="K791" i="5"/>
  <c r="N790" i="5"/>
  <c r="M790" i="5"/>
  <c r="L790" i="5"/>
  <c r="R790" i="5" s="1"/>
  <c r="K790" i="5"/>
  <c r="N789" i="5"/>
  <c r="M789" i="5"/>
  <c r="L789" i="5"/>
  <c r="R789" i="5" s="1"/>
  <c r="K789" i="5"/>
  <c r="N788" i="5"/>
  <c r="M788" i="5"/>
  <c r="L788" i="5"/>
  <c r="R788" i="5" s="1"/>
  <c r="K788" i="5"/>
  <c r="N787" i="5"/>
  <c r="M787" i="5"/>
  <c r="L787" i="5"/>
  <c r="R787" i="5" s="1"/>
  <c r="K787" i="5"/>
  <c r="N786" i="5"/>
  <c r="M786" i="5"/>
  <c r="L786" i="5"/>
  <c r="R786" i="5" s="1"/>
  <c r="K786" i="5"/>
  <c r="N785" i="5"/>
  <c r="M785" i="5"/>
  <c r="L785" i="5"/>
  <c r="R785" i="5" s="1"/>
  <c r="K785" i="5"/>
  <c r="N784" i="5"/>
  <c r="M784" i="5"/>
  <c r="L784" i="5"/>
  <c r="R784" i="5" s="1"/>
  <c r="K784" i="5"/>
  <c r="N783" i="5"/>
  <c r="M783" i="5"/>
  <c r="L783" i="5"/>
  <c r="R783" i="5" s="1"/>
  <c r="K783" i="5"/>
  <c r="N782" i="5"/>
  <c r="M782" i="5"/>
  <c r="L782" i="5"/>
  <c r="R782" i="5" s="1"/>
  <c r="K782" i="5"/>
  <c r="N781" i="5"/>
  <c r="M781" i="5"/>
  <c r="L781" i="5"/>
  <c r="R781" i="5" s="1"/>
  <c r="K781" i="5"/>
  <c r="N780" i="5"/>
  <c r="M780" i="5"/>
  <c r="L780" i="5"/>
  <c r="R780" i="5" s="1"/>
  <c r="K780" i="5"/>
  <c r="N779" i="5"/>
  <c r="M779" i="5"/>
  <c r="L779" i="5"/>
  <c r="R779" i="5" s="1"/>
  <c r="K779" i="5"/>
  <c r="N778" i="5"/>
  <c r="M778" i="5"/>
  <c r="L778" i="5"/>
  <c r="R778" i="5" s="1"/>
  <c r="K778" i="5"/>
  <c r="N777" i="5"/>
  <c r="M777" i="5"/>
  <c r="L777" i="5"/>
  <c r="R777" i="5" s="1"/>
  <c r="K777" i="5"/>
  <c r="N776" i="5"/>
  <c r="M776" i="5"/>
  <c r="L776" i="5"/>
  <c r="R776" i="5" s="1"/>
  <c r="K776" i="5"/>
  <c r="N775" i="5"/>
  <c r="M775" i="5"/>
  <c r="L775" i="5"/>
  <c r="R775" i="5" s="1"/>
  <c r="K775" i="5"/>
  <c r="N774" i="5"/>
  <c r="M774" i="5"/>
  <c r="L774" i="5"/>
  <c r="R774" i="5" s="1"/>
  <c r="K774" i="5"/>
  <c r="N773" i="5"/>
  <c r="M773" i="5"/>
  <c r="L773" i="5"/>
  <c r="R773" i="5" s="1"/>
  <c r="K773" i="5"/>
  <c r="N772" i="5"/>
  <c r="M772" i="5"/>
  <c r="L772" i="5"/>
  <c r="R772" i="5" s="1"/>
  <c r="K772" i="5"/>
  <c r="N771" i="5"/>
  <c r="M771" i="5"/>
  <c r="L771" i="5"/>
  <c r="R771" i="5" s="1"/>
  <c r="K771" i="5"/>
  <c r="N770" i="5"/>
  <c r="M770" i="5"/>
  <c r="L770" i="5"/>
  <c r="R770" i="5" s="1"/>
  <c r="K770" i="5"/>
  <c r="N769" i="5"/>
  <c r="M769" i="5"/>
  <c r="L769" i="5"/>
  <c r="R769" i="5" s="1"/>
  <c r="K769" i="5"/>
  <c r="N768" i="5"/>
  <c r="M768" i="5"/>
  <c r="L768" i="5"/>
  <c r="R768" i="5" s="1"/>
  <c r="K768" i="5"/>
  <c r="N767" i="5"/>
  <c r="M767" i="5"/>
  <c r="L767" i="5"/>
  <c r="R767" i="5" s="1"/>
  <c r="K767" i="5"/>
  <c r="N766" i="5"/>
  <c r="M766" i="5"/>
  <c r="L766" i="5"/>
  <c r="R766" i="5" s="1"/>
  <c r="K766" i="5"/>
  <c r="N765" i="5"/>
  <c r="M765" i="5"/>
  <c r="L765" i="5"/>
  <c r="R765" i="5" s="1"/>
  <c r="K765" i="5"/>
  <c r="N764" i="5"/>
  <c r="M764" i="5"/>
  <c r="L764" i="5"/>
  <c r="R764" i="5" s="1"/>
  <c r="K764" i="5"/>
  <c r="N763" i="5"/>
  <c r="M763" i="5"/>
  <c r="L763" i="5"/>
  <c r="R763" i="5" s="1"/>
  <c r="K763" i="5"/>
  <c r="N762" i="5"/>
  <c r="M762" i="5"/>
  <c r="L762" i="5"/>
  <c r="R762" i="5" s="1"/>
  <c r="K762" i="5"/>
  <c r="N761" i="5"/>
  <c r="M761" i="5"/>
  <c r="L761" i="5"/>
  <c r="R761" i="5" s="1"/>
  <c r="K761" i="5"/>
  <c r="N760" i="5"/>
  <c r="M760" i="5"/>
  <c r="L760" i="5"/>
  <c r="R760" i="5" s="1"/>
  <c r="K760" i="5"/>
  <c r="N759" i="5"/>
  <c r="M759" i="5"/>
  <c r="L759" i="5"/>
  <c r="R759" i="5" s="1"/>
  <c r="K759" i="5"/>
  <c r="N758" i="5"/>
  <c r="M758" i="5"/>
  <c r="L758" i="5"/>
  <c r="R758" i="5" s="1"/>
  <c r="K758" i="5"/>
  <c r="N757" i="5"/>
  <c r="M757" i="5"/>
  <c r="L757" i="5"/>
  <c r="R757" i="5" s="1"/>
  <c r="K757" i="5"/>
  <c r="N756" i="5"/>
  <c r="M756" i="5"/>
  <c r="L756" i="5"/>
  <c r="R756" i="5" s="1"/>
  <c r="K756" i="5"/>
  <c r="N755" i="5"/>
  <c r="M755" i="5"/>
  <c r="L755" i="5"/>
  <c r="R755" i="5" s="1"/>
  <c r="K755" i="5"/>
  <c r="N754" i="5"/>
  <c r="M754" i="5"/>
  <c r="L754" i="5"/>
  <c r="R754" i="5" s="1"/>
  <c r="K754" i="5"/>
  <c r="N753" i="5"/>
  <c r="M753" i="5"/>
  <c r="L753" i="5"/>
  <c r="R753" i="5" s="1"/>
  <c r="K753" i="5"/>
  <c r="N752" i="5"/>
  <c r="M752" i="5"/>
  <c r="L752" i="5"/>
  <c r="R752" i="5" s="1"/>
  <c r="K752" i="5"/>
  <c r="N751" i="5"/>
  <c r="M751" i="5"/>
  <c r="L751" i="5"/>
  <c r="R751" i="5" s="1"/>
  <c r="K751" i="5"/>
  <c r="N750" i="5"/>
  <c r="M750" i="5"/>
  <c r="L750" i="5"/>
  <c r="R750" i="5" s="1"/>
  <c r="K750" i="5"/>
  <c r="N749" i="5"/>
  <c r="M749" i="5"/>
  <c r="L749" i="5"/>
  <c r="R749" i="5" s="1"/>
  <c r="K749" i="5"/>
  <c r="N748" i="5"/>
  <c r="M748" i="5"/>
  <c r="L748" i="5"/>
  <c r="R748" i="5" s="1"/>
  <c r="K748" i="5"/>
  <c r="N747" i="5"/>
  <c r="M747" i="5"/>
  <c r="L747" i="5"/>
  <c r="R747" i="5" s="1"/>
  <c r="K747" i="5"/>
  <c r="N746" i="5"/>
  <c r="M746" i="5"/>
  <c r="L746" i="5"/>
  <c r="R746" i="5" s="1"/>
  <c r="K746" i="5"/>
  <c r="N745" i="5"/>
  <c r="M745" i="5"/>
  <c r="L745" i="5"/>
  <c r="R745" i="5" s="1"/>
  <c r="K745" i="5"/>
  <c r="N744" i="5"/>
  <c r="M744" i="5"/>
  <c r="L744" i="5"/>
  <c r="R744" i="5" s="1"/>
  <c r="K744" i="5"/>
  <c r="N743" i="5"/>
  <c r="M743" i="5"/>
  <c r="L743" i="5"/>
  <c r="R743" i="5" s="1"/>
  <c r="K743" i="5"/>
  <c r="N742" i="5"/>
  <c r="M742" i="5"/>
  <c r="L742" i="5"/>
  <c r="R742" i="5" s="1"/>
  <c r="K742" i="5"/>
  <c r="N741" i="5"/>
  <c r="M741" i="5"/>
  <c r="L741" i="5"/>
  <c r="R741" i="5" s="1"/>
  <c r="K741" i="5"/>
  <c r="N740" i="5"/>
  <c r="M740" i="5"/>
  <c r="L740" i="5"/>
  <c r="R740" i="5" s="1"/>
  <c r="K740" i="5"/>
  <c r="N739" i="5"/>
  <c r="M739" i="5"/>
  <c r="L739" i="5"/>
  <c r="R739" i="5" s="1"/>
  <c r="K739" i="5"/>
  <c r="N738" i="5"/>
  <c r="M738" i="5"/>
  <c r="L738" i="5"/>
  <c r="R738" i="5" s="1"/>
  <c r="K738" i="5"/>
  <c r="N737" i="5"/>
  <c r="M737" i="5"/>
  <c r="L737" i="5"/>
  <c r="R737" i="5" s="1"/>
  <c r="K737" i="5"/>
  <c r="N736" i="5"/>
  <c r="M736" i="5"/>
  <c r="L736" i="5"/>
  <c r="R736" i="5" s="1"/>
  <c r="K736" i="5"/>
  <c r="N735" i="5"/>
  <c r="M735" i="5"/>
  <c r="L735" i="5"/>
  <c r="R735" i="5" s="1"/>
  <c r="K735" i="5"/>
  <c r="N734" i="5"/>
  <c r="M734" i="5"/>
  <c r="L734" i="5"/>
  <c r="R734" i="5" s="1"/>
  <c r="K734" i="5"/>
  <c r="N733" i="5"/>
  <c r="M733" i="5"/>
  <c r="L733" i="5"/>
  <c r="R733" i="5" s="1"/>
  <c r="K733" i="5"/>
  <c r="N732" i="5"/>
  <c r="M732" i="5"/>
  <c r="L732" i="5"/>
  <c r="R732" i="5" s="1"/>
  <c r="K732" i="5"/>
  <c r="N731" i="5"/>
  <c r="M731" i="5"/>
  <c r="L731" i="5"/>
  <c r="R731" i="5" s="1"/>
  <c r="K731" i="5"/>
  <c r="N730" i="5"/>
  <c r="M730" i="5"/>
  <c r="L730" i="5"/>
  <c r="R730" i="5" s="1"/>
  <c r="K730" i="5"/>
  <c r="N729" i="5"/>
  <c r="M729" i="5"/>
  <c r="L729" i="5"/>
  <c r="R729" i="5" s="1"/>
  <c r="K729" i="5"/>
  <c r="N728" i="5"/>
  <c r="M728" i="5"/>
  <c r="L728" i="5"/>
  <c r="R728" i="5" s="1"/>
  <c r="K728" i="5"/>
  <c r="N727" i="5"/>
  <c r="M727" i="5"/>
  <c r="L727" i="5"/>
  <c r="R727" i="5" s="1"/>
  <c r="K727" i="5"/>
  <c r="N726" i="5"/>
  <c r="M726" i="5"/>
  <c r="L726" i="5"/>
  <c r="R726" i="5" s="1"/>
  <c r="K726" i="5"/>
  <c r="N725" i="5"/>
  <c r="M725" i="5"/>
  <c r="L725" i="5"/>
  <c r="R725" i="5" s="1"/>
  <c r="K725" i="5"/>
  <c r="N724" i="5"/>
  <c r="M724" i="5"/>
  <c r="L724" i="5"/>
  <c r="R724" i="5" s="1"/>
  <c r="K724" i="5"/>
  <c r="N723" i="5"/>
  <c r="M723" i="5"/>
  <c r="L723" i="5"/>
  <c r="R723" i="5" s="1"/>
  <c r="K723" i="5"/>
  <c r="N722" i="5"/>
  <c r="M722" i="5"/>
  <c r="L722" i="5"/>
  <c r="R722" i="5" s="1"/>
  <c r="K722" i="5"/>
  <c r="N721" i="5"/>
  <c r="M721" i="5"/>
  <c r="L721" i="5"/>
  <c r="R721" i="5" s="1"/>
  <c r="K721" i="5"/>
  <c r="N720" i="5"/>
  <c r="M720" i="5"/>
  <c r="L720" i="5"/>
  <c r="R720" i="5" s="1"/>
  <c r="K720" i="5"/>
  <c r="N719" i="5"/>
  <c r="M719" i="5"/>
  <c r="L719" i="5"/>
  <c r="R719" i="5" s="1"/>
  <c r="K719" i="5"/>
  <c r="N718" i="5"/>
  <c r="M718" i="5"/>
  <c r="L718" i="5"/>
  <c r="R718" i="5" s="1"/>
  <c r="K718" i="5"/>
  <c r="N717" i="5"/>
  <c r="M717" i="5"/>
  <c r="L717" i="5"/>
  <c r="R717" i="5" s="1"/>
  <c r="K717" i="5"/>
  <c r="N716" i="5"/>
  <c r="M716" i="5"/>
  <c r="L716" i="5"/>
  <c r="R716" i="5" s="1"/>
  <c r="K716" i="5"/>
  <c r="N715" i="5"/>
  <c r="M715" i="5"/>
  <c r="L715" i="5"/>
  <c r="R715" i="5" s="1"/>
  <c r="K715" i="5"/>
  <c r="N714" i="5"/>
  <c r="M714" i="5"/>
  <c r="L714" i="5"/>
  <c r="R714" i="5" s="1"/>
  <c r="K714" i="5"/>
  <c r="N713" i="5"/>
  <c r="M713" i="5"/>
  <c r="L713" i="5"/>
  <c r="R713" i="5" s="1"/>
  <c r="K713" i="5"/>
  <c r="N712" i="5"/>
  <c r="M712" i="5"/>
  <c r="L712" i="5"/>
  <c r="R712" i="5" s="1"/>
  <c r="K712" i="5"/>
  <c r="N711" i="5"/>
  <c r="M711" i="5"/>
  <c r="L711" i="5"/>
  <c r="R711" i="5" s="1"/>
  <c r="K711" i="5"/>
  <c r="N710" i="5"/>
  <c r="M710" i="5"/>
  <c r="L710" i="5"/>
  <c r="R710" i="5" s="1"/>
  <c r="K710" i="5"/>
  <c r="N709" i="5"/>
  <c r="M709" i="5"/>
  <c r="L709" i="5"/>
  <c r="R709" i="5" s="1"/>
  <c r="K709" i="5"/>
  <c r="N708" i="5"/>
  <c r="M708" i="5"/>
  <c r="L708" i="5"/>
  <c r="R708" i="5" s="1"/>
  <c r="K708" i="5"/>
  <c r="N707" i="5"/>
  <c r="M707" i="5"/>
  <c r="L707" i="5"/>
  <c r="R707" i="5" s="1"/>
  <c r="K707" i="5"/>
  <c r="N706" i="5"/>
  <c r="M706" i="5"/>
  <c r="L706" i="5"/>
  <c r="R706" i="5" s="1"/>
  <c r="K706" i="5"/>
  <c r="N705" i="5"/>
  <c r="M705" i="5"/>
  <c r="L705" i="5"/>
  <c r="R705" i="5" s="1"/>
  <c r="K705" i="5"/>
  <c r="N704" i="5"/>
  <c r="M704" i="5"/>
  <c r="L704" i="5"/>
  <c r="R704" i="5" s="1"/>
  <c r="K704" i="5"/>
  <c r="N703" i="5"/>
  <c r="M703" i="5"/>
  <c r="L703" i="5"/>
  <c r="R703" i="5" s="1"/>
  <c r="K703" i="5"/>
  <c r="N702" i="5"/>
  <c r="M702" i="5"/>
  <c r="L702" i="5"/>
  <c r="R702" i="5" s="1"/>
  <c r="K702" i="5"/>
  <c r="N701" i="5"/>
  <c r="M701" i="5"/>
  <c r="L701" i="5"/>
  <c r="R701" i="5" s="1"/>
  <c r="K701" i="5"/>
  <c r="N700" i="5"/>
  <c r="M700" i="5"/>
  <c r="L700" i="5"/>
  <c r="R700" i="5" s="1"/>
  <c r="K700" i="5"/>
  <c r="N699" i="5"/>
  <c r="M699" i="5"/>
  <c r="L699" i="5"/>
  <c r="R699" i="5" s="1"/>
  <c r="K699" i="5"/>
  <c r="N698" i="5"/>
  <c r="M698" i="5"/>
  <c r="L698" i="5"/>
  <c r="R698" i="5" s="1"/>
  <c r="K698" i="5"/>
  <c r="N697" i="5"/>
  <c r="M697" i="5"/>
  <c r="L697" i="5"/>
  <c r="R697" i="5" s="1"/>
  <c r="K697" i="5"/>
  <c r="N696" i="5"/>
  <c r="M696" i="5"/>
  <c r="L696" i="5"/>
  <c r="R696" i="5" s="1"/>
  <c r="K696" i="5"/>
  <c r="N695" i="5"/>
  <c r="M695" i="5"/>
  <c r="L695" i="5"/>
  <c r="R695" i="5" s="1"/>
  <c r="K695" i="5"/>
  <c r="N694" i="5"/>
  <c r="M694" i="5"/>
  <c r="L694" i="5"/>
  <c r="R694" i="5" s="1"/>
  <c r="K694" i="5"/>
  <c r="N693" i="5"/>
  <c r="M693" i="5"/>
  <c r="L693" i="5"/>
  <c r="R693" i="5" s="1"/>
  <c r="K693" i="5"/>
  <c r="N692" i="5"/>
  <c r="M692" i="5"/>
  <c r="L692" i="5"/>
  <c r="R692" i="5" s="1"/>
  <c r="K692" i="5"/>
  <c r="N691" i="5"/>
  <c r="M691" i="5"/>
  <c r="L691" i="5"/>
  <c r="R691" i="5" s="1"/>
  <c r="K691" i="5"/>
  <c r="N690" i="5"/>
  <c r="M690" i="5"/>
  <c r="L690" i="5"/>
  <c r="R690" i="5" s="1"/>
  <c r="K690" i="5"/>
  <c r="N689" i="5"/>
  <c r="M689" i="5"/>
  <c r="L689" i="5"/>
  <c r="K689" i="5"/>
  <c r="N688" i="5"/>
  <c r="M688" i="5"/>
  <c r="L688" i="5"/>
  <c r="R688" i="5" s="1"/>
  <c r="K688" i="5"/>
  <c r="N687" i="5"/>
  <c r="M687" i="5"/>
  <c r="L687" i="5"/>
  <c r="R687" i="5" s="1"/>
  <c r="K687" i="5"/>
  <c r="N686" i="5"/>
  <c r="M686" i="5"/>
  <c r="L686" i="5"/>
  <c r="R686" i="5" s="1"/>
  <c r="K686" i="5"/>
  <c r="N685" i="5"/>
  <c r="M685" i="5"/>
  <c r="L685" i="5"/>
  <c r="R685" i="5" s="1"/>
  <c r="K685" i="5"/>
  <c r="N684" i="5"/>
  <c r="M684" i="5"/>
  <c r="L684" i="5"/>
  <c r="R684" i="5" s="1"/>
  <c r="K684" i="5"/>
  <c r="N683" i="5"/>
  <c r="M683" i="5"/>
  <c r="L683" i="5"/>
  <c r="R683" i="5" s="1"/>
  <c r="K683" i="5"/>
  <c r="N682" i="5"/>
  <c r="M682" i="5"/>
  <c r="L682" i="5"/>
  <c r="R682" i="5" s="1"/>
  <c r="K682" i="5"/>
  <c r="N681" i="5"/>
  <c r="M681" i="5"/>
  <c r="L681" i="5"/>
  <c r="R681" i="5" s="1"/>
  <c r="K681" i="5"/>
  <c r="N680" i="5"/>
  <c r="M680" i="5"/>
  <c r="L680" i="5"/>
  <c r="R680" i="5" s="1"/>
  <c r="K680" i="5"/>
  <c r="N679" i="5"/>
  <c r="M679" i="5"/>
  <c r="L679" i="5"/>
  <c r="R679" i="5" s="1"/>
  <c r="K679" i="5"/>
  <c r="N678" i="5"/>
  <c r="M678" i="5"/>
  <c r="L678" i="5"/>
  <c r="R678" i="5" s="1"/>
  <c r="K678" i="5"/>
  <c r="N677" i="5"/>
  <c r="M677" i="5"/>
  <c r="L677" i="5"/>
  <c r="R677" i="5" s="1"/>
  <c r="K677" i="5"/>
  <c r="N676" i="5"/>
  <c r="M676" i="5"/>
  <c r="L676" i="5"/>
  <c r="R676" i="5" s="1"/>
  <c r="K676" i="5"/>
  <c r="N675" i="5"/>
  <c r="M675" i="5"/>
  <c r="L675" i="5"/>
  <c r="R675" i="5" s="1"/>
  <c r="K675" i="5"/>
  <c r="N674" i="5"/>
  <c r="M674" i="5"/>
  <c r="L674" i="5"/>
  <c r="R674" i="5" s="1"/>
  <c r="K674" i="5"/>
  <c r="N673" i="5"/>
  <c r="M673" i="5"/>
  <c r="L673" i="5"/>
  <c r="R673" i="5" s="1"/>
  <c r="K673" i="5"/>
  <c r="N672" i="5"/>
  <c r="M672" i="5"/>
  <c r="L672" i="5"/>
  <c r="R672" i="5" s="1"/>
  <c r="K672" i="5"/>
  <c r="N671" i="5"/>
  <c r="M671" i="5"/>
  <c r="L671" i="5"/>
  <c r="R671" i="5" s="1"/>
  <c r="K671" i="5"/>
  <c r="N670" i="5"/>
  <c r="M670" i="5"/>
  <c r="L670" i="5"/>
  <c r="R670" i="5" s="1"/>
  <c r="K670" i="5"/>
  <c r="N669" i="5"/>
  <c r="M669" i="5"/>
  <c r="L669" i="5"/>
  <c r="R669" i="5" s="1"/>
  <c r="K669" i="5"/>
  <c r="N668" i="5"/>
  <c r="M668" i="5"/>
  <c r="L668" i="5"/>
  <c r="R668" i="5" s="1"/>
  <c r="K668" i="5"/>
  <c r="N667" i="5"/>
  <c r="M667" i="5"/>
  <c r="L667" i="5"/>
  <c r="R667" i="5" s="1"/>
  <c r="K667" i="5"/>
  <c r="N666" i="5"/>
  <c r="M666" i="5"/>
  <c r="L666" i="5"/>
  <c r="R666" i="5" s="1"/>
  <c r="K666" i="5"/>
  <c r="N665" i="5"/>
  <c r="M665" i="5"/>
  <c r="L665" i="5"/>
  <c r="R665" i="5" s="1"/>
  <c r="K665" i="5"/>
  <c r="N664" i="5"/>
  <c r="M664" i="5"/>
  <c r="L664" i="5"/>
  <c r="R664" i="5" s="1"/>
  <c r="K664" i="5"/>
  <c r="N663" i="5"/>
  <c r="M663" i="5"/>
  <c r="L663" i="5"/>
  <c r="R663" i="5" s="1"/>
  <c r="K663" i="5"/>
  <c r="N662" i="5"/>
  <c r="M662" i="5"/>
  <c r="L662" i="5"/>
  <c r="R662" i="5" s="1"/>
  <c r="K662" i="5"/>
  <c r="N661" i="5"/>
  <c r="M661" i="5"/>
  <c r="L661" i="5"/>
  <c r="R661" i="5" s="1"/>
  <c r="K661" i="5"/>
  <c r="N660" i="5"/>
  <c r="M660" i="5"/>
  <c r="L660" i="5"/>
  <c r="R660" i="5" s="1"/>
  <c r="K660" i="5"/>
  <c r="N659" i="5"/>
  <c r="M659" i="5"/>
  <c r="L659" i="5"/>
  <c r="R659" i="5" s="1"/>
  <c r="K659" i="5"/>
  <c r="N658" i="5"/>
  <c r="M658" i="5"/>
  <c r="L658" i="5"/>
  <c r="R658" i="5" s="1"/>
  <c r="K658" i="5"/>
  <c r="N657" i="5"/>
  <c r="M657" i="5"/>
  <c r="L657" i="5"/>
  <c r="R657" i="5" s="1"/>
  <c r="K657" i="5"/>
  <c r="N656" i="5"/>
  <c r="M656" i="5"/>
  <c r="L656" i="5"/>
  <c r="R656" i="5" s="1"/>
  <c r="K656" i="5"/>
  <c r="N655" i="5"/>
  <c r="M655" i="5"/>
  <c r="L655" i="5"/>
  <c r="R655" i="5" s="1"/>
  <c r="K655" i="5"/>
  <c r="N654" i="5"/>
  <c r="M654" i="5"/>
  <c r="L654" i="5"/>
  <c r="R654" i="5" s="1"/>
  <c r="K654" i="5"/>
  <c r="N653" i="5"/>
  <c r="M653" i="5"/>
  <c r="L653" i="5"/>
  <c r="R653" i="5" s="1"/>
  <c r="K653" i="5"/>
  <c r="N652" i="5"/>
  <c r="M652" i="5"/>
  <c r="L652" i="5"/>
  <c r="R652" i="5" s="1"/>
  <c r="K652" i="5"/>
  <c r="N651" i="5"/>
  <c r="M651" i="5"/>
  <c r="L651" i="5"/>
  <c r="R651" i="5" s="1"/>
  <c r="K651" i="5"/>
  <c r="N650" i="5"/>
  <c r="M650" i="5"/>
  <c r="L650" i="5"/>
  <c r="R650" i="5" s="1"/>
  <c r="K650" i="5"/>
  <c r="N649" i="5"/>
  <c r="M649" i="5"/>
  <c r="L649" i="5"/>
  <c r="R649" i="5" s="1"/>
  <c r="K649" i="5"/>
  <c r="N648" i="5"/>
  <c r="M648" i="5"/>
  <c r="L648" i="5"/>
  <c r="R648" i="5" s="1"/>
  <c r="K648" i="5"/>
  <c r="N647" i="5"/>
  <c r="M647" i="5"/>
  <c r="L647" i="5"/>
  <c r="R647" i="5" s="1"/>
  <c r="K647" i="5"/>
  <c r="N646" i="5"/>
  <c r="M646" i="5"/>
  <c r="L646" i="5"/>
  <c r="R646" i="5" s="1"/>
  <c r="K646" i="5"/>
  <c r="N645" i="5"/>
  <c r="M645" i="5"/>
  <c r="L645" i="5"/>
  <c r="R645" i="5" s="1"/>
  <c r="K645" i="5"/>
  <c r="N644" i="5"/>
  <c r="M644" i="5"/>
  <c r="L644" i="5"/>
  <c r="R644" i="5" s="1"/>
  <c r="K644" i="5"/>
  <c r="N643" i="5"/>
  <c r="M643" i="5"/>
  <c r="L643" i="5"/>
  <c r="R643" i="5" s="1"/>
  <c r="K643" i="5"/>
  <c r="N642" i="5"/>
  <c r="M642" i="5"/>
  <c r="L642" i="5"/>
  <c r="R642" i="5" s="1"/>
  <c r="K642" i="5"/>
  <c r="N641" i="5"/>
  <c r="M641" i="5"/>
  <c r="L641" i="5"/>
  <c r="R641" i="5" s="1"/>
  <c r="K641" i="5"/>
  <c r="N640" i="5"/>
  <c r="M640" i="5"/>
  <c r="L640" i="5"/>
  <c r="R640" i="5" s="1"/>
  <c r="K640" i="5"/>
  <c r="N639" i="5"/>
  <c r="M639" i="5"/>
  <c r="L639" i="5"/>
  <c r="R639" i="5" s="1"/>
  <c r="K639" i="5"/>
  <c r="N638" i="5"/>
  <c r="M638" i="5"/>
  <c r="L638" i="5"/>
  <c r="R638" i="5" s="1"/>
  <c r="K638" i="5"/>
  <c r="N637" i="5"/>
  <c r="M637" i="5"/>
  <c r="L637" i="5"/>
  <c r="R637" i="5" s="1"/>
  <c r="K637" i="5"/>
  <c r="N636" i="5"/>
  <c r="M636" i="5"/>
  <c r="L636" i="5"/>
  <c r="R636" i="5" s="1"/>
  <c r="K636" i="5"/>
  <c r="N635" i="5"/>
  <c r="M635" i="5"/>
  <c r="L635" i="5"/>
  <c r="R635" i="5" s="1"/>
  <c r="K635" i="5"/>
  <c r="N634" i="5"/>
  <c r="M634" i="5"/>
  <c r="L634" i="5"/>
  <c r="R634" i="5" s="1"/>
  <c r="K634" i="5"/>
  <c r="N633" i="5"/>
  <c r="M633" i="5"/>
  <c r="L633" i="5"/>
  <c r="R633" i="5" s="1"/>
  <c r="K633" i="5"/>
  <c r="N632" i="5"/>
  <c r="M632" i="5"/>
  <c r="L632" i="5"/>
  <c r="R632" i="5" s="1"/>
  <c r="K632" i="5"/>
  <c r="N631" i="5"/>
  <c r="M631" i="5"/>
  <c r="L631" i="5"/>
  <c r="R631" i="5" s="1"/>
  <c r="K631" i="5"/>
  <c r="N630" i="5"/>
  <c r="M630" i="5"/>
  <c r="L630" i="5"/>
  <c r="R630" i="5" s="1"/>
  <c r="K630" i="5"/>
  <c r="N629" i="5"/>
  <c r="M629" i="5"/>
  <c r="L629" i="5"/>
  <c r="R629" i="5" s="1"/>
  <c r="K629" i="5"/>
  <c r="N628" i="5"/>
  <c r="M628" i="5"/>
  <c r="L628" i="5"/>
  <c r="R628" i="5" s="1"/>
  <c r="K628" i="5"/>
  <c r="N627" i="5"/>
  <c r="M627" i="5"/>
  <c r="L627" i="5"/>
  <c r="R627" i="5" s="1"/>
  <c r="K627" i="5"/>
  <c r="N626" i="5"/>
  <c r="M626" i="5"/>
  <c r="L626" i="5"/>
  <c r="R626" i="5" s="1"/>
  <c r="K626" i="5"/>
  <c r="N625" i="5"/>
  <c r="M625" i="5"/>
  <c r="L625" i="5"/>
  <c r="R625" i="5" s="1"/>
  <c r="K625" i="5"/>
  <c r="N624" i="5"/>
  <c r="M624" i="5"/>
  <c r="L624" i="5"/>
  <c r="R624" i="5" s="1"/>
  <c r="K624" i="5"/>
  <c r="N623" i="5"/>
  <c r="M623" i="5"/>
  <c r="L623" i="5"/>
  <c r="R623" i="5" s="1"/>
  <c r="K623" i="5"/>
  <c r="N622" i="5"/>
  <c r="M622" i="5"/>
  <c r="L622" i="5"/>
  <c r="R622" i="5" s="1"/>
  <c r="K622" i="5"/>
  <c r="N621" i="5"/>
  <c r="M621" i="5"/>
  <c r="L621" i="5"/>
  <c r="R621" i="5" s="1"/>
  <c r="K621" i="5"/>
  <c r="N620" i="5"/>
  <c r="M620" i="5"/>
  <c r="L620" i="5"/>
  <c r="R620" i="5" s="1"/>
  <c r="K620" i="5"/>
  <c r="N619" i="5"/>
  <c r="M619" i="5"/>
  <c r="L619" i="5"/>
  <c r="R619" i="5" s="1"/>
  <c r="K619" i="5"/>
  <c r="N618" i="5"/>
  <c r="M618" i="5"/>
  <c r="L618" i="5"/>
  <c r="R618" i="5" s="1"/>
  <c r="K618" i="5"/>
  <c r="N617" i="5"/>
  <c r="M617" i="5"/>
  <c r="L617" i="5"/>
  <c r="R617" i="5" s="1"/>
  <c r="K617" i="5"/>
  <c r="N616" i="5"/>
  <c r="M616" i="5"/>
  <c r="L616" i="5"/>
  <c r="R616" i="5" s="1"/>
  <c r="K616" i="5"/>
  <c r="N615" i="5"/>
  <c r="M615" i="5"/>
  <c r="L615" i="5"/>
  <c r="R615" i="5" s="1"/>
  <c r="K615" i="5"/>
  <c r="N614" i="5"/>
  <c r="M614" i="5"/>
  <c r="L614" i="5"/>
  <c r="R614" i="5" s="1"/>
  <c r="K614" i="5"/>
  <c r="N613" i="5"/>
  <c r="M613" i="5"/>
  <c r="L613" i="5"/>
  <c r="R613" i="5" s="1"/>
  <c r="K613" i="5"/>
  <c r="N612" i="5"/>
  <c r="M612" i="5"/>
  <c r="L612" i="5"/>
  <c r="R612" i="5" s="1"/>
  <c r="K612" i="5"/>
  <c r="N611" i="5"/>
  <c r="M611" i="5"/>
  <c r="L611" i="5"/>
  <c r="R611" i="5" s="1"/>
  <c r="K611" i="5"/>
  <c r="N610" i="5"/>
  <c r="M610" i="5"/>
  <c r="L610" i="5"/>
  <c r="R610" i="5" s="1"/>
  <c r="K610" i="5"/>
  <c r="N609" i="5"/>
  <c r="M609" i="5"/>
  <c r="L609" i="5"/>
  <c r="R609" i="5" s="1"/>
  <c r="K609" i="5"/>
  <c r="N608" i="5"/>
  <c r="M608" i="5"/>
  <c r="L608" i="5"/>
  <c r="R608" i="5" s="1"/>
  <c r="K608" i="5"/>
  <c r="N607" i="5"/>
  <c r="M607" i="5"/>
  <c r="L607" i="5"/>
  <c r="R607" i="5" s="1"/>
  <c r="K607" i="5"/>
  <c r="N606" i="5"/>
  <c r="M606" i="5"/>
  <c r="L606" i="5"/>
  <c r="R606" i="5" s="1"/>
  <c r="K606" i="5"/>
  <c r="N605" i="5"/>
  <c r="M605" i="5"/>
  <c r="L605" i="5"/>
  <c r="R605" i="5" s="1"/>
  <c r="K605" i="5"/>
  <c r="N604" i="5"/>
  <c r="M604" i="5"/>
  <c r="L604" i="5"/>
  <c r="R604" i="5" s="1"/>
  <c r="K604" i="5"/>
  <c r="N603" i="5"/>
  <c r="M603" i="5"/>
  <c r="L603" i="5"/>
  <c r="R603" i="5" s="1"/>
  <c r="K603" i="5"/>
  <c r="N602" i="5"/>
  <c r="M602" i="5"/>
  <c r="L602" i="5"/>
  <c r="R602" i="5" s="1"/>
  <c r="K602" i="5"/>
  <c r="N601" i="5"/>
  <c r="M601" i="5"/>
  <c r="L601" i="5"/>
  <c r="R601" i="5" s="1"/>
  <c r="K601" i="5"/>
  <c r="N600" i="5"/>
  <c r="M600" i="5"/>
  <c r="L600" i="5"/>
  <c r="R600" i="5" s="1"/>
  <c r="K600" i="5"/>
  <c r="N599" i="5"/>
  <c r="M599" i="5"/>
  <c r="L599" i="5"/>
  <c r="R599" i="5" s="1"/>
  <c r="K599" i="5"/>
  <c r="N598" i="5"/>
  <c r="M598" i="5"/>
  <c r="L598" i="5"/>
  <c r="R598" i="5" s="1"/>
  <c r="K598" i="5"/>
  <c r="N597" i="5"/>
  <c r="M597" i="5"/>
  <c r="L597" i="5"/>
  <c r="R597" i="5" s="1"/>
  <c r="K597" i="5"/>
  <c r="N596" i="5"/>
  <c r="M596" i="5"/>
  <c r="L596" i="5"/>
  <c r="R596" i="5" s="1"/>
  <c r="K596" i="5"/>
  <c r="N595" i="5"/>
  <c r="M595" i="5"/>
  <c r="L595" i="5"/>
  <c r="R595" i="5" s="1"/>
  <c r="K595" i="5"/>
  <c r="N594" i="5"/>
  <c r="M594" i="5"/>
  <c r="L594" i="5"/>
  <c r="R594" i="5" s="1"/>
  <c r="K594" i="5"/>
  <c r="N593" i="5"/>
  <c r="M593" i="5"/>
  <c r="L593" i="5"/>
  <c r="R593" i="5" s="1"/>
  <c r="K593" i="5"/>
  <c r="N592" i="5"/>
  <c r="M592" i="5"/>
  <c r="L592" i="5"/>
  <c r="R592" i="5" s="1"/>
  <c r="K592" i="5"/>
  <c r="N591" i="5"/>
  <c r="M591" i="5"/>
  <c r="L591" i="5"/>
  <c r="R591" i="5" s="1"/>
  <c r="K591" i="5"/>
  <c r="N590" i="5"/>
  <c r="M590" i="5"/>
  <c r="L590" i="5"/>
  <c r="R590" i="5" s="1"/>
  <c r="K590" i="5"/>
  <c r="N589" i="5"/>
  <c r="M589" i="5"/>
  <c r="L589" i="5"/>
  <c r="R589" i="5" s="1"/>
  <c r="K589" i="5"/>
  <c r="N588" i="5"/>
  <c r="M588" i="5"/>
  <c r="L588" i="5"/>
  <c r="R588" i="5" s="1"/>
  <c r="K588" i="5"/>
  <c r="N587" i="5"/>
  <c r="M587" i="5"/>
  <c r="L587" i="5"/>
  <c r="R587" i="5" s="1"/>
  <c r="K587" i="5"/>
  <c r="N586" i="5"/>
  <c r="M586" i="5"/>
  <c r="L586" i="5"/>
  <c r="R586" i="5" s="1"/>
  <c r="K586" i="5"/>
  <c r="N585" i="5"/>
  <c r="M585" i="5"/>
  <c r="L585" i="5"/>
  <c r="R585" i="5" s="1"/>
  <c r="K585" i="5"/>
  <c r="N584" i="5"/>
  <c r="M584" i="5"/>
  <c r="L584" i="5"/>
  <c r="R584" i="5" s="1"/>
  <c r="K584" i="5"/>
  <c r="N583" i="5"/>
  <c r="M583" i="5"/>
  <c r="L583" i="5"/>
  <c r="R583" i="5" s="1"/>
  <c r="K583" i="5"/>
  <c r="N582" i="5"/>
  <c r="M582" i="5"/>
  <c r="L582" i="5"/>
  <c r="R582" i="5" s="1"/>
  <c r="K582" i="5"/>
  <c r="N581" i="5"/>
  <c r="M581" i="5"/>
  <c r="L581" i="5"/>
  <c r="R581" i="5" s="1"/>
  <c r="K581" i="5"/>
  <c r="N580" i="5"/>
  <c r="M580" i="5"/>
  <c r="L580" i="5"/>
  <c r="R580" i="5" s="1"/>
  <c r="K580" i="5"/>
  <c r="N579" i="5"/>
  <c r="M579" i="5"/>
  <c r="L579" i="5"/>
  <c r="R579" i="5" s="1"/>
  <c r="K579" i="5"/>
  <c r="N578" i="5"/>
  <c r="M578" i="5"/>
  <c r="L578" i="5"/>
  <c r="R578" i="5" s="1"/>
  <c r="K578" i="5"/>
  <c r="N577" i="5"/>
  <c r="M577" i="5"/>
  <c r="L577" i="5"/>
  <c r="R577" i="5" s="1"/>
  <c r="K577" i="5"/>
  <c r="N576" i="5"/>
  <c r="M576" i="5"/>
  <c r="L576" i="5"/>
  <c r="R576" i="5" s="1"/>
  <c r="K576" i="5"/>
  <c r="N575" i="5"/>
  <c r="M575" i="5"/>
  <c r="L575" i="5"/>
  <c r="R575" i="5" s="1"/>
  <c r="K575" i="5"/>
  <c r="N574" i="5"/>
  <c r="M574" i="5"/>
  <c r="L574" i="5"/>
  <c r="R574" i="5" s="1"/>
  <c r="K574" i="5"/>
  <c r="N573" i="5"/>
  <c r="M573" i="5"/>
  <c r="L573" i="5"/>
  <c r="R573" i="5" s="1"/>
  <c r="K573" i="5"/>
  <c r="N572" i="5"/>
  <c r="M572" i="5"/>
  <c r="L572" i="5"/>
  <c r="R572" i="5" s="1"/>
  <c r="K572" i="5"/>
  <c r="N571" i="5"/>
  <c r="M571" i="5"/>
  <c r="L571" i="5"/>
  <c r="K571" i="5"/>
  <c r="N570" i="5"/>
  <c r="M570" i="5"/>
  <c r="L570" i="5"/>
  <c r="R570" i="5" s="1"/>
  <c r="K570" i="5"/>
  <c r="N569" i="5"/>
  <c r="M569" i="5"/>
  <c r="L569" i="5"/>
  <c r="R569" i="5" s="1"/>
  <c r="K569" i="5"/>
  <c r="N568" i="5"/>
  <c r="M568" i="5"/>
  <c r="L568" i="5"/>
  <c r="R568" i="5" s="1"/>
  <c r="K568" i="5"/>
  <c r="N567" i="5"/>
  <c r="M567" i="5"/>
  <c r="L567" i="5"/>
  <c r="R567" i="5" s="1"/>
  <c r="K567" i="5"/>
  <c r="N566" i="5"/>
  <c r="M566" i="5"/>
  <c r="L566" i="5"/>
  <c r="R566" i="5" s="1"/>
  <c r="K566" i="5"/>
  <c r="N565" i="5"/>
  <c r="M565" i="5"/>
  <c r="L565" i="5"/>
  <c r="R565" i="5" s="1"/>
  <c r="K565" i="5"/>
  <c r="N564" i="5"/>
  <c r="M564" i="5"/>
  <c r="L564" i="5"/>
  <c r="R564" i="5" s="1"/>
  <c r="K564" i="5"/>
  <c r="N563" i="5"/>
  <c r="M563" i="5"/>
  <c r="L563" i="5"/>
  <c r="R563" i="5" s="1"/>
  <c r="K563" i="5"/>
  <c r="N562" i="5"/>
  <c r="M562" i="5"/>
  <c r="L562" i="5"/>
  <c r="R562" i="5" s="1"/>
  <c r="K562" i="5"/>
  <c r="N561" i="5"/>
  <c r="M561" i="5"/>
  <c r="L561" i="5"/>
  <c r="R561" i="5" s="1"/>
  <c r="K561" i="5"/>
  <c r="N560" i="5"/>
  <c r="M560" i="5"/>
  <c r="L560" i="5"/>
  <c r="R560" i="5" s="1"/>
  <c r="K560" i="5"/>
  <c r="N559" i="5"/>
  <c r="M559" i="5"/>
  <c r="L559" i="5"/>
  <c r="R559" i="5" s="1"/>
  <c r="K559" i="5"/>
  <c r="N558" i="5"/>
  <c r="M558" i="5"/>
  <c r="L558" i="5"/>
  <c r="R558" i="5" s="1"/>
  <c r="K558" i="5"/>
  <c r="N557" i="5"/>
  <c r="M557" i="5"/>
  <c r="L557" i="5"/>
  <c r="R557" i="5" s="1"/>
  <c r="K557" i="5"/>
  <c r="N556" i="5"/>
  <c r="M556" i="5"/>
  <c r="L556" i="5"/>
  <c r="R556" i="5" s="1"/>
  <c r="K556" i="5"/>
  <c r="N555" i="5"/>
  <c r="M555" i="5"/>
  <c r="L555" i="5"/>
  <c r="R555" i="5" s="1"/>
  <c r="K555" i="5"/>
  <c r="N554" i="5"/>
  <c r="M554" i="5"/>
  <c r="L554" i="5"/>
  <c r="R554" i="5" s="1"/>
  <c r="K554" i="5"/>
  <c r="N553" i="5"/>
  <c r="M553" i="5"/>
  <c r="L553" i="5"/>
  <c r="R553" i="5" s="1"/>
  <c r="K553" i="5"/>
  <c r="N552" i="5"/>
  <c r="M552" i="5"/>
  <c r="L552" i="5"/>
  <c r="R552" i="5" s="1"/>
  <c r="K552" i="5"/>
  <c r="N551" i="5"/>
  <c r="M551" i="5"/>
  <c r="L551" i="5"/>
  <c r="R551" i="5" s="1"/>
  <c r="K551" i="5"/>
  <c r="N550" i="5"/>
  <c r="M550" i="5"/>
  <c r="L550" i="5"/>
  <c r="R550" i="5" s="1"/>
  <c r="K550" i="5"/>
  <c r="N549" i="5"/>
  <c r="M549" i="5"/>
  <c r="L549" i="5"/>
  <c r="R549" i="5" s="1"/>
  <c r="K549" i="5"/>
  <c r="N548" i="5"/>
  <c r="M548" i="5"/>
  <c r="L548" i="5"/>
  <c r="R548" i="5" s="1"/>
  <c r="K548" i="5"/>
  <c r="N547" i="5"/>
  <c r="M547" i="5"/>
  <c r="L547" i="5"/>
  <c r="R547" i="5" s="1"/>
  <c r="K547" i="5"/>
  <c r="N546" i="5"/>
  <c r="M546" i="5"/>
  <c r="L546" i="5"/>
  <c r="R546" i="5" s="1"/>
  <c r="K546" i="5"/>
  <c r="N545" i="5"/>
  <c r="M545" i="5"/>
  <c r="L545" i="5"/>
  <c r="R545" i="5" s="1"/>
  <c r="K545" i="5"/>
  <c r="N544" i="5"/>
  <c r="M544" i="5"/>
  <c r="L544" i="5"/>
  <c r="R544" i="5" s="1"/>
  <c r="K544" i="5"/>
  <c r="N543" i="5"/>
  <c r="M543" i="5"/>
  <c r="L543" i="5"/>
  <c r="R543" i="5" s="1"/>
  <c r="K543" i="5"/>
  <c r="N542" i="5"/>
  <c r="M542" i="5"/>
  <c r="L542" i="5"/>
  <c r="R542" i="5" s="1"/>
  <c r="K542" i="5"/>
  <c r="N541" i="5"/>
  <c r="M541" i="5"/>
  <c r="L541" i="5"/>
  <c r="R541" i="5" s="1"/>
  <c r="K541" i="5"/>
  <c r="N540" i="5"/>
  <c r="M540" i="5"/>
  <c r="L540" i="5"/>
  <c r="R540" i="5" s="1"/>
  <c r="K540" i="5"/>
  <c r="N539" i="5"/>
  <c r="M539" i="5"/>
  <c r="L539" i="5"/>
  <c r="R539" i="5" s="1"/>
  <c r="K539" i="5"/>
  <c r="N538" i="5"/>
  <c r="M538" i="5"/>
  <c r="L538" i="5"/>
  <c r="R538" i="5" s="1"/>
  <c r="K538" i="5"/>
  <c r="N537" i="5"/>
  <c r="M537" i="5"/>
  <c r="L537" i="5"/>
  <c r="R537" i="5" s="1"/>
  <c r="K537" i="5"/>
  <c r="N536" i="5"/>
  <c r="M536" i="5"/>
  <c r="L536" i="5"/>
  <c r="R536" i="5" s="1"/>
  <c r="K536" i="5"/>
  <c r="N535" i="5"/>
  <c r="M535" i="5"/>
  <c r="L535" i="5"/>
  <c r="R535" i="5" s="1"/>
  <c r="K535" i="5"/>
  <c r="N534" i="5"/>
  <c r="M534" i="5"/>
  <c r="L534" i="5"/>
  <c r="R534" i="5" s="1"/>
  <c r="K534" i="5"/>
  <c r="N533" i="5"/>
  <c r="M533" i="5"/>
  <c r="L533" i="5"/>
  <c r="R533" i="5" s="1"/>
  <c r="K533" i="5"/>
  <c r="N532" i="5"/>
  <c r="M532" i="5"/>
  <c r="L532" i="5"/>
  <c r="R532" i="5" s="1"/>
  <c r="K532" i="5"/>
  <c r="N531" i="5"/>
  <c r="M531" i="5"/>
  <c r="L531" i="5"/>
  <c r="R531" i="5" s="1"/>
  <c r="K531" i="5"/>
  <c r="N530" i="5"/>
  <c r="M530" i="5"/>
  <c r="L530" i="5"/>
  <c r="R530" i="5" s="1"/>
  <c r="K530" i="5"/>
  <c r="N529" i="5"/>
  <c r="M529" i="5"/>
  <c r="L529" i="5"/>
  <c r="R529" i="5" s="1"/>
  <c r="K529" i="5"/>
  <c r="N528" i="5"/>
  <c r="M528" i="5"/>
  <c r="L528" i="5"/>
  <c r="R528" i="5" s="1"/>
  <c r="K528" i="5"/>
  <c r="N527" i="5"/>
  <c r="M527" i="5"/>
  <c r="L527" i="5"/>
  <c r="R527" i="5" s="1"/>
  <c r="K527" i="5"/>
  <c r="N526" i="5"/>
  <c r="M526" i="5"/>
  <c r="L526" i="5"/>
  <c r="R526" i="5" s="1"/>
  <c r="K526" i="5"/>
  <c r="N525" i="5"/>
  <c r="M525" i="5"/>
  <c r="L525" i="5"/>
  <c r="R525" i="5" s="1"/>
  <c r="K525" i="5"/>
  <c r="N524" i="5"/>
  <c r="M524" i="5"/>
  <c r="L524" i="5"/>
  <c r="R524" i="5" s="1"/>
  <c r="K524" i="5"/>
  <c r="N523" i="5"/>
  <c r="M523" i="5"/>
  <c r="L523" i="5"/>
  <c r="R523" i="5" s="1"/>
  <c r="K523" i="5"/>
  <c r="N522" i="5"/>
  <c r="M522" i="5"/>
  <c r="L522" i="5"/>
  <c r="R522" i="5" s="1"/>
  <c r="K522" i="5"/>
  <c r="N521" i="5"/>
  <c r="M521" i="5"/>
  <c r="L521" i="5"/>
  <c r="R521" i="5" s="1"/>
  <c r="K521" i="5"/>
  <c r="N520" i="5"/>
  <c r="M520" i="5"/>
  <c r="L520" i="5"/>
  <c r="R520" i="5" s="1"/>
  <c r="K520" i="5"/>
  <c r="N519" i="5"/>
  <c r="M519" i="5"/>
  <c r="L519" i="5"/>
  <c r="R519" i="5" s="1"/>
  <c r="K519" i="5"/>
  <c r="N518" i="5"/>
  <c r="M518" i="5"/>
  <c r="L518" i="5"/>
  <c r="R518" i="5" s="1"/>
  <c r="K518" i="5"/>
  <c r="N517" i="5"/>
  <c r="M517" i="5"/>
  <c r="L517" i="5"/>
  <c r="R517" i="5" s="1"/>
  <c r="K517" i="5"/>
  <c r="N516" i="5"/>
  <c r="M516" i="5"/>
  <c r="L516" i="5"/>
  <c r="R516" i="5" s="1"/>
  <c r="K516" i="5"/>
  <c r="N515" i="5"/>
  <c r="M515" i="5"/>
  <c r="L515" i="5"/>
  <c r="R515" i="5" s="1"/>
  <c r="K515" i="5"/>
  <c r="N514" i="5"/>
  <c r="M514" i="5"/>
  <c r="L514" i="5"/>
  <c r="R514" i="5" s="1"/>
  <c r="K514" i="5"/>
  <c r="N513" i="5"/>
  <c r="M513" i="5"/>
  <c r="L513" i="5"/>
  <c r="R513" i="5" s="1"/>
  <c r="K513" i="5"/>
  <c r="N512" i="5"/>
  <c r="M512" i="5"/>
  <c r="L512" i="5"/>
  <c r="R512" i="5" s="1"/>
  <c r="K512" i="5"/>
  <c r="N511" i="5"/>
  <c r="M511" i="5"/>
  <c r="L511" i="5"/>
  <c r="R511" i="5" s="1"/>
  <c r="K511" i="5"/>
  <c r="N510" i="5"/>
  <c r="M510" i="5"/>
  <c r="L510" i="5"/>
  <c r="R510" i="5" s="1"/>
  <c r="K510" i="5"/>
  <c r="N509" i="5"/>
  <c r="M509" i="5"/>
  <c r="L509" i="5"/>
  <c r="R509" i="5" s="1"/>
  <c r="K509" i="5"/>
  <c r="N508" i="5"/>
  <c r="M508" i="5"/>
  <c r="L508" i="5"/>
  <c r="R508" i="5" s="1"/>
  <c r="K508" i="5"/>
  <c r="N507" i="5"/>
  <c r="M507" i="5"/>
  <c r="L507" i="5"/>
  <c r="R507" i="5" s="1"/>
  <c r="K507" i="5"/>
  <c r="N506" i="5"/>
  <c r="M506" i="5"/>
  <c r="L506" i="5"/>
  <c r="R506" i="5" s="1"/>
  <c r="K506" i="5"/>
  <c r="N505" i="5"/>
  <c r="M505" i="5"/>
  <c r="L505" i="5"/>
  <c r="R505" i="5" s="1"/>
  <c r="K505" i="5"/>
  <c r="N504" i="5"/>
  <c r="M504" i="5"/>
  <c r="L504" i="5"/>
  <c r="R504" i="5" s="1"/>
  <c r="K504" i="5"/>
  <c r="N503" i="5"/>
  <c r="M503" i="5"/>
  <c r="L503" i="5"/>
  <c r="R503" i="5" s="1"/>
  <c r="K503" i="5"/>
  <c r="N502" i="5"/>
  <c r="M502" i="5"/>
  <c r="L502" i="5"/>
  <c r="R502" i="5" s="1"/>
  <c r="K502" i="5"/>
  <c r="N501" i="5"/>
  <c r="M501" i="5"/>
  <c r="L501" i="5"/>
  <c r="R501" i="5" s="1"/>
  <c r="K501" i="5"/>
  <c r="N500" i="5"/>
  <c r="M500" i="5"/>
  <c r="L500" i="5"/>
  <c r="R500" i="5" s="1"/>
  <c r="K500" i="5"/>
  <c r="N499" i="5"/>
  <c r="M499" i="5"/>
  <c r="L499" i="5"/>
  <c r="R499" i="5" s="1"/>
  <c r="K499" i="5"/>
  <c r="N498" i="5"/>
  <c r="M498" i="5"/>
  <c r="L498" i="5"/>
  <c r="R498" i="5" s="1"/>
  <c r="K498" i="5"/>
  <c r="N497" i="5"/>
  <c r="M497" i="5"/>
  <c r="L497" i="5"/>
  <c r="R497" i="5" s="1"/>
  <c r="K497" i="5"/>
  <c r="N496" i="5"/>
  <c r="M496" i="5"/>
  <c r="L496" i="5"/>
  <c r="R496" i="5" s="1"/>
  <c r="K496" i="5"/>
  <c r="N495" i="5"/>
  <c r="M495" i="5"/>
  <c r="L495" i="5"/>
  <c r="R495" i="5" s="1"/>
  <c r="K495" i="5"/>
  <c r="N494" i="5"/>
  <c r="M494" i="5"/>
  <c r="L494" i="5"/>
  <c r="R494" i="5" s="1"/>
  <c r="K494" i="5"/>
  <c r="N493" i="5"/>
  <c r="M493" i="5"/>
  <c r="L493" i="5"/>
  <c r="R493" i="5" s="1"/>
  <c r="K493" i="5"/>
  <c r="N492" i="5"/>
  <c r="M492" i="5"/>
  <c r="L492" i="5"/>
  <c r="R492" i="5" s="1"/>
  <c r="K492" i="5"/>
  <c r="N491" i="5"/>
  <c r="M491" i="5"/>
  <c r="L491" i="5"/>
  <c r="R491" i="5" s="1"/>
  <c r="K491" i="5"/>
  <c r="N490" i="5"/>
  <c r="M490" i="5"/>
  <c r="L490" i="5"/>
  <c r="R490" i="5" s="1"/>
  <c r="K490" i="5"/>
  <c r="N489" i="5"/>
  <c r="M489" i="5"/>
  <c r="L489" i="5"/>
  <c r="R489" i="5" s="1"/>
  <c r="K489" i="5"/>
  <c r="N488" i="5"/>
  <c r="M488" i="5"/>
  <c r="L488" i="5"/>
  <c r="R488" i="5" s="1"/>
  <c r="K488" i="5"/>
  <c r="N487" i="5"/>
  <c r="M487" i="5"/>
  <c r="L487" i="5"/>
  <c r="R487" i="5" s="1"/>
  <c r="K487" i="5"/>
  <c r="N486" i="5"/>
  <c r="M486" i="5"/>
  <c r="L486" i="5"/>
  <c r="R486" i="5" s="1"/>
  <c r="K486" i="5"/>
  <c r="N485" i="5"/>
  <c r="M485" i="5"/>
  <c r="L485" i="5"/>
  <c r="R485" i="5" s="1"/>
  <c r="K485" i="5"/>
  <c r="N484" i="5"/>
  <c r="M484" i="5"/>
  <c r="L484" i="5"/>
  <c r="R484" i="5" s="1"/>
  <c r="K484" i="5"/>
  <c r="N483" i="5"/>
  <c r="M483" i="5"/>
  <c r="L483" i="5"/>
  <c r="R483" i="5" s="1"/>
  <c r="K483" i="5"/>
  <c r="N482" i="5"/>
  <c r="M482" i="5"/>
  <c r="L482" i="5"/>
  <c r="R482" i="5" s="1"/>
  <c r="K482" i="5"/>
  <c r="N481" i="5"/>
  <c r="M481" i="5"/>
  <c r="L481" i="5"/>
  <c r="R481" i="5" s="1"/>
  <c r="K481" i="5"/>
  <c r="N480" i="5"/>
  <c r="M480" i="5"/>
  <c r="L480" i="5"/>
  <c r="R480" i="5" s="1"/>
  <c r="K480" i="5"/>
  <c r="N479" i="5"/>
  <c r="M479" i="5"/>
  <c r="L479" i="5"/>
  <c r="R479" i="5" s="1"/>
  <c r="K479" i="5"/>
  <c r="N478" i="5"/>
  <c r="M478" i="5"/>
  <c r="L478" i="5"/>
  <c r="R478" i="5" s="1"/>
  <c r="K478" i="5"/>
  <c r="N477" i="5"/>
  <c r="M477" i="5"/>
  <c r="L477" i="5"/>
  <c r="R477" i="5" s="1"/>
  <c r="K477" i="5"/>
  <c r="N476" i="5"/>
  <c r="M476" i="5"/>
  <c r="L476" i="5"/>
  <c r="R476" i="5" s="1"/>
  <c r="K476" i="5"/>
  <c r="N475" i="5"/>
  <c r="M475" i="5"/>
  <c r="L475" i="5"/>
  <c r="R475" i="5" s="1"/>
  <c r="K475" i="5"/>
  <c r="N474" i="5"/>
  <c r="M474" i="5"/>
  <c r="L474" i="5"/>
  <c r="R474" i="5" s="1"/>
  <c r="K474" i="5"/>
  <c r="N473" i="5"/>
  <c r="M473" i="5"/>
  <c r="L473" i="5"/>
  <c r="R473" i="5" s="1"/>
  <c r="K473" i="5"/>
  <c r="N472" i="5"/>
  <c r="M472" i="5"/>
  <c r="L472" i="5"/>
  <c r="R472" i="5" s="1"/>
  <c r="K472" i="5"/>
  <c r="N471" i="5"/>
  <c r="M471" i="5"/>
  <c r="L471" i="5"/>
  <c r="R471" i="5" s="1"/>
  <c r="K471" i="5"/>
  <c r="N470" i="5"/>
  <c r="M470" i="5"/>
  <c r="L470" i="5"/>
  <c r="R470" i="5" s="1"/>
  <c r="K470" i="5"/>
  <c r="N469" i="5"/>
  <c r="M469" i="5"/>
  <c r="L469" i="5"/>
  <c r="R469" i="5" s="1"/>
  <c r="K469" i="5"/>
  <c r="N468" i="5"/>
  <c r="M468" i="5"/>
  <c r="L468" i="5"/>
  <c r="R468" i="5" s="1"/>
  <c r="K468" i="5"/>
  <c r="N467" i="5"/>
  <c r="M467" i="5"/>
  <c r="L467" i="5"/>
  <c r="R467" i="5" s="1"/>
  <c r="K467" i="5"/>
  <c r="N466" i="5"/>
  <c r="M466" i="5"/>
  <c r="L466" i="5"/>
  <c r="R466" i="5" s="1"/>
  <c r="K466" i="5"/>
  <c r="N465" i="5"/>
  <c r="M465" i="5"/>
  <c r="L465" i="5"/>
  <c r="R465" i="5" s="1"/>
  <c r="K465" i="5"/>
  <c r="N464" i="5"/>
  <c r="M464" i="5"/>
  <c r="L464" i="5"/>
  <c r="R464" i="5" s="1"/>
  <c r="K464" i="5"/>
  <c r="N463" i="5"/>
  <c r="M463" i="5"/>
  <c r="L463" i="5"/>
  <c r="R463" i="5" s="1"/>
  <c r="K463" i="5"/>
  <c r="N462" i="5"/>
  <c r="M462" i="5"/>
  <c r="L462" i="5"/>
  <c r="R462" i="5" s="1"/>
  <c r="K462" i="5"/>
  <c r="N461" i="5"/>
  <c r="M461" i="5"/>
  <c r="L461" i="5"/>
  <c r="R461" i="5" s="1"/>
  <c r="K461" i="5"/>
  <c r="N460" i="5"/>
  <c r="M460" i="5"/>
  <c r="L460" i="5"/>
  <c r="R460" i="5" s="1"/>
  <c r="K460" i="5"/>
  <c r="N459" i="5"/>
  <c r="M459" i="5"/>
  <c r="L459" i="5"/>
  <c r="R459" i="5" s="1"/>
  <c r="K459" i="5"/>
  <c r="N458" i="5"/>
  <c r="M458" i="5"/>
  <c r="L458" i="5"/>
  <c r="R458" i="5" s="1"/>
  <c r="K458" i="5"/>
  <c r="N457" i="5"/>
  <c r="M457" i="5"/>
  <c r="L457" i="5"/>
  <c r="R457" i="5" s="1"/>
  <c r="K457" i="5"/>
  <c r="N456" i="5"/>
  <c r="M456" i="5"/>
  <c r="L456" i="5"/>
  <c r="R456" i="5" s="1"/>
  <c r="K456" i="5"/>
  <c r="N455" i="5"/>
  <c r="M455" i="5"/>
  <c r="L455" i="5"/>
  <c r="R455" i="5" s="1"/>
  <c r="K455" i="5"/>
  <c r="N454" i="5"/>
  <c r="M454" i="5"/>
  <c r="L454" i="5"/>
  <c r="R454" i="5" s="1"/>
  <c r="K454" i="5"/>
  <c r="N453" i="5"/>
  <c r="M453" i="5"/>
  <c r="L453" i="5"/>
  <c r="R453" i="5" s="1"/>
  <c r="K453" i="5"/>
  <c r="N452" i="5"/>
  <c r="M452" i="5"/>
  <c r="L452" i="5"/>
  <c r="R452" i="5" s="1"/>
  <c r="K452" i="5"/>
  <c r="N451" i="5"/>
  <c r="M451" i="5"/>
  <c r="L451" i="5"/>
  <c r="R451" i="5" s="1"/>
  <c r="K451" i="5"/>
  <c r="N450" i="5"/>
  <c r="M450" i="5"/>
  <c r="L450" i="5"/>
  <c r="R450" i="5" s="1"/>
  <c r="K450" i="5"/>
  <c r="N449" i="5"/>
  <c r="M449" i="5"/>
  <c r="L449" i="5"/>
  <c r="R449" i="5" s="1"/>
  <c r="K449" i="5"/>
  <c r="N448" i="5"/>
  <c r="M448" i="5"/>
  <c r="L448" i="5"/>
  <c r="R448" i="5" s="1"/>
  <c r="K448" i="5"/>
  <c r="N447" i="5"/>
  <c r="M447" i="5"/>
  <c r="L447" i="5"/>
  <c r="R447" i="5" s="1"/>
  <c r="K447" i="5"/>
  <c r="N446" i="5"/>
  <c r="M446" i="5"/>
  <c r="L446" i="5"/>
  <c r="R446" i="5" s="1"/>
  <c r="K446" i="5"/>
  <c r="N445" i="5"/>
  <c r="M445" i="5"/>
  <c r="L445" i="5"/>
  <c r="R445" i="5" s="1"/>
  <c r="K445" i="5"/>
  <c r="N444" i="5"/>
  <c r="M444" i="5"/>
  <c r="L444" i="5"/>
  <c r="R444" i="5" s="1"/>
  <c r="K444" i="5"/>
  <c r="N443" i="5"/>
  <c r="M443" i="5"/>
  <c r="L443" i="5"/>
  <c r="R443" i="5" s="1"/>
  <c r="K443" i="5"/>
  <c r="N442" i="5"/>
  <c r="M442" i="5"/>
  <c r="L442" i="5"/>
  <c r="R442" i="5" s="1"/>
  <c r="K442" i="5"/>
  <c r="N441" i="5"/>
  <c r="M441" i="5"/>
  <c r="L441" i="5"/>
  <c r="R441" i="5" s="1"/>
  <c r="K441" i="5"/>
  <c r="N440" i="5"/>
  <c r="M440" i="5"/>
  <c r="L440" i="5"/>
  <c r="R440" i="5" s="1"/>
  <c r="K440" i="5"/>
  <c r="N439" i="5"/>
  <c r="M439" i="5"/>
  <c r="L439" i="5"/>
  <c r="R439" i="5" s="1"/>
  <c r="K439" i="5"/>
  <c r="N438" i="5"/>
  <c r="M438" i="5"/>
  <c r="L438" i="5"/>
  <c r="R438" i="5" s="1"/>
  <c r="K438" i="5"/>
  <c r="N437" i="5"/>
  <c r="M437" i="5"/>
  <c r="L437" i="5"/>
  <c r="R437" i="5" s="1"/>
  <c r="K437" i="5"/>
  <c r="N436" i="5"/>
  <c r="M436" i="5"/>
  <c r="L436" i="5"/>
  <c r="R436" i="5" s="1"/>
  <c r="K436" i="5"/>
  <c r="N435" i="5"/>
  <c r="M435" i="5"/>
  <c r="L435" i="5"/>
  <c r="R435" i="5" s="1"/>
  <c r="K435" i="5"/>
  <c r="N434" i="5"/>
  <c r="M434" i="5"/>
  <c r="L434" i="5"/>
  <c r="R434" i="5" s="1"/>
  <c r="K434" i="5"/>
  <c r="N433" i="5"/>
  <c r="M433" i="5"/>
  <c r="L433" i="5"/>
  <c r="R433" i="5" s="1"/>
  <c r="K433" i="5"/>
  <c r="N432" i="5"/>
  <c r="M432" i="5"/>
  <c r="L432" i="5"/>
  <c r="R432" i="5" s="1"/>
  <c r="K432" i="5"/>
  <c r="N431" i="5"/>
  <c r="M431" i="5"/>
  <c r="L431" i="5"/>
  <c r="R431" i="5" s="1"/>
  <c r="K431" i="5"/>
  <c r="N430" i="5"/>
  <c r="M430" i="5"/>
  <c r="L430" i="5"/>
  <c r="R430" i="5" s="1"/>
  <c r="K430" i="5"/>
  <c r="N429" i="5"/>
  <c r="M429" i="5"/>
  <c r="L429" i="5"/>
  <c r="R429" i="5" s="1"/>
  <c r="K429" i="5"/>
  <c r="N428" i="5"/>
  <c r="M428" i="5"/>
  <c r="L428" i="5"/>
  <c r="R428" i="5" s="1"/>
  <c r="K428" i="5"/>
  <c r="N427" i="5"/>
  <c r="M427" i="5"/>
  <c r="L427" i="5"/>
  <c r="R427" i="5" s="1"/>
  <c r="K427" i="5"/>
  <c r="N426" i="5"/>
  <c r="M426" i="5"/>
  <c r="L426" i="5"/>
  <c r="R426" i="5" s="1"/>
  <c r="K426" i="5"/>
  <c r="N425" i="5"/>
  <c r="M425" i="5"/>
  <c r="L425" i="5"/>
  <c r="R425" i="5" s="1"/>
  <c r="K425" i="5"/>
  <c r="N424" i="5"/>
  <c r="M424" i="5"/>
  <c r="L424" i="5"/>
  <c r="R424" i="5" s="1"/>
  <c r="K424" i="5"/>
  <c r="N423" i="5"/>
  <c r="M423" i="5"/>
  <c r="L423" i="5"/>
  <c r="R423" i="5" s="1"/>
  <c r="K423" i="5"/>
  <c r="N422" i="5"/>
  <c r="M422" i="5"/>
  <c r="L422" i="5"/>
  <c r="R422" i="5" s="1"/>
  <c r="K422" i="5"/>
  <c r="N421" i="5"/>
  <c r="M421" i="5"/>
  <c r="L421" i="5"/>
  <c r="R421" i="5" s="1"/>
  <c r="K421" i="5"/>
  <c r="N420" i="5"/>
  <c r="M420" i="5"/>
  <c r="L420" i="5"/>
  <c r="R420" i="5" s="1"/>
  <c r="K420" i="5"/>
  <c r="N419" i="5"/>
  <c r="M419" i="5"/>
  <c r="L419" i="5"/>
  <c r="R419" i="5" s="1"/>
  <c r="K419" i="5"/>
  <c r="N418" i="5"/>
  <c r="M418" i="5"/>
  <c r="L418" i="5"/>
  <c r="R418" i="5" s="1"/>
  <c r="K418" i="5"/>
  <c r="N417" i="5"/>
  <c r="M417" i="5"/>
  <c r="L417" i="5"/>
  <c r="R417" i="5" s="1"/>
  <c r="K417" i="5"/>
  <c r="N416" i="5"/>
  <c r="M416" i="5"/>
  <c r="L416" i="5"/>
  <c r="R416" i="5" s="1"/>
  <c r="K416" i="5"/>
  <c r="N415" i="5"/>
  <c r="M415" i="5"/>
  <c r="L415" i="5"/>
  <c r="R415" i="5" s="1"/>
  <c r="K415" i="5"/>
  <c r="N414" i="5"/>
  <c r="M414" i="5"/>
  <c r="L414" i="5"/>
  <c r="R414" i="5" s="1"/>
  <c r="K414" i="5"/>
  <c r="N413" i="5"/>
  <c r="M413" i="5"/>
  <c r="L413" i="5"/>
  <c r="R413" i="5" s="1"/>
  <c r="K413" i="5"/>
  <c r="N412" i="5"/>
  <c r="M412" i="5"/>
  <c r="L412" i="5"/>
  <c r="R412" i="5" s="1"/>
  <c r="K412" i="5"/>
  <c r="N411" i="5"/>
  <c r="M411" i="5"/>
  <c r="L411" i="5"/>
  <c r="R411" i="5" s="1"/>
  <c r="K411" i="5"/>
  <c r="N410" i="5"/>
  <c r="M410" i="5"/>
  <c r="L410" i="5"/>
  <c r="R410" i="5" s="1"/>
  <c r="K410" i="5"/>
  <c r="N409" i="5"/>
  <c r="M409" i="5"/>
  <c r="L409" i="5"/>
  <c r="R409" i="5" s="1"/>
  <c r="K409" i="5"/>
  <c r="N408" i="5"/>
  <c r="M408" i="5"/>
  <c r="L408" i="5"/>
  <c r="R408" i="5" s="1"/>
  <c r="K408" i="5"/>
  <c r="N407" i="5"/>
  <c r="M407" i="5"/>
  <c r="L407" i="5"/>
  <c r="R407" i="5" s="1"/>
  <c r="K407" i="5"/>
  <c r="N406" i="5"/>
  <c r="M406" i="5"/>
  <c r="L406" i="5"/>
  <c r="R406" i="5" s="1"/>
  <c r="K406" i="5"/>
  <c r="N405" i="5"/>
  <c r="M405" i="5"/>
  <c r="L405" i="5"/>
  <c r="R405" i="5" s="1"/>
  <c r="K405" i="5"/>
  <c r="N404" i="5"/>
  <c r="M404" i="5"/>
  <c r="L404" i="5"/>
  <c r="R404" i="5" s="1"/>
  <c r="K404" i="5"/>
  <c r="N403" i="5"/>
  <c r="M403" i="5"/>
  <c r="L403" i="5"/>
  <c r="R403" i="5" s="1"/>
  <c r="K403" i="5"/>
  <c r="N402" i="5"/>
  <c r="M402" i="5"/>
  <c r="L402" i="5"/>
  <c r="R402" i="5" s="1"/>
  <c r="K402" i="5"/>
  <c r="N401" i="5"/>
  <c r="M401" i="5"/>
  <c r="L401" i="5"/>
  <c r="R401" i="5" s="1"/>
  <c r="K401" i="5"/>
  <c r="N400" i="5"/>
  <c r="M400" i="5"/>
  <c r="L400" i="5"/>
  <c r="R400" i="5" s="1"/>
  <c r="K400" i="5"/>
  <c r="N399" i="5"/>
  <c r="M399" i="5"/>
  <c r="L399" i="5"/>
  <c r="R399" i="5" s="1"/>
  <c r="K399" i="5"/>
  <c r="N398" i="5"/>
  <c r="M398" i="5"/>
  <c r="L398" i="5"/>
  <c r="R398" i="5" s="1"/>
  <c r="K398" i="5"/>
  <c r="N397" i="5"/>
  <c r="M397" i="5"/>
  <c r="L397" i="5"/>
  <c r="R397" i="5" s="1"/>
  <c r="K397" i="5"/>
  <c r="N396" i="5"/>
  <c r="M396" i="5"/>
  <c r="L396" i="5"/>
  <c r="R396" i="5" s="1"/>
  <c r="K396" i="5"/>
  <c r="N395" i="5"/>
  <c r="M395" i="5"/>
  <c r="L395" i="5"/>
  <c r="R395" i="5" s="1"/>
  <c r="K395" i="5"/>
  <c r="N394" i="5"/>
  <c r="M394" i="5"/>
  <c r="L394" i="5"/>
  <c r="R394" i="5" s="1"/>
  <c r="K394" i="5"/>
  <c r="N393" i="5"/>
  <c r="M393" i="5"/>
  <c r="L393" i="5"/>
  <c r="R393" i="5" s="1"/>
  <c r="K393" i="5"/>
  <c r="N392" i="5"/>
  <c r="M392" i="5"/>
  <c r="L392" i="5"/>
  <c r="R392" i="5" s="1"/>
  <c r="K392" i="5"/>
  <c r="N391" i="5"/>
  <c r="M391" i="5"/>
  <c r="L391" i="5"/>
  <c r="R391" i="5" s="1"/>
  <c r="K391" i="5"/>
  <c r="N390" i="5"/>
  <c r="M390" i="5"/>
  <c r="L390" i="5"/>
  <c r="R390" i="5" s="1"/>
  <c r="K390" i="5"/>
  <c r="N389" i="5"/>
  <c r="M389" i="5"/>
  <c r="L389" i="5"/>
  <c r="R389" i="5" s="1"/>
  <c r="K389" i="5"/>
  <c r="N388" i="5"/>
  <c r="M388" i="5"/>
  <c r="L388" i="5"/>
  <c r="R388" i="5" s="1"/>
  <c r="K388" i="5"/>
  <c r="N387" i="5"/>
  <c r="M387" i="5"/>
  <c r="L387" i="5"/>
  <c r="R387" i="5" s="1"/>
  <c r="K387" i="5"/>
  <c r="N386" i="5"/>
  <c r="M386" i="5"/>
  <c r="L386" i="5"/>
  <c r="R386" i="5" s="1"/>
  <c r="K386" i="5"/>
  <c r="N385" i="5"/>
  <c r="M385" i="5"/>
  <c r="L385" i="5"/>
  <c r="R385" i="5" s="1"/>
  <c r="K385" i="5"/>
  <c r="N384" i="5"/>
  <c r="M384" i="5"/>
  <c r="L384" i="5"/>
  <c r="R384" i="5" s="1"/>
  <c r="K384" i="5"/>
  <c r="N383" i="5"/>
  <c r="M383" i="5"/>
  <c r="L383" i="5"/>
  <c r="R383" i="5" s="1"/>
  <c r="K383" i="5"/>
  <c r="N382" i="5"/>
  <c r="M382" i="5"/>
  <c r="L382" i="5"/>
  <c r="R382" i="5" s="1"/>
  <c r="K382" i="5"/>
  <c r="N381" i="5"/>
  <c r="M381" i="5"/>
  <c r="L381" i="5"/>
  <c r="R381" i="5" s="1"/>
  <c r="K381" i="5"/>
  <c r="N380" i="5"/>
  <c r="M380" i="5"/>
  <c r="L380" i="5"/>
  <c r="R380" i="5" s="1"/>
  <c r="K380" i="5"/>
  <c r="N379" i="5"/>
  <c r="M379" i="5"/>
  <c r="L379" i="5"/>
  <c r="R379" i="5" s="1"/>
  <c r="K379" i="5"/>
  <c r="N378" i="5"/>
  <c r="M378" i="5"/>
  <c r="L378" i="5"/>
  <c r="R378" i="5" s="1"/>
  <c r="K378" i="5"/>
  <c r="N377" i="5"/>
  <c r="M377" i="5"/>
  <c r="L377" i="5"/>
  <c r="R377" i="5" s="1"/>
  <c r="K377" i="5"/>
  <c r="N376" i="5"/>
  <c r="M376" i="5"/>
  <c r="L376" i="5"/>
  <c r="R376" i="5" s="1"/>
  <c r="K376" i="5"/>
  <c r="N375" i="5"/>
  <c r="M375" i="5"/>
  <c r="L375" i="5"/>
  <c r="R375" i="5" s="1"/>
  <c r="K375" i="5"/>
  <c r="N374" i="5"/>
  <c r="M374" i="5"/>
  <c r="L374" i="5"/>
  <c r="R374" i="5" s="1"/>
  <c r="K374" i="5"/>
  <c r="N373" i="5"/>
  <c r="M373" i="5"/>
  <c r="L373" i="5"/>
  <c r="R373" i="5" s="1"/>
  <c r="K373" i="5"/>
  <c r="N372" i="5"/>
  <c r="M372" i="5"/>
  <c r="L372" i="5"/>
  <c r="R372" i="5" s="1"/>
  <c r="K372" i="5"/>
  <c r="N371" i="5"/>
  <c r="M371" i="5"/>
  <c r="L371" i="5"/>
  <c r="R371" i="5" s="1"/>
  <c r="K371" i="5"/>
  <c r="N370" i="5"/>
  <c r="M370" i="5"/>
  <c r="L370" i="5"/>
  <c r="R370" i="5" s="1"/>
  <c r="K370" i="5"/>
  <c r="N369" i="5"/>
  <c r="M369" i="5"/>
  <c r="L369" i="5"/>
  <c r="R369" i="5" s="1"/>
  <c r="K369" i="5"/>
  <c r="N368" i="5"/>
  <c r="M368" i="5"/>
  <c r="L368" i="5"/>
  <c r="R368" i="5" s="1"/>
  <c r="K368" i="5"/>
  <c r="N367" i="5"/>
  <c r="M367" i="5"/>
  <c r="L367" i="5"/>
  <c r="R367" i="5" s="1"/>
  <c r="K367" i="5"/>
  <c r="N366" i="5"/>
  <c r="M366" i="5"/>
  <c r="L366" i="5"/>
  <c r="R366" i="5" s="1"/>
  <c r="K366" i="5"/>
  <c r="N365" i="5"/>
  <c r="M365" i="5"/>
  <c r="L365" i="5"/>
  <c r="R365" i="5" s="1"/>
  <c r="K365" i="5"/>
  <c r="N364" i="5"/>
  <c r="M364" i="5"/>
  <c r="L364" i="5"/>
  <c r="R364" i="5" s="1"/>
  <c r="K364" i="5"/>
  <c r="N363" i="5"/>
  <c r="M363" i="5"/>
  <c r="L363" i="5"/>
  <c r="R363" i="5" s="1"/>
  <c r="K363" i="5"/>
  <c r="N362" i="5"/>
  <c r="M362" i="5"/>
  <c r="L362" i="5"/>
  <c r="R362" i="5" s="1"/>
  <c r="K362" i="5"/>
  <c r="N361" i="5"/>
  <c r="M361" i="5"/>
  <c r="L361" i="5"/>
  <c r="R361" i="5" s="1"/>
  <c r="K361" i="5"/>
  <c r="N360" i="5"/>
  <c r="M360" i="5"/>
  <c r="L360" i="5"/>
  <c r="R360" i="5" s="1"/>
  <c r="K360" i="5"/>
  <c r="N359" i="5"/>
  <c r="M359" i="5"/>
  <c r="L359" i="5"/>
  <c r="R359" i="5" s="1"/>
  <c r="K359" i="5"/>
  <c r="N358" i="5"/>
  <c r="M358" i="5"/>
  <c r="L358" i="5"/>
  <c r="R358" i="5" s="1"/>
  <c r="K358" i="5"/>
  <c r="N357" i="5"/>
  <c r="M357" i="5"/>
  <c r="L357" i="5"/>
  <c r="R357" i="5" s="1"/>
  <c r="K357" i="5"/>
  <c r="N356" i="5"/>
  <c r="M356" i="5"/>
  <c r="L356" i="5"/>
  <c r="R356" i="5" s="1"/>
  <c r="K356" i="5"/>
  <c r="N355" i="5"/>
  <c r="M355" i="5"/>
  <c r="L355" i="5"/>
  <c r="R355" i="5" s="1"/>
  <c r="K355" i="5"/>
  <c r="N354" i="5"/>
  <c r="M354" i="5"/>
  <c r="L354" i="5"/>
  <c r="R354" i="5" s="1"/>
  <c r="K354" i="5"/>
  <c r="N353" i="5"/>
  <c r="M353" i="5"/>
  <c r="L353" i="5"/>
  <c r="R353" i="5" s="1"/>
  <c r="K353" i="5"/>
  <c r="N352" i="5"/>
  <c r="M352" i="5"/>
  <c r="L352" i="5"/>
  <c r="R352" i="5" s="1"/>
  <c r="K352" i="5"/>
  <c r="N351" i="5"/>
  <c r="M351" i="5"/>
  <c r="L351" i="5"/>
  <c r="R351" i="5" s="1"/>
  <c r="K351" i="5"/>
  <c r="N350" i="5"/>
  <c r="M350" i="5"/>
  <c r="L350" i="5"/>
  <c r="R350" i="5" s="1"/>
  <c r="K350" i="5"/>
  <c r="N349" i="5"/>
  <c r="M349" i="5"/>
  <c r="L349" i="5"/>
  <c r="R349" i="5" s="1"/>
  <c r="K349" i="5"/>
  <c r="N348" i="5"/>
  <c r="M348" i="5"/>
  <c r="L348" i="5"/>
  <c r="R348" i="5" s="1"/>
  <c r="K348" i="5"/>
  <c r="N347" i="5"/>
  <c r="M347" i="5"/>
  <c r="L347" i="5"/>
  <c r="R347" i="5" s="1"/>
  <c r="K347" i="5"/>
  <c r="N346" i="5"/>
  <c r="M346" i="5"/>
  <c r="L346" i="5"/>
  <c r="R346" i="5" s="1"/>
  <c r="K346" i="5"/>
  <c r="N345" i="5"/>
  <c r="M345" i="5"/>
  <c r="L345" i="5"/>
  <c r="R345" i="5" s="1"/>
  <c r="K345" i="5"/>
  <c r="N344" i="5"/>
  <c r="M344" i="5"/>
  <c r="L344" i="5"/>
  <c r="R344" i="5" s="1"/>
  <c r="K344" i="5"/>
  <c r="N343" i="5"/>
  <c r="M343" i="5"/>
  <c r="L343" i="5"/>
  <c r="R343" i="5" s="1"/>
  <c r="K343" i="5"/>
  <c r="N342" i="5"/>
  <c r="M342" i="5"/>
  <c r="L342" i="5"/>
  <c r="R342" i="5" s="1"/>
  <c r="K342" i="5"/>
  <c r="N341" i="5"/>
  <c r="M341" i="5"/>
  <c r="L341" i="5"/>
  <c r="R341" i="5" s="1"/>
  <c r="K341" i="5"/>
  <c r="N340" i="5"/>
  <c r="M340" i="5"/>
  <c r="L340" i="5"/>
  <c r="R340" i="5" s="1"/>
  <c r="K340" i="5"/>
  <c r="N339" i="5"/>
  <c r="M339" i="5"/>
  <c r="L339" i="5"/>
  <c r="R339" i="5" s="1"/>
  <c r="K339" i="5"/>
  <c r="N338" i="5"/>
  <c r="M338" i="5"/>
  <c r="L338" i="5"/>
  <c r="R338" i="5" s="1"/>
  <c r="K338" i="5"/>
  <c r="N337" i="5"/>
  <c r="M337" i="5"/>
  <c r="L337" i="5"/>
  <c r="R337" i="5" s="1"/>
  <c r="K337" i="5"/>
  <c r="N336" i="5"/>
  <c r="M336" i="5"/>
  <c r="L336" i="5"/>
  <c r="R336" i="5" s="1"/>
  <c r="K336" i="5"/>
  <c r="N335" i="5"/>
  <c r="M335" i="5"/>
  <c r="L335" i="5"/>
  <c r="R335" i="5" s="1"/>
  <c r="K335" i="5"/>
  <c r="N334" i="5"/>
  <c r="M334" i="5"/>
  <c r="L334" i="5"/>
  <c r="R334" i="5" s="1"/>
  <c r="K334" i="5"/>
  <c r="N333" i="5"/>
  <c r="M333" i="5"/>
  <c r="L333" i="5"/>
  <c r="R333" i="5" s="1"/>
  <c r="K333" i="5"/>
  <c r="N332" i="5"/>
  <c r="M332" i="5"/>
  <c r="L332" i="5"/>
  <c r="R332" i="5" s="1"/>
  <c r="K332" i="5"/>
  <c r="N331" i="5"/>
  <c r="M331" i="5"/>
  <c r="L331" i="5"/>
  <c r="R331" i="5" s="1"/>
  <c r="K331" i="5"/>
  <c r="N330" i="5"/>
  <c r="M330" i="5"/>
  <c r="L330" i="5"/>
  <c r="R330" i="5" s="1"/>
  <c r="K330" i="5"/>
  <c r="N329" i="5"/>
  <c r="M329" i="5"/>
  <c r="L329" i="5"/>
  <c r="R329" i="5" s="1"/>
  <c r="K329" i="5"/>
  <c r="N328" i="5"/>
  <c r="M328" i="5"/>
  <c r="L328" i="5"/>
  <c r="R328" i="5" s="1"/>
  <c r="K328" i="5"/>
  <c r="N327" i="5"/>
  <c r="M327" i="5"/>
  <c r="L327" i="5"/>
  <c r="R327" i="5" s="1"/>
  <c r="K327" i="5"/>
  <c r="N326" i="5"/>
  <c r="M326" i="5"/>
  <c r="L326" i="5"/>
  <c r="R326" i="5" s="1"/>
  <c r="K326" i="5"/>
  <c r="N325" i="5"/>
  <c r="M325" i="5"/>
  <c r="L325" i="5"/>
  <c r="R325" i="5" s="1"/>
  <c r="K325" i="5"/>
  <c r="N324" i="5"/>
  <c r="M324" i="5"/>
  <c r="L324" i="5"/>
  <c r="R324" i="5" s="1"/>
  <c r="K324" i="5"/>
  <c r="N323" i="5"/>
  <c r="M323" i="5"/>
  <c r="L323" i="5"/>
  <c r="R323" i="5" s="1"/>
  <c r="K323" i="5"/>
  <c r="N322" i="5"/>
  <c r="M322" i="5"/>
  <c r="L322" i="5"/>
  <c r="R322" i="5" s="1"/>
  <c r="K322" i="5"/>
  <c r="N321" i="5"/>
  <c r="M321" i="5"/>
  <c r="L321" i="5"/>
  <c r="R321" i="5" s="1"/>
  <c r="K321" i="5"/>
  <c r="N320" i="5"/>
  <c r="M320" i="5"/>
  <c r="L320" i="5"/>
  <c r="R320" i="5" s="1"/>
  <c r="K320" i="5"/>
  <c r="N319" i="5"/>
  <c r="M319" i="5"/>
  <c r="L319" i="5"/>
  <c r="R319" i="5" s="1"/>
  <c r="K319" i="5"/>
  <c r="N318" i="5"/>
  <c r="M318" i="5"/>
  <c r="L318" i="5"/>
  <c r="R318" i="5" s="1"/>
  <c r="K318" i="5"/>
  <c r="N317" i="5"/>
  <c r="M317" i="5"/>
  <c r="L317" i="5"/>
  <c r="R317" i="5" s="1"/>
  <c r="K317" i="5"/>
  <c r="N316" i="5"/>
  <c r="M316" i="5"/>
  <c r="L316" i="5"/>
  <c r="R316" i="5" s="1"/>
  <c r="K316" i="5"/>
  <c r="N315" i="5"/>
  <c r="M315" i="5"/>
  <c r="L315" i="5"/>
  <c r="R315" i="5" s="1"/>
  <c r="K315" i="5"/>
  <c r="N314" i="5"/>
  <c r="M314" i="5"/>
  <c r="L314" i="5"/>
  <c r="R314" i="5" s="1"/>
  <c r="K314" i="5"/>
  <c r="N313" i="5"/>
  <c r="M313" i="5"/>
  <c r="L313" i="5"/>
  <c r="R313" i="5" s="1"/>
  <c r="K313" i="5"/>
  <c r="N312" i="5"/>
  <c r="M312" i="5"/>
  <c r="L312" i="5"/>
  <c r="R312" i="5" s="1"/>
  <c r="K312" i="5"/>
  <c r="N311" i="5"/>
  <c r="M311" i="5"/>
  <c r="L311" i="5"/>
  <c r="R311" i="5" s="1"/>
  <c r="K311" i="5"/>
  <c r="N310" i="5"/>
  <c r="M310" i="5"/>
  <c r="L310" i="5"/>
  <c r="R310" i="5" s="1"/>
  <c r="K310" i="5"/>
  <c r="N309" i="5"/>
  <c r="M309" i="5"/>
  <c r="L309" i="5"/>
  <c r="R309" i="5" s="1"/>
  <c r="K309" i="5"/>
  <c r="N308" i="5"/>
  <c r="M308" i="5"/>
  <c r="L308" i="5"/>
  <c r="R308" i="5" s="1"/>
  <c r="K308" i="5"/>
  <c r="N307" i="5"/>
  <c r="M307" i="5"/>
  <c r="L307" i="5"/>
  <c r="R307" i="5" s="1"/>
  <c r="K307" i="5"/>
  <c r="N306" i="5"/>
  <c r="M306" i="5"/>
  <c r="L306" i="5"/>
  <c r="R306" i="5" s="1"/>
  <c r="K306" i="5"/>
  <c r="N305" i="5"/>
  <c r="M305" i="5"/>
  <c r="L305" i="5"/>
  <c r="R305" i="5" s="1"/>
  <c r="K305" i="5"/>
  <c r="N304" i="5"/>
  <c r="M304" i="5"/>
  <c r="L304" i="5"/>
  <c r="R304" i="5" s="1"/>
  <c r="K304" i="5"/>
  <c r="N303" i="5"/>
  <c r="M303" i="5"/>
  <c r="L303" i="5"/>
  <c r="R303" i="5" s="1"/>
  <c r="K303" i="5"/>
  <c r="N302" i="5"/>
  <c r="M302" i="5"/>
  <c r="L302" i="5"/>
  <c r="R302" i="5" s="1"/>
  <c r="K302" i="5"/>
  <c r="N301" i="5"/>
  <c r="M301" i="5"/>
  <c r="L301" i="5"/>
  <c r="R301" i="5" s="1"/>
  <c r="K301" i="5"/>
  <c r="N300" i="5"/>
  <c r="M300" i="5"/>
  <c r="L300" i="5"/>
  <c r="R300" i="5" s="1"/>
  <c r="K300" i="5"/>
  <c r="N299" i="5"/>
  <c r="M299" i="5"/>
  <c r="L299" i="5"/>
  <c r="R299" i="5" s="1"/>
  <c r="K299" i="5"/>
  <c r="N298" i="5"/>
  <c r="M298" i="5"/>
  <c r="L298" i="5"/>
  <c r="R298" i="5" s="1"/>
  <c r="K298" i="5"/>
  <c r="N297" i="5"/>
  <c r="M297" i="5"/>
  <c r="L297" i="5"/>
  <c r="R297" i="5" s="1"/>
  <c r="K297" i="5"/>
  <c r="N296" i="5"/>
  <c r="M296" i="5"/>
  <c r="L296" i="5"/>
  <c r="R296" i="5" s="1"/>
  <c r="K296" i="5"/>
  <c r="N295" i="5"/>
  <c r="M295" i="5"/>
  <c r="L295" i="5"/>
  <c r="R295" i="5" s="1"/>
  <c r="K295" i="5"/>
  <c r="N294" i="5"/>
  <c r="M294" i="5"/>
  <c r="L294" i="5"/>
  <c r="R294" i="5" s="1"/>
  <c r="K294" i="5"/>
  <c r="N293" i="5"/>
  <c r="M293" i="5"/>
  <c r="L293" i="5"/>
  <c r="R293" i="5" s="1"/>
  <c r="K293" i="5"/>
  <c r="N292" i="5"/>
  <c r="M292" i="5"/>
  <c r="L292" i="5"/>
  <c r="R292" i="5" s="1"/>
  <c r="K292" i="5"/>
  <c r="N291" i="5"/>
  <c r="M291" i="5"/>
  <c r="L291" i="5"/>
  <c r="R291" i="5" s="1"/>
  <c r="K291" i="5"/>
  <c r="N290" i="5"/>
  <c r="M290" i="5"/>
  <c r="L290" i="5"/>
  <c r="R290" i="5" s="1"/>
  <c r="K290" i="5"/>
  <c r="N289" i="5"/>
  <c r="M289" i="5"/>
  <c r="L289" i="5"/>
  <c r="R289" i="5" s="1"/>
  <c r="K289" i="5"/>
  <c r="N288" i="5"/>
  <c r="M288" i="5"/>
  <c r="L288" i="5"/>
  <c r="R288" i="5" s="1"/>
  <c r="K288" i="5"/>
  <c r="N287" i="5"/>
  <c r="M287" i="5"/>
  <c r="L287" i="5"/>
  <c r="R287" i="5" s="1"/>
  <c r="K287" i="5"/>
  <c r="N286" i="5"/>
  <c r="M286" i="5"/>
  <c r="L286" i="5"/>
  <c r="R286" i="5" s="1"/>
  <c r="K286" i="5"/>
  <c r="N285" i="5"/>
  <c r="M285" i="5"/>
  <c r="L285" i="5"/>
  <c r="R285" i="5" s="1"/>
  <c r="K285" i="5"/>
  <c r="N284" i="5"/>
  <c r="M284" i="5"/>
  <c r="L284" i="5"/>
  <c r="R284" i="5" s="1"/>
  <c r="K284" i="5"/>
  <c r="N283" i="5"/>
  <c r="M283" i="5"/>
  <c r="L283" i="5"/>
  <c r="R283" i="5" s="1"/>
  <c r="K283" i="5"/>
  <c r="N282" i="5"/>
  <c r="M282" i="5"/>
  <c r="L282" i="5"/>
  <c r="R282" i="5" s="1"/>
  <c r="K282" i="5"/>
  <c r="N281" i="5"/>
  <c r="M281" i="5"/>
  <c r="L281" i="5"/>
  <c r="R281" i="5" s="1"/>
  <c r="K281" i="5"/>
  <c r="N280" i="5"/>
  <c r="M280" i="5"/>
  <c r="L280" i="5"/>
  <c r="R280" i="5" s="1"/>
  <c r="K280" i="5"/>
  <c r="N279" i="5"/>
  <c r="M279" i="5"/>
  <c r="L279" i="5"/>
  <c r="R279" i="5" s="1"/>
  <c r="K279" i="5"/>
  <c r="N278" i="5"/>
  <c r="M278" i="5"/>
  <c r="L278" i="5"/>
  <c r="R278" i="5" s="1"/>
  <c r="K278" i="5"/>
  <c r="N277" i="5"/>
  <c r="M277" i="5"/>
  <c r="L277" i="5"/>
  <c r="R277" i="5" s="1"/>
  <c r="K277" i="5"/>
  <c r="N276" i="5"/>
  <c r="M276" i="5"/>
  <c r="L276" i="5"/>
  <c r="R276" i="5" s="1"/>
  <c r="K276" i="5"/>
  <c r="N275" i="5"/>
  <c r="M275" i="5"/>
  <c r="L275" i="5"/>
  <c r="R275" i="5" s="1"/>
  <c r="K275" i="5"/>
  <c r="N274" i="5"/>
  <c r="M274" i="5"/>
  <c r="L274" i="5"/>
  <c r="R274" i="5" s="1"/>
  <c r="K274" i="5"/>
  <c r="N273" i="5"/>
  <c r="M273" i="5"/>
  <c r="L273" i="5"/>
  <c r="R273" i="5" s="1"/>
  <c r="K273" i="5"/>
  <c r="N272" i="5"/>
  <c r="M272" i="5"/>
  <c r="L272" i="5"/>
  <c r="R272" i="5" s="1"/>
  <c r="K272" i="5"/>
  <c r="N271" i="5"/>
  <c r="M271" i="5"/>
  <c r="L271" i="5"/>
  <c r="R271" i="5" s="1"/>
  <c r="K271" i="5"/>
  <c r="N270" i="5"/>
  <c r="M270" i="5"/>
  <c r="L270" i="5"/>
  <c r="R270" i="5" s="1"/>
  <c r="K270" i="5"/>
  <c r="N269" i="5"/>
  <c r="M269" i="5"/>
  <c r="L269" i="5"/>
  <c r="R269" i="5" s="1"/>
  <c r="K269" i="5"/>
  <c r="N268" i="5"/>
  <c r="M268" i="5"/>
  <c r="L268" i="5"/>
  <c r="R268" i="5" s="1"/>
  <c r="K268" i="5"/>
  <c r="N267" i="5"/>
  <c r="M267" i="5"/>
  <c r="L267" i="5"/>
  <c r="R267" i="5" s="1"/>
  <c r="K267" i="5"/>
  <c r="N266" i="5"/>
  <c r="M266" i="5"/>
  <c r="L266" i="5"/>
  <c r="R266" i="5" s="1"/>
  <c r="K266" i="5"/>
  <c r="N265" i="5"/>
  <c r="M265" i="5"/>
  <c r="L265" i="5"/>
  <c r="R265" i="5" s="1"/>
  <c r="K265" i="5"/>
  <c r="N264" i="5"/>
  <c r="M264" i="5"/>
  <c r="L264" i="5"/>
  <c r="R264" i="5" s="1"/>
  <c r="K264" i="5"/>
  <c r="N263" i="5"/>
  <c r="M263" i="5"/>
  <c r="L263" i="5"/>
  <c r="R263" i="5" s="1"/>
  <c r="K263" i="5"/>
  <c r="N262" i="5"/>
  <c r="M262" i="5"/>
  <c r="L262" i="5"/>
  <c r="R262" i="5" s="1"/>
  <c r="K262" i="5"/>
  <c r="N261" i="5"/>
  <c r="M261" i="5"/>
  <c r="L261" i="5"/>
  <c r="R261" i="5" s="1"/>
  <c r="K261" i="5"/>
  <c r="N260" i="5"/>
  <c r="M260" i="5"/>
  <c r="L260" i="5"/>
  <c r="R260" i="5" s="1"/>
  <c r="K260" i="5"/>
  <c r="N259" i="5"/>
  <c r="M259" i="5"/>
  <c r="L259" i="5"/>
  <c r="R259" i="5" s="1"/>
  <c r="K259" i="5"/>
  <c r="N258" i="5"/>
  <c r="M258" i="5"/>
  <c r="L258" i="5"/>
  <c r="R258" i="5" s="1"/>
  <c r="K258" i="5"/>
  <c r="N257" i="5"/>
  <c r="M257" i="5"/>
  <c r="L257" i="5"/>
  <c r="R257" i="5" s="1"/>
  <c r="K257" i="5"/>
  <c r="N256" i="5"/>
  <c r="M256" i="5"/>
  <c r="L256" i="5"/>
  <c r="R256" i="5" s="1"/>
  <c r="K256" i="5"/>
  <c r="N255" i="5"/>
  <c r="M255" i="5"/>
  <c r="L255" i="5"/>
  <c r="R255" i="5" s="1"/>
  <c r="K255" i="5"/>
  <c r="N254" i="5"/>
  <c r="M254" i="5"/>
  <c r="L254" i="5"/>
  <c r="R254" i="5" s="1"/>
  <c r="K254" i="5"/>
  <c r="N253" i="5"/>
  <c r="M253" i="5"/>
  <c r="L253" i="5"/>
  <c r="R253" i="5" s="1"/>
  <c r="K253" i="5"/>
  <c r="N252" i="5"/>
  <c r="M252" i="5"/>
  <c r="L252" i="5"/>
  <c r="R252" i="5" s="1"/>
  <c r="K252" i="5"/>
  <c r="N251" i="5"/>
  <c r="M251" i="5"/>
  <c r="L251" i="5"/>
  <c r="R251" i="5" s="1"/>
  <c r="K251" i="5"/>
  <c r="N250" i="5"/>
  <c r="M250" i="5"/>
  <c r="L250" i="5"/>
  <c r="R250" i="5" s="1"/>
  <c r="K250" i="5"/>
  <c r="N249" i="5"/>
  <c r="M249" i="5"/>
  <c r="L249" i="5"/>
  <c r="R249" i="5" s="1"/>
  <c r="K249" i="5"/>
  <c r="N248" i="5"/>
  <c r="M248" i="5"/>
  <c r="L248" i="5"/>
  <c r="R248" i="5" s="1"/>
  <c r="K248" i="5"/>
  <c r="N247" i="5"/>
  <c r="M247" i="5"/>
  <c r="L247" i="5"/>
  <c r="R247" i="5" s="1"/>
  <c r="K247" i="5"/>
  <c r="N246" i="5"/>
  <c r="M246" i="5"/>
  <c r="L246" i="5"/>
  <c r="R246" i="5" s="1"/>
  <c r="K246" i="5"/>
  <c r="N245" i="5"/>
  <c r="M245" i="5"/>
  <c r="L245" i="5"/>
  <c r="R245" i="5" s="1"/>
  <c r="K245" i="5"/>
  <c r="N244" i="5"/>
  <c r="M244" i="5"/>
  <c r="L244" i="5"/>
  <c r="R244" i="5" s="1"/>
  <c r="K244" i="5"/>
  <c r="N243" i="5"/>
  <c r="M243" i="5"/>
  <c r="L243" i="5"/>
  <c r="R243" i="5" s="1"/>
  <c r="K243" i="5"/>
  <c r="N242" i="5"/>
  <c r="M242" i="5"/>
  <c r="L242" i="5"/>
  <c r="R242" i="5" s="1"/>
  <c r="K242" i="5"/>
  <c r="N241" i="5"/>
  <c r="M241" i="5"/>
  <c r="L241" i="5"/>
  <c r="R241" i="5" s="1"/>
  <c r="K241" i="5"/>
  <c r="N240" i="5"/>
  <c r="M240" i="5"/>
  <c r="L240" i="5"/>
  <c r="R240" i="5" s="1"/>
  <c r="K240" i="5"/>
  <c r="N239" i="5"/>
  <c r="M239" i="5"/>
  <c r="L239" i="5"/>
  <c r="R239" i="5" s="1"/>
  <c r="K239" i="5"/>
  <c r="N238" i="5"/>
  <c r="M238" i="5"/>
  <c r="L238" i="5"/>
  <c r="R238" i="5" s="1"/>
  <c r="K238" i="5"/>
  <c r="N237" i="5"/>
  <c r="M237" i="5"/>
  <c r="L237" i="5"/>
  <c r="R237" i="5" s="1"/>
  <c r="K237" i="5"/>
  <c r="N236" i="5"/>
  <c r="M236" i="5"/>
  <c r="L236" i="5"/>
  <c r="R236" i="5" s="1"/>
  <c r="K236" i="5"/>
  <c r="N235" i="5"/>
  <c r="M235" i="5"/>
  <c r="L235" i="5"/>
  <c r="R235" i="5" s="1"/>
  <c r="K235" i="5"/>
  <c r="N234" i="5"/>
  <c r="M234" i="5"/>
  <c r="L234" i="5"/>
  <c r="R234" i="5" s="1"/>
  <c r="K234" i="5"/>
  <c r="N233" i="5"/>
  <c r="M233" i="5"/>
  <c r="L233" i="5"/>
  <c r="R233" i="5" s="1"/>
  <c r="K233" i="5"/>
  <c r="N232" i="5"/>
  <c r="M232" i="5"/>
  <c r="L232" i="5"/>
  <c r="R232" i="5" s="1"/>
  <c r="K232" i="5"/>
  <c r="N231" i="5"/>
  <c r="M231" i="5"/>
  <c r="L231" i="5"/>
  <c r="R231" i="5" s="1"/>
  <c r="K231" i="5"/>
  <c r="N230" i="5"/>
  <c r="M230" i="5"/>
  <c r="L230" i="5"/>
  <c r="R230" i="5" s="1"/>
  <c r="K230" i="5"/>
  <c r="N229" i="5"/>
  <c r="M229" i="5"/>
  <c r="L229" i="5"/>
  <c r="R229" i="5" s="1"/>
  <c r="K229" i="5"/>
  <c r="N228" i="5"/>
  <c r="M228" i="5"/>
  <c r="L228" i="5"/>
  <c r="R228" i="5" s="1"/>
  <c r="K228" i="5"/>
  <c r="N227" i="5"/>
  <c r="M227" i="5"/>
  <c r="L227" i="5"/>
  <c r="R227" i="5" s="1"/>
  <c r="K227" i="5"/>
  <c r="N226" i="5"/>
  <c r="M226" i="5"/>
  <c r="L226" i="5"/>
  <c r="R226" i="5" s="1"/>
  <c r="K226" i="5"/>
  <c r="N225" i="5"/>
  <c r="M225" i="5"/>
  <c r="L225" i="5"/>
  <c r="R225" i="5" s="1"/>
  <c r="K225" i="5"/>
  <c r="N224" i="5"/>
  <c r="M224" i="5"/>
  <c r="L224" i="5"/>
  <c r="R224" i="5" s="1"/>
  <c r="K224" i="5"/>
  <c r="N223" i="5"/>
  <c r="M223" i="5"/>
  <c r="L223" i="5"/>
  <c r="R223" i="5" s="1"/>
  <c r="K223" i="5"/>
  <c r="N222" i="5"/>
  <c r="M222" i="5"/>
  <c r="L222" i="5"/>
  <c r="R222" i="5" s="1"/>
  <c r="K222" i="5"/>
  <c r="N221" i="5"/>
  <c r="M221" i="5"/>
  <c r="L221" i="5"/>
  <c r="R221" i="5" s="1"/>
  <c r="K221" i="5"/>
  <c r="N220" i="5"/>
  <c r="M220" i="5"/>
  <c r="L220" i="5"/>
  <c r="R220" i="5" s="1"/>
  <c r="K220" i="5"/>
  <c r="N219" i="5"/>
  <c r="M219" i="5"/>
  <c r="L219" i="5"/>
  <c r="R219" i="5" s="1"/>
  <c r="K219" i="5"/>
  <c r="N218" i="5"/>
  <c r="M218" i="5"/>
  <c r="L218" i="5"/>
  <c r="R218" i="5" s="1"/>
  <c r="K218" i="5"/>
  <c r="N217" i="5"/>
  <c r="M217" i="5"/>
  <c r="L217" i="5"/>
  <c r="R217" i="5" s="1"/>
  <c r="K217" i="5"/>
  <c r="N216" i="5"/>
  <c r="M216" i="5"/>
  <c r="L216" i="5"/>
  <c r="R216" i="5" s="1"/>
  <c r="K216" i="5"/>
  <c r="N215" i="5"/>
  <c r="M215" i="5"/>
  <c r="L215" i="5"/>
  <c r="R215" i="5" s="1"/>
  <c r="K215" i="5"/>
  <c r="N214" i="5"/>
  <c r="M214" i="5"/>
  <c r="L214" i="5"/>
  <c r="R214" i="5" s="1"/>
  <c r="K214" i="5"/>
  <c r="N213" i="5"/>
  <c r="M213" i="5"/>
  <c r="L213" i="5"/>
  <c r="R213" i="5" s="1"/>
  <c r="K213" i="5"/>
  <c r="N212" i="5"/>
  <c r="M212" i="5"/>
  <c r="L212" i="5"/>
  <c r="R212" i="5" s="1"/>
  <c r="K212" i="5"/>
  <c r="N211" i="5"/>
  <c r="M211" i="5"/>
  <c r="L211" i="5"/>
  <c r="R211" i="5" s="1"/>
  <c r="K211" i="5"/>
  <c r="N210" i="5"/>
  <c r="M210" i="5"/>
  <c r="L210" i="5"/>
  <c r="R210" i="5" s="1"/>
  <c r="K210" i="5"/>
  <c r="N209" i="5"/>
  <c r="M209" i="5"/>
  <c r="L209" i="5"/>
  <c r="R209" i="5" s="1"/>
  <c r="K209" i="5"/>
  <c r="N208" i="5"/>
  <c r="M208" i="5"/>
  <c r="L208" i="5"/>
  <c r="R208" i="5" s="1"/>
  <c r="K208" i="5"/>
  <c r="N207" i="5"/>
  <c r="M207" i="5"/>
  <c r="L207" i="5"/>
  <c r="R207" i="5" s="1"/>
  <c r="K207" i="5"/>
  <c r="N206" i="5"/>
  <c r="M206" i="5"/>
  <c r="L206" i="5"/>
  <c r="R206" i="5" s="1"/>
  <c r="K206" i="5"/>
  <c r="N205" i="5"/>
  <c r="M205" i="5"/>
  <c r="L205" i="5"/>
  <c r="R205" i="5" s="1"/>
  <c r="K205" i="5"/>
  <c r="N204" i="5"/>
  <c r="M204" i="5"/>
  <c r="L204" i="5"/>
  <c r="R204" i="5" s="1"/>
  <c r="K204" i="5"/>
  <c r="N203" i="5"/>
  <c r="M203" i="5"/>
  <c r="L203" i="5"/>
  <c r="R203" i="5" s="1"/>
  <c r="K203" i="5"/>
  <c r="N202" i="5"/>
  <c r="M202" i="5"/>
  <c r="L202" i="5"/>
  <c r="R202" i="5" s="1"/>
  <c r="K202" i="5"/>
  <c r="N201" i="5"/>
  <c r="M201" i="5"/>
  <c r="L201" i="5"/>
  <c r="R201" i="5" s="1"/>
  <c r="K201" i="5"/>
  <c r="N200" i="5"/>
  <c r="M200" i="5"/>
  <c r="L200" i="5"/>
  <c r="R200" i="5" s="1"/>
  <c r="K200" i="5"/>
  <c r="N199" i="5"/>
  <c r="M199" i="5"/>
  <c r="L199" i="5"/>
  <c r="R199" i="5" s="1"/>
  <c r="K199" i="5"/>
  <c r="N198" i="5"/>
  <c r="M198" i="5"/>
  <c r="L198" i="5"/>
  <c r="R198" i="5" s="1"/>
  <c r="K198" i="5"/>
  <c r="N197" i="5"/>
  <c r="M197" i="5"/>
  <c r="L197" i="5"/>
  <c r="R197" i="5" s="1"/>
  <c r="K197" i="5"/>
  <c r="N196" i="5"/>
  <c r="M196" i="5"/>
  <c r="L196" i="5"/>
  <c r="R196" i="5" s="1"/>
  <c r="K196" i="5"/>
  <c r="N195" i="5"/>
  <c r="M195" i="5"/>
  <c r="L195" i="5"/>
  <c r="R195" i="5" s="1"/>
  <c r="K195" i="5"/>
  <c r="N194" i="5"/>
  <c r="M194" i="5"/>
  <c r="L194" i="5"/>
  <c r="R194" i="5" s="1"/>
  <c r="K194" i="5"/>
  <c r="N193" i="5"/>
  <c r="M193" i="5"/>
  <c r="L193" i="5"/>
  <c r="R193" i="5" s="1"/>
  <c r="K193" i="5"/>
  <c r="N192" i="5"/>
  <c r="M192" i="5"/>
  <c r="L192" i="5"/>
  <c r="R192" i="5" s="1"/>
  <c r="K192" i="5"/>
  <c r="N191" i="5"/>
  <c r="M191" i="5"/>
  <c r="L191" i="5"/>
  <c r="R191" i="5" s="1"/>
  <c r="K191" i="5"/>
  <c r="N190" i="5"/>
  <c r="M190" i="5"/>
  <c r="L190" i="5"/>
  <c r="R190" i="5" s="1"/>
  <c r="K190" i="5"/>
  <c r="N189" i="5"/>
  <c r="M189" i="5"/>
  <c r="L189" i="5"/>
  <c r="R189" i="5" s="1"/>
  <c r="K189" i="5"/>
  <c r="N188" i="5"/>
  <c r="M188" i="5"/>
  <c r="L188" i="5"/>
  <c r="R188" i="5" s="1"/>
  <c r="K188" i="5"/>
  <c r="N187" i="5"/>
  <c r="M187" i="5"/>
  <c r="L187" i="5"/>
  <c r="R187" i="5" s="1"/>
  <c r="K187" i="5"/>
  <c r="N186" i="5"/>
  <c r="M186" i="5"/>
  <c r="L186" i="5"/>
  <c r="R186" i="5" s="1"/>
  <c r="K186" i="5"/>
  <c r="N185" i="5"/>
  <c r="M185" i="5"/>
  <c r="L185" i="5"/>
  <c r="R185" i="5" s="1"/>
  <c r="K185" i="5"/>
  <c r="N184" i="5"/>
  <c r="M184" i="5"/>
  <c r="L184" i="5"/>
  <c r="R184" i="5" s="1"/>
  <c r="K184" i="5"/>
  <c r="N183" i="5"/>
  <c r="M183" i="5"/>
  <c r="L183" i="5"/>
  <c r="R183" i="5" s="1"/>
  <c r="K183" i="5"/>
  <c r="N182" i="5"/>
  <c r="M182" i="5"/>
  <c r="L182" i="5"/>
  <c r="R182" i="5" s="1"/>
  <c r="K182" i="5"/>
  <c r="N181" i="5"/>
  <c r="M181" i="5"/>
  <c r="L181" i="5"/>
  <c r="R181" i="5" s="1"/>
  <c r="K181" i="5"/>
  <c r="N180" i="5"/>
  <c r="M180" i="5"/>
  <c r="L180" i="5"/>
  <c r="R180" i="5" s="1"/>
  <c r="K180" i="5"/>
  <c r="N179" i="5"/>
  <c r="M179" i="5"/>
  <c r="L179" i="5"/>
  <c r="R179" i="5" s="1"/>
  <c r="K179" i="5"/>
  <c r="N178" i="5"/>
  <c r="M178" i="5"/>
  <c r="L178" i="5"/>
  <c r="R178" i="5" s="1"/>
  <c r="K178" i="5"/>
  <c r="N177" i="5"/>
  <c r="M177" i="5"/>
  <c r="L177" i="5"/>
  <c r="R177" i="5" s="1"/>
  <c r="K177" i="5"/>
  <c r="N176" i="5"/>
  <c r="M176" i="5"/>
  <c r="L176" i="5"/>
  <c r="R176" i="5" s="1"/>
  <c r="K176" i="5"/>
  <c r="N175" i="5"/>
  <c r="M175" i="5"/>
  <c r="L175" i="5"/>
  <c r="R175" i="5" s="1"/>
  <c r="K175" i="5"/>
  <c r="N174" i="5"/>
  <c r="M174" i="5"/>
  <c r="L174" i="5"/>
  <c r="R174" i="5" s="1"/>
  <c r="K174" i="5"/>
  <c r="N173" i="5"/>
  <c r="M173" i="5"/>
  <c r="L173" i="5"/>
  <c r="R173" i="5" s="1"/>
  <c r="K173" i="5"/>
  <c r="N172" i="5"/>
  <c r="M172" i="5"/>
  <c r="L172" i="5"/>
  <c r="R172" i="5" s="1"/>
  <c r="K172" i="5"/>
  <c r="N171" i="5"/>
  <c r="M171" i="5"/>
  <c r="L171" i="5"/>
  <c r="R171" i="5" s="1"/>
  <c r="K171" i="5"/>
  <c r="N170" i="5"/>
  <c r="M170" i="5"/>
  <c r="L170" i="5"/>
  <c r="R170" i="5" s="1"/>
  <c r="K170" i="5"/>
  <c r="N169" i="5"/>
  <c r="M169" i="5"/>
  <c r="L169" i="5"/>
  <c r="R169" i="5" s="1"/>
  <c r="K169" i="5"/>
  <c r="N168" i="5"/>
  <c r="M168" i="5"/>
  <c r="L168" i="5"/>
  <c r="R168" i="5" s="1"/>
  <c r="K168" i="5"/>
  <c r="N167" i="5"/>
  <c r="M167" i="5"/>
  <c r="L167" i="5"/>
  <c r="R167" i="5" s="1"/>
  <c r="K167" i="5"/>
  <c r="N166" i="5"/>
  <c r="M166" i="5"/>
  <c r="L166" i="5"/>
  <c r="R166" i="5" s="1"/>
  <c r="K166" i="5"/>
  <c r="N165" i="5"/>
  <c r="M165" i="5"/>
  <c r="L165" i="5"/>
  <c r="R165" i="5" s="1"/>
  <c r="K165" i="5"/>
  <c r="N164" i="5"/>
  <c r="M164" i="5"/>
  <c r="L164" i="5"/>
  <c r="R164" i="5" s="1"/>
  <c r="K164" i="5"/>
  <c r="N163" i="5"/>
  <c r="M163" i="5"/>
  <c r="L163" i="5"/>
  <c r="R163" i="5" s="1"/>
  <c r="K163" i="5"/>
  <c r="N162" i="5"/>
  <c r="M162" i="5"/>
  <c r="L162" i="5"/>
  <c r="R162" i="5" s="1"/>
  <c r="K162" i="5"/>
  <c r="N161" i="5"/>
  <c r="M161" i="5"/>
  <c r="L161" i="5"/>
  <c r="R161" i="5" s="1"/>
  <c r="K161" i="5"/>
  <c r="N160" i="5"/>
  <c r="M160" i="5"/>
  <c r="L160" i="5"/>
  <c r="R160" i="5" s="1"/>
  <c r="K160" i="5"/>
  <c r="N159" i="5"/>
  <c r="M159" i="5"/>
  <c r="L159" i="5"/>
  <c r="R159" i="5" s="1"/>
  <c r="K159" i="5"/>
  <c r="N158" i="5"/>
  <c r="M158" i="5"/>
  <c r="L158" i="5"/>
  <c r="R158" i="5" s="1"/>
  <c r="K158" i="5"/>
  <c r="N157" i="5"/>
  <c r="M157" i="5"/>
  <c r="L157" i="5"/>
  <c r="R157" i="5" s="1"/>
  <c r="K157" i="5"/>
  <c r="N156" i="5"/>
  <c r="M156" i="5"/>
  <c r="L156" i="5"/>
  <c r="R156" i="5" s="1"/>
  <c r="K156" i="5"/>
  <c r="N155" i="5"/>
  <c r="M155" i="5"/>
  <c r="L155" i="5"/>
  <c r="R155" i="5" s="1"/>
  <c r="K155" i="5"/>
  <c r="N154" i="5"/>
  <c r="M154" i="5"/>
  <c r="L154" i="5"/>
  <c r="R154" i="5" s="1"/>
  <c r="K154" i="5"/>
  <c r="N153" i="5"/>
  <c r="M153" i="5"/>
  <c r="L153" i="5"/>
  <c r="R153" i="5" s="1"/>
  <c r="K153" i="5"/>
  <c r="N152" i="5"/>
  <c r="M152" i="5"/>
  <c r="L152" i="5"/>
  <c r="R152" i="5" s="1"/>
  <c r="K152" i="5"/>
  <c r="N151" i="5"/>
  <c r="M151" i="5"/>
  <c r="L151" i="5"/>
  <c r="R151" i="5" s="1"/>
  <c r="K151" i="5"/>
  <c r="N150" i="5"/>
  <c r="M150" i="5"/>
  <c r="L150" i="5"/>
  <c r="R150" i="5" s="1"/>
  <c r="K150" i="5"/>
  <c r="N149" i="5"/>
  <c r="M149" i="5"/>
  <c r="L149" i="5"/>
  <c r="R149" i="5" s="1"/>
  <c r="K149" i="5"/>
  <c r="N148" i="5"/>
  <c r="M148" i="5"/>
  <c r="L148" i="5"/>
  <c r="R148" i="5" s="1"/>
  <c r="K148" i="5"/>
  <c r="N147" i="5"/>
  <c r="M147" i="5"/>
  <c r="L147" i="5"/>
  <c r="R147" i="5" s="1"/>
  <c r="K147" i="5"/>
  <c r="N146" i="5"/>
  <c r="M146" i="5"/>
  <c r="L146" i="5"/>
  <c r="R146" i="5" s="1"/>
  <c r="K146" i="5"/>
  <c r="N145" i="5"/>
  <c r="M145" i="5"/>
  <c r="L145" i="5"/>
  <c r="R145" i="5" s="1"/>
  <c r="K145" i="5"/>
  <c r="N144" i="5"/>
  <c r="M144" i="5"/>
  <c r="L144" i="5"/>
  <c r="R144" i="5" s="1"/>
  <c r="K144" i="5"/>
  <c r="N143" i="5"/>
  <c r="M143" i="5"/>
  <c r="L143" i="5"/>
  <c r="R143" i="5" s="1"/>
  <c r="K143" i="5"/>
  <c r="N142" i="5"/>
  <c r="M142" i="5"/>
  <c r="L142" i="5"/>
  <c r="R142" i="5" s="1"/>
  <c r="K142" i="5"/>
  <c r="N141" i="5"/>
  <c r="M141" i="5"/>
  <c r="L141" i="5"/>
  <c r="R141" i="5" s="1"/>
  <c r="K141" i="5"/>
  <c r="N140" i="5"/>
  <c r="M140" i="5"/>
  <c r="L140" i="5"/>
  <c r="R140" i="5" s="1"/>
  <c r="K140" i="5"/>
  <c r="N139" i="5"/>
  <c r="M139" i="5"/>
  <c r="L139" i="5"/>
  <c r="R139" i="5" s="1"/>
  <c r="K139" i="5"/>
  <c r="N138" i="5"/>
  <c r="M138" i="5"/>
  <c r="L138" i="5"/>
  <c r="R138" i="5" s="1"/>
  <c r="K138" i="5"/>
  <c r="N137" i="5"/>
  <c r="M137" i="5"/>
  <c r="L137" i="5"/>
  <c r="R137" i="5" s="1"/>
  <c r="K137" i="5"/>
  <c r="N136" i="5"/>
  <c r="M136" i="5"/>
  <c r="L136" i="5"/>
  <c r="R136" i="5" s="1"/>
  <c r="K136" i="5"/>
  <c r="N135" i="5"/>
  <c r="M135" i="5"/>
  <c r="L135" i="5"/>
  <c r="R135" i="5" s="1"/>
  <c r="K135" i="5"/>
  <c r="N134" i="5"/>
  <c r="M134" i="5"/>
  <c r="L134" i="5"/>
  <c r="R134" i="5" s="1"/>
  <c r="K134" i="5"/>
  <c r="N133" i="5"/>
  <c r="M133" i="5"/>
  <c r="L133" i="5"/>
  <c r="R133" i="5" s="1"/>
  <c r="K133" i="5"/>
  <c r="N132" i="5"/>
  <c r="M132" i="5"/>
  <c r="L132" i="5"/>
  <c r="R132" i="5" s="1"/>
  <c r="K132" i="5"/>
  <c r="N131" i="5"/>
  <c r="M131" i="5"/>
  <c r="L131" i="5"/>
  <c r="R131" i="5" s="1"/>
  <c r="K131" i="5"/>
  <c r="N130" i="5"/>
  <c r="M130" i="5"/>
  <c r="L130" i="5"/>
  <c r="R130" i="5" s="1"/>
  <c r="K130" i="5"/>
  <c r="N129" i="5"/>
  <c r="M129" i="5"/>
  <c r="L129" i="5"/>
  <c r="R129" i="5" s="1"/>
  <c r="K129" i="5"/>
  <c r="N128" i="5"/>
  <c r="M128" i="5"/>
  <c r="L128" i="5"/>
  <c r="R128" i="5" s="1"/>
  <c r="K128" i="5"/>
  <c r="N127" i="5"/>
  <c r="M127" i="5"/>
  <c r="L127" i="5"/>
  <c r="R127" i="5" s="1"/>
  <c r="K127" i="5"/>
  <c r="N126" i="5"/>
  <c r="M126" i="5"/>
  <c r="L126" i="5"/>
  <c r="R126" i="5" s="1"/>
  <c r="K126" i="5"/>
  <c r="N125" i="5"/>
  <c r="M125" i="5"/>
  <c r="L125" i="5"/>
  <c r="R125" i="5" s="1"/>
  <c r="K125" i="5"/>
  <c r="N124" i="5"/>
  <c r="M124" i="5"/>
  <c r="L124" i="5"/>
  <c r="R124" i="5" s="1"/>
  <c r="K124" i="5"/>
  <c r="N123" i="5"/>
  <c r="M123" i="5"/>
  <c r="L123" i="5"/>
  <c r="R123" i="5" s="1"/>
  <c r="K123" i="5"/>
  <c r="N122" i="5"/>
  <c r="M122" i="5"/>
  <c r="L122" i="5"/>
  <c r="R122" i="5" s="1"/>
  <c r="K122" i="5"/>
  <c r="N121" i="5"/>
  <c r="M121" i="5"/>
  <c r="L121" i="5"/>
  <c r="R121" i="5" s="1"/>
  <c r="K121" i="5"/>
  <c r="N120" i="5"/>
  <c r="M120" i="5"/>
  <c r="L120" i="5"/>
  <c r="R120" i="5" s="1"/>
  <c r="K120" i="5"/>
  <c r="N119" i="5"/>
  <c r="M119" i="5"/>
  <c r="L119" i="5"/>
  <c r="R119" i="5" s="1"/>
  <c r="K119" i="5"/>
  <c r="N118" i="5"/>
  <c r="M118" i="5"/>
  <c r="L118" i="5"/>
  <c r="R118" i="5" s="1"/>
  <c r="K118" i="5"/>
  <c r="N117" i="5"/>
  <c r="M117" i="5"/>
  <c r="L117" i="5"/>
  <c r="R117" i="5" s="1"/>
  <c r="K117" i="5"/>
  <c r="N116" i="5"/>
  <c r="M116" i="5"/>
  <c r="L116" i="5"/>
  <c r="R116" i="5" s="1"/>
  <c r="K116" i="5"/>
  <c r="N115" i="5"/>
  <c r="M115" i="5"/>
  <c r="L115" i="5"/>
  <c r="R115" i="5" s="1"/>
  <c r="K115" i="5"/>
  <c r="N114" i="5"/>
  <c r="M114" i="5"/>
  <c r="L114" i="5"/>
  <c r="R114" i="5" s="1"/>
  <c r="K114" i="5"/>
  <c r="N113" i="5"/>
  <c r="M113" i="5"/>
  <c r="L113" i="5"/>
  <c r="R113" i="5" s="1"/>
  <c r="K113" i="5"/>
  <c r="N112" i="5"/>
  <c r="M112" i="5"/>
  <c r="L112" i="5"/>
  <c r="R112" i="5" s="1"/>
  <c r="K112" i="5"/>
  <c r="N111" i="5"/>
  <c r="M111" i="5"/>
  <c r="L111" i="5"/>
  <c r="R111" i="5" s="1"/>
  <c r="K111" i="5"/>
  <c r="N110" i="5"/>
  <c r="M110" i="5"/>
  <c r="L110" i="5"/>
  <c r="R110" i="5" s="1"/>
  <c r="K110" i="5"/>
  <c r="N109" i="5"/>
  <c r="M109" i="5"/>
  <c r="L109" i="5"/>
  <c r="R109" i="5" s="1"/>
  <c r="K109" i="5"/>
  <c r="N108" i="5"/>
  <c r="M108" i="5"/>
  <c r="L108" i="5"/>
  <c r="R108" i="5" s="1"/>
  <c r="K108" i="5"/>
  <c r="N107" i="5"/>
  <c r="M107" i="5"/>
  <c r="L107" i="5"/>
  <c r="R107" i="5" s="1"/>
  <c r="K107" i="5"/>
  <c r="N106" i="5"/>
  <c r="M106" i="5"/>
  <c r="L106" i="5"/>
  <c r="R106" i="5" s="1"/>
  <c r="K106" i="5"/>
  <c r="N105" i="5"/>
  <c r="M105" i="5"/>
  <c r="L105" i="5"/>
  <c r="R105" i="5" s="1"/>
  <c r="K105" i="5"/>
  <c r="N104" i="5"/>
  <c r="M104" i="5"/>
  <c r="L104" i="5"/>
  <c r="R104" i="5" s="1"/>
  <c r="K104" i="5"/>
  <c r="N103" i="5"/>
  <c r="M103" i="5"/>
  <c r="L103" i="5"/>
  <c r="R103" i="5" s="1"/>
  <c r="K103" i="5"/>
  <c r="N102" i="5"/>
  <c r="M102" i="5"/>
  <c r="L102" i="5"/>
  <c r="R102" i="5" s="1"/>
  <c r="K102" i="5"/>
  <c r="N101" i="5"/>
  <c r="M101" i="5"/>
  <c r="L101" i="5"/>
  <c r="R101" i="5" s="1"/>
  <c r="K101" i="5"/>
  <c r="N100" i="5"/>
  <c r="M100" i="5"/>
  <c r="L100" i="5"/>
  <c r="R100" i="5" s="1"/>
  <c r="K100" i="5"/>
  <c r="N99" i="5"/>
  <c r="M99" i="5"/>
  <c r="L99" i="5"/>
  <c r="R99" i="5" s="1"/>
  <c r="K99" i="5"/>
  <c r="N98" i="5"/>
  <c r="M98" i="5"/>
  <c r="L98" i="5"/>
  <c r="R98" i="5" s="1"/>
  <c r="K98" i="5"/>
  <c r="N97" i="5"/>
  <c r="M97" i="5"/>
  <c r="L97" i="5"/>
  <c r="R97" i="5" s="1"/>
  <c r="K97" i="5"/>
  <c r="N96" i="5"/>
  <c r="M96" i="5"/>
  <c r="L96" i="5"/>
  <c r="R96" i="5" s="1"/>
  <c r="K96" i="5"/>
  <c r="N95" i="5"/>
  <c r="M95" i="5"/>
  <c r="L95" i="5"/>
  <c r="R95" i="5" s="1"/>
  <c r="K95" i="5"/>
  <c r="N94" i="5"/>
  <c r="M94" i="5"/>
  <c r="L94" i="5"/>
  <c r="R94" i="5" s="1"/>
  <c r="K94" i="5"/>
  <c r="N93" i="5"/>
  <c r="M93" i="5"/>
  <c r="L93" i="5"/>
  <c r="R93" i="5" s="1"/>
  <c r="K93" i="5"/>
  <c r="N92" i="5"/>
  <c r="M92" i="5"/>
  <c r="L92" i="5"/>
  <c r="R92" i="5" s="1"/>
  <c r="K92" i="5"/>
  <c r="N91" i="5"/>
  <c r="M91" i="5"/>
  <c r="L91" i="5"/>
  <c r="R91" i="5" s="1"/>
  <c r="K91" i="5"/>
  <c r="N90" i="5"/>
  <c r="M90" i="5"/>
  <c r="L90" i="5"/>
  <c r="R90" i="5" s="1"/>
  <c r="K90" i="5"/>
  <c r="N89" i="5"/>
  <c r="M89" i="5"/>
  <c r="L89" i="5"/>
  <c r="R89" i="5" s="1"/>
  <c r="K89" i="5"/>
  <c r="N88" i="5"/>
  <c r="M88" i="5"/>
  <c r="L88" i="5"/>
  <c r="R88" i="5" s="1"/>
  <c r="K88" i="5"/>
  <c r="N87" i="5"/>
  <c r="M87" i="5"/>
  <c r="L87" i="5"/>
  <c r="R87" i="5" s="1"/>
  <c r="K87" i="5"/>
  <c r="N86" i="5"/>
  <c r="M86" i="5"/>
  <c r="L86" i="5"/>
  <c r="R86" i="5" s="1"/>
  <c r="K86" i="5"/>
  <c r="N85" i="5"/>
  <c r="M85" i="5"/>
  <c r="L85" i="5"/>
  <c r="R85" i="5" s="1"/>
  <c r="K85" i="5"/>
  <c r="N84" i="5"/>
  <c r="M84" i="5"/>
  <c r="L84" i="5"/>
  <c r="R84" i="5" s="1"/>
  <c r="K84" i="5"/>
  <c r="N83" i="5"/>
  <c r="M83" i="5"/>
  <c r="L83" i="5"/>
  <c r="R83" i="5" s="1"/>
  <c r="K83" i="5"/>
  <c r="N82" i="5"/>
  <c r="M82" i="5"/>
  <c r="L82" i="5"/>
  <c r="R82" i="5" s="1"/>
  <c r="K82" i="5"/>
  <c r="N81" i="5"/>
  <c r="M81" i="5"/>
  <c r="L81" i="5"/>
  <c r="R81" i="5" s="1"/>
  <c r="K81" i="5"/>
  <c r="N80" i="5"/>
  <c r="M80" i="5"/>
  <c r="L80" i="5"/>
  <c r="R80" i="5" s="1"/>
  <c r="K80" i="5"/>
  <c r="N79" i="5"/>
  <c r="M79" i="5"/>
  <c r="L79" i="5"/>
  <c r="R79" i="5" s="1"/>
  <c r="K79" i="5"/>
  <c r="N78" i="5"/>
  <c r="M78" i="5"/>
  <c r="L78" i="5"/>
  <c r="R78" i="5" s="1"/>
  <c r="K78" i="5"/>
  <c r="N77" i="5"/>
  <c r="M77" i="5"/>
  <c r="L77" i="5"/>
  <c r="R77" i="5" s="1"/>
  <c r="K77" i="5"/>
  <c r="N76" i="5"/>
  <c r="M76" i="5"/>
  <c r="L76" i="5"/>
  <c r="R76" i="5" s="1"/>
  <c r="K76" i="5"/>
  <c r="N75" i="5"/>
  <c r="M75" i="5"/>
  <c r="L75" i="5"/>
  <c r="R75" i="5" s="1"/>
  <c r="K75" i="5"/>
  <c r="N74" i="5"/>
  <c r="M74" i="5"/>
  <c r="L74" i="5"/>
  <c r="R74" i="5" s="1"/>
  <c r="K74" i="5"/>
  <c r="N73" i="5"/>
  <c r="M73" i="5"/>
  <c r="L73" i="5"/>
  <c r="R73" i="5" s="1"/>
  <c r="K73" i="5"/>
  <c r="N72" i="5"/>
  <c r="M72" i="5"/>
  <c r="L72" i="5"/>
  <c r="R72" i="5" s="1"/>
  <c r="K72" i="5"/>
  <c r="N71" i="5"/>
  <c r="M71" i="5"/>
  <c r="L71" i="5"/>
  <c r="R71" i="5" s="1"/>
  <c r="K71" i="5"/>
  <c r="N70" i="5"/>
  <c r="M70" i="5"/>
  <c r="L70" i="5"/>
  <c r="R70" i="5" s="1"/>
  <c r="K70" i="5"/>
  <c r="N69" i="5"/>
  <c r="M69" i="5"/>
  <c r="L69" i="5"/>
  <c r="R69" i="5" s="1"/>
  <c r="K69" i="5"/>
  <c r="N68" i="5"/>
  <c r="M68" i="5"/>
  <c r="L68" i="5"/>
  <c r="R68" i="5" s="1"/>
  <c r="K68" i="5"/>
  <c r="N67" i="5"/>
  <c r="M67" i="5"/>
  <c r="L67" i="5"/>
  <c r="R67" i="5" s="1"/>
  <c r="K67" i="5"/>
  <c r="N66" i="5"/>
  <c r="M66" i="5"/>
  <c r="L66" i="5"/>
  <c r="R66" i="5" s="1"/>
  <c r="K66" i="5"/>
  <c r="N65" i="5"/>
  <c r="M65" i="5"/>
  <c r="L65" i="5"/>
  <c r="R65" i="5" s="1"/>
  <c r="K65" i="5"/>
  <c r="N64" i="5"/>
  <c r="M64" i="5"/>
  <c r="L64" i="5"/>
  <c r="R64" i="5" s="1"/>
  <c r="K64" i="5"/>
  <c r="N63" i="5"/>
  <c r="M63" i="5"/>
  <c r="L63" i="5"/>
  <c r="R63" i="5" s="1"/>
  <c r="K63" i="5"/>
  <c r="N62" i="5"/>
  <c r="M62" i="5"/>
  <c r="L62" i="5"/>
  <c r="R62" i="5" s="1"/>
  <c r="K62" i="5"/>
  <c r="N61" i="5"/>
  <c r="M61" i="5"/>
  <c r="L61" i="5"/>
  <c r="R61" i="5" s="1"/>
  <c r="K61" i="5"/>
  <c r="N60" i="5"/>
  <c r="M60" i="5"/>
  <c r="L60" i="5"/>
  <c r="R60" i="5" s="1"/>
  <c r="K60" i="5"/>
  <c r="N59" i="5"/>
  <c r="M59" i="5"/>
  <c r="L59" i="5"/>
  <c r="R59" i="5" s="1"/>
  <c r="K59" i="5"/>
  <c r="N58" i="5"/>
  <c r="M58" i="5"/>
  <c r="L58" i="5"/>
  <c r="R58" i="5" s="1"/>
  <c r="K58" i="5"/>
  <c r="N57" i="5"/>
  <c r="M57" i="5"/>
  <c r="L57" i="5"/>
  <c r="R57" i="5" s="1"/>
  <c r="K57" i="5"/>
  <c r="N56" i="5"/>
  <c r="M56" i="5"/>
  <c r="L56" i="5"/>
  <c r="R56" i="5" s="1"/>
  <c r="K56" i="5"/>
  <c r="N55" i="5"/>
  <c r="M55" i="5"/>
  <c r="L55" i="5"/>
  <c r="R55" i="5" s="1"/>
  <c r="K55" i="5"/>
  <c r="N54" i="5"/>
  <c r="M54" i="5"/>
  <c r="L54" i="5"/>
  <c r="R54" i="5" s="1"/>
  <c r="K54" i="5"/>
  <c r="N53" i="5"/>
  <c r="M53" i="5"/>
  <c r="L53" i="5"/>
  <c r="R53" i="5" s="1"/>
  <c r="K53" i="5"/>
  <c r="N52" i="5"/>
  <c r="M52" i="5"/>
  <c r="L52" i="5"/>
  <c r="R52" i="5" s="1"/>
  <c r="K52" i="5"/>
  <c r="N51" i="5"/>
  <c r="M51" i="5"/>
  <c r="L51" i="5"/>
  <c r="R51" i="5" s="1"/>
  <c r="K51" i="5"/>
  <c r="N50" i="5"/>
  <c r="M50" i="5"/>
  <c r="L50" i="5"/>
  <c r="R50" i="5" s="1"/>
  <c r="K50" i="5"/>
  <c r="N49" i="5"/>
  <c r="M49" i="5"/>
  <c r="L49" i="5"/>
  <c r="R49" i="5" s="1"/>
  <c r="K49" i="5"/>
  <c r="N48" i="5"/>
  <c r="M48" i="5"/>
  <c r="L48" i="5"/>
  <c r="R48" i="5" s="1"/>
  <c r="K48" i="5"/>
  <c r="N47" i="5"/>
  <c r="M47" i="5"/>
  <c r="L47" i="5"/>
  <c r="R47" i="5" s="1"/>
  <c r="K47" i="5"/>
  <c r="N46" i="5"/>
  <c r="M46" i="5"/>
  <c r="L46" i="5"/>
  <c r="R46" i="5" s="1"/>
  <c r="K46" i="5"/>
  <c r="N45" i="5"/>
  <c r="M45" i="5"/>
  <c r="L45" i="5"/>
  <c r="R45" i="5" s="1"/>
  <c r="K45" i="5"/>
  <c r="N44" i="5"/>
  <c r="M44" i="5"/>
  <c r="L44" i="5"/>
  <c r="R44" i="5" s="1"/>
  <c r="K44" i="5"/>
  <c r="N43" i="5"/>
  <c r="M43" i="5"/>
  <c r="L43" i="5"/>
  <c r="R43" i="5" s="1"/>
  <c r="K43" i="5"/>
  <c r="N42" i="5"/>
  <c r="M42" i="5"/>
  <c r="L42" i="5"/>
  <c r="R42" i="5" s="1"/>
  <c r="K42" i="5"/>
  <c r="N41" i="5"/>
  <c r="M41" i="5"/>
  <c r="L41" i="5"/>
  <c r="R41" i="5" s="1"/>
  <c r="K41" i="5"/>
  <c r="N40" i="5"/>
  <c r="M40" i="5"/>
  <c r="L40" i="5"/>
  <c r="R40" i="5" s="1"/>
  <c r="K40" i="5"/>
  <c r="N39" i="5"/>
  <c r="M39" i="5"/>
  <c r="L39" i="5"/>
  <c r="R39" i="5" s="1"/>
  <c r="K39" i="5"/>
  <c r="N38" i="5"/>
  <c r="M38" i="5"/>
  <c r="L38" i="5"/>
  <c r="R38" i="5" s="1"/>
  <c r="K38" i="5"/>
  <c r="N37" i="5"/>
  <c r="M37" i="5"/>
  <c r="L37" i="5"/>
  <c r="R37" i="5" s="1"/>
  <c r="K37" i="5"/>
  <c r="N36" i="5"/>
  <c r="M36" i="5"/>
  <c r="L36" i="5"/>
  <c r="R36" i="5" s="1"/>
  <c r="K36" i="5"/>
  <c r="N35" i="5"/>
  <c r="M35" i="5"/>
  <c r="L35" i="5"/>
  <c r="R35" i="5" s="1"/>
  <c r="K35" i="5"/>
  <c r="N34" i="5"/>
  <c r="M34" i="5"/>
  <c r="L34" i="5"/>
  <c r="R34" i="5" s="1"/>
  <c r="K34" i="5"/>
  <c r="N33" i="5"/>
  <c r="M33" i="5"/>
  <c r="L33" i="5"/>
  <c r="R33" i="5" s="1"/>
  <c r="K33" i="5"/>
  <c r="N32" i="5"/>
  <c r="M32" i="5"/>
  <c r="L32" i="5"/>
  <c r="R32" i="5" s="1"/>
  <c r="K32" i="5"/>
  <c r="N31" i="5"/>
  <c r="M31" i="5"/>
  <c r="L31" i="5"/>
  <c r="R31" i="5" s="1"/>
  <c r="K31" i="5"/>
  <c r="N30" i="5"/>
  <c r="M30" i="5"/>
  <c r="L30" i="5"/>
  <c r="R30" i="5" s="1"/>
  <c r="K30" i="5"/>
  <c r="N29" i="5"/>
  <c r="M29" i="5"/>
  <c r="L29" i="5"/>
  <c r="R29" i="5" s="1"/>
  <c r="K29" i="5"/>
  <c r="N28" i="5"/>
  <c r="M28" i="5"/>
  <c r="L28" i="5"/>
  <c r="R28" i="5" s="1"/>
  <c r="K28" i="5"/>
  <c r="N27" i="5"/>
  <c r="M27" i="5"/>
  <c r="L27" i="5"/>
  <c r="R27" i="5" s="1"/>
  <c r="K27" i="5"/>
  <c r="N26" i="5"/>
  <c r="M26" i="5"/>
  <c r="L26" i="5"/>
  <c r="R26" i="5" s="1"/>
  <c r="K26" i="5"/>
  <c r="N25" i="5"/>
  <c r="M25" i="5"/>
  <c r="L25" i="5"/>
  <c r="R25" i="5" s="1"/>
  <c r="K25" i="5"/>
  <c r="N24" i="5"/>
  <c r="M24" i="5"/>
  <c r="L24" i="5"/>
  <c r="R24" i="5" s="1"/>
  <c r="K24" i="5"/>
  <c r="N23" i="5"/>
  <c r="M23" i="5"/>
  <c r="L23" i="5"/>
  <c r="R23" i="5" s="1"/>
  <c r="K23" i="5"/>
  <c r="N22" i="5"/>
  <c r="M22" i="5"/>
  <c r="L22" i="5"/>
  <c r="R22" i="5" s="1"/>
  <c r="K22" i="5"/>
  <c r="N21" i="5"/>
  <c r="M21" i="5"/>
  <c r="L21" i="5"/>
  <c r="R21" i="5" s="1"/>
  <c r="K21" i="5"/>
  <c r="N20" i="5"/>
  <c r="M20" i="5"/>
  <c r="L20" i="5"/>
  <c r="R20" i="5" s="1"/>
  <c r="K20" i="5"/>
  <c r="N19" i="5"/>
  <c r="M19" i="5"/>
  <c r="L19" i="5"/>
  <c r="R19" i="5" s="1"/>
  <c r="K19" i="5"/>
  <c r="N18" i="5"/>
  <c r="M18" i="5"/>
  <c r="L18" i="5"/>
  <c r="R18" i="5" s="1"/>
  <c r="K18" i="5"/>
  <c r="N17" i="5"/>
  <c r="M17" i="5"/>
  <c r="L17" i="5"/>
  <c r="R17" i="5" s="1"/>
  <c r="K17" i="5"/>
  <c r="N16" i="5"/>
  <c r="M16" i="5"/>
  <c r="L16" i="5"/>
  <c r="R16" i="5" s="1"/>
  <c r="K16" i="5"/>
  <c r="N15" i="5"/>
  <c r="M15" i="5"/>
  <c r="L15" i="5"/>
  <c r="R15" i="5" s="1"/>
  <c r="K15" i="5"/>
  <c r="N14" i="5"/>
  <c r="M14" i="5"/>
  <c r="L14" i="5"/>
  <c r="R14" i="5" s="1"/>
  <c r="K14" i="5"/>
  <c r="M5" i="4"/>
  <c r="K5" i="4"/>
  <c r="I5" i="4"/>
  <c r="G5" i="4"/>
  <c r="G4" i="4"/>
  <c r="E4" i="4"/>
  <c r="C4" i="4"/>
  <c r="K2" i="4"/>
  <c r="E2" i="12" s="1"/>
  <c r="I2" i="4"/>
  <c r="E3" i="12" s="1"/>
  <c r="E2" i="4"/>
  <c r="E4" i="12" s="1"/>
  <c r="G2" i="4"/>
  <c r="E5" i="12" s="1"/>
  <c r="C2"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8" i="4"/>
  <c r="Y1007" i="4"/>
  <c r="X1007" i="4"/>
  <c r="W1007" i="4"/>
  <c r="V1007" i="4"/>
  <c r="U1007" i="4"/>
  <c r="T1007" i="4"/>
  <c r="O1007" i="4"/>
  <c r="M1007" i="4"/>
  <c r="L1007" i="4"/>
  <c r="K1007" i="4"/>
  <c r="Z1007" i="4" s="1" a="1"/>
  <c r="Z1007" i="4" s="1"/>
  <c r="Y1006" i="4"/>
  <c r="X1006" i="4"/>
  <c r="W1006" i="4"/>
  <c r="V1006" i="4"/>
  <c r="U1006" i="4"/>
  <c r="T1006" i="4"/>
  <c r="O1006" i="4"/>
  <c r="M1006" i="4"/>
  <c r="L1006" i="4"/>
  <c r="K1006" i="4"/>
  <c r="Z1006" i="4" s="1" a="1"/>
  <c r="Z1006" i="4" s="1"/>
  <c r="Y1005" i="4"/>
  <c r="X1005" i="4"/>
  <c r="W1005" i="4"/>
  <c r="V1005" i="4"/>
  <c r="U1005" i="4"/>
  <c r="T1005" i="4"/>
  <c r="O1005" i="4"/>
  <c r="M1005" i="4"/>
  <c r="L1005" i="4"/>
  <c r="K1005" i="4"/>
  <c r="Z1005" i="4" s="1" a="1"/>
  <c r="Z1005" i="4" s="1"/>
  <c r="Y1004" i="4"/>
  <c r="X1004" i="4"/>
  <c r="W1004" i="4"/>
  <c r="V1004" i="4"/>
  <c r="U1004" i="4"/>
  <c r="T1004" i="4"/>
  <c r="O1004" i="4"/>
  <c r="M1004" i="4"/>
  <c r="L1004" i="4"/>
  <c r="K1004" i="4"/>
  <c r="Z1004" i="4" s="1" a="1"/>
  <c r="Z1004" i="4" s="1"/>
  <c r="Y1003" i="4"/>
  <c r="X1003" i="4"/>
  <c r="W1003" i="4"/>
  <c r="V1003" i="4"/>
  <c r="U1003" i="4"/>
  <c r="T1003" i="4"/>
  <c r="O1003" i="4"/>
  <c r="M1003" i="4"/>
  <c r="L1003" i="4"/>
  <c r="K1003" i="4"/>
  <c r="Z1003" i="4" s="1" a="1"/>
  <c r="Z1003" i="4" s="1"/>
  <c r="Y1002" i="4"/>
  <c r="X1002" i="4"/>
  <c r="W1002" i="4"/>
  <c r="V1002" i="4"/>
  <c r="U1002" i="4"/>
  <c r="T1002" i="4"/>
  <c r="O1002" i="4"/>
  <c r="M1002" i="4"/>
  <c r="L1002" i="4"/>
  <c r="K1002" i="4"/>
  <c r="Z1002" i="4" s="1" a="1"/>
  <c r="Z1002" i="4" s="1"/>
  <c r="Y1001" i="4"/>
  <c r="X1001" i="4"/>
  <c r="W1001" i="4"/>
  <c r="V1001" i="4"/>
  <c r="U1001" i="4"/>
  <c r="T1001" i="4"/>
  <c r="O1001" i="4"/>
  <c r="M1001" i="4"/>
  <c r="L1001" i="4"/>
  <c r="K1001" i="4"/>
  <c r="Z1001" i="4" s="1" a="1"/>
  <c r="Z1001" i="4" s="1"/>
  <c r="Y1000" i="4"/>
  <c r="X1000" i="4"/>
  <c r="W1000" i="4"/>
  <c r="V1000" i="4"/>
  <c r="U1000" i="4"/>
  <c r="T1000" i="4"/>
  <c r="O1000" i="4"/>
  <c r="M1000" i="4"/>
  <c r="L1000" i="4"/>
  <c r="K1000" i="4"/>
  <c r="Z1000" i="4" s="1" a="1"/>
  <c r="Z1000" i="4" s="1"/>
  <c r="Y999" i="4"/>
  <c r="X999" i="4"/>
  <c r="W999" i="4"/>
  <c r="V999" i="4"/>
  <c r="U999" i="4"/>
  <c r="T999" i="4"/>
  <c r="O999" i="4"/>
  <c r="M999" i="4"/>
  <c r="L999" i="4"/>
  <c r="K999" i="4"/>
  <c r="Z999" i="4" s="1" a="1"/>
  <c r="Z999" i="4" s="1"/>
  <c r="Y998" i="4"/>
  <c r="X998" i="4"/>
  <c r="W998" i="4"/>
  <c r="V998" i="4"/>
  <c r="U998" i="4"/>
  <c r="T998" i="4"/>
  <c r="O998" i="4"/>
  <c r="M998" i="4"/>
  <c r="L998" i="4"/>
  <c r="K998" i="4"/>
  <c r="Z998" i="4" s="1" a="1"/>
  <c r="Z998" i="4" s="1"/>
  <c r="Y997" i="4"/>
  <c r="X997" i="4"/>
  <c r="W997" i="4"/>
  <c r="V997" i="4"/>
  <c r="U997" i="4"/>
  <c r="T997" i="4"/>
  <c r="O997" i="4"/>
  <c r="M997" i="4"/>
  <c r="L997" i="4"/>
  <c r="K997" i="4"/>
  <c r="Z997" i="4" s="1" a="1"/>
  <c r="Z997" i="4" s="1"/>
  <c r="Y996" i="4"/>
  <c r="X996" i="4"/>
  <c r="W996" i="4"/>
  <c r="V996" i="4"/>
  <c r="U996" i="4"/>
  <c r="T996" i="4"/>
  <c r="O996" i="4"/>
  <c r="M996" i="4"/>
  <c r="L996" i="4"/>
  <c r="K996" i="4"/>
  <c r="Z996" i="4" s="1" a="1"/>
  <c r="Z996" i="4" s="1"/>
  <c r="Y995" i="4"/>
  <c r="X995" i="4"/>
  <c r="W995" i="4"/>
  <c r="V995" i="4"/>
  <c r="U995" i="4"/>
  <c r="T995" i="4"/>
  <c r="O995" i="4"/>
  <c r="M995" i="4"/>
  <c r="L995" i="4"/>
  <c r="K995" i="4"/>
  <c r="Z995" i="4" s="1" a="1"/>
  <c r="Z995" i="4" s="1"/>
  <c r="Y994" i="4"/>
  <c r="X994" i="4"/>
  <c r="W994" i="4"/>
  <c r="V994" i="4"/>
  <c r="U994" i="4"/>
  <c r="T994" i="4"/>
  <c r="O994" i="4"/>
  <c r="M994" i="4"/>
  <c r="L994" i="4"/>
  <c r="K994" i="4"/>
  <c r="Z994" i="4" s="1" a="1"/>
  <c r="Z994" i="4" s="1"/>
  <c r="Y993" i="4"/>
  <c r="X993" i="4"/>
  <c r="W993" i="4"/>
  <c r="V993" i="4"/>
  <c r="U993" i="4"/>
  <c r="T993" i="4"/>
  <c r="O993" i="4"/>
  <c r="M993" i="4"/>
  <c r="L993" i="4"/>
  <c r="K993" i="4"/>
  <c r="Z993" i="4" s="1" a="1"/>
  <c r="Z993" i="4" s="1"/>
  <c r="Y992" i="4"/>
  <c r="X992" i="4"/>
  <c r="W992" i="4"/>
  <c r="V992" i="4"/>
  <c r="U992" i="4"/>
  <c r="T992" i="4"/>
  <c r="O992" i="4"/>
  <c r="M992" i="4"/>
  <c r="L992" i="4"/>
  <c r="K992" i="4"/>
  <c r="Z992" i="4" s="1" a="1"/>
  <c r="Z992" i="4" s="1"/>
  <c r="Y991" i="4"/>
  <c r="X991" i="4"/>
  <c r="W991" i="4"/>
  <c r="V991" i="4"/>
  <c r="U991" i="4"/>
  <c r="T991" i="4"/>
  <c r="O991" i="4"/>
  <c r="M991" i="4"/>
  <c r="L991" i="4"/>
  <c r="K991" i="4"/>
  <c r="Z991" i="4" s="1" a="1"/>
  <c r="Z991" i="4" s="1"/>
  <c r="Y990" i="4"/>
  <c r="X990" i="4"/>
  <c r="W990" i="4"/>
  <c r="V990" i="4"/>
  <c r="U990" i="4"/>
  <c r="T990" i="4"/>
  <c r="O990" i="4"/>
  <c r="M990" i="4"/>
  <c r="L990" i="4"/>
  <c r="K990" i="4"/>
  <c r="Z990" i="4" s="1" a="1"/>
  <c r="Z990" i="4" s="1"/>
  <c r="Y989" i="4"/>
  <c r="X989" i="4"/>
  <c r="W989" i="4"/>
  <c r="V989" i="4"/>
  <c r="U989" i="4"/>
  <c r="T989" i="4"/>
  <c r="O989" i="4"/>
  <c r="M989" i="4"/>
  <c r="L989" i="4"/>
  <c r="K989" i="4"/>
  <c r="Z989" i="4" s="1" a="1"/>
  <c r="Z989" i="4" s="1"/>
  <c r="Y988" i="4"/>
  <c r="X988" i="4"/>
  <c r="W988" i="4"/>
  <c r="V988" i="4"/>
  <c r="U988" i="4"/>
  <c r="T988" i="4"/>
  <c r="O988" i="4"/>
  <c r="M988" i="4"/>
  <c r="L988" i="4"/>
  <c r="K988" i="4"/>
  <c r="Z988" i="4" s="1" a="1"/>
  <c r="Z988" i="4" s="1"/>
  <c r="Y987" i="4"/>
  <c r="X987" i="4"/>
  <c r="W987" i="4"/>
  <c r="V987" i="4"/>
  <c r="U987" i="4"/>
  <c r="T987" i="4"/>
  <c r="O987" i="4"/>
  <c r="M987" i="4"/>
  <c r="L987" i="4"/>
  <c r="K987" i="4"/>
  <c r="Z987" i="4" s="1" a="1"/>
  <c r="Z987" i="4" s="1"/>
  <c r="Y986" i="4"/>
  <c r="X986" i="4"/>
  <c r="W986" i="4"/>
  <c r="V986" i="4"/>
  <c r="U986" i="4"/>
  <c r="T986" i="4"/>
  <c r="O986" i="4"/>
  <c r="M986" i="4"/>
  <c r="L986" i="4"/>
  <c r="K986" i="4"/>
  <c r="Z986" i="4" s="1" a="1"/>
  <c r="Z986" i="4" s="1"/>
  <c r="Y985" i="4"/>
  <c r="X985" i="4"/>
  <c r="W985" i="4"/>
  <c r="V985" i="4"/>
  <c r="U985" i="4"/>
  <c r="T985" i="4"/>
  <c r="O985" i="4"/>
  <c r="M985" i="4"/>
  <c r="L985" i="4"/>
  <c r="K985" i="4"/>
  <c r="Z985" i="4" s="1" a="1"/>
  <c r="Z985" i="4" s="1"/>
  <c r="Y984" i="4"/>
  <c r="X984" i="4"/>
  <c r="W984" i="4"/>
  <c r="V984" i="4"/>
  <c r="U984" i="4"/>
  <c r="T984" i="4"/>
  <c r="O984" i="4"/>
  <c r="M984" i="4"/>
  <c r="L984" i="4"/>
  <c r="K984" i="4"/>
  <c r="Z984" i="4" s="1" a="1"/>
  <c r="Z984" i="4" s="1"/>
  <c r="Y983" i="4"/>
  <c r="X983" i="4"/>
  <c r="W983" i="4"/>
  <c r="V983" i="4"/>
  <c r="U983" i="4"/>
  <c r="T983" i="4"/>
  <c r="O983" i="4"/>
  <c r="M983" i="4"/>
  <c r="L983" i="4"/>
  <c r="K983" i="4"/>
  <c r="Z983" i="4" s="1" a="1"/>
  <c r="Z983" i="4" s="1"/>
  <c r="Y982" i="4"/>
  <c r="X982" i="4"/>
  <c r="W982" i="4"/>
  <c r="V982" i="4"/>
  <c r="U982" i="4"/>
  <c r="T982" i="4"/>
  <c r="O982" i="4"/>
  <c r="M982" i="4"/>
  <c r="L982" i="4"/>
  <c r="K982" i="4"/>
  <c r="Z982" i="4" s="1" a="1"/>
  <c r="Z982" i="4" s="1"/>
  <c r="Y981" i="4"/>
  <c r="X981" i="4"/>
  <c r="W981" i="4"/>
  <c r="V981" i="4"/>
  <c r="U981" i="4"/>
  <c r="T981" i="4"/>
  <c r="O981" i="4"/>
  <c r="M981" i="4"/>
  <c r="L981" i="4"/>
  <c r="K981" i="4"/>
  <c r="Z981" i="4" s="1" a="1"/>
  <c r="Z981" i="4" s="1"/>
  <c r="Y980" i="4"/>
  <c r="X980" i="4"/>
  <c r="W980" i="4"/>
  <c r="V980" i="4"/>
  <c r="U980" i="4"/>
  <c r="T980" i="4"/>
  <c r="O980" i="4"/>
  <c r="M980" i="4"/>
  <c r="L980" i="4"/>
  <c r="K980" i="4"/>
  <c r="Z980" i="4" s="1" a="1"/>
  <c r="Z980" i="4" s="1"/>
  <c r="Y979" i="4"/>
  <c r="X979" i="4"/>
  <c r="W979" i="4"/>
  <c r="V979" i="4"/>
  <c r="U979" i="4"/>
  <c r="T979" i="4"/>
  <c r="O979" i="4"/>
  <c r="M979" i="4"/>
  <c r="L979" i="4"/>
  <c r="K979" i="4"/>
  <c r="Z979" i="4" s="1" a="1"/>
  <c r="Z979" i="4" s="1"/>
  <c r="Y978" i="4"/>
  <c r="X978" i="4"/>
  <c r="W978" i="4"/>
  <c r="V978" i="4"/>
  <c r="U978" i="4"/>
  <c r="T978" i="4"/>
  <c r="O978" i="4"/>
  <c r="M978" i="4"/>
  <c r="L978" i="4"/>
  <c r="K978" i="4"/>
  <c r="Z978" i="4" s="1" a="1"/>
  <c r="Z978" i="4" s="1"/>
  <c r="Y977" i="4"/>
  <c r="X977" i="4"/>
  <c r="W977" i="4"/>
  <c r="V977" i="4"/>
  <c r="U977" i="4"/>
  <c r="T977" i="4"/>
  <c r="O977" i="4"/>
  <c r="M977" i="4"/>
  <c r="L977" i="4"/>
  <c r="K977" i="4"/>
  <c r="Z977" i="4" s="1" a="1"/>
  <c r="Z977" i="4" s="1"/>
  <c r="Y976" i="4"/>
  <c r="X976" i="4"/>
  <c r="W976" i="4"/>
  <c r="V976" i="4"/>
  <c r="U976" i="4"/>
  <c r="T976" i="4"/>
  <c r="O976" i="4"/>
  <c r="M976" i="4"/>
  <c r="L976" i="4"/>
  <c r="K976" i="4"/>
  <c r="Z976" i="4" s="1" a="1"/>
  <c r="Z976" i="4" s="1"/>
  <c r="Y975" i="4"/>
  <c r="X975" i="4"/>
  <c r="W975" i="4"/>
  <c r="V975" i="4"/>
  <c r="U975" i="4"/>
  <c r="T975" i="4"/>
  <c r="O975" i="4"/>
  <c r="M975" i="4"/>
  <c r="L975" i="4"/>
  <c r="K975" i="4"/>
  <c r="Z975" i="4" s="1" a="1"/>
  <c r="Z975" i="4" s="1"/>
  <c r="Y974" i="4"/>
  <c r="X974" i="4"/>
  <c r="W974" i="4"/>
  <c r="V974" i="4"/>
  <c r="U974" i="4"/>
  <c r="T974" i="4"/>
  <c r="O974" i="4"/>
  <c r="M974" i="4"/>
  <c r="L974" i="4"/>
  <c r="K974" i="4"/>
  <c r="Z974" i="4" s="1" a="1"/>
  <c r="Z974" i="4" s="1"/>
  <c r="Y973" i="4"/>
  <c r="X973" i="4"/>
  <c r="W973" i="4"/>
  <c r="V973" i="4"/>
  <c r="U973" i="4"/>
  <c r="T973" i="4"/>
  <c r="O973" i="4"/>
  <c r="M973" i="4"/>
  <c r="L973" i="4"/>
  <c r="K973" i="4"/>
  <c r="Z973" i="4" s="1" a="1"/>
  <c r="Z973" i="4" s="1"/>
  <c r="Y972" i="4"/>
  <c r="X972" i="4"/>
  <c r="W972" i="4"/>
  <c r="V972" i="4"/>
  <c r="U972" i="4"/>
  <c r="T972" i="4"/>
  <c r="O972" i="4"/>
  <c r="M972" i="4"/>
  <c r="L972" i="4"/>
  <c r="K972" i="4"/>
  <c r="Z972" i="4" s="1" a="1"/>
  <c r="Z972" i="4" s="1"/>
  <c r="Y971" i="4"/>
  <c r="X971" i="4"/>
  <c r="W971" i="4"/>
  <c r="V971" i="4"/>
  <c r="U971" i="4"/>
  <c r="T971" i="4"/>
  <c r="O971" i="4"/>
  <c r="M971" i="4"/>
  <c r="L971" i="4"/>
  <c r="K971" i="4"/>
  <c r="Z971" i="4" s="1" a="1"/>
  <c r="Z971" i="4" s="1"/>
  <c r="Y970" i="4"/>
  <c r="X970" i="4"/>
  <c r="W970" i="4"/>
  <c r="V970" i="4"/>
  <c r="U970" i="4"/>
  <c r="T970" i="4"/>
  <c r="O970" i="4"/>
  <c r="M970" i="4"/>
  <c r="L970" i="4"/>
  <c r="K970" i="4"/>
  <c r="Z970" i="4" s="1" a="1"/>
  <c r="Z970" i="4" s="1"/>
  <c r="Y969" i="4"/>
  <c r="X969" i="4"/>
  <c r="W969" i="4"/>
  <c r="V969" i="4"/>
  <c r="U969" i="4"/>
  <c r="T969" i="4"/>
  <c r="O969" i="4"/>
  <c r="M969" i="4"/>
  <c r="L969" i="4"/>
  <c r="K969" i="4"/>
  <c r="Z969" i="4" s="1" a="1"/>
  <c r="Z969" i="4" s="1"/>
  <c r="Y968" i="4"/>
  <c r="X968" i="4"/>
  <c r="W968" i="4"/>
  <c r="V968" i="4"/>
  <c r="U968" i="4"/>
  <c r="T968" i="4"/>
  <c r="O968" i="4"/>
  <c r="M968" i="4"/>
  <c r="L968" i="4"/>
  <c r="K968" i="4"/>
  <c r="Z968" i="4" s="1" a="1"/>
  <c r="Z968" i="4" s="1"/>
  <c r="Y967" i="4"/>
  <c r="X967" i="4"/>
  <c r="W967" i="4"/>
  <c r="V967" i="4"/>
  <c r="U967" i="4"/>
  <c r="T967" i="4"/>
  <c r="O967" i="4"/>
  <c r="M967" i="4"/>
  <c r="L967" i="4"/>
  <c r="K967" i="4"/>
  <c r="Z967" i="4" s="1" a="1"/>
  <c r="Z967" i="4" s="1"/>
  <c r="Y966" i="4"/>
  <c r="X966" i="4"/>
  <c r="W966" i="4"/>
  <c r="V966" i="4"/>
  <c r="U966" i="4"/>
  <c r="T966" i="4"/>
  <c r="O966" i="4"/>
  <c r="M966" i="4"/>
  <c r="L966" i="4"/>
  <c r="K966" i="4"/>
  <c r="Z966" i="4" s="1" a="1"/>
  <c r="Z966" i="4" s="1"/>
  <c r="Y965" i="4"/>
  <c r="X965" i="4"/>
  <c r="W965" i="4"/>
  <c r="V965" i="4"/>
  <c r="U965" i="4"/>
  <c r="T965" i="4"/>
  <c r="O965" i="4"/>
  <c r="M965" i="4"/>
  <c r="L965" i="4"/>
  <c r="K965" i="4"/>
  <c r="Z965" i="4" s="1" a="1"/>
  <c r="Z965" i="4" s="1"/>
  <c r="Y964" i="4"/>
  <c r="X964" i="4"/>
  <c r="W964" i="4"/>
  <c r="V964" i="4"/>
  <c r="U964" i="4"/>
  <c r="T964" i="4"/>
  <c r="O964" i="4"/>
  <c r="M964" i="4"/>
  <c r="L964" i="4"/>
  <c r="K964" i="4"/>
  <c r="Z964" i="4" s="1" a="1"/>
  <c r="Z964" i="4" s="1"/>
  <c r="Y963" i="4"/>
  <c r="X963" i="4"/>
  <c r="W963" i="4"/>
  <c r="V963" i="4"/>
  <c r="U963" i="4"/>
  <c r="T963" i="4"/>
  <c r="O963" i="4"/>
  <c r="M963" i="4"/>
  <c r="L963" i="4"/>
  <c r="K963" i="4"/>
  <c r="Z963" i="4" s="1" a="1"/>
  <c r="Z963" i="4" s="1"/>
  <c r="Y962" i="4"/>
  <c r="X962" i="4"/>
  <c r="W962" i="4"/>
  <c r="V962" i="4"/>
  <c r="U962" i="4"/>
  <c r="T962" i="4"/>
  <c r="O962" i="4"/>
  <c r="M962" i="4"/>
  <c r="L962" i="4"/>
  <c r="K962" i="4"/>
  <c r="Z962" i="4" s="1" a="1"/>
  <c r="Z962" i="4" s="1"/>
  <c r="Y961" i="4"/>
  <c r="X961" i="4"/>
  <c r="W961" i="4"/>
  <c r="V961" i="4"/>
  <c r="U961" i="4"/>
  <c r="T961" i="4"/>
  <c r="O961" i="4"/>
  <c r="M961" i="4"/>
  <c r="L961" i="4"/>
  <c r="K961" i="4"/>
  <c r="Z961" i="4" s="1" a="1"/>
  <c r="Z961" i="4" s="1"/>
  <c r="Y960" i="4"/>
  <c r="X960" i="4"/>
  <c r="W960" i="4"/>
  <c r="V960" i="4"/>
  <c r="U960" i="4"/>
  <c r="T960" i="4"/>
  <c r="O960" i="4"/>
  <c r="M960" i="4"/>
  <c r="L960" i="4"/>
  <c r="K960" i="4"/>
  <c r="Z960" i="4" s="1" a="1"/>
  <c r="Z960" i="4" s="1"/>
  <c r="Y959" i="4"/>
  <c r="X959" i="4"/>
  <c r="W959" i="4"/>
  <c r="V959" i="4"/>
  <c r="U959" i="4"/>
  <c r="T959" i="4"/>
  <c r="O959" i="4"/>
  <c r="M959" i="4"/>
  <c r="L959" i="4"/>
  <c r="K959" i="4"/>
  <c r="Z959" i="4" s="1" a="1"/>
  <c r="Z959" i="4" s="1"/>
  <c r="Y958" i="4"/>
  <c r="X958" i="4"/>
  <c r="W958" i="4"/>
  <c r="V958" i="4"/>
  <c r="U958" i="4"/>
  <c r="T958" i="4"/>
  <c r="O958" i="4"/>
  <c r="M958" i="4"/>
  <c r="L958" i="4"/>
  <c r="K958" i="4"/>
  <c r="Z958" i="4" s="1" a="1"/>
  <c r="Z958" i="4" s="1"/>
  <c r="Y957" i="4"/>
  <c r="X957" i="4"/>
  <c r="W957" i="4"/>
  <c r="V957" i="4"/>
  <c r="U957" i="4"/>
  <c r="T957" i="4"/>
  <c r="O957" i="4"/>
  <c r="M957" i="4"/>
  <c r="L957" i="4"/>
  <c r="K957" i="4"/>
  <c r="Z957" i="4" s="1" a="1"/>
  <c r="Z957" i="4" s="1"/>
  <c r="Y956" i="4"/>
  <c r="X956" i="4"/>
  <c r="W956" i="4"/>
  <c r="V956" i="4"/>
  <c r="U956" i="4"/>
  <c r="T956" i="4"/>
  <c r="O956" i="4"/>
  <c r="M956" i="4"/>
  <c r="L956" i="4"/>
  <c r="K956" i="4"/>
  <c r="Z956" i="4" s="1" a="1"/>
  <c r="Z956" i="4" s="1"/>
  <c r="Y955" i="4"/>
  <c r="X955" i="4"/>
  <c r="W955" i="4"/>
  <c r="V955" i="4"/>
  <c r="U955" i="4"/>
  <c r="T955" i="4"/>
  <c r="O955" i="4"/>
  <c r="M955" i="4"/>
  <c r="L955" i="4"/>
  <c r="K955" i="4"/>
  <c r="Z955" i="4" s="1" a="1"/>
  <c r="Z955" i="4" s="1"/>
  <c r="Y954" i="4"/>
  <c r="X954" i="4"/>
  <c r="W954" i="4"/>
  <c r="V954" i="4"/>
  <c r="U954" i="4"/>
  <c r="T954" i="4"/>
  <c r="O954" i="4"/>
  <c r="M954" i="4"/>
  <c r="L954" i="4"/>
  <c r="K954" i="4"/>
  <c r="Z954" i="4" s="1" a="1"/>
  <c r="Z954" i="4" s="1"/>
  <c r="Y953" i="4"/>
  <c r="X953" i="4"/>
  <c r="W953" i="4"/>
  <c r="V953" i="4"/>
  <c r="U953" i="4"/>
  <c r="T953" i="4"/>
  <c r="O953" i="4"/>
  <c r="M953" i="4"/>
  <c r="L953" i="4"/>
  <c r="K953" i="4"/>
  <c r="Z953" i="4" s="1" a="1"/>
  <c r="Z953" i="4" s="1"/>
  <c r="Y952" i="4"/>
  <c r="X952" i="4"/>
  <c r="W952" i="4"/>
  <c r="V952" i="4"/>
  <c r="U952" i="4"/>
  <c r="T952" i="4"/>
  <c r="O952" i="4"/>
  <c r="M952" i="4"/>
  <c r="L952" i="4"/>
  <c r="K952" i="4"/>
  <c r="Z952" i="4" s="1" a="1"/>
  <c r="Z952" i="4" s="1"/>
  <c r="Y951" i="4"/>
  <c r="X951" i="4"/>
  <c r="W951" i="4"/>
  <c r="V951" i="4"/>
  <c r="U951" i="4"/>
  <c r="T951" i="4"/>
  <c r="O951" i="4"/>
  <c r="M951" i="4"/>
  <c r="L951" i="4"/>
  <c r="K951" i="4"/>
  <c r="Z951" i="4" s="1" a="1"/>
  <c r="Z951" i="4" s="1"/>
  <c r="Y950" i="4"/>
  <c r="X950" i="4"/>
  <c r="W950" i="4"/>
  <c r="V950" i="4"/>
  <c r="U950" i="4"/>
  <c r="T950" i="4"/>
  <c r="O950" i="4"/>
  <c r="M950" i="4"/>
  <c r="L950" i="4"/>
  <c r="K950" i="4"/>
  <c r="Z950" i="4" s="1" a="1"/>
  <c r="Z950" i="4" s="1"/>
  <c r="Y949" i="4"/>
  <c r="X949" i="4"/>
  <c r="W949" i="4"/>
  <c r="V949" i="4"/>
  <c r="U949" i="4"/>
  <c r="T949" i="4"/>
  <c r="O949" i="4"/>
  <c r="M949" i="4"/>
  <c r="L949" i="4"/>
  <c r="K949" i="4"/>
  <c r="Z949" i="4" s="1" a="1"/>
  <c r="Z949" i="4" s="1"/>
  <c r="Y948" i="4"/>
  <c r="X948" i="4"/>
  <c r="W948" i="4"/>
  <c r="V948" i="4"/>
  <c r="U948" i="4"/>
  <c r="T948" i="4"/>
  <c r="O948" i="4"/>
  <c r="M948" i="4"/>
  <c r="L948" i="4"/>
  <c r="K948" i="4"/>
  <c r="Z948" i="4" s="1" a="1"/>
  <c r="Z948" i="4" s="1"/>
  <c r="Y947" i="4"/>
  <c r="X947" i="4"/>
  <c r="W947" i="4"/>
  <c r="V947" i="4"/>
  <c r="U947" i="4"/>
  <c r="T947" i="4"/>
  <c r="O947" i="4"/>
  <c r="M947" i="4"/>
  <c r="L947" i="4"/>
  <c r="K947" i="4"/>
  <c r="Z947" i="4" s="1" a="1"/>
  <c r="Z947" i="4" s="1"/>
  <c r="Y946" i="4"/>
  <c r="X946" i="4"/>
  <c r="W946" i="4"/>
  <c r="V946" i="4"/>
  <c r="U946" i="4"/>
  <c r="T946" i="4"/>
  <c r="O946" i="4"/>
  <c r="M946" i="4"/>
  <c r="L946" i="4"/>
  <c r="K946" i="4"/>
  <c r="Z946" i="4" s="1" a="1"/>
  <c r="Z946" i="4" s="1"/>
  <c r="Y945" i="4"/>
  <c r="X945" i="4"/>
  <c r="W945" i="4"/>
  <c r="V945" i="4"/>
  <c r="U945" i="4"/>
  <c r="T945" i="4"/>
  <c r="O945" i="4"/>
  <c r="M945" i="4"/>
  <c r="L945" i="4"/>
  <c r="K945" i="4"/>
  <c r="Z945" i="4" s="1" a="1"/>
  <c r="Z945" i="4" s="1"/>
  <c r="Y944" i="4"/>
  <c r="X944" i="4"/>
  <c r="W944" i="4"/>
  <c r="V944" i="4"/>
  <c r="U944" i="4"/>
  <c r="T944" i="4"/>
  <c r="O944" i="4"/>
  <c r="M944" i="4"/>
  <c r="L944" i="4"/>
  <c r="K944" i="4"/>
  <c r="Z944" i="4" s="1" a="1"/>
  <c r="Z944" i="4" s="1"/>
  <c r="Y943" i="4"/>
  <c r="X943" i="4"/>
  <c r="W943" i="4"/>
  <c r="V943" i="4"/>
  <c r="U943" i="4"/>
  <c r="T943" i="4"/>
  <c r="O943" i="4"/>
  <c r="M943" i="4"/>
  <c r="L943" i="4"/>
  <c r="K943" i="4"/>
  <c r="Z943" i="4" s="1" a="1"/>
  <c r="Z943" i="4" s="1"/>
  <c r="Y942" i="4"/>
  <c r="X942" i="4"/>
  <c r="W942" i="4"/>
  <c r="V942" i="4"/>
  <c r="U942" i="4"/>
  <c r="T942" i="4"/>
  <c r="O942" i="4"/>
  <c r="M942" i="4"/>
  <c r="L942" i="4"/>
  <c r="K942" i="4"/>
  <c r="Z942" i="4" s="1" a="1"/>
  <c r="Z942" i="4" s="1"/>
  <c r="Y941" i="4"/>
  <c r="X941" i="4"/>
  <c r="W941" i="4"/>
  <c r="V941" i="4"/>
  <c r="U941" i="4"/>
  <c r="T941" i="4"/>
  <c r="O941" i="4"/>
  <c r="M941" i="4"/>
  <c r="L941" i="4"/>
  <c r="K941" i="4"/>
  <c r="Z941" i="4" s="1" a="1"/>
  <c r="Z941" i="4" s="1"/>
  <c r="Y940" i="4"/>
  <c r="X940" i="4"/>
  <c r="W940" i="4"/>
  <c r="V940" i="4"/>
  <c r="U940" i="4"/>
  <c r="T940" i="4"/>
  <c r="O940" i="4"/>
  <c r="M940" i="4"/>
  <c r="L940" i="4"/>
  <c r="K940" i="4"/>
  <c r="Z940" i="4" s="1" a="1"/>
  <c r="Z940" i="4" s="1"/>
  <c r="Y939" i="4"/>
  <c r="X939" i="4"/>
  <c r="W939" i="4"/>
  <c r="V939" i="4"/>
  <c r="U939" i="4"/>
  <c r="T939" i="4"/>
  <c r="O939" i="4"/>
  <c r="M939" i="4"/>
  <c r="L939" i="4"/>
  <c r="K939" i="4"/>
  <c r="Z939" i="4" s="1" a="1"/>
  <c r="Z939" i="4" s="1"/>
  <c r="Y938" i="4"/>
  <c r="X938" i="4"/>
  <c r="W938" i="4"/>
  <c r="V938" i="4"/>
  <c r="U938" i="4"/>
  <c r="T938" i="4"/>
  <c r="O938" i="4"/>
  <c r="M938" i="4"/>
  <c r="L938" i="4"/>
  <c r="K938" i="4"/>
  <c r="Z938" i="4" s="1" a="1"/>
  <c r="Z938" i="4" s="1"/>
  <c r="Y937" i="4"/>
  <c r="X937" i="4"/>
  <c r="W937" i="4"/>
  <c r="V937" i="4"/>
  <c r="U937" i="4"/>
  <c r="T937" i="4"/>
  <c r="O937" i="4"/>
  <c r="M937" i="4"/>
  <c r="L937" i="4"/>
  <c r="K937" i="4"/>
  <c r="Z937" i="4" s="1" a="1"/>
  <c r="Z937" i="4" s="1"/>
  <c r="Y936" i="4"/>
  <c r="X936" i="4"/>
  <c r="W936" i="4"/>
  <c r="V936" i="4"/>
  <c r="U936" i="4"/>
  <c r="T936" i="4"/>
  <c r="O936" i="4"/>
  <c r="M936" i="4"/>
  <c r="L936" i="4"/>
  <c r="K936" i="4"/>
  <c r="Z936" i="4" s="1" a="1"/>
  <c r="Z936" i="4" s="1"/>
  <c r="Y935" i="4"/>
  <c r="X935" i="4"/>
  <c r="W935" i="4"/>
  <c r="V935" i="4"/>
  <c r="U935" i="4"/>
  <c r="T935" i="4"/>
  <c r="O935" i="4"/>
  <c r="M935" i="4"/>
  <c r="L935" i="4"/>
  <c r="K935" i="4"/>
  <c r="Z935" i="4" s="1" a="1"/>
  <c r="Z935" i="4" s="1"/>
  <c r="Y934" i="4"/>
  <c r="X934" i="4"/>
  <c r="W934" i="4"/>
  <c r="V934" i="4"/>
  <c r="U934" i="4"/>
  <c r="T934" i="4"/>
  <c r="O934" i="4"/>
  <c r="M934" i="4"/>
  <c r="L934" i="4"/>
  <c r="K934" i="4"/>
  <c r="Z934" i="4" s="1" a="1"/>
  <c r="Z934" i="4" s="1"/>
  <c r="Y933" i="4"/>
  <c r="X933" i="4"/>
  <c r="W933" i="4"/>
  <c r="V933" i="4"/>
  <c r="U933" i="4"/>
  <c r="T933" i="4"/>
  <c r="O933" i="4"/>
  <c r="M933" i="4"/>
  <c r="L933" i="4"/>
  <c r="K933" i="4"/>
  <c r="Z933" i="4" s="1" a="1"/>
  <c r="Z933" i="4" s="1"/>
  <c r="Y932" i="4"/>
  <c r="X932" i="4"/>
  <c r="W932" i="4"/>
  <c r="V932" i="4"/>
  <c r="U932" i="4"/>
  <c r="T932" i="4"/>
  <c r="O932" i="4"/>
  <c r="M932" i="4"/>
  <c r="L932" i="4"/>
  <c r="K932" i="4"/>
  <c r="Z932" i="4" s="1" a="1"/>
  <c r="Z932" i="4" s="1"/>
  <c r="Y931" i="4"/>
  <c r="X931" i="4"/>
  <c r="W931" i="4"/>
  <c r="V931" i="4"/>
  <c r="U931" i="4"/>
  <c r="T931" i="4"/>
  <c r="O931" i="4"/>
  <c r="M931" i="4"/>
  <c r="L931" i="4"/>
  <c r="K931" i="4"/>
  <c r="Z931" i="4" s="1" a="1"/>
  <c r="Z931" i="4" s="1"/>
  <c r="Y930" i="4"/>
  <c r="X930" i="4"/>
  <c r="W930" i="4"/>
  <c r="V930" i="4"/>
  <c r="U930" i="4"/>
  <c r="T930" i="4"/>
  <c r="O930" i="4"/>
  <c r="M930" i="4"/>
  <c r="L930" i="4"/>
  <c r="K930" i="4"/>
  <c r="Z930" i="4" s="1" a="1"/>
  <c r="Z930" i="4" s="1"/>
  <c r="Y929" i="4"/>
  <c r="X929" i="4"/>
  <c r="W929" i="4"/>
  <c r="V929" i="4"/>
  <c r="U929" i="4"/>
  <c r="T929" i="4"/>
  <c r="O929" i="4"/>
  <c r="M929" i="4"/>
  <c r="L929" i="4"/>
  <c r="K929" i="4"/>
  <c r="Z929" i="4" s="1" a="1"/>
  <c r="Z929" i="4" s="1"/>
  <c r="Y928" i="4"/>
  <c r="X928" i="4"/>
  <c r="W928" i="4"/>
  <c r="V928" i="4"/>
  <c r="U928" i="4"/>
  <c r="T928" i="4"/>
  <c r="O928" i="4"/>
  <c r="M928" i="4"/>
  <c r="L928" i="4"/>
  <c r="K928" i="4"/>
  <c r="Z928" i="4" s="1" a="1"/>
  <c r="Z928" i="4" s="1"/>
  <c r="Y927" i="4"/>
  <c r="X927" i="4"/>
  <c r="W927" i="4"/>
  <c r="V927" i="4"/>
  <c r="U927" i="4"/>
  <c r="T927" i="4"/>
  <c r="O927" i="4"/>
  <c r="M927" i="4"/>
  <c r="L927" i="4"/>
  <c r="K927" i="4"/>
  <c r="Z927" i="4" s="1" a="1"/>
  <c r="Z927" i="4" s="1"/>
  <c r="Y926" i="4"/>
  <c r="X926" i="4"/>
  <c r="W926" i="4"/>
  <c r="V926" i="4"/>
  <c r="U926" i="4"/>
  <c r="T926" i="4"/>
  <c r="O926" i="4"/>
  <c r="M926" i="4"/>
  <c r="L926" i="4"/>
  <c r="K926" i="4"/>
  <c r="Z926" i="4" s="1" a="1"/>
  <c r="Z926" i="4" s="1"/>
  <c r="Y925" i="4"/>
  <c r="X925" i="4"/>
  <c r="W925" i="4"/>
  <c r="V925" i="4"/>
  <c r="U925" i="4"/>
  <c r="T925" i="4"/>
  <c r="O925" i="4"/>
  <c r="M925" i="4"/>
  <c r="L925" i="4"/>
  <c r="K925" i="4"/>
  <c r="Z925" i="4" s="1" a="1"/>
  <c r="Z925" i="4" s="1"/>
  <c r="Y924" i="4"/>
  <c r="X924" i="4"/>
  <c r="W924" i="4"/>
  <c r="V924" i="4"/>
  <c r="U924" i="4"/>
  <c r="T924" i="4"/>
  <c r="O924" i="4"/>
  <c r="M924" i="4"/>
  <c r="L924" i="4"/>
  <c r="K924" i="4"/>
  <c r="Z924" i="4" s="1" a="1"/>
  <c r="Z924" i="4" s="1"/>
  <c r="Y923" i="4"/>
  <c r="X923" i="4"/>
  <c r="W923" i="4"/>
  <c r="V923" i="4"/>
  <c r="U923" i="4"/>
  <c r="T923" i="4"/>
  <c r="O923" i="4"/>
  <c r="M923" i="4"/>
  <c r="L923" i="4"/>
  <c r="K923" i="4"/>
  <c r="Z923" i="4" s="1" a="1"/>
  <c r="Z923" i="4" s="1"/>
  <c r="Y922" i="4"/>
  <c r="X922" i="4"/>
  <c r="W922" i="4"/>
  <c r="V922" i="4"/>
  <c r="U922" i="4"/>
  <c r="T922" i="4"/>
  <c r="O922" i="4"/>
  <c r="M922" i="4"/>
  <c r="L922" i="4"/>
  <c r="K922" i="4"/>
  <c r="Z922" i="4" s="1" a="1"/>
  <c r="Z922" i="4" s="1"/>
  <c r="Y921" i="4"/>
  <c r="X921" i="4"/>
  <c r="W921" i="4"/>
  <c r="V921" i="4"/>
  <c r="U921" i="4"/>
  <c r="T921" i="4"/>
  <c r="O921" i="4"/>
  <c r="M921" i="4"/>
  <c r="L921" i="4"/>
  <c r="K921" i="4"/>
  <c r="Z921" i="4" s="1" a="1"/>
  <c r="Z921" i="4" s="1"/>
  <c r="Y920" i="4"/>
  <c r="X920" i="4"/>
  <c r="W920" i="4"/>
  <c r="V920" i="4"/>
  <c r="U920" i="4"/>
  <c r="T920" i="4"/>
  <c r="O920" i="4"/>
  <c r="M920" i="4"/>
  <c r="L920" i="4"/>
  <c r="K920" i="4"/>
  <c r="Z920" i="4" s="1" a="1"/>
  <c r="Z920" i="4" s="1"/>
  <c r="Y919" i="4"/>
  <c r="X919" i="4"/>
  <c r="W919" i="4"/>
  <c r="V919" i="4"/>
  <c r="U919" i="4"/>
  <c r="T919" i="4"/>
  <c r="O919" i="4"/>
  <c r="M919" i="4"/>
  <c r="L919" i="4"/>
  <c r="K919" i="4"/>
  <c r="Z919" i="4" s="1" a="1"/>
  <c r="Z919" i="4" s="1"/>
  <c r="Y918" i="4"/>
  <c r="X918" i="4"/>
  <c r="W918" i="4"/>
  <c r="V918" i="4"/>
  <c r="U918" i="4"/>
  <c r="T918" i="4"/>
  <c r="O918" i="4"/>
  <c r="M918" i="4"/>
  <c r="L918" i="4"/>
  <c r="K918" i="4"/>
  <c r="Z918" i="4" s="1" a="1"/>
  <c r="Z918" i="4" s="1"/>
  <c r="Y917" i="4"/>
  <c r="X917" i="4"/>
  <c r="W917" i="4"/>
  <c r="V917" i="4"/>
  <c r="U917" i="4"/>
  <c r="T917" i="4"/>
  <c r="O917" i="4"/>
  <c r="M917" i="4"/>
  <c r="L917" i="4"/>
  <c r="K917" i="4"/>
  <c r="Z917" i="4" s="1" a="1"/>
  <c r="Z917" i="4" s="1"/>
  <c r="Y916" i="4"/>
  <c r="X916" i="4"/>
  <c r="W916" i="4"/>
  <c r="V916" i="4"/>
  <c r="U916" i="4"/>
  <c r="T916" i="4"/>
  <c r="O916" i="4"/>
  <c r="M916" i="4"/>
  <c r="L916" i="4"/>
  <c r="K916" i="4"/>
  <c r="Z916" i="4" s="1" a="1"/>
  <c r="Z916" i="4" s="1"/>
  <c r="Y915" i="4"/>
  <c r="X915" i="4"/>
  <c r="W915" i="4"/>
  <c r="V915" i="4"/>
  <c r="U915" i="4"/>
  <c r="T915" i="4"/>
  <c r="O915" i="4"/>
  <c r="M915" i="4"/>
  <c r="L915" i="4"/>
  <c r="K915" i="4"/>
  <c r="Z915" i="4" s="1" a="1"/>
  <c r="Z915" i="4" s="1"/>
  <c r="Y914" i="4"/>
  <c r="X914" i="4"/>
  <c r="W914" i="4"/>
  <c r="V914" i="4"/>
  <c r="U914" i="4"/>
  <c r="T914" i="4"/>
  <c r="O914" i="4"/>
  <c r="M914" i="4"/>
  <c r="L914" i="4"/>
  <c r="K914" i="4"/>
  <c r="Z914" i="4" s="1" a="1"/>
  <c r="Z914" i="4" s="1"/>
  <c r="Y913" i="4"/>
  <c r="X913" i="4"/>
  <c r="W913" i="4"/>
  <c r="V913" i="4"/>
  <c r="U913" i="4"/>
  <c r="T913" i="4"/>
  <c r="O913" i="4"/>
  <c r="M913" i="4"/>
  <c r="L913" i="4"/>
  <c r="K913" i="4"/>
  <c r="Z913" i="4" s="1" a="1"/>
  <c r="Z913" i="4" s="1"/>
  <c r="Y912" i="4"/>
  <c r="X912" i="4"/>
  <c r="W912" i="4"/>
  <c r="V912" i="4"/>
  <c r="U912" i="4"/>
  <c r="T912" i="4"/>
  <c r="O912" i="4"/>
  <c r="M912" i="4"/>
  <c r="L912" i="4"/>
  <c r="K912" i="4"/>
  <c r="Z912" i="4" s="1" a="1"/>
  <c r="Z912" i="4" s="1"/>
  <c r="Y911" i="4"/>
  <c r="X911" i="4"/>
  <c r="W911" i="4"/>
  <c r="V911" i="4"/>
  <c r="U911" i="4"/>
  <c r="T911" i="4"/>
  <c r="O911" i="4"/>
  <c r="M911" i="4"/>
  <c r="L911" i="4"/>
  <c r="K911" i="4"/>
  <c r="Z911" i="4" s="1" a="1"/>
  <c r="Z911" i="4" s="1"/>
  <c r="Y910" i="4"/>
  <c r="X910" i="4"/>
  <c r="W910" i="4"/>
  <c r="V910" i="4"/>
  <c r="U910" i="4"/>
  <c r="T910" i="4"/>
  <c r="O910" i="4"/>
  <c r="M910" i="4"/>
  <c r="L910" i="4"/>
  <c r="K910" i="4"/>
  <c r="Z910" i="4" s="1" a="1"/>
  <c r="Z910" i="4" s="1"/>
  <c r="Y909" i="4"/>
  <c r="X909" i="4"/>
  <c r="W909" i="4"/>
  <c r="V909" i="4"/>
  <c r="U909" i="4"/>
  <c r="T909" i="4"/>
  <c r="O909" i="4"/>
  <c r="M909" i="4"/>
  <c r="L909" i="4"/>
  <c r="K909" i="4"/>
  <c r="Z909" i="4" s="1" a="1"/>
  <c r="Z909" i="4" s="1"/>
  <c r="Y908" i="4"/>
  <c r="X908" i="4"/>
  <c r="W908" i="4"/>
  <c r="V908" i="4"/>
  <c r="U908" i="4"/>
  <c r="T908" i="4"/>
  <c r="O908" i="4"/>
  <c r="M908" i="4"/>
  <c r="L908" i="4"/>
  <c r="K908" i="4"/>
  <c r="Z908" i="4" s="1" a="1"/>
  <c r="Z908" i="4" s="1"/>
  <c r="Y907" i="4"/>
  <c r="X907" i="4"/>
  <c r="W907" i="4"/>
  <c r="V907" i="4"/>
  <c r="U907" i="4"/>
  <c r="T907" i="4"/>
  <c r="O907" i="4"/>
  <c r="M907" i="4"/>
  <c r="L907" i="4"/>
  <c r="K907" i="4"/>
  <c r="Z907" i="4" s="1" a="1"/>
  <c r="Z907" i="4" s="1"/>
  <c r="Y906" i="4"/>
  <c r="X906" i="4"/>
  <c r="W906" i="4"/>
  <c r="V906" i="4"/>
  <c r="U906" i="4"/>
  <c r="T906" i="4"/>
  <c r="O906" i="4"/>
  <c r="M906" i="4"/>
  <c r="L906" i="4"/>
  <c r="K906" i="4"/>
  <c r="Z906" i="4" s="1" a="1"/>
  <c r="Z906" i="4" s="1"/>
  <c r="Y905" i="4"/>
  <c r="X905" i="4"/>
  <c r="W905" i="4"/>
  <c r="V905" i="4"/>
  <c r="U905" i="4"/>
  <c r="T905" i="4"/>
  <c r="O905" i="4"/>
  <c r="M905" i="4"/>
  <c r="L905" i="4"/>
  <c r="K905" i="4"/>
  <c r="Z905" i="4" s="1" a="1"/>
  <c r="Z905" i="4" s="1"/>
  <c r="Y904" i="4"/>
  <c r="X904" i="4"/>
  <c r="W904" i="4"/>
  <c r="V904" i="4"/>
  <c r="U904" i="4"/>
  <c r="T904" i="4"/>
  <c r="O904" i="4"/>
  <c r="M904" i="4"/>
  <c r="L904" i="4"/>
  <c r="K904" i="4"/>
  <c r="Z904" i="4" s="1" a="1"/>
  <c r="Z904" i="4" s="1"/>
  <c r="Y903" i="4"/>
  <c r="X903" i="4"/>
  <c r="W903" i="4"/>
  <c r="V903" i="4"/>
  <c r="U903" i="4"/>
  <c r="T903" i="4"/>
  <c r="O903" i="4"/>
  <c r="M903" i="4"/>
  <c r="L903" i="4"/>
  <c r="K903" i="4"/>
  <c r="Z903" i="4" s="1" a="1"/>
  <c r="Z903" i="4" s="1"/>
  <c r="Y902" i="4"/>
  <c r="X902" i="4"/>
  <c r="W902" i="4"/>
  <c r="V902" i="4"/>
  <c r="U902" i="4"/>
  <c r="T902" i="4"/>
  <c r="O902" i="4"/>
  <c r="M902" i="4"/>
  <c r="L902" i="4"/>
  <c r="K902" i="4"/>
  <c r="Z902" i="4" s="1" a="1"/>
  <c r="Z902" i="4" s="1"/>
  <c r="Y901" i="4"/>
  <c r="X901" i="4"/>
  <c r="W901" i="4"/>
  <c r="V901" i="4"/>
  <c r="U901" i="4"/>
  <c r="T901" i="4"/>
  <c r="O901" i="4"/>
  <c r="M901" i="4"/>
  <c r="L901" i="4"/>
  <c r="K901" i="4"/>
  <c r="Z901" i="4" s="1" a="1"/>
  <c r="Z901" i="4" s="1"/>
  <c r="Y900" i="4"/>
  <c r="X900" i="4"/>
  <c r="W900" i="4"/>
  <c r="V900" i="4"/>
  <c r="U900" i="4"/>
  <c r="T900" i="4"/>
  <c r="O900" i="4"/>
  <c r="M900" i="4"/>
  <c r="L900" i="4"/>
  <c r="K900" i="4"/>
  <c r="Z900" i="4" s="1" a="1"/>
  <c r="Z900" i="4" s="1"/>
  <c r="Y899" i="4"/>
  <c r="X899" i="4"/>
  <c r="W899" i="4"/>
  <c r="V899" i="4"/>
  <c r="U899" i="4"/>
  <c r="T899" i="4"/>
  <c r="O899" i="4"/>
  <c r="M899" i="4"/>
  <c r="L899" i="4"/>
  <c r="K899" i="4"/>
  <c r="Z899" i="4" s="1" a="1"/>
  <c r="Z899" i="4" s="1"/>
  <c r="Y898" i="4"/>
  <c r="X898" i="4"/>
  <c r="W898" i="4"/>
  <c r="V898" i="4"/>
  <c r="U898" i="4"/>
  <c r="T898" i="4"/>
  <c r="O898" i="4"/>
  <c r="M898" i="4"/>
  <c r="L898" i="4"/>
  <c r="K898" i="4"/>
  <c r="Z898" i="4" s="1" a="1"/>
  <c r="Z898" i="4" s="1"/>
  <c r="Y897" i="4"/>
  <c r="X897" i="4"/>
  <c r="W897" i="4"/>
  <c r="V897" i="4"/>
  <c r="U897" i="4"/>
  <c r="T897" i="4"/>
  <c r="O897" i="4"/>
  <c r="M897" i="4"/>
  <c r="L897" i="4"/>
  <c r="K897" i="4"/>
  <c r="Z897" i="4" s="1" a="1"/>
  <c r="Z897" i="4" s="1"/>
  <c r="Y896" i="4"/>
  <c r="X896" i="4"/>
  <c r="W896" i="4"/>
  <c r="V896" i="4"/>
  <c r="U896" i="4"/>
  <c r="T896" i="4"/>
  <c r="O896" i="4"/>
  <c r="M896" i="4"/>
  <c r="L896" i="4"/>
  <c r="K896" i="4"/>
  <c r="Z896" i="4" s="1" a="1"/>
  <c r="Z896" i="4" s="1"/>
  <c r="Y895" i="4"/>
  <c r="X895" i="4"/>
  <c r="W895" i="4"/>
  <c r="V895" i="4"/>
  <c r="U895" i="4"/>
  <c r="T895" i="4"/>
  <c r="O895" i="4"/>
  <c r="M895" i="4"/>
  <c r="L895" i="4"/>
  <c r="K895" i="4"/>
  <c r="Z895" i="4" s="1" a="1"/>
  <c r="Z895" i="4" s="1"/>
  <c r="Y894" i="4"/>
  <c r="X894" i="4"/>
  <c r="W894" i="4"/>
  <c r="V894" i="4"/>
  <c r="U894" i="4"/>
  <c r="T894" i="4"/>
  <c r="O894" i="4"/>
  <c r="M894" i="4"/>
  <c r="L894" i="4"/>
  <c r="K894" i="4"/>
  <c r="Z894" i="4" s="1" a="1"/>
  <c r="Z894" i="4" s="1"/>
  <c r="Y893" i="4"/>
  <c r="X893" i="4"/>
  <c r="W893" i="4"/>
  <c r="V893" i="4"/>
  <c r="U893" i="4"/>
  <c r="T893" i="4"/>
  <c r="O893" i="4"/>
  <c r="M893" i="4"/>
  <c r="L893" i="4"/>
  <c r="K893" i="4"/>
  <c r="Z893" i="4" s="1" a="1"/>
  <c r="Z893" i="4" s="1"/>
  <c r="Y892" i="4"/>
  <c r="X892" i="4"/>
  <c r="W892" i="4"/>
  <c r="V892" i="4"/>
  <c r="U892" i="4"/>
  <c r="T892" i="4"/>
  <c r="O892" i="4"/>
  <c r="M892" i="4"/>
  <c r="L892" i="4"/>
  <c r="K892" i="4"/>
  <c r="Z892" i="4" s="1" a="1"/>
  <c r="Z892" i="4" s="1"/>
  <c r="Y891" i="4"/>
  <c r="X891" i="4"/>
  <c r="W891" i="4"/>
  <c r="V891" i="4"/>
  <c r="U891" i="4"/>
  <c r="T891" i="4"/>
  <c r="O891" i="4"/>
  <c r="M891" i="4"/>
  <c r="L891" i="4"/>
  <c r="K891" i="4"/>
  <c r="Z891" i="4" s="1" a="1"/>
  <c r="Z891" i="4" s="1"/>
  <c r="Y890" i="4"/>
  <c r="X890" i="4"/>
  <c r="W890" i="4"/>
  <c r="V890" i="4"/>
  <c r="U890" i="4"/>
  <c r="T890" i="4"/>
  <c r="O890" i="4"/>
  <c r="M890" i="4"/>
  <c r="L890" i="4"/>
  <c r="K890" i="4"/>
  <c r="Z890" i="4" s="1" a="1"/>
  <c r="Z890" i="4" s="1"/>
  <c r="Y889" i="4"/>
  <c r="X889" i="4"/>
  <c r="W889" i="4"/>
  <c r="V889" i="4"/>
  <c r="U889" i="4"/>
  <c r="T889" i="4"/>
  <c r="O889" i="4"/>
  <c r="M889" i="4"/>
  <c r="L889" i="4"/>
  <c r="K889" i="4"/>
  <c r="Z889" i="4" s="1" a="1"/>
  <c r="Z889" i="4" s="1"/>
  <c r="Y888" i="4"/>
  <c r="X888" i="4"/>
  <c r="W888" i="4"/>
  <c r="V888" i="4"/>
  <c r="U888" i="4"/>
  <c r="T888" i="4"/>
  <c r="O888" i="4"/>
  <c r="M888" i="4"/>
  <c r="L888" i="4"/>
  <c r="K888" i="4"/>
  <c r="Z888" i="4" s="1" a="1"/>
  <c r="Z888" i="4" s="1"/>
  <c r="Y887" i="4"/>
  <c r="X887" i="4"/>
  <c r="W887" i="4"/>
  <c r="V887" i="4"/>
  <c r="U887" i="4"/>
  <c r="T887" i="4"/>
  <c r="O887" i="4"/>
  <c r="M887" i="4"/>
  <c r="L887" i="4"/>
  <c r="K887" i="4"/>
  <c r="Z887" i="4" s="1" a="1"/>
  <c r="Z887" i="4" s="1"/>
  <c r="Y886" i="4"/>
  <c r="X886" i="4"/>
  <c r="W886" i="4"/>
  <c r="V886" i="4"/>
  <c r="U886" i="4"/>
  <c r="T886" i="4"/>
  <c r="O886" i="4"/>
  <c r="M886" i="4"/>
  <c r="L886" i="4"/>
  <c r="K886" i="4"/>
  <c r="Z886" i="4" s="1" a="1"/>
  <c r="Z886" i="4" s="1"/>
  <c r="Y885" i="4"/>
  <c r="X885" i="4"/>
  <c r="W885" i="4"/>
  <c r="V885" i="4"/>
  <c r="U885" i="4"/>
  <c r="T885" i="4"/>
  <c r="O885" i="4"/>
  <c r="M885" i="4"/>
  <c r="L885" i="4"/>
  <c r="K885" i="4"/>
  <c r="Z885" i="4" s="1" a="1"/>
  <c r="Z885" i="4" s="1"/>
  <c r="Y884" i="4"/>
  <c r="X884" i="4"/>
  <c r="W884" i="4"/>
  <c r="V884" i="4"/>
  <c r="U884" i="4"/>
  <c r="T884" i="4"/>
  <c r="O884" i="4"/>
  <c r="M884" i="4"/>
  <c r="L884" i="4"/>
  <c r="K884" i="4"/>
  <c r="Z884" i="4" s="1" a="1"/>
  <c r="Z884" i="4" s="1"/>
  <c r="Y883" i="4"/>
  <c r="X883" i="4"/>
  <c r="W883" i="4"/>
  <c r="V883" i="4"/>
  <c r="U883" i="4"/>
  <c r="T883" i="4"/>
  <c r="O883" i="4"/>
  <c r="M883" i="4"/>
  <c r="L883" i="4"/>
  <c r="K883" i="4"/>
  <c r="Z883" i="4" s="1" a="1"/>
  <c r="Z883" i="4" s="1"/>
  <c r="Y882" i="4"/>
  <c r="X882" i="4"/>
  <c r="W882" i="4"/>
  <c r="V882" i="4"/>
  <c r="U882" i="4"/>
  <c r="T882" i="4"/>
  <c r="O882" i="4"/>
  <c r="M882" i="4"/>
  <c r="L882" i="4"/>
  <c r="K882" i="4"/>
  <c r="Z882" i="4" s="1" a="1"/>
  <c r="Z882" i="4" s="1"/>
  <c r="Y881" i="4"/>
  <c r="X881" i="4"/>
  <c r="W881" i="4"/>
  <c r="V881" i="4"/>
  <c r="U881" i="4"/>
  <c r="T881" i="4"/>
  <c r="O881" i="4"/>
  <c r="M881" i="4"/>
  <c r="L881" i="4"/>
  <c r="K881" i="4"/>
  <c r="Z881" i="4" s="1" a="1"/>
  <c r="Z881" i="4" s="1"/>
  <c r="Y880" i="4"/>
  <c r="X880" i="4"/>
  <c r="W880" i="4"/>
  <c r="V880" i="4"/>
  <c r="U880" i="4"/>
  <c r="T880" i="4"/>
  <c r="O880" i="4"/>
  <c r="M880" i="4"/>
  <c r="L880" i="4"/>
  <c r="K880" i="4"/>
  <c r="Z880" i="4" s="1" a="1"/>
  <c r="Z880" i="4" s="1"/>
  <c r="Y879" i="4"/>
  <c r="X879" i="4"/>
  <c r="W879" i="4"/>
  <c r="V879" i="4"/>
  <c r="U879" i="4"/>
  <c r="T879" i="4"/>
  <c r="O879" i="4"/>
  <c r="M879" i="4"/>
  <c r="L879" i="4"/>
  <c r="K879" i="4"/>
  <c r="Z879" i="4" s="1" a="1"/>
  <c r="Z879" i="4" s="1"/>
  <c r="Y878" i="4"/>
  <c r="X878" i="4"/>
  <c r="W878" i="4"/>
  <c r="V878" i="4"/>
  <c r="U878" i="4"/>
  <c r="T878" i="4"/>
  <c r="O878" i="4"/>
  <c r="M878" i="4"/>
  <c r="L878" i="4"/>
  <c r="K878" i="4"/>
  <c r="Z878" i="4" s="1" a="1"/>
  <c r="Z878" i="4" s="1"/>
  <c r="Y877" i="4"/>
  <c r="X877" i="4"/>
  <c r="W877" i="4"/>
  <c r="V877" i="4"/>
  <c r="U877" i="4"/>
  <c r="T877" i="4"/>
  <c r="O877" i="4"/>
  <c r="M877" i="4"/>
  <c r="L877" i="4"/>
  <c r="K877" i="4"/>
  <c r="Z877" i="4" s="1" a="1"/>
  <c r="Z877" i="4" s="1"/>
  <c r="Y876" i="4"/>
  <c r="X876" i="4"/>
  <c r="W876" i="4"/>
  <c r="V876" i="4"/>
  <c r="U876" i="4"/>
  <c r="T876" i="4"/>
  <c r="O876" i="4"/>
  <c r="M876" i="4"/>
  <c r="L876" i="4"/>
  <c r="K876" i="4"/>
  <c r="Z876" i="4" s="1" a="1"/>
  <c r="Z876" i="4" s="1"/>
  <c r="Y875" i="4"/>
  <c r="X875" i="4"/>
  <c r="W875" i="4"/>
  <c r="V875" i="4"/>
  <c r="U875" i="4"/>
  <c r="T875" i="4"/>
  <c r="O875" i="4"/>
  <c r="M875" i="4"/>
  <c r="L875" i="4"/>
  <c r="K875" i="4"/>
  <c r="Z875" i="4" s="1" a="1"/>
  <c r="Z875" i="4" s="1"/>
  <c r="Y874" i="4"/>
  <c r="X874" i="4"/>
  <c r="W874" i="4"/>
  <c r="V874" i="4"/>
  <c r="U874" i="4"/>
  <c r="T874" i="4"/>
  <c r="O874" i="4"/>
  <c r="M874" i="4"/>
  <c r="L874" i="4"/>
  <c r="K874" i="4"/>
  <c r="Z874" i="4" s="1" a="1"/>
  <c r="Z874" i="4" s="1"/>
  <c r="Y873" i="4"/>
  <c r="X873" i="4"/>
  <c r="W873" i="4"/>
  <c r="V873" i="4"/>
  <c r="U873" i="4"/>
  <c r="T873" i="4"/>
  <c r="O873" i="4"/>
  <c r="M873" i="4"/>
  <c r="L873" i="4"/>
  <c r="K873" i="4"/>
  <c r="Z873" i="4" s="1" a="1"/>
  <c r="Z873" i="4" s="1"/>
  <c r="Y872" i="4"/>
  <c r="X872" i="4"/>
  <c r="W872" i="4"/>
  <c r="V872" i="4"/>
  <c r="U872" i="4"/>
  <c r="T872" i="4"/>
  <c r="O872" i="4"/>
  <c r="M872" i="4"/>
  <c r="L872" i="4"/>
  <c r="K872" i="4"/>
  <c r="Z872" i="4" s="1" a="1"/>
  <c r="Z872" i="4" s="1"/>
  <c r="Y871" i="4"/>
  <c r="X871" i="4"/>
  <c r="W871" i="4"/>
  <c r="V871" i="4"/>
  <c r="U871" i="4"/>
  <c r="T871" i="4"/>
  <c r="O871" i="4"/>
  <c r="M871" i="4"/>
  <c r="L871" i="4"/>
  <c r="K871" i="4"/>
  <c r="Z871" i="4" s="1" a="1"/>
  <c r="Z871" i="4" s="1"/>
  <c r="Y870" i="4"/>
  <c r="X870" i="4"/>
  <c r="W870" i="4"/>
  <c r="V870" i="4"/>
  <c r="U870" i="4"/>
  <c r="T870" i="4"/>
  <c r="O870" i="4"/>
  <c r="M870" i="4"/>
  <c r="L870" i="4"/>
  <c r="K870" i="4"/>
  <c r="Z870" i="4" s="1" a="1"/>
  <c r="Z870" i="4" s="1"/>
  <c r="Y869" i="4"/>
  <c r="X869" i="4"/>
  <c r="W869" i="4"/>
  <c r="V869" i="4"/>
  <c r="U869" i="4"/>
  <c r="T869" i="4"/>
  <c r="O869" i="4"/>
  <c r="M869" i="4"/>
  <c r="L869" i="4"/>
  <c r="K869" i="4"/>
  <c r="Z869" i="4" s="1" a="1"/>
  <c r="Z869" i="4" s="1"/>
  <c r="Y868" i="4"/>
  <c r="X868" i="4"/>
  <c r="W868" i="4"/>
  <c r="V868" i="4"/>
  <c r="U868" i="4"/>
  <c r="T868" i="4"/>
  <c r="O868" i="4"/>
  <c r="M868" i="4"/>
  <c r="L868" i="4"/>
  <c r="K868" i="4"/>
  <c r="Z868" i="4" s="1" a="1"/>
  <c r="Z868" i="4" s="1"/>
  <c r="Y867" i="4"/>
  <c r="X867" i="4"/>
  <c r="W867" i="4"/>
  <c r="V867" i="4"/>
  <c r="U867" i="4"/>
  <c r="T867" i="4"/>
  <c r="O867" i="4"/>
  <c r="M867" i="4"/>
  <c r="L867" i="4"/>
  <c r="K867" i="4"/>
  <c r="Z867" i="4" s="1" a="1"/>
  <c r="Z867" i="4" s="1"/>
  <c r="Y866" i="4"/>
  <c r="X866" i="4"/>
  <c r="W866" i="4"/>
  <c r="V866" i="4"/>
  <c r="U866" i="4"/>
  <c r="T866" i="4"/>
  <c r="O866" i="4"/>
  <c r="M866" i="4"/>
  <c r="L866" i="4"/>
  <c r="K866" i="4"/>
  <c r="Z866" i="4" s="1" a="1"/>
  <c r="Z866" i="4" s="1"/>
  <c r="Y865" i="4"/>
  <c r="X865" i="4"/>
  <c r="W865" i="4"/>
  <c r="V865" i="4"/>
  <c r="U865" i="4"/>
  <c r="T865" i="4"/>
  <c r="O865" i="4"/>
  <c r="M865" i="4"/>
  <c r="L865" i="4"/>
  <c r="K865" i="4"/>
  <c r="Z865" i="4" s="1" a="1"/>
  <c r="Z865" i="4" s="1"/>
  <c r="Y864" i="4"/>
  <c r="X864" i="4"/>
  <c r="W864" i="4"/>
  <c r="V864" i="4"/>
  <c r="U864" i="4"/>
  <c r="T864" i="4"/>
  <c r="O864" i="4"/>
  <c r="M864" i="4"/>
  <c r="L864" i="4"/>
  <c r="K864" i="4"/>
  <c r="Z864" i="4" s="1" a="1"/>
  <c r="Z864" i="4" s="1"/>
  <c r="Y863" i="4"/>
  <c r="X863" i="4"/>
  <c r="W863" i="4"/>
  <c r="V863" i="4"/>
  <c r="U863" i="4"/>
  <c r="T863" i="4"/>
  <c r="O863" i="4"/>
  <c r="M863" i="4"/>
  <c r="L863" i="4"/>
  <c r="K863" i="4"/>
  <c r="Z863" i="4" s="1" a="1"/>
  <c r="Z863" i="4" s="1"/>
  <c r="Y862" i="4"/>
  <c r="X862" i="4"/>
  <c r="W862" i="4"/>
  <c r="V862" i="4"/>
  <c r="U862" i="4"/>
  <c r="T862" i="4"/>
  <c r="O862" i="4"/>
  <c r="M862" i="4"/>
  <c r="L862" i="4"/>
  <c r="K862" i="4"/>
  <c r="Z862" i="4" s="1" a="1"/>
  <c r="Z862" i="4" s="1"/>
  <c r="Y861" i="4"/>
  <c r="X861" i="4"/>
  <c r="W861" i="4"/>
  <c r="V861" i="4"/>
  <c r="U861" i="4"/>
  <c r="T861" i="4"/>
  <c r="O861" i="4"/>
  <c r="M861" i="4"/>
  <c r="L861" i="4"/>
  <c r="K861" i="4"/>
  <c r="Z861" i="4" s="1" a="1"/>
  <c r="Z861" i="4" s="1"/>
  <c r="Y860" i="4"/>
  <c r="X860" i="4"/>
  <c r="W860" i="4"/>
  <c r="V860" i="4"/>
  <c r="U860" i="4"/>
  <c r="T860" i="4"/>
  <c r="O860" i="4"/>
  <c r="M860" i="4"/>
  <c r="L860" i="4"/>
  <c r="K860" i="4"/>
  <c r="Z860" i="4" s="1" a="1"/>
  <c r="Z860" i="4" s="1"/>
  <c r="Y859" i="4"/>
  <c r="X859" i="4"/>
  <c r="W859" i="4"/>
  <c r="V859" i="4"/>
  <c r="U859" i="4"/>
  <c r="T859" i="4"/>
  <c r="O859" i="4"/>
  <c r="M859" i="4"/>
  <c r="L859" i="4"/>
  <c r="K859" i="4"/>
  <c r="Z859" i="4" s="1" a="1"/>
  <c r="Z859" i="4" s="1"/>
  <c r="Y858" i="4"/>
  <c r="X858" i="4"/>
  <c r="W858" i="4"/>
  <c r="V858" i="4"/>
  <c r="U858" i="4"/>
  <c r="T858" i="4"/>
  <c r="O858" i="4"/>
  <c r="M858" i="4"/>
  <c r="L858" i="4"/>
  <c r="K858" i="4"/>
  <c r="Z858" i="4" s="1" a="1"/>
  <c r="Z858" i="4" s="1"/>
  <c r="Y857" i="4"/>
  <c r="X857" i="4"/>
  <c r="W857" i="4"/>
  <c r="V857" i="4"/>
  <c r="U857" i="4"/>
  <c r="T857" i="4"/>
  <c r="O857" i="4"/>
  <c r="M857" i="4"/>
  <c r="L857" i="4"/>
  <c r="K857" i="4"/>
  <c r="Z857" i="4" s="1" a="1"/>
  <c r="Z857" i="4" s="1"/>
  <c r="Y856" i="4"/>
  <c r="X856" i="4"/>
  <c r="W856" i="4"/>
  <c r="V856" i="4"/>
  <c r="U856" i="4"/>
  <c r="T856" i="4"/>
  <c r="O856" i="4"/>
  <c r="M856" i="4"/>
  <c r="L856" i="4"/>
  <c r="K856" i="4"/>
  <c r="Z856" i="4" s="1" a="1"/>
  <c r="Z856" i="4" s="1"/>
  <c r="Y855" i="4"/>
  <c r="X855" i="4"/>
  <c r="W855" i="4"/>
  <c r="V855" i="4"/>
  <c r="U855" i="4"/>
  <c r="T855" i="4"/>
  <c r="O855" i="4"/>
  <c r="M855" i="4"/>
  <c r="L855" i="4"/>
  <c r="K855" i="4"/>
  <c r="Z855" i="4" s="1" a="1"/>
  <c r="Z855" i="4" s="1"/>
  <c r="Y854" i="4"/>
  <c r="X854" i="4"/>
  <c r="W854" i="4"/>
  <c r="V854" i="4"/>
  <c r="U854" i="4"/>
  <c r="T854" i="4"/>
  <c r="O854" i="4"/>
  <c r="M854" i="4"/>
  <c r="L854" i="4"/>
  <c r="K854" i="4"/>
  <c r="Z854" i="4" s="1" a="1"/>
  <c r="Z854" i="4" s="1"/>
  <c r="Y853" i="4"/>
  <c r="X853" i="4"/>
  <c r="W853" i="4"/>
  <c r="V853" i="4"/>
  <c r="U853" i="4"/>
  <c r="T853" i="4"/>
  <c r="O853" i="4"/>
  <c r="M853" i="4"/>
  <c r="L853" i="4"/>
  <c r="K853" i="4"/>
  <c r="Z853" i="4" s="1" a="1"/>
  <c r="Z853" i="4" s="1"/>
  <c r="Y852" i="4"/>
  <c r="X852" i="4"/>
  <c r="W852" i="4"/>
  <c r="V852" i="4"/>
  <c r="U852" i="4"/>
  <c r="T852" i="4"/>
  <c r="O852" i="4"/>
  <c r="M852" i="4"/>
  <c r="L852" i="4"/>
  <c r="K852" i="4"/>
  <c r="Z852" i="4" s="1" a="1"/>
  <c r="Z852" i="4" s="1"/>
  <c r="Y851" i="4"/>
  <c r="X851" i="4"/>
  <c r="W851" i="4"/>
  <c r="V851" i="4"/>
  <c r="U851" i="4"/>
  <c r="T851" i="4"/>
  <c r="O851" i="4"/>
  <c r="M851" i="4"/>
  <c r="L851" i="4"/>
  <c r="K851" i="4"/>
  <c r="Z851" i="4" s="1" a="1"/>
  <c r="Z851" i="4" s="1"/>
  <c r="Y850" i="4"/>
  <c r="X850" i="4"/>
  <c r="W850" i="4"/>
  <c r="V850" i="4"/>
  <c r="U850" i="4"/>
  <c r="T850" i="4"/>
  <c r="O850" i="4"/>
  <c r="M850" i="4"/>
  <c r="L850" i="4"/>
  <c r="K850" i="4"/>
  <c r="Z850" i="4" s="1" a="1"/>
  <c r="Z850" i="4" s="1"/>
  <c r="Y849" i="4"/>
  <c r="X849" i="4"/>
  <c r="W849" i="4"/>
  <c r="V849" i="4"/>
  <c r="U849" i="4"/>
  <c r="T849" i="4"/>
  <c r="O849" i="4"/>
  <c r="M849" i="4"/>
  <c r="L849" i="4"/>
  <c r="K849" i="4"/>
  <c r="Z849" i="4" s="1" a="1"/>
  <c r="Z849" i="4" s="1"/>
  <c r="Y848" i="4"/>
  <c r="X848" i="4"/>
  <c r="W848" i="4"/>
  <c r="V848" i="4"/>
  <c r="U848" i="4"/>
  <c r="T848" i="4"/>
  <c r="O848" i="4"/>
  <c r="M848" i="4"/>
  <c r="L848" i="4"/>
  <c r="K848" i="4"/>
  <c r="Z848" i="4" s="1" a="1"/>
  <c r="Z848" i="4" s="1"/>
  <c r="Y847" i="4"/>
  <c r="X847" i="4"/>
  <c r="W847" i="4"/>
  <c r="V847" i="4"/>
  <c r="U847" i="4"/>
  <c r="T847" i="4"/>
  <c r="O847" i="4"/>
  <c r="M847" i="4"/>
  <c r="L847" i="4"/>
  <c r="K847" i="4"/>
  <c r="Z847" i="4" s="1" a="1"/>
  <c r="Z847" i="4" s="1"/>
  <c r="Y846" i="4"/>
  <c r="X846" i="4"/>
  <c r="W846" i="4"/>
  <c r="V846" i="4"/>
  <c r="U846" i="4"/>
  <c r="T846" i="4"/>
  <c r="O846" i="4"/>
  <c r="M846" i="4"/>
  <c r="L846" i="4"/>
  <c r="K846" i="4"/>
  <c r="Z846" i="4" s="1" a="1"/>
  <c r="Z846" i="4" s="1"/>
  <c r="Y845" i="4"/>
  <c r="X845" i="4"/>
  <c r="W845" i="4"/>
  <c r="V845" i="4"/>
  <c r="U845" i="4"/>
  <c r="T845" i="4"/>
  <c r="O845" i="4"/>
  <c r="M845" i="4"/>
  <c r="L845" i="4"/>
  <c r="K845" i="4"/>
  <c r="Z845" i="4" s="1" a="1"/>
  <c r="Z845" i="4" s="1"/>
  <c r="Y844" i="4"/>
  <c r="X844" i="4"/>
  <c r="W844" i="4"/>
  <c r="V844" i="4"/>
  <c r="U844" i="4"/>
  <c r="T844" i="4"/>
  <c r="O844" i="4"/>
  <c r="M844" i="4"/>
  <c r="L844" i="4"/>
  <c r="K844" i="4"/>
  <c r="Z844" i="4" s="1" a="1"/>
  <c r="Z844" i="4" s="1"/>
  <c r="Y843" i="4"/>
  <c r="X843" i="4"/>
  <c r="W843" i="4"/>
  <c r="V843" i="4"/>
  <c r="U843" i="4"/>
  <c r="T843" i="4"/>
  <c r="O843" i="4"/>
  <c r="M843" i="4"/>
  <c r="L843" i="4"/>
  <c r="K843" i="4"/>
  <c r="Z843" i="4" s="1" a="1"/>
  <c r="Z843" i="4" s="1"/>
  <c r="Y842" i="4"/>
  <c r="X842" i="4"/>
  <c r="W842" i="4"/>
  <c r="V842" i="4"/>
  <c r="U842" i="4"/>
  <c r="T842" i="4"/>
  <c r="O842" i="4"/>
  <c r="M842" i="4"/>
  <c r="L842" i="4"/>
  <c r="K842" i="4"/>
  <c r="Z842" i="4" s="1" a="1"/>
  <c r="Z842" i="4" s="1"/>
  <c r="Y841" i="4"/>
  <c r="X841" i="4"/>
  <c r="W841" i="4"/>
  <c r="V841" i="4"/>
  <c r="U841" i="4"/>
  <c r="T841" i="4"/>
  <c r="O841" i="4"/>
  <c r="M841" i="4"/>
  <c r="L841" i="4"/>
  <c r="K841" i="4"/>
  <c r="Z841" i="4" s="1" a="1"/>
  <c r="Z841" i="4" s="1"/>
  <c r="Y840" i="4"/>
  <c r="X840" i="4"/>
  <c r="W840" i="4"/>
  <c r="V840" i="4"/>
  <c r="U840" i="4"/>
  <c r="T840" i="4"/>
  <c r="O840" i="4"/>
  <c r="M840" i="4"/>
  <c r="L840" i="4"/>
  <c r="K840" i="4"/>
  <c r="Z840" i="4" s="1" a="1"/>
  <c r="Z840" i="4" s="1"/>
  <c r="Y839" i="4"/>
  <c r="X839" i="4"/>
  <c r="W839" i="4"/>
  <c r="V839" i="4"/>
  <c r="U839" i="4"/>
  <c r="T839" i="4"/>
  <c r="O839" i="4"/>
  <c r="M839" i="4"/>
  <c r="L839" i="4"/>
  <c r="K839" i="4"/>
  <c r="Z839" i="4" s="1" a="1"/>
  <c r="Z839" i="4" s="1"/>
  <c r="Y838" i="4"/>
  <c r="X838" i="4"/>
  <c r="W838" i="4"/>
  <c r="V838" i="4"/>
  <c r="U838" i="4"/>
  <c r="T838" i="4"/>
  <c r="O838" i="4"/>
  <c r="M838" i="4"/>
  <c r="L838" i="4"/>
  <c r="K838" i="4"/>
  <c r="Z838" i="4" s="1" a="1"/>
  <c r="Z838" i="4" s="1"/>
  <c r="Y837" i="4"/>
  <c r="X837" i="4"/>
  <c r="W837" i="4"/>
  <c r="V837" i="4"/>
  <c r="U837" i="4"/>
  <c r="T837" i="4"/>
  <c r="O837" i="4"/>
  <c r="M837" i="4"/>
  <c r="L837" i="4"/>
  <c r="K837" i="4"/>
  <c r="Z837" i="4" s="1" a="1"/>
  <c r="Z837" i="4" s="1"/>
  <c r="Y836" i="4"/>
  <c r="X836" i="4"/>
  <c r="W836" i="4"/>
  <c r="V836" i="4"/>
  <c r="U836" i="4"/>
  <c r="T836" i="4"/>
  <c r="O836" i="4"/>
  <c r="M836" i="4"/>
  <c r="L836" i="4"/>
  <c r="K836" i="4"/>
  <c r="Z836" i="4" s="1" a="1"/>
  <c r="Z836" i="4" s="1"/>
  <c r="Y835" i="4"/>
  <c r="X835" i="4"/>
  <c r="W835" i="4"/>
  <c r="V835" i="4"/>
  <c r="U835" i="4"/>
  <c r="T835" i="4"/>
  <c r="O835" i="4"/>
  <c r="M835" i="4"/>
  <c r="L835" i="4"/>
  <c r="K835" i="4"/>
  <c r="Z835" i="4" s="1" a="1"/>
  <c r="Z835" i="4" s="1"/>
  <c r="Y834" i="4"/>
  <c r="X834" i="4"/>
  <c r="W834" i="4"/>
  <c r="V834" i="4"/>
  <c r="U834" i="4"/>
  <c r="T834" i="4"/>
  <c r="O834" i="4"/>
  <c r="M834" i="4"/>
  <c r="L834" i="4"/>
  <c r="K834" i="4"/>
  <c r="Z834" i="4" s="1" a="1"/>
  <c r="Z834" i="4" s="1"/>
  <c r="Y833" i="4"/>
  <c r="X833" i="4"/>
  <c r="W833" i="4"/>
  <c r="V833" i="4"/>
  <c r="U833" i="4"/>
  <c r="T833" i="4"/>
  <c r="O833" i="4"/>
  <c r="M833" i="4"/>
  <c r="L833" i="4"/>
  <c r="K833" i="4"/>
  <c r="Z833" i="4" s="1" a="1"/>
  <c r="Z833" i="4" s="1"/>
  <c r="Y832" i="4"/>
  <c r="X832" i="4"/>
  <c r="W832" i="4"/>
  <c r="V832" i="4"/>
  <c r="U832" i="4"/>
  <c r="T832" i="4"/>
  <c r="O832" i="4"/>
  <c r="M832" i="4"/>
  <c r="L832" i="4"/>
  <c r="K832" i="4"/>
  <c r="Z832" i="4" s="1" a="1"/>
  <c r="Z832" i="4" s="1"/>
  <c r="Y831" i="4"/>
  <c r="X831" i="4"/>
  <c r="W831" i="4"/>
  <c r="V831" i="4"/>
  <c r="U831" i="4"/>
  <c r="T831" i="4"/>
  <c r="O831" i="4"/>
  <c r="M831" i="4"/>
  <c r="L831" i="4"/>
  <c r="K831" i="4"/>
  <c r="Z831" i="4" s="1" a="1"/>
  <c r="Z831" i="4" s="1"/>
  <c r="Y830" i="4"/>
  <c r="X830" i="4"/>
  <c r="W830" i="4"/>
  <c r="V830" i="4"/>
  <c r="U830" i="4"/>
  <c r="T830" i="4"/>
  <c r="O830" i="4"/>
  <c r="M830" i="4"/>
  <c r="L830" i="4"/>
  <c r="K830" i="4"/>
  <c r="Z830" i="4" s="1" a="1"/>
  <c r="Z830" i="4" s="1"/>
  <c r="Y829" i="4"/>
  <c r="X829" i="4"/>
  <c r="W829" i="4"/>
  <c r="V829" i="4"/>
  <c r="U829" i="4"/>
  <c r="T829" i="4"/>
  <c r="O829" i="4"/>
  <c r="M829" i="4"/>
  <c r="L829" i="4"/>
  <c r="K829" i="4"/>
  <c r="Z829" i="4" s="1" a="1"/>
  <c r="Z829" i="4" s="1"/>
  <c r="Y828" i="4"/>
  <c r="X828" i="4"/>
  <c r="W828" i="4"/>
  <c r="V828" i="4"/>
  <c r="U828" i="4"/>
  <c r="T828" i="4"/>
  <c r="O828" i="4"/>
  <c r="M828" i="4"/>
  <c r="L828" i="4"/>
  <c r="K828" i="4"/>
  <c r="Z828" i="4" s="1" a="1"/>
  <c r="Z828" i="4" s="1"/>
  <c r="Y827" i="4"/>
  <c r="X827" i="4"/>
  <c r="W827" i="4"/>
  <c r="V827" i="4"/>
  <c r="U827" i="4"/>
  <c r="T827" i="4"/>
  <c r="O827" i="4"/>
  <c r="M827" i="4"/>
  <c r="L827" i="4"/>
  <c r="K827" i="4"/>
  <c r="Z827" i="4" s="1" a="1"/>
  <c r="Z827" i="4" s="1"/>
  <c r="Y826" i="4"/>
  <c r="X826" i="4"/>
  <c r="W826" i="4"/>
  <c r="V826" i="4"/>
  <c r="U826" i="4"/>
  <c r="T826" i="4"/>
  <c r="O826" i="4"/>
  <c r="M826" i="4"/>
  <c r="L826" i="4"/>
  <c r="K826" i="4"/>
  <c r="Z826" i="4" s="1" a="1"/>
  <c r="Z826" i="4" s="1"/>
  <c r="Y825" i="4"/>
  <c r="X825" i="4"/>
  <c r="W825" i="4"/>
  <c r="V825" i="4"/>
  <c r="U825" i="4"/>
  <c r="T825" i="4"/>
  <c r="O825" i="4"/>
  <c r="M825" i="4"/>
  <c r="L825" i="4"/>
  <c r="K825" i="4"/>
  <c r="Z825" i="4" s="1" a="1"/>
  <c r="Z825" i="4" s="1"/>
  <c r="Y824" i="4"/>
  <c r="X824" i="4"/>
  <c r="W824" i="4"/>
  <c r="V824" i="4"/>
  <c r="U824" i="4"/>
  <c r="T824" i="4"/>
  <c r="O824" i="4"/>
  <c r="M824" i="4"/>
  <c r="L824" i="4"/>
  <c r="K824" i="4"/>
  <c r="Z824" i="4" s="1" a="1"/>
  <c r="Z824" i="4" s="1"/>
  <c r="Y823" i="4"/>
  <c r="X823" i="4"/>
  <c r="W823" i="4"/>
  <c r="V823" i="4"/>
  <c r="U823" i="4"/>
  <c r="T823" i="4"/>
  <c r="O823" i="4"/>
  <c r="M823" i="4"/>
  <c r="L823" i="4"/>
  <c r="K823" i="4"/>
  <c r="Z823" i="4" s="1" a="1"/>
  <c r="Z823" i="4" s="1"/>
  <c r="Y822" i="4"/>
  <c r="X822" i="4"/>
  <c r="W822" i="4"/>
  <c r="V822" i="4"/>
  <c r="U822" i="4"/>
  <c r="T822" i="4"/>
  <c r="O822" i="4"/>
  <c r="M822" i="4"/>
  <c r="L822" i="4"/>
  <c r="K822" i="4"/>
  <c r="Z822" i="4" s="1" a="1"/>
  <c r="Z822" i="4" s="1"/>
  <c r="Y821" i="4"/>
  <c r="X821" i="4"/>
  <c r="W821" i="4"/>
  <c r="V821" i="4"/>
  <c r="U821" i="4"/>
  <c r="T821" i="4"/>
  <c r="O821" i="4"/>
  <c r="M821" i="4"/>
  <c r="L821" i="4"/>
  <c r="K821" i="4"/>
  <c r="Z821" i="4" s="1" a="1"/>
  <c r="Z821" i="4" s="1"/>
  <c r="Y820" i="4"/>
  <c r="X820" i="4"/>
  <c r="W820" i="4"/>
  <c r="V820" i="4"/>
  <c r="U820" i="4"/>
  <c r="T820" i="4"/>
  <c r="O820" i="4"/>
  <c r="M820" i="4"/>
  <c r="L820" i="4"/>
  <c r="K820" i="4"/>
  <c r="Z820" i="4" s="1" a="1"/>
  <c r="Z820" i="4" s="1"/>
  <c r="Y819" i="4"/>
  <c r="X819" i="4"/>
  <c r="W819" i="4"/>
  <c r="V819" i="4"/>
  <c r="U819" i="4"/>
  <c r="T819" i="4"/>
  <c r="O819" i="4"/>
  <c r="M819" i="4"/>
  <c r="L819" i="4"/>
  <c r="K819" i="4"/>
  <c r="Z819" i="4" s="1" a="1"/>
  <c r="Z819" i="4" s="1"/>
  <c r="Y818" i="4"/>
  <c r="X818" i="4"/>
  <c r="W818" i="4"/>
  <c r="V818" i="4"/>
  <c r="U818" i="4"/>
  <c r="T818" i="4"/>
  <c r="O818" i="4"/>
  <c r="M818" i="4"/>
  <c r="L818" i="4"/>
  <c r="K818" i="4"/>
  <c r="Z818" i="4" s="1" a="1"/>
  <c r="Z818" i="4" s="1"/>
  <c r="Y817" i="4"/>
  <c r="X817" i="4"/>
  <c r="W817" i="4"/>
  <c r="V817" i="4"/>
  <c r="U817" i="4"/>
  <c r="T817" i="4"/>
  <c r="O817" i="4"/>
  <c r="M817" i="4"/>
  <c r="L817" i="4"/>
  <c r="K817" i="4"/>
  <c r="Z817" i="4" s="1" a="1"/>
  <c r="Z817" i="4" s="1"/>
  <c r="Y816" i="4"/>
  <c r="X816" i="4"/>
  <c r="W816" i="4"/>
  <c r="V816" i="4"/>
  <c r="U816" i="4"/>
  <c r="T816" i="4"/>
  <c r="O816" i="4"/>
  <c r="M816" i="4"/>
  <c r="L816" i="4"/>
  <c r="K816" i="4"/>
  <c r="Z816" i="4" s="1" a="1"/>
  <c r="Z816" i="4" s="1"/>
  <c r="Y815" i="4"/>
  <c r="X815" i="4"/>
  <c r="W815" i="4"/>
  <c r="V815" i="4"/>
  <c r="U815" i="4"/>
  <c r="T815" i="4"/>
  <c r="O815" i="4"/>
  <c r="M815" i="4"/>
  <c r="L815" i="4"/>
  <c r="K815" i="4"/>
  <c r="Z815" i="4" s="1" a="1"/>
  <c r="Z815" i="4" s="1"/>
  <c r="Y814" i="4"/>
  <c r="X814" i="4"/>
  <c r="W814" i="4"/>
  <c r="V814" i="4"/>
  <c r="U814" i="4"/>
  <c r="T814" i="4"/>
  <c r="O814" i="4"/>
  <c r="M814" i="4"/>
  <c r="L814" i="4"/>
  <c r="K814" i="4"/>
  <c r="Z814" i="4" s="1" a="1"/>
  <c r="Z814" i="4" s="1"/>
  <c r="Y813" i="4"/>
  <c r="X813" i="4"/>
  <c r="W813" i="4"/>
  <c r="V813" i="4"/>
  <c r="U813" i="4"/>
  <c r="T813" i="4"/>
  <c r="O813" i="4"/>
  <c r="M813" i="4"/>
  <c r="L813" i="4"/>
  <c r="K813" i="4"/>
  <c r="Z813" i="4" s="1" a="1"/>
  <c r="Z813" i="4" s="1"/>
  <c r="Y812" i="4"/>
  <c r="X812" i="4"/>
  <c r="W812" i="4"/>
  <c r="V812" i="4"/>
  <c r="U812" i="4"/>
  <c r="T812" i="4"/>
  <c r="O812" i="4"/>
  <c r="M812" i="4"/>
  <c r="L812" i="4"/>
  <c r="K812" i="4"/>
  <c r="Z812" i="4" s="1" a="1"/>
  <c r="Z812" i="4" s="1"/>
  <c r="Y811" i="4"/>
  <c r="X811" i="4"/>
  <c r="W811" i="4"/>
  <c r="V811" i="4"/>
  <c r="U811" i="4"/>
  <c r="T811" i="4"/>
  <c r="O811" i="4"/>
  <c r="M811" i="4"/>
  <c r="L811" i="4"/>
  <c r="K811" i="4"/>
  <c r="Z811" i="4" s="1" a="1"/>
  <c r="Z811" i="4" s="1"/>
  <c r="Y810" i="4"/>
  <c r="X810" i="4"/>
  <c r="W810" i="4"/>
  <c r="V810" i="4"/>
  <c r="U810" i="4"/>
  <c r="T810" i="4"/>
  <c r="O810" i="4"/>
  <c r="M810" i="4"/>
  <c r="L810" i="4"/>
  <c r="K810" i="4"/>
  <c r="Z810" i="4" s="1" a="1"/>
  <c r="Z810" i="4" s="1"/>
  <c r="Y809" i="4"/>
  <c r="X809" i="4"/>
  <c r="W809" i="4"/>
  <c r="V809" i="4"/>
  <c r="U809" i="4"/>
  <c r="T809" i="4"/>
  <c r="O809" i="4"/>
  <c r="M809" i="4"/>
  <c r="L809" i="4"/>
  <c r="K809" i="4"/>
  <c r="Z809" i="4" s="1" a="1"/>
  <c r="Z809" i="4" s="1"/>
  <c r="Y808" i="4"/>
  <c r="X808" i="4"/>
  <c r="W808" i="4"/>
  <c r="V808" i="4"/>
  <c r="U808" i="4"/>
  <c r="T808" i="4"/>
  <c r="O808" i="4"/>
  <c r="M808" i="4"/>
  <c r="L808" i="4"/>
  <c r="K808" i="4"/>
  <c r="Z808" i="4" s="1" a="1"/>
  <c r="Z808" i="4" s="1"/>
  <c r="Y807" i="4"/>
  <c r="X807" i="4"/>
  <c r="W807" i="4"/>
  <c r="V807" i="4"/>
  <c r="U807" i="4"/>
  <c r="T807" i="4"/>
  <c r="O807" i="4"/>
  <c r="M807" i="4"/>
  <c r="L807" i="4"/>
  <c r="K807" i="4"/>
  <c r="Z807" i="4" s="1" a="1"/>
  <c r="Z807" i="4" s="1"/>
  <c r="Y806" i="4"/>
  <c r="X806" i="4"/>
  <c r="W806" i="4"/>
  <c r="V806" i="4"/>
  <c r="U806" i="4"/>
  <c r="T806" i="4"/>
  <c r="O806" i="4"/>
  <c r="M806" i="4"/>
  <c r="L806" i="4"/>
  <c r="K806" i="4"/>
  <c r="Z806" i="4" s="1" a="1"/>
  <c r="Z806" i="4" s="1"/>
  <c r="Y805" i="4"/>
  <c r="X805" i="4"/>
  <c r="W805" i="4"/>
  <c r="V805" i="4"/>
  <c r="U805" i="4"/>
  <c r="T805" i="4"/>
  <c r="O805" i="4"/>
  <c r="M805" i="4"/>
  <c r="L805" i="4"/>
  <c r="K805" i="4"/>
  <c r="Z805" i="4" s="1" a="1"/>
  <c r="Z805" i="4" s="1"/>
  <c r="Y804" i="4"/>
  <c r="X804" i="4"/>
  <c r="W804" i="4"/>
  <c r="V804" i="4"/>
  <c r="U804" i="4"/>
  <c r="T804" i="4"/>
  <c r="O804" i="4"/>
  <c r="M804" i="4"/>
  <c r="L804" i="4"/>
  <c r="K804" i="4"/>
  <c r="Z804" i="4" s="1" a="1"/>
  <c r="Z804" i="4" s="1"/>
  <c r="Y803" i="4"/>
  <c r="X803" i="4"/>
  <c r="W803" i="4"/>
  <c r="V803" i="4"/>
  <c r="U803" i="4"/>
  <c r="T803" i="4"/>
  <c r="O803" i="4"/>
  <c r="M803" i="4"/>
  <c r="L803" i="4"/>
  <c r="K803" i="4"/>
  <c r="Z803" i="4" s="1" a="1"/>
  <c r="Z803" i="4" s="1"/>
  <c r="Y802" i="4"/>
  <c r="X802" i="4"/>
  <c r="W802" i="4"/>
  <c r="V802" i="4"/>
  <c r="U802" i="4"/>
  <c r="T802" i="4"/>
  <c r="O802" i="4"/>
  <c r="M802" i="4"/>
  <c r="L802" i="4"/>
  <c r="K802" i="4"/>
  <c r="Z802" i="4" s="1" a="1"/>
  <c r="Z802" i="4" s="1"/>
  <c r="Y801" i="4"/>
  <c r="X801" i="4"/>
  <c r="W801" i="4"/>
  <c r="V801" i="4"/>
  <c r="U801" i="4"/>
  <c r="T801" i="4"/>
  <c r="O801" i="4"/>
  <c r="M801" i="4"/>
  <c r="L801" i="4"/>
  <c r="K801" i="4"/>
  <c r="Z801" i="4" s="1" a="1"/>
  <c r="Z801" i="4" s="1"/>
  <c r="Y800" i="4"/>
  <c r="X800" i="4"/>
  <c r="W800" i="4"/>
  <c r="V800" i="4"/>
  <c r="U800" i="4"/>
  <c r="T800" i="4"/>
  <c r="O800" i="4"/>
  <c r="M800" i="4"/>
  <c r="L800" i="4"/>
  <c r="K800" i="4"/>
  <c r="Z800" i="4" s="1" a="1"/>
  <c r="Z800" i="4" s="1"/>
  <c r="Y799" i="4"/>
  <c r="X799" i="4"/>
  <c r="W799" i="4"/>
  <c r="V799" i="4"/>
  <c r="U799" i="4"/>
  <c r="T799" i="4"/>
  <c r="O799" i="4"/>
  <c r="M799" i="4"/>
  <c r="L799" i="4"/>
  <c r="K799" i="4"/>
  <c r="Z799" i="4" s="1" a="1"/>
  <c r="Z799" i="4" s="1"/>
  <c r="Y798" i="4"/>
  <c r="X798" i="4"/>
  <c r="W798" i="4"/>
  <c r="V798" i="4"/>
  <c r="U798" i="4"/>
  <c r="T798" i="4"/>
  <c r="O798" i="4"/>
  <c r="M798" i="4"/>
  <c r="L798" i="4"/>
  <c r="K798" i="4"/>
  <c r="Z798" i="4" s="1" a="1"/>
  <c r="Z798" i="4" s="1"/>
  <c r="Y797" i="4"/>
  <c r="X797" i="4"/>
  <c r="W797" i="4"/>
  <c r="V797" i="4"/>
  <c r="U797" i="4"/>
  <c r="T797" i="4"/>
  <c r="O797" i="4"/>
  <c r="M797" i="4"/>
  <c r="L797" i="4"/>
  <c r="K797" i="4"/>
  <c r="Z797" i="4" s="1" a="1"/>
  <c r="Z797" i="4" s="1"/>
  <c r="Y796" i="4"/>
  <c r="X796" i="4"/>
  <c r="W796" i="4"/>
  <c r="V796" i="4"/>
  <c r="U796" i="4"/>
  <c r="T796" i="4"/>
  <c r="O796" i="4"/>
  <c r="M796" i="4"/>
  <c r="L796" i="4"/>
  <c r="K796" i="4"/>
  <c r="Z796" i="4" s="1" a="1"/>
  <c r="Z796" i="4" s="1"/>
  <c r="Y795" i="4"/>
  <c r="X795" i="4"/>
  <c r="W795" i="4"/>
  <c r="V795" i="4"/>
  <c r="U795" i="4"/>
  <c r="T795" i="4"/>
  <c r="O795" i="4"/>
  <c r="M795" i="4"/>
  <c r="L795" i="4"/>
  <c r="K795" i="4"/>
  <c r="Z795" i="4" s="1" a="1"/>
  <c r="Z795" i="4" s="1"/>
  <c r="Y794" i="4"/>
  <c r="X794" i="4"/>
  <c r="W794" i="4"/>
  <c r="V794" i="4"/>
  <c r="U794" i="4"/>
  <c r="T794" i="4"/>
  <c r="O794" i="4"/>
  <c r="M794" i="4"/>
  <c r="L794" i="4"/>
  <c r="K794" i="4"/>
  <c r="Z794" i="4" s="1" a="1"/>
  <c r="Z794" i="4" s="1"/>
  <c r="Y793" i="4"/>
  <c r="X793" i="4"/>
  <c r="W793" i="4"/>
  <c r="V793" i="4"/>
  <c r="U793" i="4"/>
  <c r="T793" i="4"/>
  <c r="O793" i="4"/>
  <c r="M793" i="4"/>
  <c r="L793" i="4"/>
  <c r="K793" i="4"/>
  <c r="Z793" i="4" s="1" a="1"/>
  <c r="Z793" i="4" s="1"/>
  <c r="Y792" i="4"/>
  <c r="X792" i="4"/>
  <c r="W792" i="4"/>
  <c r="V792" i="4"/>
  <c r="U792" i="4"/>
  <c r="T792" i="4"/>
  <c r="O792" i="4"/>
  <c r="M792" i="4"/>
  <c r="L792" i="4"/>
  <c r="K792" i="4"/>
  <c r="Z792" i="4" s="1" a="1"/>
  <c r="Z792" i="4" s="1"/>
  <c r="Y791" i="4"/>
  <c r="X791" i="4"/>
  <c r="W791" i="4"/>
  <c r="V791" i="4"/>
  <c r="U791" i="4"/>
  <c r="T791" i="4"/>
  <c r="O791" i="4"/>
  <c r="M791" i="4"/>
  <c r="L791" i="4"/>
  <c r="K791" i="4"/>
  <c r="Z791" i="4" s="1" a="1"/>
  <c r="Z791" i="4" s="1"/>
  <c r="Y790" i="4"/>
  <c r="X790" i="4"/>
  <c r="W790" i="4"/>
  <c r="V790" i="4"/>
  <c r="U790" i="4"/>
  <c r="T790" i="4"/>
  <c r="O790" i="4"/>
  <c r="M790" i="4"/>
  <c r="L790" i="4"/>
  <c r="K790" i="4"/>
  <c r="Z790" i="4" s="1" a="1"/>
  <c r="Z790" i="4" s="1"/>
  <c r="Y789" i="4"/>
  <c r="X789" i="4"/>
  <c r="W789" i="4"/>
  <c r="V789" i="4"/>
  <c r="U789" i="4"/>
  <c r="T789" i="4"/>
  <c r="O789" i="4"/>
  <c r="M789" i="4"/>
  <c r="L789" i="4"/>
  <c r="K789" i="4"/>
  <c r="Z789" i="4" s="1" a="1"/>
  <c r="Z789" i="4" s="1"/>
  <c r="Y788" i="4"/>
  <c r="X788" i="4"/>
  <c r="W788" i="4"/>
  <c r="V788" i="4"/>
  <c r="U788" i="4"/>
  <c r="T788" i="4"/>
  <c r="O788" i="4"/>
  <c r="M788" i="4"/>
  <c r="L788" i="4"/>
  <c r="K788" i="4"/>
  <c r="Z788" i="4" s="1" a="1"/>
  <c r="Z788" i="4" s="1"/>
  <c r="Y787" i="4"/>
  <c r="X787" i="4"/>
  <c r="W787" i="4"/>
  <c r="V787" i="4"/>
  <c r="U787" i="4"/>
  <c r="T787" i="4"/>
  <c r="O787" i="4"/>
  <c r="M787" i="4"/>
  <c r="L787" i="4"/>
  <c r="K787" i="4"/>
  <c r="Z787" i="4" s="1" a="1"/>
  <c r="Z787" i="4" s="1"/>
  <c r="Y786" i="4"/>
  <c r="X786" i="4"/>
  <c r="W786" i="4"/>
  <c r="V786" i="4"/>
  <c r="U786" i="4"/>
  <c r="T786" i="4"/>
  <c r="O786" i="4"/>
  <c r="M786" i="4"/>
  <c r="L786" i="4"/>
  <c r="K786" i="4"/>
  <c r="Z786" i="4" s="1" a="1"/>
  <c r="Z786" i="4" s="1"/>
  <c r="Y785" i="4"/>
  <c r="X785" i="4"/>
  <c r="W785" i="4"/>
  <c r="V785" i="4"/>
  <c r="U785" i="4"/>
  <c r="T785" i="4"/>
  <c r="O785" i="4"/>
  <c r="M785" i="4"/>
  <c r="L785" i="4"/>
  <c r="K785" i="4"/>
  <c r="Z785" i="4" s="1" a="1"/>
  <c r="Z785" i="4" s="1"/>
  <c r="Y784" i="4"/>
  <c r="X784" i="4"/>
  <c r="W784" i="4"/>
  <c r="V784" i="4"/>
  <c r="U784" i="4"/>
  <c r="T784" i="4"/>
  <c r="O784" i="4"/>
  <c r="M784" i="4"/>
  <c r="L784" i="4"/>
  <c r="K784" i="4"/>
  <c r="Z784" i="4" s="1" a="1"/>
  <c r="Z784" i="4" s="1"/>
  <c r="Y783" i="4"/>
  <c r="X783" i="4"/>
  <c r="W783" i="4"/>
  <c r="V783" i="4"/>
  <c r="U783" i="4"/>
  <c r="T783" i="4"/>
  <c r="O783" i="4"/>
  <c r="M783" i="4"/>
  <c r="L783" i="4"/>
  <c r="K783" i="4"/>
  <c r="Z783" i="4" s="1" a="1"/>
  <c r="Z783" i="4" s="1"/>
  <c r="Y782" i="4"/>
  <c r="X782" i="4"/>
  <c r="W782" i="4"/>
  <c r="V782" i="4"/>
  <c r="U782" i="4"/>
  <c r="T782" i="4"/>
  <c r="O782" i="4"/>
  <c r="M782" i="4"/>
  <c r="L782" i="4"/>
  <c r="K782" i="4"/>
  <c r="Z782" i="4" s="1" a="1"/>
  <c r="Z782" i="4" s="1"/>
  <c r="Y781" i="4"/>
  <c r="X781" i="4"/>
  <c r="W781" i="4"/>
  <c r="V781" i="4"/>
  <c r="U781" i="4"/>
  <c r="T781" i="4"/>
  <c r="O781" i="4"/>
  <c r="M781" i="4"/>
  <c r="L781" i="4"/>
  <c r="K781" i="4"/>
  <c r="Z781" i="4" s="1" a="1"/>
  <c r="Z781" i="4" s="1"/>
  <c r="Y780" i="4"/>
  <c r="X780" i="4"/>
  <c r="W780" i="4"/>
  <c r="V780" i="4"/>
  <c r="U780" i="4"/>
  <c r="T780" i="4"/>
  <c r="O780" i="4"/>
  <c r="M780" i="4"/>
  <c r="L780" i="4"/>
  <c r="K780" i="4"/>
  <c r="Z780" i="4" s="1" a="1"/>
  <c r="Z780" i="4" s="1"/>
  <c r="Y779" i="4"/>
  <c r="X779" i="4"/>
  <c r="W779" i="4"/>
  <c r="V779" i="4"/>
  <c r="U779" i="4"/>
  <c r="T779" i="4"/>
  <c r="O779" i="4"/>
  <c r="M779" i="4"/>
  <c r="L779" i="4"/>
  <c r="K779" i="4"/>
  <c r="Z779" i="4" s="1" a="1"/>
  <c r="Z779" i="4" s="1"/>
  <c r="Y778" i="4"/>
  <c r="X778" i="4"/>
  <c r="W778" i="4"/>
  <c r="V778" i="4"/>
  <c r="U778" i="4"/>
  <c r="T778" i="4"/>
  <c r="O778" i="4"/>
  <c r="M778" i="4"/>
  <c r="L778" i="4"/>
  <c r="K778" i="4"/>
  <c r="Z778" i="4" s="1" a="1"/>
  <c r="Z778" i="4" s="1"/>
  <c r="Y777" i="4"/>
  <c r="X777" i="4"/>
  <c r="W777" i="4"/>
  <c r="V777" i="4"/>
  <c r="U777" i="4"/>
  <c r="T777" i="4"/>
  <c r="O777" i="4"/>
  <c r="M777" i="4"/>
  <c r="L777" i="4"/>
  <c r="K777" i="4"/>
  <c r="Z777" i="4" s="1" a="1"/>
  <c r="Z777" i="4" s="1"/>
  <c r="Y776" i="4"/>
  <c r="X776" i="4"/>
  <c r="W776" i="4"/>
  <c r="V776" i="4"/>
  <c r="U776" i="4"/>
  <c r="T776" i="4"/>
  <c r="O776" i="4"/>
  <c r="M776" i="4"/>
  <c r="L776" i="4"/>
  <c r="K776" i="4"/>
  <c r="Z776" i="4" s="1" a="1"/>
  <c r="Z776" i="4" s="1"/>
  <c r="Y775" i="4"/>
  <c r="X775" i="4"/>
  <c r="W775" i="4"/>
  <c r="V775" i="4"/>
  <c r="U775" i="4"/>
  <c r="T775" i="4"/>
  <c r="O775" i="4"/>
  <c r="M775" i="4"/>
  <c r="L775" i="4"/>
  <c r="K775" i="4"/>
  <c r="Z775" i="4" s="1" a="1"/>
  <c r="Z775" i="4" s="1"/>
  <c r="Y774" i="4"/>
  <c r="X774" i="4"/>
  <c r="W774" i="4"/>
  <c r="V774" i="4"/>
  <c r="U774" i="4"/>
  <c r="T774" i="4"/>
  <c r="O774" i="4"/>
  <c r="M774" i="4"/>
  <c r="L774" i="4"/>
  <c r="K774" i="4"/>
  <c r="Z774" i="4" s="1" a="1"/>
  <c r="Z774" i="4" s="1"/>
  <c r="Y773" i="4"/>
  <c r="X773" i="4"/>
  <c r="W773" i="4"/>
  <c r="V773" i="4"/>
  <c r="U773" i="4"/>
  <c r="T773" i="4"/>
  <c r="O773" i="4"/>
  <c r="M773" i="4"/>
  <c r="L773" i="4"/>
  <c r="K773" i="4"/>
  <c r="Z773" i="4" s="1" a="1"/>
  <c r="Z773" i="4" s="1"/>
  <c r="Y772" i="4"/>
  <c r="X772" i="4"/>
  <c r="W772" i="4"/>
  <c r="V772" i="4"/>
  <c r="U772" i="4"/>
  <c r="T772" i="4"/>
  <c r="O772" i="4"/>
  <c r="M772" i="4"/>
  <c r="L772" i="4"/>
  <c r="K772" i="4"/>
  <c r="Z772" i="4" s="1" a="1"/>
  <c r="Z772" i="4" s="1"/>
  <c r="Y771" i="4"/>
  <c r="X771" i="4"/>
  <c r="W771" i="4"/>
  <c r="V771" i="4"/>
  <c r="U771" i="4"/>
  <c r="T771" i="4"/>
  <c r="O771" i="4"/>
  <c r="M771" i="4"/>
  <c r="L771" i="4"/>
  <c r="K771" i="4"/>
  <c r="Z771" i="4" s="1" a="1"/>
  <c r="Z771" i="4" s="1"/>
  <c r="Y770" i="4"/>
  <c r="X770" i="4"/>
  <c r="W770" i="4"/>
  <c r="V770" i="4"/>
  <c r="U770" i="4"/>
  <c r="T770" i="4"/>
  <c r="O770" i="4"/>
  <c r="M770" i="4"/>
  <c r="L770" i="4"/>
  <c r="K770" i="4"/>
  <c r="Z770" i="4" s="1" a="1"/>
  <c r="Z770" i="4" s="1"/>
  <c r="Y769" i="4"/>
  <c r="X769" i="4"/>
  <c r="W769" i="4"/>
  <c r="V769" i="4"/>
  <c r="U769" i="4"/>
  <c r="T769" i="4"/>
  <c r="O769" i="4"/>
  <c r="M769" i="4"/>
  <c r="L769" i="4"/>
  <c r="K769" i="4"/>
  <c r="Z769" i="4" s="1" a="1"/>
  <c r="Z769" i="4" s="1"/>
  <c r="Y768" i="4"/>
  <c r="X768" i="4"/>
  <c r="W768" i="4"/>
  <c r="V768" i="4"/>
  <c r="U768" i="4"/>
  <c r="T768" i="4"/>
  <c r="O768" i="4"/>
  <c r="M768" i="4"/>
  <c r="L768" i="4"/>
  <c r="K768" i="4"/>
  <c r="Z768" i="4" s="1" a="1"/>
  <c r="Z768" i="4" s="1"/>
  <c r="Y767" i="4"/>
  <c r="X767" i="4"/>
  <c r="W767" i="4"/>
  <c r="V767" i="4"/>
  <c r="U767" i="4"/>
  <c r="T767" i="4"/>
  <c r="O767" i="4"/>
  <c r="M767" i="4"/>
  <c r="L767" i="4"/>
  <c r="K767" i="4"/>
  <c r="Z767" i="4" s="1" a="1"/>
  <c r="Z767" i="4" s="1"/>
  <c r="Y766" i="4"/>
  <c r="X766" i="4"/>
  <c r="W766" i="4"/>
  <c r="V766" i="4"/>
  <c r="U766" i="4"/>
  <c r="T766" i="4"/>
  <c r="O766" i="4"/>
  <c r="M766" i="4"/>
  <c r="L766" i="4"/>
  <c r="K766" i="4"/>
  <c r="Z766" i="4" s="1" a="1"/>
  <c r="Z766" i="4" s="1"/>
  <c r="Y765" i="4"/>
  <c r="X765" i="4"/>
  <c r="W765" i="4"/>
  <c r="V765" i="4"/>
  <c r="U765" i="4"/>
  <c r="T765" i="4"/>
  <c r="O765" i="4"/>
  <c r="M765" i="4"/>
  <c r="L765" i="4"/>
  <c r="K765" i="4"/>
  <c r="Z765" i="4" s="1" a="1"/>
  <c r="Z765" i="4" s="1"/>
  <c r="Y764" i="4"/>
  <c r="X764" i="4"/>
  <c r="W764" i="4"/>
  <c r="V764" i="4"/>
  <c r="U764" i="4"/>
  <c r="T764" i="4"/>
  <c r="O764" i="4"/>
  <c r="M764" i="4"/>
  <c r="L764" i="4"/>
  <c r="K764" i="4"/>
  <c r="Z764" i="4" s="1" a="1"/>
  <c r="Z764" i="4" s="1"/>
  <c r="Y763" i="4"/>
  <c r="X763" i="4"/>
  <c r="W763" i="4"/>
  <c r="V763" i="4"/>
  <c r="U763" i="4"/>
  <c r="T763" i="4"/>
  <c r="O763" i="4"/>
  <c r="M763" i="4"/>
  <c r="L763" i="4"/>
  <c r="K763" i="4"/>
  <c r="Z763" i="4" s="1" a="1"/>
  <c r="Z763" i="4" s="1"/>
  <c r="Y762" i="4"/>
  <c r="X762" i="4"/>
  <c r="W762" i="4"/>
  <c r="V762" i="4"/>
  <c r="U762" i="4"/>
  <c r="T762" i="4"/>
  <c r="O762" i="4"/>
  <c r="M762" i="4"/>
  <c r="L762" i="4"/>
  <c r="K762" i="4"/>
  <c r="Z762" i="4" s="1" a="1"/>
  <c r="Z762" i="4" s="1"/>
  <c r="Y761" i="4"/>
  <c r="X761" i="4"/>
  <c r="W761" i="4"/>
  <c r="V761" i="4"/>
  <c r="U761" i="4"/>
  <c r="T761" i="4"/>
  <c r="O761" i="4"/>
  <c r="M761" i="4"/>
  <c r="L761" i="4"/>
  <c r="K761" i="4"/>
  <c r="Z761" i="4" s="1" a="1"/>
  <c r="Z761" i="4" s="1"/>
  <c r="Y760" i="4"/>
  <c r="X760" i="4"/>
  <c r="W760" i="4"/>
  <c r="V760" i="4"/>
  <c r="U760" i="4"/>
  <c r="T760" i="4"/>
  <c r="O760" i="4"/>
  <c r="M760" i="4"/>
  <c r="L760" i="4"/>
  <c r="K760" i="4"/>
  <c r="Z760" i="4" s="1" a="1"/>
  <c r="Z760" i="4" s="1"/>
  <c r="Y759" i="4"/>
  <c r="X759" i="4"/>
  <c r="W759" i="4"/>
  <c r="V759" i="4"/>
  <c r="U759" i="4"/>
  <c r="T759" i="4"/>
  <c r="O759" i="4"/>
  <c r="M759" i="4"/>
  <c r="L759" i="4"/>
  <c r="K759" i="4"/>
  <c r="Z759" i="4" s="1" a="1"/>
  <c r="Z759" i="4" s="1"/>
  <c r="Y758" i="4"/>
  <c r="X758" i="4"/>
  <c r="W758" i="4"/>
  <c r="V758" i="4"/>
  <c r="U758" i="4"/>
  <c r="T758" i="4"/>
  <c r="O758" i="4"/>
  <c r="M758" i="4"/>
  <c r="L758" i="4"/>
  <c r="K758" i="4"/>
  <c r="Z758" i="4" s="1" a="1"/>
  <c r="Z758" i="4" s="1"/>
  <c r="Y757" i="4"/>
  <c r="X757" i="4"/>
  <c r="W757" i="4"/>
  <c r="V757" i="4"/>
  <c r="U757" i="4"/>
  <c r="T757" i="4"/>
  <c r="O757" i="4"/>
  <c r="M757" i="4"/>
  <c r="L757" i="4"/>
  <c r="K757" i="4"/>
  <c r="Z757" i="4" s="1" a="1"/>
  <c r="Z757" i="4" s="1"/>
  <c r="Y756" i="4"/>
  <c r="X756" i="4"/>
  <c r="W756" i="4"/>
  <c r="V756" i="4"/>
  <c r="U756" i="4"/>
  <c r="T756" i="4"/>
  <c r="O756" i="4"/>
  <c r="M756" i="4"/>
  <c r="L756" i="4"/>
  <c r="K756" i="4"/>
  <c r="Z756" i="4" s="1" a="1"/>
  <c r="Z756" i="4" s="1"/>
  <c r="Y755" i="4"/>
  <c r="X755" i="4"/>
  <c r="W755" i="4"/>
  <c r="V755" i="4"/>
  <c r="U755" i="4"/>
  <c r="T755" i="4"/>
  <c r="O755" i="4"/>
  <c r="M755" i="4"/>
  <c r="L755" i="4"/>
  <c r="K755" i="4"/>
  <c r="Z755" i="4" s="1" a="1"/>
  <c r="Z755" i="4" s="1"/>
  <c r="Y754" i="4"/>
  <c r="X754" i="4"/>
  <c r="W754" i="4"/>
  <c r="V754" i="4"/>
  <c r="U754" i="4"/>
  <c r="T754" i="4"/>
  <c r="O754" i="4"/>
  <c r="M754" i="4"/>
  <c r="L754" i="4"/>
  <c r="K754" i="4"/>
  <c r="Z754" i="4" s="1" a="1"/>
  <c r="Z754" i="4" s="1"/>
  <c r="Y753" i="4"/>
  <c r="X753" i="4"/>
  <c r="W753" i="4"/>
  <c r="V753" i="4"/>
  <c r="U753" i="4"/>
  <c r="T753" i="4"/>
  <c r="O753" i="4"/>
  <c r="M753" i="4"/>
  <c r="L753" i="4"/>
  <c r="K753" i="4"/>
  <c r="Z753" i="4" s="1" a="1"/>
  <c r="Z753" i="4" s="1"/>
  <c r="Y752" i="4"/>
  <c r="X752" i="4"/>
  <c r="W752" i="4"/>
  <c r="V752" i="4"/>
  <c r="U752" i="4"/>
  <c r="T752" i="4"/>
  <c r="O752" i="4"/>
  <c r="M752" i="4"/>
  <c r="L752" i="4"/>
  <c r="K752" i="4"/>
  <c r="Z752" i="4" s="1" a="1"/>
  <c r="Z752" i="4" s="1"/>
  <c r="Y751" i="4"/>
  <c r="X751" i="4"/>
  <c r="W751" i="4"/>
  <c r="V751" i="4"/>
  <c r="U751" i="4"/>
  <c r="T751" i="4"/>
  <c r="O751" i="4"/>
  <c r="M751" i="4"/>
  <c r="L751" i="4"/>
  <c r="K751" i="4"/>
  <c r="Z751" i="4" s="1" a="1"/>
  <c r="Z751" i="4" s="1"/>
  <c r="Y750" i="4"/>
  <c r="X750" i="4"/>
  <c r="W750" i="4"/>
  <c r="V750" i="4"/>
  <c r="U750" i="4"/>
  <c r="T750" i="4"/>
  <c r="O750" i="4"/>
  <c r="M750" i="4"/>
  <c r="L750" i="4"/>
  <c r="K750" i="4"/>
  <c r="Z750" i="4" s="1" a="1"/>
  <c r="Z750" i="4" s="1"/>
  <c r="Y749" i="4"/>
  <c r="X749" i="4"/>
  <c r="W749" i="4"/>
  <c r="V749" i="4"/>
  <c r="U749" i="4"/>
  <c r="T749" i="4"/>
  <c r="O749" i="4"/>
  <c r="M749" i="4"/>
  <c r="L749" i="4"/>
  <c r="K749" i="4"/>
  <c r="Z749" i="4" s="1" a="1"/>
  <c r="Z749" i="4" s="1"/>
  <c r="Y748" i="4"/>
  <c r="X748" i="4"/>
  <c r="W748" i="4"/>
  <c r="V748" i="4"/>
  <c r="U748" i="4"/>
  <c r="T748" i="4"/>
  <c r="O748" i="4"/>
  <c r="M748" i="4"/>
  <c r="L748" i="4"/>
  <c r="K748" i="4"/>
  <c r="Z748" i="4" s="1" a="1"/>
  <c r="Z748" i="4" s="1"/>
  <c r="Y747" i="4"/>
  <c r="X747" i="4"/>
  <c r="W747" i="4"/>
  <c r="V747" i="4"/>
  <c r="U747" i="4"/>
  <c r="T747" i="4"/>
  <c r="O747" i="4"/>
  <c r="M747" i="4"/>
  <c r="L747" i="4"/>
  <c r="K747" i="4"/>
  <c r="Z747" i="4" s="1" a="1"/>
  <c r="Z747" i="4" s="1"/>
  <c r="Y746" i="4"/>
  <c r="X746" i="4"/>
  <c r="W746" i="4"/>
  <c r="V746" i="4"/>
  <c r="U746" i="4"/>
  <c r="T746" i="4"/>
  <c r="O746" i="4"/>
  <c r="M746" i="4"/>
  <c r="L746" i="4"/>
  <c r="K746" i="4"/>
  <c r="Z746" i="4" s="1" a="1"/>
  <c r="Z746" i="4" s="1"/>
  <c r="Y745" i="4"/>
  <c r="X745" i="4"/>
  <c r="W745" i="4"/>
  <c r="V745" i="4"/>
  <c r="U745" i="4"/>
  <c r="T745" i="4"/>
  <c r="O745" i="4"/>
  <c r="M745" i="4"/>
  <c r="L745" i="4"/>
  <c r="K745" i="4"/>
  <c r="Z745" i="4" s="1" a="1"/>
  <c r="Z745" i="4" s="1"/>
  <c r="Y744" i="4"/>
  <c r="X744" i="4"/>
  <c r="W744" i="4"/>
  <c r="V744" i="4"/>
  <c r="U744" i="4"/>
  <c r="T744" i="4"/>
  <c r="O744" i="4"/>
  <c r="M744" i="4"/>
  <c r="L744" i="4"/>
  <c r="K744" i="4"/>
  <c r="Z744" i="4" s="1" a="1"/>
  <c r="Z744" i="4" s="1"/>
  <c r="Y743" i="4"/>
  <c r="X743" i="4"/>
  <c r="W743" i="4"/>
  <c r="V743" i="4"/>
  <c r="U743" i="4"/>
  <c r="T743" i="4"/>
  <c r="O743" i="4"/>
  <c r="M743" i="4"/>
  <c r="L743" i="4"/>
  <c r="K743" i="4"/>
  <c r="Z743" i="4" s="1" a="1"/>
  <c r="Z743" i="4" s="1"/>
  <c r="Y742" i="4"/>
  <c r="X742" i="4"/>
  <c r="W742" i="4"/>
  <c r="V742" i="4"/>
  <c r="U742" i="4"/>
  <c r="T742" i="4"/>
  <c r="O742" i="4"/>
  <c r="M742" i="4"/>
  <c r="L742" i="4"/>
  <c r="K742" i="4"/>
  <c r="Z742" i="4" s="1" a="1"/>
  <c r="Z742" i="4" s="1"/>
  <c r="Y741" i="4"/>
  <c r="X741" i="4"/>
  <c r="W741" i="4"/>
  <c r="V741" i="4"/>
  <c r="U741" i="4"/>
  <c r="T741" i="4"/>
  <c r="O741" i="4"/>
  <c r="M741" i="4"/>
  <c r="L741" i="4"/>
  <c r="K741" i="4"/>
  <c r="Z741" i="4" s="1" a="1"/>
  <c r="Z741" i="4" s="1"/>
  <c r="Y740" i="4"/>
  <c r="X740" i="4"/>
  <c r="W740" i="4"/>
  <c r="V740" i="4"/>
  <c r="U740" i="4"/>
  <c r="T740" i="4"/>
  <c r="O740" i="4"/>
  <c r="M740" i="4"/>
  <c r="L740" i="4"/>
  <c r="K740" i="4"/>
  <c r="Z740" i="4" s="1" a="1"/>
  <c r="Z740" i="4" s="1"/>
  <c r="Y739" i="4"/>
  <c r="X739" i="4"/>
  <c r="W739" i="4"/>
  <c r="V739" i="4"/>
  <c r="U739" i="4"/>
  <c r="T739" i="4"/>
  <c r="O739" i="4"/>
  <c r="M739" i="4"/>
  <c r="L739" i="4"/>
  <c r="K739" i="4"/>
  <c r="Z739" i="4" s="1" a="1"/>
  <c r="Z739" i="4" s="1"/>
  <c r="Y738" i="4"/>
  <c r="X738" i="4"/>
  <c r="W738" i="4"/>
  <c r="V738" i="4"/>
  <c r="U738" i="4"/>
  <c r="T738" i="4"/>
  <c r="O738" i="4"/>
  <c r="M738" i="4"/>
  <c r="L738" i="4"/>
  <c r="K738" i="4"/>
  <c r="Z738" i="4" s="1" a="1"/>
  <c r="Z738" i="4" s="1"/>
  <c r="Y737" i="4"/>
  <c r="X737" i="4"/>
  <c r="W737" i="4"/>
  <c r="V737" i="4"/>
  <c r="U737" i="4"/>
  <c r="T737" i="4"/>
  <c r="O737" i="4"/>
  <c r="M737" i="4"/>
  <c r="L737" i="4"/>
  <c r="K737" i="4"/>
  <c r="Z737" i="4" s="1" a="1"/>
  <c r="Z737" i="4" s="1"/>
  <c r="Y736" i="4"/>
  <c r="X736" i="4"/>
  <c r="W736" i="4"/>
  <c r="V736" i="4"/>
  <c r="U736" i="4"/>
  <c r="T736" i="4"/>
  <c r="O736" i="4"/>
  <c r="M736" i="4"/>
  <c r="L736" i="4"/>
  <c r="K736" i="4"/>
  <c r="Z736" i="4" s="1" a="1"/>
  <c r="Z736" i="4" s="1"/>
  <c r="Y735" i="4"/>
  <c r="X735" i="4"/>
  <c r="W735" i="4"/>
  <c r="V735" i="4"/>
  <c r="U735" i="4"/>
  <c r="T735" i="4"/>
  <c r="O735" i="4"/>
  <c r="M735" i="4"/>
  <c r="L735" i="4"/>
  <c r="K735" i="4"/>
  <c r="Z735" i="4" s="1" a="1"/>
  <c r="Z735" i="4" s="1"/>
  <c r="Y734" i="4"/>
  <c r="X734" i="4"/>
  <c r="W734" i="4"/>
  <c r="V734" i="4"/>
  <c r="U734" i="4"/>
  <c r="T734" i="4"/>
  <c r="O734" i="4"/>
  <c r="M734" i="4"/>
  <c r="L734" i="4"/>
  <c r="K734" i="4"/>
  <c r="Z734" i="4" s="1" a="1"/>
  <c r="Z734" i="4" s="1"/>
  <c r="Y733" i="4"/>
  <c r="X733" i="4"/>
  <c r="W733" i="4"/>
  <c r="V733" i="4"/>
  <c r="U733" i="4"/>
  <c r="T733" i="4"/>
  <c r="O733" i="4"/>
  <c r="M733" i="4"/>
  <c r="L733" i="4"/>
  <c r="K733" i="4"/>
  <c r="Z733" i="4" s="1" a="1"/>
  <c r="Z733" i="4" s="1"/>
  <c r="Y732" i="4"/>
  <c r="X732" i="4"/>
  <c r="W732" i="4"/>
  <c r="V732" i="4"/>
  <c r="U732" i="4"/>
  <c r="T732" i="4"/>
  <c r="O732" i="4"/>
  <c r="M732" i="4"/>
  <c r="L732" i="4"/>
  <c r="K732" i="4"/>
  <c r="Z732" i="4" s="1" a="1"/>
  <c r="Z732" i="4" s="1"/>
  <c r="Y731" i="4"/>
  <c r="X731" i="4"/>
  <c r="W731" i="4"/>
  <c r="V731" i="4"/>
  <c r="U731" i="4"/>
  <c r="T731" i="4"/>
  <c r="O731" i="4"/>
  <c r="M731" i="4"/>
  <c r="L731" i="4"/>
  <c r="K731" i="4"/>
  <c r="Z731" i="4" s="1" a="1"/>
  <c r="Z731" i="4" s="1"/>
  <c r="Y730" i="4"/>
  <c r="X730" i="4"/>
  <c r="W730" i="4"/>
  <c r="V730" i="4"/>
  <c r="U730" i="4"/>
  <c r="T730" i="4"/>
  <c r="O730" i="4"/>
  <c r="M730" i="4"/>
  <c r="L730" i="4"/>
  <c r="K730" i="4"/>
  <c r="Z730" i="4" s="1" a="1"/>
  <c r="Z730" i="4" s="1"/>
  <c r="Y729" i="4"/>
  <c r="X729" i="4"/>
  <c r="W729" i="4"/>
  <c r="V729" i="4"/>
  <c r="U729" i="4"/>
  <c r="T729" i="4"/>
  <c r="O729" i="4"/>
  <c r="M729" i="4"/>
  <c r="L729" i="4"/>
  <c r="K729" i="4"/>
  <c r="Z729" i="4" s="1" a="1"/>
  <c r="Z729" i="4" s="1"/>
  <c r="Y728" i="4"/>
  <c r="X728" i="4"/>
  <c r="W728" i="4"/>
  <c r="V728" i="4"/>
  <c r="U728" i="4"/>
  <c r="T728" i="4"/>
  <c r="O728" i="4"/>
  <c r="M728" i="4"/>
  <c r="L728" i="4"/>
  <c r="K728" i="4"/>
  <c r="Z728" i="4" s="1" a="1"/>
  <c r="Z728" i="4" s="1"/>
  <c r="Y727" i="4"/>
  <c r="X727" i="4"/>
  <c r="W727" i="4"/>
  <c r="V727" i="4"/>
  <c r="U727" i="4"/>
  <c r="T727" i="4"/>
  <c r="O727" i="4"/>
  <c r="M727" i="4"/>
  <c r="L727" i="4"/>
  <c r="K727" i="4"/>
  <c r="Z727" i="4" s="1" a="1"/>
  <c r="Z727" i="4" s="1"/>
  <c r="Y726" i="4"/>
  <c r="X726" i="4"/>
  <c r="W726" i="4"/>
  <c r="V726" i="4"/>
  <c r="U726" i="4"/>
  <c r="T726" i="4"/>
  <c r="O726" i="4"/>
  <c r="M726" i="4"/>
  <c r="L726" i="4"/>
  <c r="K726" i="4"/>
  <c r="Z726" i="4" s="1" a="1"/>
  <c r="Z726" i="4" s="1"/>
  <c r="Y725" i="4"/>
  <c r="X725" i="4"/>
  <c r="W725" i="4"/>
  <c r="V725" i="4"/>
  <c r="U725" i="4"/>
  <c r="T725" i="4"/>
  <c r="O725" i="4"/>
  <c r="M725" i="4"/>
  <c r="L725" i="4"/>
  <c r="K725" i="4"/>
  <c r="Z725" i="4" s="1" a="1"/>
  <c r="Z725" i="4" s="1"/>
  <c r="Y724" i="4"/>
  <c r="X724" i="4"/>
  <c r="W724" i="4"/>
  <c r="V724" i="4"/>
  <c r="U724" i="4"/>
  <c r="T724" i="4"/>
  <c r="O724" i="4"/>
  <c r="M724" i="4"/>
  <c r="L724" i="4"/>
  <c r="K724" i="4"/>
  <c r="Z724" i="4" s="1" a="1"/>
  <c r="Z724" i="4" s="1"/>
  <c r="Y723" i="4"/>
  <c r="X723" i="4"/>
  <c r="W723" i="4"/>
  <c r="V723" i="4"/>
  <c r="U723" i="4"/>
  <c r="T723" i="4"/>
  <c r="O723" i="4"/>
  <c r="M723" i="4"/>
  <c r="L723" i="4"/>
  <c r="K723" i="4"/>
  <c r="Z723" i="4" s="1" a="1"/>
  <c r="Z723" i="4" s="1"/>
  <c r="Y722" i="4"/>
  <c r="X722" i="4"/>
  <c r="W722" i="4"/>
  <c r="V722" i="4"/>
  <c r="U722" i="4"/>
  <c r="T722" i="4"/>
  <c r="O722" i="4"/>
  <c r="M722" i="4"/>
  <c r="L722" i="4"/>
  <c r="K722" i="4"/>
  <c r="Z722" i="4" s="1" a="1"/>
  <c r="Z722" i="4" s="1"/>
  <c r="Y721" i="4"/>
  <c r="X721" i="4"/>
  <c r="W721" i="4"/>
  <c r="V721" i="4"/>
  <c r="U721" i="4"/>
  <c r="T721" i="4"/>
  <c r="O721" i="4"/>
  <c r="M721" i="4"/>
  <c r="L721" i="4"/>
  <c r="K721" i="4"/>
  <c r="Z721" i="4" s="1" a="1"/>
  <c r="Z721" i="4" s="1"/>
  <c r="Y720" i="4"/>
  <c r="X720" i="4"/>
  <c r="W720" i="4"/>
  <c r="V720" i="4"/>
  <c r="U720" i="4"/>
  <c r="T720" i="4"/>
  <c r="O720" i="4"/>
  <c r="M720" i="4"/>
  <c r="L720" i="4"/>
  <c r="K720" i="4"/>
  <c r="Z720" i="4" s="1" a="1"/>
  <c r="Z720" i="4" s="1"/>
  <c r="Y719" i="4"/>
  <c r="X719" i="4"/>
  <c r="W719" i="4"/>
  <c r="V719" i="4"/>
  <c r="U719" i="4"/>
  <c r="T719" i="4"/>
  <c r="O719" i="4"/>
  <c r="M719" i="4"/>
  <c r="L719" i="4"/>
  <c r="K719" i="4"/>
  <c r="Z719" i="4" s="1" a="1"/>
  <c r="Z719" i="4" s="1"/>
  <c r="Y718" i="4"/>
  <c r="X718" i="4"/>
  <c r="W718" i="4"/>
  <c r="V718" i="4"/>
  <c r="U718" i="4"/>
  <c r="T718" i="4"/>
  <c r="O718" i="4"/>
  <c r="M718" i="4"/>
  <c r="L718" i="4"/>
  <c r="K718" i="4"/>
  <c r="Z718" i="4" s="1" a="1"/>
  <c r="Z718" i="4" s="1"/>
  <c r="Y717" i="4"/>
  <c r="X717" i="4"/>
  <c r="W717" i="4"/>
  <c r="V717" i="4"/>
  <c r="U717" i="4"/>
  <c r="T717" i="4"/>
  <c r="O717" i="4"/>
  <c r="M717" i="4"/>
  <c r="L717" i="4"/>
  <c r="K717" i="4"/>
  <c r="Z717" i="4" s="1" a="1"/>
  <c r="Z717" i="4" s="1"/>
  <c r="Y716" i="4"/>
  <c r="X716" i="4"/>
  <c r="W716" i="4"/>
  <c r="V716" i="4"/>
  <c r="U716" i="4"/>
  <c r="T716" i="4"/>
  <c r="O716" i="4"/>
  <c r="M716" i="4"/>
  <c r="L716" i="4"/>
  <c r="K716" i="4"/>
  <c r="Z716" i="4" s="1" a="1"/>
  <c r="Z716" i="4" s="1"/>
  <c r="Y715" i="4"/>
  <c r="X715" i="4"/>
  <c r="W715" i="4"/>
  <c r="V715" i="4"/>
  <c r="U715" i="4"/>
  <c r="T715" i="4"/>
  <c r="O715" i="4"/>
  <c r="M715" i="4"/>
  <c r="L715" i="4"/>
  <c r="K715" i="4"/>
  <c r="Z715" i="4" s="1" a="1"/>
  <c r="Z715" i="4" s="1"/>
  <c r="Y714" i="4"/>
  <c r="X714" i="4"/>
  <c r="W714" i="4"/>
  <c r="V714" i="4"/>
  <c r="U714" i="4"/>
  <c r="T714" i="4"/>
  <c r="O714" i="4"/>
  <c r="M714" i="4"/>
  <c r="L714" i="4"/>
  <c r="K714" i="4"/>
  <c r="Z714" i="4" s="1" a="1"/>
  <c r="Z714" i="4" s="1"/>
  <c r="Y713" i="4"/>
  <c r="X713" i="4"/>
  <c r="W713" i="4"/>
  <c r="V713" i="4"/>
  <c r="U713" i="4"/>
  <c r="T713" i="4"/>
  <c r="O713" i="4"/>
  <c r="M713" i="4"/>
  <c r="L713" i="4"/>
  <c r="K713" i="4"/>
  <c r="Z713" i="4" s="1" a="1"/>
  <c r="Z713" i="4" s="1"/>
  <c r="Y712" i="4"/>
  <c r="X712" i="4"/>
  <c r="W712" i="4"/>
  <c r="V712" i="4"/>
  <c r="U712" i="4"/>
  <c r="T712" i="4"/>
  <c r="O712" i="4"/>
  <c r="M712" i="4"/>
  <c r="L712" i="4"/>
  <c r="K712" i="4"/>
  <c r="Z712" i="4" s="1" a="1"/>
  <c r="Z712" i="4" s="1"/>
  <c r="Y711" i="4"/>
  <c r="X711" i="4"/>
  <c r="W711" i="4"/>
  <c r="V711" i="4"/>
  <c r="U711" i="4"/>
  <c r="T711" i="4"/>
  <c r="O711" i="4"/>
  <c r="M711" i="4"/>
  <c r="L711" i="4"/>
  <c r="K711" i="4"/>
  <c r="Z711" i="4" s="1" a="1"/>
  <c r="Z711" i="4" s="1"/>
  <c r="Y710" i="4"/>
  <c r="X710" i="4"/>
  <c r="W710" i="4"/>
  <c r="V710" i="4"/>
  <c r="U710" i="4"/>
  <c r="T710" i="4"/>
  <c r="O710" i="4"/>
  <c r="M710" i="4"/>
  <c r="L710" i="4"/>
  <c r="K710" i="4"/>
  <c r="Z710" i="4" s="1" a="1"/>
  <c r="Z710" i="4" s="1"/>
  <c r="Y709" i="4"/>
  <c r="X709" i="4"/>
  <c r="W709" i="4"/>
  <c r="V709" i="4"/>
  <c r="U709" i="4"/>
  <c r="T709" i="4"/>
  <c r="O709" i="4"/>
  <c r="M709" i="4"/>
  <c r="L709" i="4"/>
  <c r="K709" i="4"/>
  <c r="Z709" i="4" s="1" a="1"/>
  <c r="Z709" i="4" s="1"/>
  <c r="Y708" i="4"/>
  <c r="X708" i="4"/>
  <c r="W708" i="4"/>
  <c r="V708" i="4"/>
  <c r="U708" i="4"/>
  <c r="T708" i="4"/>
  <c r="O708" i="4"/>
  <c r="M708" i="4"/>
  <c r="L708" i="4"/>
  <c r="K708" i="4"/>
  <c r="Z708" i="4" s="1" a="1"/>
  <c r="Z708" i="4" s="1"/>
  <c r="Y707" i="4"/>
  <c r="X707" i="4"/>
  <c r="W707" i="4"/>
  <c r="V707" i="4"/>
  <c r="U707" i="4"/>
  <c r="T707" i="4"/>
  <c r="O707" i="4"/>
  <c r="M707" i="4"/>
  <c r="L707" i="4"/>
  <c r="K707" i="4"/>
  <c r="Z707" i="4" s="1" a="1"/>
  <c r="Z707" i="4" s="1"/>
  <c r="Y706" i="4"/>
  <c r="X706" i="4"/>
  <c r="W706" i="4"/>
  <c r="V706" i="4"/>
  <c r="U706" i="4"/>
  <c r="T706" i="4"/>
  <c r="O706" i="4"/>
  <c r="M706" i="4"/>
  <c r="L706" i="4"/>
  <c r="K706" i="4"/>
  <c r="Z706" i="4" s="1" a="1"/>
  <c r="Z706" i="4" s="1"/>
  <c r="Y705" i="4"/>
  <c r="X705" i="4"/>
  <c r="W705" i="4"/>
  <c r="V705" i="4"/>
  <c r="U705" i="4"/>
  <c r="T705" i="4"/>
  <c r="O705" i="4"/>
  <c r="M705" i="4"/>
  <c r="L705" i="4"/>
  <c r="K705" i="4"/>
  <c r="Z705" i="4" s="1" a="1"/>
  <c r="Z705" i="4" s="1"/>
  <c r="Y704" i="4"/>
  <c r="X704" i="4"/>
  <c r="W704" i="4"/>
  <c r="V704" i="4"/>
  <c r="U704" i="4"/>
  <c r="T704" i="4"/>
  <c r="O704" i="4"/>
  <c r="M704" i="4"/>
  <c r="L704" i="4"/>
  <c r="K704" i="4"/>
  <c r="Z704" i="4" s="1" a="1"/>
  <c r="Z704" i="4" s="1"/>
  <c r="Y703" i="4"/>
  <c r="X703" i="4"/>
  <c r="W703" i="4"/>
  <c r="V703" i="4"/>
  <c r="U703" i="4"/>
  <c r="T703" i="4"/>
  <c r="O703" i="4"/>
  <c r="M703" i="4"/>
  <c r="L703" i="4"/>
  <c r="K703" i="4"/>
  <c r="Z703" i="4" s="1" a="1"/>
  <c r="Z703" i="4" s="1"/>
  <c r="Y702" i="4"/>
  <c r="X702" i="4"/>
  <c r="W702" i="4"/>
  <c r="V702" i="4"/>
  <c r="U702" i="4"/>
  <c r="T702" i="4"/>
  <c r="O702" i="4"/>
  <c r="M702" i="4"/>
  <c r="L702" i="4"/>
  <c r="K702" i="4"/>
  <c r="Z702" i="4" s="1" a="1"/>
  <c r="Z702" i="4" s="1"/>
  <c r="Y701" i="4"/>
  <c r="X701" i="4"/>
  <c r="W701" i="4"/>
  <c r="V701" i="4"/>
  <c r="U701" i="4"/>
  <c r="T701" i="4"/>
  <c r="O701" i="4"/>
  <c r="M701" i="4"/>
  <c r="L701" i="4"/>
  <c r="K701" i="4"/>
  <c r="Z701" i="4" s="1" a="1"/>
  <c r="Z701" i="4" s="1"/>
  <c r="Y700" i="4"/>
  <c r="X700" i="4"/>
  <c r="W700" i="4"/>
  <c r="V700" i="4"/>
  <c r="U700" i="4"/>
  <c r="T700" i="4"/>
  <c r="O700" i="4"/>
  <c r="M700" i="4"/>
  <c r="L700" i="4"/>
  <c r="K700" i="4"/>
  <c r="Z700" i="4" s="1" a="1"/>
  <c r="Z700" i="4" s="1"/>
  <c r="Y699" i="4"/>
  <c r="X699" i="4"/>
  <c r="W699" i="4"/>
  <c r="V699" i="4"/>
  <c r="U699" i="4"/>
  <c r="T699" i="4"/>
  <c r="O699" i="4"/>
  <c r="M699" i="4"/>
  <c r="L699" i="4"/>
  <c r="K699" i="4"/>
  <c r="Z699" i="4" s="1" a="1"/>
  <c r="Z699" i="4" s="1"/>
  <c r="Y698" i="4"/>
  <c r="X698" i="4"/>
  <c r="W698" i="4"/>
  <c r="V698" i="4"/>
  <c r="U698" i="4"/>
  <c r="T698" i="4"/>
  <c r="O698" i="4"/>
  <c r="M698" i="4"/>
  <c r="L698" i="4"/>
  <c r="K698" i="4"/>
  <c r="Z698" i="4" s="1" a="1"/>
  <c r="Z698" i="4" s="1"/>
  <c r="Y697" i="4"/>
  <c r="X697" i="4"/>
  <c r="W697" i="4"/>
  <c r="V697" i="4"/>
  <c r="U697" i="4"/>
  <c r="T697" i="4"/>
  <c r="O697" i="4"/>
  <c r="M697" i="4"/>
  <c r="L697" i="4"/>
  <c r="K697" i="4"/>
  <c r="Z697" i="4" s="1" a="1"/>
  <c r="Z697" i="4" s="1"/>
  <c r="Y696" i="4"/>
  <c r="X696" i="4"/>
  <c r="W696" i="4"/>
  <c r="V696" i="4"/>
  <c r="U696" i="4"/>
  <c r="T696" i="4"/>
  <c r="O696" i="4"/>
  <c r="M696" i="4"/>
  <c r="L696" i="4"/>
  <c r="K696" i="4"/>
  <c r="Z696" i="4" s="1" a="1"/>
  <c r="Z696" i="4" s="1"/>
  <c r="Y695" i="4"/>
  <c r="X695" i="4"/>
  <c r="W695" i="4"/>
  <c r="V695" i="4"/>
  <c r="U695" i="4"/>
  <c r="T695" i="4"/>
  <c r="O695" i="4"/>
  <c r="M695" i="4"/>
  <c r="L695" i="4"/>
  <c r="K695" i="4"/>
  <c r="Z695" i="4" s="1" a="1"/>
  <c r="Z695" i="4" s="1"/>
  <c r="Y694" i="4"/>
  <c r="X694" i="4"/>
  <c r="W694" i="4"/>
  <c r="V694" i="4"/>
  <c r="U694" i="4"/>
  <c r="T694" i="4"/>
  <c r="O694" i="4"/>
  <c r="M694" i="4"/>
  <c r="L694" i="4"/>
  <c r="K694" i="4"/>
  <c r="Z694" i="4" s="1" a="1"/>
  <c r="Z694" i="4" s="1"/>
  <c r="Y693" i="4"/>
  <c r="X693" i="4"/>
  <c r="W693" i="4"/>
  <c r="V693" i="4"/>
  <c r="U693" i="4"/>
  <c r="T693" i="4"/>
  <c r="O693" i="4"/>
  <c r="M693" i="4"/>
  <c r="L693" i="4"/>
  <c r="K693" i="4"/>
  <c r="Z693" i="4" s="1" a="1"/>
  <c r="Z693" i="4" s="1"/>
  <c r="Y692" i="4"/>
  <c r="X692" i="4"/>
  <c r="W692" i="4"/>
  <c r="V692" i="4"/>
  <c r="U692" i="4"/>
  <c r="T692" i="4"/>
  <c r="O692" i="4"/>
  <c r="M692" i="4"/>
  <c r="L692" i="4"/>
  <c r="K692" i="4"/>
  <c r="Z692" i="4" s="1" a="1"/>
  <c r="Z692" i="4" s="1"/>
  <c r="Y691" i="4"/>
  <c r="X691" i="4"/>
  <c r="W691" i="4"/>
  <c r="V691" i="4"/>
  <c r="U691" i="4"/>
  <c r="T691" i="4"/>
  <c r="O691" i="4"/>
  <c r="M691" i="4"/>
  <c r="L691" i="4"/>
  <c r="K691" i="4"/>
  <c r="Z691" i="4" s="1" a="1"/>
  <c r="Z691" i="4" s="1"/>
  <c r="Y690" i="4"/>
  <c r="X690" i="4"/>
  <c r="W690" i="4"/>
  <c r="V690" i="4"/>
  <c r="U690" i="4"/>
  <c r="T690" i="4"/>
  <c r="O690" i="4"/>
  <c r="M690" i="4"/>
  <c r="L690" i="4"/>
  <c r="K690" i="4"/>
  <c r="Z690" i="4" s="1" a="1"/>
  <c r="Z690" i="4" s="1"/>
  <c r="Y689" i="4"/>
  <c r="X689" i="4"/>
  <c r="W689" i="4"/>
  <c r="V689" i="4"/>
  <c r="U689" i="4"/>
  <c r="T689" i="4"/>
  <c r="O689" i="4"/>
  <c r="M689" i="4"/>
  <c r="L689" i="4"/>
  <c r="K689" i="4"/>
  <c r="Z689" i="4" s="1" a="1"/>
  <c r="Z689" i="4" s="1"/>
  <c r="Y688" i="4"/>
  <c r="X688" i="4"/>
  <c r="W688" i="4"/>
  <c r="V688" i="4"/>
  <c r="U688" i="4"/>
  <c r="T688" i="4"/>
  <c r="O688" i="4"/>
  <c r="M688" i="4"/>
  <c r="L688" i="4"/>
  <c r="K688" i="4"/>
  <c r="Z688" i="4" s="1" a="1"/>
  <c r="Z688" i="4" s="1"/>
  <c r="Y687" i="4"/>
  <c r="X687" i="4"/>
  <c r="W687" i="4"/>
  <c r="V687" i="4"/>
  <c r="U687" i="4"/>
  <c r="T687" i="4"/>
  <c r="O687" i="4"/>
  <c r="M687" i="4"/>
  <c r="L687" i="4"/>
  <c r="K687" i="4"/>
  <c r="Z687" i="4" s="1" a="1"/>
  <c r="Z687" i="4" s="1"/>
  <c r="Y686" i="4"/>
  <c r="X686" i="4"/>
  <c r="W686" i="4"/>
  <c r="V686" i="4"/>
  <c r="U686" i="4"/>
  <c r="T686" i="4"/>
  <c r="O686" i="4"/>
  <c r="M686" i="4"/>
  <c r="L686" i="4"/>
  <c r="K686" i="4"/>
  <c r="Z686" i="4" s="1" a="1"/>
  <c r="Z686" i="4" s="1"/>
  <c r="Y685" i="4"/>
  <c r="X685" i="4"/>
  <c r="W685" i="4"/>
  <c r="V685" i="4"/>
  <c r="U685" i="4"/>
  <c r="T685" i="4"/>
  <c r="O685" i="4"/>
  <c r="M685" i="4"/>
  <c r="L685" i="4"/>
  <c r="K685" i="4"/>
  <c r="Z685" i="4" s="1" a="1"/>
  <c r="Z685" i="4" s="1"/>
  <c r="Y684" i="4"/>
  <c r="X684" i="4"/>
  <c r="W684" i="4"/>
  <c r="V684" i="4"/>
  <c r="U684" i="4"/>
  <c r="T684" i="4"/>
  <c r="O684" i="4"/>
  <c r="M684" i="4"/>
  <c r="L684" i="4"/>
  <c r="K684" i="4"/>
  <c r="Z684" i="4" s="1" a="1"/>
  <c r="Z684" i="4" s="1"/>
  <c r="Y683" i="4"/>
  <c r="X683" i="4"/>
  <c r="W683" i="4"/>
  <c r="V683" i="4"/>
  <c r="U683" i="4"/>
  <c r="T683" i="4"/>
  <c r="O683" i="4"/>
  <c r="M683" i="4"/>
  <c r="L683" i="4"/>
  <c r="K683" i="4"/>
  <c r="Z683" i="4" s="1" a="1"/>
  <c r="Z683" i="4" s="1"/>
  <c r="Y682" i="4"/>
  <c r="X682" i="4"/>
  <c r="W682" i="4"/>
  <c r="V682" i="4"/>
  <c r="U682" i="4"/>
  <c r="T682" i="4"/>
  <c r="O682" i="4"/>
  <c r="M682" i="4"/>
  <c r="L682" i="4"/>
  <c r="K682" i="4"/>
  <c r="Z682" i="4" s="1" a="1"/>
  <c r="Z682" i="4" s="1"/>
  <c r="Y681" i="4"/>
  <c r="X681" i="4"/>
  <c r="W681" i="4"/>
  <c r="V681" i="4"/>
  <c r="U681" i="4"/>
  <c r="T681" i="4"/>
  <c r="O681" i="4"/>
  <c r="M681" i="4"/>
  <c r="L681" i="4"/>
  <c r="K681" i="4"/>
  <c r="Z681" i="4" s="1" a="1"/>
  <c r="Z681" i="4" s="1"/>
  <c r="Y680" i="4"/>
  <c r="X680" i="4"/>
  <c r="W680" i="4"/>
  <c r="V680" i="4"/>
  <c r="U680" i="4"/>
  <c r="T680" i="4"/>
  <c r="O680" i="4"/>
  <c r="M680" i="4"/>
  <c r="L680" i="4"/>
  <c r="K680" i="4"/>
  <c r="Z680" i="4" s="1" a="1"/>
  <c r="Z680" i="4" s="1"/>
  <c r="Y679" i="4"/>
  <c r="X679" i="4"/>
  <c r="W679" i="4"/>
  <c r="V679" i="4"/>
  <c r="U679" i="4"/>
  <c r="T679" i="4"/>
  <c r="O679" i="4"/>
  <c r="M679" i="4"/>
  <c r="L679" i="4"/>
  <c r="K679" i="4"/>
  <c r="Z679" i="4" s="1" a="1"/>
  <c r="Z679" i="4" s="1"/>
  <c r="Y678" i="4"/>
  <c r="X678" i="4"/>
  <c r="W678" i="4"/>
  <c r="V678" i="4"/>
  <c r="U678" i="4"/>
  <c r="T678" i="4"/>
  <c r="O678" i="4"/>
  <c r="M678" i="4"/>
  <c r="L678" i="4"/>
  <c r="K678" i="4"/>
  <c r="Z678" i="4" s="1" a="1"/>
  <c r="Z678" i="4" s="1"/>
  <c r="Y677" i="4"/>
  <c r="X677" i="4"/>
  <c r="W677" i="4"/>
  <c r="V677" i="4"/>
  <c r="U677" i="4"/>
  <c r="T677" i="4"/>
  <c r="O677" i="4"/>
  <c r="M677" i="4"/>
  <c r="L677" i="4"/>
  <c r="K677" i="4"/>
  <c r="Z677" i="4" s="1" a="1"/>
  <c r="Z677" i="4" s="1"/>
  <c r="Y676" i="4"/>
  <c r="X676" i="4"/>
  <c r="W676" i="4"/>
  <c r="V676" i="4"/>
  <c r="U676" i="4"/>
  <c r="T676" i="4"/>
  <c r="O676" i="4"/>
  <c r="M676" i="4"/>
  <c r="L676" i="4"/>
  <c r="K676" i="4"/>
  <c r="Z676" i="4" s="1" a="1"/>
  <c r="Z676" i="4" s="1"/>
  <c r="Y675" i="4"/>
  <c r="X675" i="4"/>
  <c r="W675" i="4"/>
  <c r="V675" i="4"/>
  <c r="U675" i="4"/>
  <c r="T675" i="4"/>
  <c r="O675" i="4"/>
  <c r="M675" i="4"/>
  <c r="L675" i="4"/>
  <c r="K675" i="4"/>
  <c r="Z675" i="4" s="1" a="1"/>
  <c r="Z675" i="4" s="1"/>
  <c r="Y674" i="4"/>
  <c r="X674" i="4"/>
  <c r="W674" i="4"/>
  <c r="V674" i="4"/>
  <c r="U674" i="4"/>
  <c r="T674" i="4"/>
  <c r="O674" i="4"/>
  <c r="M674" i="4"/>
  <c r="L674" i="4"/>
  <c r="K674" i="4"/>
  <c r="Z674" i="4" s="1" a="1"/>
  <c r="Z674" i="4" s="1"/>
  <c r="Y673" i="4"/>
  <c r="X673" i="4"/>
  <c r="W673" i="4"/>
  <c r="V673" i="4"/>
  <c r="U673" i="4"/>
  <c r="T673" i="4"/>
  <c r="O673" i="4"/>
  <c r="M673" i="4"/>
  <c r="L673" i="4"/>
  <c r="K673" i="4"/>
  <c r="Z673" i="4" s="1" a="1"/>
  <c r="Z673" i="4" s="1"/>
  <c r="Y672" i="4"/>
  <c r="X672" i="4"/>
  <c r="W672" i="4"/>
  <c r="V672" i="4"/>
  <c r="U672" i="4"/>
  <c r="T672" i="4"/>
  <c r="O672" i="4"/>
  <c r="M672" i="4"/>
  <c r="L672" i="4"/>
  <c r="K672" i="4"/>
  <c r="Z672" i="4" s="1" a="1"/>
  <c r="Z672" i="4" s="1"/>
  <c r="Y671" i="4"/>
  <c r="X671" i="4"/>
  <c r="W671" i="4"/>
  <c r="V671" i="4"/>
  <c r="U671" i="4"/>
  <c r="T671" i="4"/>
  <c r="O671" i="4"/>
  <c r="M671" i="4"/>
  <c r="L671" i="4"/>
  <c r="K671" i="4"/>
  <c r="Z671" i="4" s="1" a="1"/>
  <c r="Z671" i="4" s="1"/>
  <c r="Y670" i="4"/>
  <c r="X670" i="4"/>
  <c r="W670" i="4"/>
  <c r="V670" i="4"/>
  <c r="U670" i="4"/>
  <c r="T670" i="4"/>
  <c r="O670" i="4"/>
  <c r="M670" i="4"/>
  <c r="L670" i="4"/>
  <c r="K670" i="4"/>
  <c r="Z670" i="4" s="1" a="1"/>
  <c r="Z670" i="4" s="1"/>
  <c r="Y669" i="4"/>
  <c r="X669" i="4"/>
  <c r="W669" i="4"/>
  <c r="V669" i="4"/>
  <c r="U669" i="4"/>
  <c r="T669" i="4"/>
  <c r="O669" i="4"/>
  <c r="M669" i="4"/>
  <c r="L669" i="4"/>
  <c r="K669" i="4"/>
  <c r="Z669" i="4" s="1" a="1"/>
  <c r="Z669" i="4" s="1"/>
  <c r="Y668" i="4"/>
  <c r="X668" i="4"/>
  <c r="W668" i="4"/>
  <c r="V668" i="4"/>
  <c r="U668" i="4"/>
  <c r="T668" i="4"/>
  <c r="O668" i="4"/>
  <c r="M668" i="4"/>
  <c r="L668" i="4"/>
  <c r="K668" i="4"/>
  <c r="Z668" i="4" s="1" a="1"/>
  <c r="Z668" i="4" s="1"/>
  <c r="Y667" i="4"/>
  <c r="X667" i="4"/>
  <c r="W667" i="4"/>
  <c r="V667" i="4"/>
  <c r="U667" i="4"/>
  <c r="T667" i="4"/>
  <c r="O667" i="4"/>
  <c r="M667" i="4"/>
  <c r="L667" i="4"/>
  <c r="K667" i="4"/>
  <c r="Z667" i="4" s="1" a="1"/>
  <c r="Z667" i="4" s="1"/>
  <c r="Y666" i="4"/>
  <c r="X666" i="4"/>
  <c r="W666" i="4"/>
  <c r="V666" i="4"/>
  <c r="U666" i="4"/>
  <c r="T666" i="4"/>
  <c r="O666" i="4"/>
  <c r="M666" i="4"/>
  <c r="L666" i="4"/>
  <c r="K666" i="4"/>
  <c r="Z666" i="4" s="1" a="1"/>
  <c r="Z666" i="4" s="1"/>
  <c r="Y665" i="4"/>
  <c r="X665" i="4"/>
  <c r="W665" i="4"/>
  <c r="V665" i="4"/>
  <c r="U665" i="4"/>
  <c r="T665" i="4"/>
  <c r="O665" i="4"/>
  <c r="M665" i="4"/>
  <c r="L665" i="4"/>
  <c r="K665" i="4"/>
  <c r="Z665" i="4" s="1" a="1"/>
  <c r="Z665" i="4" s="1"/>
  <c r="Y664" i="4"/>
  <c r="X664" i="4"/>
  <c r="W664" i="4"/>
  <c r="V664" i="4"/>
  <c r="U664" i="4"/>
  <c r="T664" i="4"/>
  <c r="O664" i="4"/>
  <c r="M664" i="4"/>
  <c r="L664" i="4"/>
  <c r="K664" i="4"/>
  <c r="Z664" i="4" s="1" a="1"/>
  <c r="Z664" i="4" s="1"/>
  <c r="Y663" i="4"/>
  <c r="X663" i="4"/>
  <c r="W663" i="4"/>
  <c r="V663" i="4"/>
  <c r="U663" i="4"/>
  <c r="T663" i="4"/>
  <c r="O663" i="4"/>
  <c r="M663" i="4"/>
  <c r="L663" i="4"/>
  <c r="K663" i="4"/>
  <c r="Z663" i="4" s="1" a="1"/>
  <c r="Z663" i="4" s="1"/>
  <c r="Y662" i="4"/>
  <c r="X662" i="4"/>
  <c r="W662" i="4"/>
  <c r="V662" i="4"/>
  <c r="U662" i="4"/>
  <c r="T662" i="4"/>
  <c r="O662" i="4"/>
  <c r="M662" i="4"/>
  <c r="L662" i="4"/>
  <c r="K662" i="4"/>
  <c r="Z662" i="4" s="1" a="1"/>
  <c r="Z662" i="4" s="1"/>
  <c r="Y661" i="4"/>
  <c r="X661" i="4"/>
  <c r="W661" i="4"/>
  <c r="V661" i="4"/>
  <c r="U661" i="4"/>
  <c r="T661" i="4"/>
  <c r="O661" i="4"/>
  <c r="M661" i="4"/>
  <c r="L661" i="4"/>
  <c r="K661" i="4"/>
  <c r="Z661" i="4" s="1" a="1"/>
  <c r="Z661" i="4" s="1"/>
  <c r="Y660" i="4"/>
  <c r="X660" i="4"/>
  <c r="W660" i="4"/>
  <c r="V660" i="4"/>
  <c r="U660" i="4"/>
  <c r="T660" i="4"/>
  <c r="O660" i="4"/>
  <c r="M660" i="4"/>
  <c r="L660" i="4"/>
  <c r="K660" i="4"/>
  <c r="Z660" i="4" s="1" a="1"/>
  <c r="Z660" i="4" s="1"/>
  <c r="Y659" i="4"/>
  <c r="X659" i="4"/>
  <c r="W659" i="4"/>
  <c r="V659" i="4"/>
  <c r="U659" i="4"/>
  <c r="T659" i="4"/>
  <c r="O659" i="4"/>
  <c r="M659" i="4"/>
  <c r="L659" i="4"/>
  <c r="K659" i="4"/>
  <c r="Z659" i="4" s="1" a="1"/>
  <c r="Z659" i="4" s="1"/>
  <c r="Y658" i="4"/>
  <c r="X658" i="4"/>
  <c r="W658" i="4"/>
  <c r="V658" i="4"/>
  <c r="U658" i="4"/>
  <c r="T658" i="4"/>
  <c r="O658" i="4"/>
  <c r="M658" i="4"/>
  <c r="L658" i="4"/>
  <c r="K658" i="4"/>
  <c r="Z658" i="4" s="1" a="1"/>
  <c r="Z658" i="4" s="1"/>
  <c r="Y657" i="4"/>
  <c r="X657" i="4"/>
  <c r="W657" i="4"/>
  <c r="V657" i="4"/>
  <c r="U657" i="4"/>
  <c r="T657" i="4"/>
  <c r="O657" i="4"/>
  <c r="M657" i="4"/>
  <c r="L657" i="4"/>
  <c r="K657" i="4"/>
  <c r="Z657" i="4" s="1" a="1"/>
  <c r="Z657" i="4" s="1"/>
  <c r="Y656" i="4"/>
  <c r="X656" i="4"/>
  <c r="W656" i="4"/>
  <c r="V656" i="4"/>
  <c r="U656" i="4"/>
  <c r="T656" i="4"/>
  <c r="O656" i="4"/>
  <c r="M656" i="4"/>
  <c r="L656" i="4"/>
  <c r="K656" i="4"/>
  <c r="Z656" i="4" s="1" a="1"/>
  <c r="Z656" i="4" s="1"/>
  <c r="Y655" i="4"/>
  <c r="X655" i="4"/>
  <c r="W655" i="4"/>
  <c r="V655" i="4"/>
  <c r="U655" i="4"/>
  <c r="T655" i="4"/>
  <c r="O655" i="4"/>
  <c r="M655" i="4"/>
  <c r="L655" i="4"/>
  <c r="K655" i="4"/>
  <c r="Z655" i="4" s="1" a="1"/>
  <c r="Z655" i="4" s="1"/>
  <c r="Y654" i="4"/>
  <c r="X654" i="4"/>
  <c r="W654" i="4"/>
  <c r="V654" i="4"/>
  <c r="U654" i="4"/>
  <c r="T654" i="4"/>
  <c r="O654" i="4"/>
  <c r="M654" i="4"/>
  <c r="L654" i="4"/>
  <c r="K654" i="4"/>
  <c r="Z654" i="4" s="1" a="1"/>
  <c r="Z654" i="4" s="1"/>
  <c r="Y653" i="4"/>
  <c r="X653" i="4"/>
  <c r="W653" i="4"/>
  <c r="V653" i="4"/>
  <c r="U653" i="4"/>
  <c r="T653" i="4"/>
  <c r="O653" i="4"/>
  <c r="M653" i="4"/>
  <c r="L653" i="4"/>
  <c r="K653" i="4"/>
  <c r="Z653" i="4" s="1" a="1"/>
  <c r="Z653" i="4" s="1"/>
  <c r="Y652" i="4"/>
  <c r="X652" i="4"/>
  <c r="W652" i="4"/>
  <c r="V652" i="4"/>
  <c r="U652" i="4"/>
  <c r="T652" i="4"/>
  <c r="O652" i="4"/>
  <c r="M652" i="4"/>
  <c r="L652" i="4"/>
  <c r="K652" i="4"/>
  <c r="Z652" i="4" s="1" a="1"/>
  <c r="Z652" i="4" s="1"/>
  <c r="Y651" i="4"/>
  <c r="X651" i="4"/>
  <c r="W651" i="4"/>
  <c r="V651" i="4"/>
  <c r="U651" i="4"/>
  <c r="T651" i="4"/>
  <c r="O651" i="4"/>
  <c r="M651" i="4"/>
  <c r="L651" i="4"/>
  <c r="K651" i="4"/>
  <c r="Z651" i="4" s="1" a="1"/>
  <c r="Z651" i="4" s="1"/>
  <c r="Y650" i="4"/>
  <c r="X650" i="4"/>
  <c r="W650" i="4"/>
  <c r="V650" i="4"/>
  <c r="U650" i="4"/>
  <c r="T650" i="4"/>
  <c r="O650" i="4"/>
  <c r="M650" i="4"/>
  <c r="L650" i="4"/>
  <c r="K650" i="4"/>
  <c r="Z650" i="4" s="1" a="1"/>
  <c r="Z650" i="4" s="1"/>
  <c r="Y649" i="4"/>
  <c r="X649" i="4"/>
  <c r="W649" i="4"/>
  <c r="V649" i="4"/>
  <c r="U649" i="4"/>
  <c r="T649" i="4"/>
  <c r="O649" i="4"/>
  <c r="M649" i="4"/>
  <c r="L649" i="4"/>
  <c r="K649" i="4"/>
  <c r="Z649" i="4" s="1" a="1"/>
  <c r="Z649" i="4" s="1"/>
  <c r="Y648" i="4"/>
  <c r="X648" i="4"/>
  <c r="W648" i="4"/>
  <c r="V648" i="4"/>
  <c r="U648" i="4"/>
  <c r="T648" i="4"/>
  <c r="O648" i="4"/>
  <c r="M648" i="4"/>
  <c r="L648" i="4"/>
  <c r="K648" i="4"/>
  <c r="Z648" i="4" s="1" a="1"/>
  <c r="Z648" i="4" s="1"/>
  <c r="Y647" i="4"/>
  <c r="X647" i="4"/>
  <c r="W647" i="4"/>
  <c r="V647" i="4"/>
  <c r="U647" i="4"/>
  <c r="T647" i="4"/>
  <c r="O647" i="4"/>
  <c r="M647" i="4"/>
  <c r="L647" i="4"/>
  <c r="K647" i="4"/>
  <c r="Z647" i="4" s="1" a="1"/>
  <c r="Z647" i="4" s="1"/>
  <c r="Y646" i="4"/>
  <c r="X646" i="4"/>
  <c r="W646" i="4"/>
  <c r="V646" i="4"/>
  <c r="U646" i="4"/>
  <c r="T646" i="4"/>
  <c r="O646" i="4"/>
  <c r="M646" i="4"/>
  <c r="L646" i="4"/>
  <c r="K646" i="4"/>
  <c r="Z646" i="4" s="1" a="1"/>
  <c r="Z646" i="4" s="1"/>
  <c r="Y645" i="4"/>
  <c r="X645" i="4"/>
  <c r="W645" i="4"/>
  <c r="V645" i="4"/>
  <c r="U645" i="4"/>
  <c r="T645" i="4"/>
  <c r="O645" i="4"/>
  <c r="M645" i="4"/>
  <c r="L645" i="4"/>
  <c r="K645" i="4"/>
  <c r="Z645" i="4" s="1" a="1"/>
  <c r="Z645" i="4" s="1"/>
  <c r="Y644" i="4"/>
  <c r="X644" i="4"/>
  <c r="W644" i="4"/>
  <c r="V644" i="4"/>
  <c r="U644" i="4"/>
  <c r="T644" i="4"/>
  <c r="O644" i="4"/>
  <c r="M644" i="4"/>
  <c r="L644" i="4"/>
  <c r="K644" i="4"/>
  <c r="Z644" i="4" s="1" a="1"/>
  <c r="Z644" i="4" s="1"/>
  <c r="Y643" i="4"/>
  <c r="X643" i="4"/>
  <c r="W643" i="4"/>
  <c r="V643" i="4"/>
  <c r="U643" i="4"/>
  <c r="T643" i="4"/>
  <c r="O643" i="4"/>
  <c r="M643" i="4"/>
  <c r="L643" i="4"/>
  <c r="K643" i="4"/>
  <c r="Z643" i="4" s="1" a="1"/>
  <c r="Z643" i="4" s="1"/>
  <c r="Y642" i="4"/>
  <c r="X642" i="4"/>
  <c r="W642" i="4"/>
  <c r="V642" i="4"/>
  <c r="U642" i="4"/>
  <c r="T642" i="4"/>
  <c r="O642" i="4"/>
  <c r="M642" i="4"/>
  <c r="L642" i="4"/>
  <c r="K642" i="4"/>
  <c r="Z642" i="4" s="1" a="1"/>
  <c r="Z642" i="4" s="1"/>
  <c r="Y641" i="4"/>
  <c r="X641" i="4"/>
  <c r="W641" i="4"/>
  <c r="V641" i="4"/>
  <c r="U641" i="4"/>
  <c r="T641" i="4"/>
  <c r="O641" i="4"/>
  <c r="M641" i="4"/>
  <c r="L641" i="4"/>
  <c r="K641" i="4"/>
  <c r="Z641" i="4" s="1" a="1"/>
  <c r="Z641" i="4" s="1"/>
  <c r="Y640" i="4"/>
  <c r="X640" i="4"/>
  <c r="W640" i="4"/>
  <c r="V640" i="4"/>
  <c r="U640" i="4"/>
  <c r="T640" i="4"/>
  <c r="O640" i="4"/>
  <c r="M640" i="4"/>
  <c r="L640" i="4"/>
  <c r="K640" i="4"/>
  <c r="Z640" i="4" s="1" a="1"/>
  <c r="Z640" i="4" s="1"/>
  <c r="Y639" i="4"/>
  <c r="X639" i="4"/>
  <c r="W639" i="4"/>
  <c r="V639" i="4"/>
  <c r="U639" i="4"/>
  <c r="T639" i="4"/>
  <c r="O639" i="4"/>
  <c r="M639" i="4"/>
  <c r="L639" i="4"/>
  <c r="K639" i="4"/>
  <c r="Z639" i="4" s="1" a="1"/>
  <c r="Z639" i="4" s="1"/>
  <c r="Y638" i="4"/>
  <c r="X638" i="4"/>
  <c r="W638" i="4"/>
  <c r="V638" i="4"/>
  <c r="U638" i="4"/>
  <c r="T638" i="4"/>
  <c r="O638" i="4"/>
  <c r="M638" i="4"/>
  <c r="L638" i="4"/>
  <c r="K638" i="4"/>
  <c r="Z638" i="4" s="1" a="1"/>
  <c r="Z638" i="4" s="1"/>
  <c r="Y637" i="4"/>
  <c r="X637" i="4"/>
  <c r="W637" i="4"/>
  <c r="V637" i="4"/>
  <c r="U637" i="4"/>
  <c r="T637" i="4"/>
  <c r="O637" i="4"/>
  <c r="M637" i="4"/>
  <c r="L637" i="4"/>
  <c r="K637" i="4"/>
  <c r="Z637" i="4" s="1" a="1"/>
  <c r="Z637" i="4" s="1"/>
  <c r="Y636" i="4"/>
  <c r="X636" i="4"/>
  <c r="W636" i="4"/>
  <c r="V636" i="4"/>
  <c r="U636" i="4"/>
  <c r="T636" i="4"/>
  <c r="O636" i="4"/>
  <c r="M636" i="4"/>
  <c r="L636" i="4"/>
  <c r="K636" i="4"/>
  <c r="Z636" i="4" s="1" a="1"/>
  <c r="Z636" i="4" s="1"/>
  <c r="Y635" i="4"/>
  <c r="X635" i="4"/>
  <c r="W635" i="4"/>
  <c r="V635" i="4"/>
  <c r="U635" i="4"/>
  <c r="T635" i="4"/>
  <c r="O635" i="4"/>
  <c r="M635" i="4"/>
  <c r="L635" i="4"/>
  <c r="K635" i="4"/>
  <c r="Z635" i="4" s="1" a="1"/>
  <c r="Z635" i="4" s="1"/>
  <c r="Y634" i="4"/>
  <c r="X634" i="4"/>
  <c r="W634" i="4"/>
  <c r="V634" i="4"/>
  <c r="U634" i="4"/>
  <c r="T634" i="4"/>
  <c r="O634" i="4"/>
  <c r="M634" i="4"/>
  <c r="L634" i="4"/>
  <c r="K634" i="4"/>
  <c r="Z634" i="4" s="1" a="1"/>
  <c r="Z634" i="4" s="1"/>
  <c r="Y633" i="4"/>
  <c r="X633" i="4"/>
  <c r="W633" i="4"/>
  <c r="V633" i="4"/>
  <c r="U633" i="4"/>
  <c r="T633" i="4"/>
  <c r="O633" i="4"/>
  <c r="M633" i="4"/>
  <c r="L633" i="4"/>
  <c r="K633" i="4"/>
  <c r="Z633" i="4" s="1" a="1"/>
  <c r="Z633" i="4" s="1"/>
  <c r="Y632" i="4"/>
  <c r="X632" i="4"/>
  <c r="W632" i="4"/>
  <c r="V632" i="4"/>
  <c r="U632" i="4"/>
  <c r="T632" i="4"/>
  <c r="O632" i="4"/>
  <c r="M632" i="4"/>
  <c r="L632" i="4"/>
  <c r="K632" i="4"/>
  <c r="Z632" i="4" s="1" a="1"/>
  <c r="Z632" i="4" s="1"/>
  <c r="Y631" i="4"/>
  <c r="X631" i="4"/>
  <c r="W631" i="4"/>
  <c r="V631" i="4"/>
  <c r="U631" i="4"/>
  <c r="T631" i="4"/>
  <c r="O631" i="4"/>
  <c r="M631" i="4"/>
  <c r="L631" i="4"/>
  <c r="K631" i="4"/>
  <c r="Z631" i="4" s="1" a="1"/>
  <c r="Z631" i="4" s="1"/>
  <c r="Y630" i="4"/>
  <c r="X630" i="4"/>
  <c r="W630" i="4"/>
  <c r="V630" i="4"/>
  <c r="U630" i="4"/>
  <c r="T630" i="4"/>
  <c r="O630" i="4"/>
  <c r="M630" i="4"/>
  <c r="L630" i="4"/>
  <c r="K630" i="4"/>
  <c r="Z630" i="4" s="1" a="1"/>
  <c r="Z630" i="4" s="1"/>
  <c r="Y629" i="4"/>
  <c r="X629" i="4"/>
  <c r="W629" i="4"/>
  <c r="V629" i="4"/>
  <c r="U629" i="4"/>
  <c r="T629" i="4"/>
  <c r="O629" i="4"/>
  <c r="M629" i="4"/>
  <c r="L629" i="4"/>
  <c r="K629" i="4"/>
  <c r="Z629" i="4" s="1" a="1"/>
  <c r="Z629" i="4" s="1"/>
  <c r="Y628" i="4"/>
  <c r="X628" i="4"/>
  <c r="W628" i="4"/>
  <c r="V628" i="4"/>
  <c r="U628" i="4"/>
  <c r="T628" i="4"/>
  <c r="O628" i="4"/>
  <c r="M628" i="4"/>
  <c r="L628" i="4"/>
  <c r="K628" i="4"/>
  <c r="Z628" i="4" s="1" a="1"/>
  <c r="Z628" i="4" s="1"/>
  <c r="Y627" i="4"/>
  <c r="X627" i="4"/>
  <c r="W627" i="4"/>
  <c r="V627" i="4"/>
  <c r="U627" i="4"/>
  <c r="T627" i="4"/>
  <c r="O627" i="4"/>
  <c r="M627" i="4"/>
  <c r="L627" i="4"/>
  <c r="K627" i="4"/>
  <c r="Z627" i="4" s="1" a="1"/>
  <c r="Z627" i="4" s="1"/>
  <c r="Y626" i="4"/>
  <c r="X626" i="4"/>
  <c r="W626" i="4"/>
  <c r="V626" i="4"/>
  <c r="U626" i="4"/>
  <c r="T626" i="4"/>
  <c r="O626" i="4"/>
  <c r="M626" i="4"/>
  <c r="L626" i="4"/>
  <c r="K626" i="4"/>
  <c r="Z626" i="4" s="1" a="1"/>
  <c r="Z626" i="4" s="1"/>
  <c r="Y625" i="4"/>
  <c r="X625" i="4"/>
  <c r="W625" i="4"/>
  <c r="V625" i="4"/>
  <c r="U625" i="4"/>
  <c r="T625" i="4"/>
  <c r="O625" i="4"/>
  <c r="M625" i="4"/>
  <c r="L625" i="4"/>
  <c r="K625" i="4"/>
  <c r="Z625" i="4" s="1" a="1"/>
  <c r="Z625" i="4" s="1"/>
  <c r="Y624" i="4"/>
  <c r="X624" i="4"/>
  <c r="W624" i="4"/>
  <c r="V624" i="4"/>
  <c r="U624" i="4"/>
  <c r="T624" i="4"/>
  <c r="O624" i="4"/>
  <c r="M624" i="4"/>
  <c r="L624" i="4"/>
  <c r="K624" i="4"/>
  <c r="Z624" i="4" s="1" a="1"/>
  <c r="Z624" i="4" s="1"/>
  <c r="Y623" i="4"/>
  <c r="X623" i="4"/>
  <c r="W623" i="4"/>
  <c r="V623" i="4"/>
  <c r="U623" i="4"/>
  <c r="T623" i="4"/>
  <c r="O623" i="4"/>
  <c r="M623" i="4"/>
  <c r="L623" i="4"/>
  <c r="K623" i="4"/>
  <c r="Z623" i="4" s="1" a="1"/>
  <c r="Z623" i="4" s="1"/>
  <c r="Y622" i="4"/>
  <c r="X622" i="4"/>
  <c r="W622" i="4"/>
  <c r="V622" i="4"/>
  <c r="U622" i="4"/>
  <c r="T622" i="4"/>
  <c r="O622" i="4"/>
  <c r="M622" i="4"/>
  <c r="L622" i="4"/>
  <c r="K622" i="4"/>
  <c r="Z622" i="4" s="1" a="1"/>
  <c r="Z622" i="4" s="1"/>
  <c r="Y621" i="4"/>
  <c r="X621" i="4"/>
  <c r="W621" i="4"/>
  <c r="V621" i="4"/>
  <c r="U621" i="4"/>
  <c r="T621" i="4"/>
  <c r="O621" i="4"/>
  <c r="M621" i="4"/>
  <c r="L621" i="4"/>
  <c r="K621" i="4"/>
  <c r="Z621" i="4" s="1" a="1"/>
  <c r="Z621" i="4" s="1"/>
  <c r="Y620" i="4"/>
  <c r="X620" i="4"/>
  <c r="W620" i="4"/>
  <c r="V620" i="4"/>
  <c r="U620" i="4"/>
  <c r="T620" i="4"/>
  <c r="O620" i="4"/>
  <c r="M620" i="4"/>
  <c r="L620" i="4"/>
  <c r="K620" i="4"/>
  <c r="Z620" i="4" s="1" a="1"/>
  <c r="Z620" i="4" s="1"/>
  <c r="Y619" i="4"/>
  <c r="X619" i="4"/>
  <c r="W619" i="4"/>
  <c r="V619" i="4"/>
  <c r="U619" i="4"/>
  <c r="T619" i="4"/>
  <c r="O619" i="4"/>
  <c r="M619" i="4"/>
  <c r="L619" i="4"/>
  <c r="K619" i="4"/>
  <c r="Z619" i="4" s="1" a="1"/>
  <c r="Z619" i="4" s="1"/>
  <c r="Y618" i="4"/>
  <c r="X618" i="4"/>
  <c r="W618" i="4"/>
  <c r="V618" i="4"/>
  <c r="U618" i="4"/>
  <c r="T618" i="4"/>
  <c r="O618" i="4"/>
  <c r="M618" i="4"/>
  <c r="L618" i="4"/>
  <c r="K618" i="4"/>
  <c r="Z618" i="4" s="1" a="1"/>
  <c r="Z618" i="4" s="1"/>
  <c r="Y617" i="4"/>
  <c r="X617" i="4"/>
  <c r="W617" i="4"/>
  <c r="V617" i="4"/>
  <c r="U617" i="4"/>
  <c r="T617" i="4"/>
  <c r="O617" i="4"/>
  <c r="M617" i="4"/>
  <c r="L617" i="4"/>
  <c r="K617" i="4"/>
  <c r="Z617" i="4" s="1" a="1"/>
  <c r="Z617" i="4" s="1"/>
  <c r="Y616" i="4"/>
  <c r="X616" i="4"/>
  <c r="W616" i="4"/>
  <c r="V616" i="4"/>
  <c r="U616" i="4"/>
  <c r="T616" i="4"/>
  <c r="O616" i="4"/>
  <c r="M616" i="4"/>
  <c r="L616" i="4"/>
  <c r="K616" i="4"/>
  <c r="Z616" i="4" s="1" a="1"/>
  <c r="Z616" i="4" s="1"/>
  <c r="Y615" i="4"/>
  <c r="X615" i="4"/>
  <c r="W615" i="4"/>
  <c r="V615" i="4"/>
  <c r="U615" i="4"/>
  <c r="T615" i="4"/>
  <c r="O615" i="4"/>
  <c r="M615" i="4"/>
  <c r="L615" i="4"/>
  <c r="K615" i="4"/>
  <c r="Z615" i="4" s="1" a="1"/>
  <c r="Z615" i="4" s="1"/>
  <c r="Y614" i="4"/>
  <c r="X614" i="4"/>
  <c r="W614" i="4"/>
  <c r="V614" i="4"/>
  <c r="U614" i="4"/>
  <c r="T614" i="4"/>
  <c r="O614" i="4"/>
  <c r="M614" i="4"/>
  <c r="L614" i="4"/>
  <c r="K614" i="4"/>
  <c r="Z614" i="4" s="1" a="1"/>
  <c r="Z614" i="4" s="1"/>
  <c r="Y613" i="4"/>
  <c r="X613" i="4"/>
  <c r="W613" i="4"/>
  <c r="V613" i="4"/>
  <c r="U613" i="4"/>
  <c r="T613" i="4"/>
  <c r="O613" i="4"/>
  <c r="M613" i="4"/>
  <c r="L613" i="4"/>
  <c r="K613" i="4"/>
  <c r="Z613" i="4" s="1" a="1"/>
  <c r="Z613" i="4" s="1"/>
  <c r="Y612" i="4"/>
  <c r="X612" i="4"/>
  <c r="W612" i="4"/>
  <c r="V612" i="4"/>
  <c r="U612" i="4"/>
  <c r="T612" i="4"/>
  <c r="O612" i="4"/>
  <c r="M612" i="4"/>
  <c r="L612" i="4"/>
  <c r="K612" i="4"/>
  <c r="Z612" i="4" s="1" a="1"/>
  <c r="Z612" i="4" s="1"/>
  <c r="Y611" i="4"/>
  <c r="X611" i="4"/>
  <c r="W611" i="4"/>
  <c r="V611" i="4"/>
  <c r="U611" i="4"/>
  <c r="T611" i="4"/>
  <c r="O611" i="4"/>
  <c r="M611" i="4"/>
  <c r="L611" i="4"/>
  <c r="K611" i="4"/>
  <c r="Z611" i="4" s="1" a="1"/>
  <c r="Z611" i="4" s="1"/>
  <c r="Y610" i="4"/>
  <c r="X610" i="4"/>
  <c r="W610" i="4"/>
  <c r="V610" i="4"/>
  <c r="U610" i="4"/>
  <c r="T610" i="4"/>
  <c r="O610" i="4"/>
  <c r="M610" i="4"/>
  <c r="L610" i="4"/>
  <c r="K610" i="4"/>
  <c r="Z610" i="4" s="1" a="1"/>
  <c r="Z610" i="4" s="1"/>
  <c r="Y609" i="4"/>
  <c r="X609" i="4"/>
  <c r="W609" i="4"/>
  <c r="V609" i="4"/>
  <c r="U609" i="4"/>
  <c r="T609" i="4"/>
  <c r="O609" i="4"/>
  <c r="M609" i="4"/>
  <c r="L609" i="4"/>
  <c r="K609" i="4"/>
  <c r="Z609" i="4" s="1" a="1"/>
  <c r="Z609" i="4" s="1"/>
  <c r="Y608" i="4"/>
  <c r="X608" i="4"/>
  <c r="W608" i="4"/>
  <c r="V608" i="4"/>
  <c r="U608" i="4"/>
  <c r="T608" i="4"/>
  <c r="O608" i="4"/>
  <c r="M608" i="4"/>
  <c r="L608" i="4"/>
  <c r="K608" i="4"/>
  <c r="Z608" i="4" s="1" a="1"/>
  <c r="Z608" i="4" s="1"/>
  <c r="Y607" i="4"/>
  <c r="X607" i="4"/>
  <c r="W607" i="4"/>
  <c r="V607" i="4"/>
  <c r="U607" i="4"/>
  <c r="T607" i="4"/>
  <c r="O607" i="4"/>
  <c r="M607" i="4"/>
  <c r="L607" i="4"/>
  <c r="K607" i="4"/>
  <c r="Z607" i="4" s="1" a="1"/>
  <c r="Z607" i="4" s="1"/>
  <c r="Y606" i="4"/>
  <c r="X606" i="4"/>
  <c r="W606" i="4"/>
  <c r="V606" i="4"/>
  <c r="U606" i="4"/>
  <c r="T606" i="4"/>
  <c r="O606" i="4"/>
  <c r="M606" i="4"/>
  <c r="L606" i="4"/>
  <c r="K606" i="4"/>
  <c r="Z606" i="4" s="1" a="1"/>
  <c r="Z606" i="4" s="1"/>
  <c r="Y605" i="4"/>
  <c r="X605" i="4"/>
  <c r="W605" i="4"/>
  <c r="V605" i="4"/>
  <c r="U605" i="4"/>
  <c r="T605" i="4"/>
  <c r="O605" i="4"/>
  <c r="M605" i="4"/>
  <c r="L605" i="4"/>
  <c r="K605" i="4"/>
  <c r="Z605" i="4" s="1" a="1"/>
  <c r="Z605" i="4" s="1"/>
  <c r="Y604" i="4"/>
  <c r="X604" i="4"/>
  <c r="W604" i="4"/>
  <c r="V604" i="4"/>
  <c r="U604" i="4"/>
  <c r="T604" i="4"/>
  <c r="O604" i="4"/>
  <c r="M604" i="4"/>
  <c r="L604" i="4"/>
  <c r="K604" i="4"/>
  <c r="Z604" i="4" s="1" a="1"/>
  <c r="Z604" i="4" s="1"/>
  <c r="Y603" i="4"/>
  <c r="X603" i="4"/>
  <c r="W603" i="4"/>
  <c r="V603" i="4"/>
  <c r="U603" i="4"/>
  <c r="T603" i="4"/>
  <c r="O603" i="4"/>
  <c r="M603" i="4"/>
  <c r="L603" i="4"/>
  <c r="K603" i="4"/>
  <c r="Z603" i="4" s="1" a="1"/>
  <c r="Z603" i="4" s="1"/>
  <c r="Y602" i="4"/>
  <c r="X602" i="4"/>
  <c r="W602" i="4"/>
  <c r="V602" i="4"/>
  <c r="U602" i="4"/>
  <c r="T602" i="4"/>
  <c r="O602" i="4"/>
  <c r="M602" i="4"/>
  <c r="L602" i="4"/>
  <c r="K602" i="4"/>
  <c r="Z602" i="4" s="1" a="1"/>
  <c r="Z602" i="4" s="1"/>
  <c r="Y601" i="4"/>
  <c r="X601" i="4"/>
  <c r="W601" i="4"/>
  <c r="V601" i="4"/>
  <c r="U601" i="4"/>
  <c r="T601" i="4"/>
  <c r="O601" i="4"/>
  <c r="M601" i="4"/>
  <c r="L601" i="4"/>
  <c r="K601" i="4"/>
  <c r="Z601" i="4" s="1" a="1"/>
  <c r="Z601" i="4" s="1"/>
  <c r="Y600" i="4"/>
  <c r="X600" i="4"/>
  <c r="W600" i="4"/>
  <c r="V600" i="4"/>
  <c r="U600" i="4"/>
  <c r="T600" i="4"/>
  <c r="O600" i="4"/>
  <c r="M600" i="4"/>
  <c r="L600" i="4"/>
  <c r="K600" i="4"/>
  <c r="Z600" i="4" s="1" a="1"/>
  <c r="Z600" i="4" s="1"/>
  <c r="Y599" i="4"/>
  <c r="X599" i="4"/>
  <c r="W599" i="4"/>
  <c r="V599" i="4"/>
  <c r="U599" i="4"/>
  <c r="T599" i="4"/>
  <c r="O599" i="4"/>
  <c r="M599" i="4"/>
  <c r="L599" i="4"/>
  <c r="K599" i="4"/>
  <c r="Z599" i="4" s="1" a="1"/>
  <c r="Z599" i="4" s="1"/>
  <c r="Y598" i="4"/>
  <c r="X598" i="4"/>
  <c r="W598" i="4"/>
  <c r="V598" i="4"/>
  <c r="U598" i="4"/>
  <c r="T598" i="4"/>
  <c r="O598" i="4"/>
  <c r="M598" i="4"/>
  <c r="L598" i="4"/>
  <c r="K598" i="4"/>
  <c r="Z598" i="4" s="1" a="1"/>
  <c r="Z598" i="4" s="1"/>
  <c r="Y597" i="4"/>
  <c r="X597" i="4"/>
  <c r="W597" i="4"/>
  <c r="V597" i="4"/>
  <c r="U597" i="4"/>
  <c r="T597" i="4"/>
  <c r="O597" i="4"/>
  <c r="M597" i="4"/>
  <c r="L597" i="4"/>
  <c r="K597" i="4"/>
  <c r="Z597" i="4" s="1" a="1"/>
  <c r="Z597" i="4" s="1"/>
  <c r="Y596" i="4"/>
  <c r="X596" i="4"/>
  <c r="W596" i="4"/>
  <c r="V596" i="4"/>
  <c r="U596" i="4"/>
  <c r="T596" i="4"/>
  <c r="O596" i="4"/>
  <c r="M596" i="4"/>
  <c r="L596" i="4"/>
  <c r="K596" i="4"/>
  <c r="Z596" i="4" s="1" a="1"/>
  <c r="Z596" i="4" s="1"/>
  <c r="Y595" i="4"/>
  <c r="X595" i="4"/>
  <c r="W595" i="4"/>
  <c r="V595" i="4"/>
  <c r="U595" i="4"/>
  <c r="T595" i="4"/>
  <c r="O595" i="4"/>
  <c r="M595" i="4"/>
  <c r="L595" i="4"/>
  <c r="K595" i="4"/>
  <c r="Z595" i="4" s="1" a="1"/>
  <c r="Z595" i="4" s="1"/>
  <c r="Y594" i="4"/>
  <c r="X594" i="4"/>
  <c r="W594" i="4"/>
  <c r="V594" i="4"/>
  <c r="U594" i="4"/>
  <c r="T594" i="4"/>
  <c r="O594" i="4"/>
  <c r="M594" i="4"/>
  <c r="L594" i="4"/>
  <c r="K594" i="4"/>
  <c r="Z594" i="4" s="1" a="1"/>
  <c r="Z594" i="4" s="1"/>
  <c r="Y593" i="4"/>
  <c r="X593" i="4"/>
  <c r="W593" i="4"/>
  <c r="V593" i="4"/>
  <c r="U593" i="4"/>
  <c r="T593" i="4"/>
  <c r="O593" i="4"/>
  <c r="M593" i="4"/>
  <c r="L593" i="4"/>
  <c r="K593" i="4"/>
  <c r="Z593" i="4" s="1" a="1"/>
  <c r="Z593" i="4" s="1"/>
  <c r="Y592" i="4"/>
  <c r="X592" i="4"/>
  <c r="W592" i="4"/>
  <c r="V592" i="4"/>
  <c r="U592" i="4"/>
  <c r="T592" i="4"/>
  <c r="O592" i="4"/>
  <c r="M592" i="4"/>
  <c r="L592" i="4"/>
  <c r="K592" i="4"/>
  <c r="Z592" i="4" s="1" a="1"/>
  <c r="Z592" i="4" s="1"/>
  <c r="Y591" i="4"/>
  <c r="X591" i="4"/>
  <c r="W591" i="4"/>
  <c r="V591" i="4"/>
  <c r="U591" i="4"/>
  <c r="T591" i="4"/>
  <c r="O591" i="4"/>
  <c r="M591" i="4"/>
  <c r="L591" i="4"/>
  <c r="K591" i="4"/>
  <c r="Z591" i="4" s="1" a="1"/>
  <c r="Z591" i="4" s="1"/>
  <c r="Y590" i="4"/>
  <c r="X590" i="4"/>
  <c r="W590" i="4"/>
  <c r="V590" i="4"/>
  <c r="U590" i="4"/>
  <c r="T590" i="4"/>
  <c r="O590" i="4"/>
  <c r="M590" i="4"/>
  <c r="L590" i="4"/>
  <c r="K590" i="4"/>
  <c r="Z590" i="4" s="1" a="1"/>
  <c r="Z590" i="4" s="1"/>
  <c r="Y589" i="4"/>
  <c r="X589" i="4"/>
  <c r="W589" i="4"/>
  <c r="V589" i="4"/>
  <c r="U589" i="4"/>
  <c r="T589" i="4"/>
  <c r="O589" i="4"/>
  <c r="M589" i="4"/>
  <c r="L589" i="4"/>
  <c r="K589" i="4"/>
  <c r="Z589" i="4" s="1" a="1"/>
  <c r="Z589" i="4" s="1"/>
  <c r="Y588" i="4"/>
  <c r="X588" i="4"/>
  <c r="W588" i="4"/>
  <c r="V588" i="4"/>
  <c r="U588" i="4"/>
  <c r="T588" i="4"/>
  <c r="O588" i="4"/>
  <c r="M588" i="4"/>
  <c r="L588" i="4"/>
  <c r="K588" i="4"/>
  <c r="Z588" i="4" s="1" a="1"/>
  <c r="Z588" i="4" s="1"/>
  <c r="Y587" i="4"/>
  <c r="X587" i="4"/>
  <c r="W587" i="4"/>
  <c r="V587" i="4"/>
  <c r="U587" i="4"/>
  <c r="T587" i="4"/>
  <c r="O587" i="4"/>
  <c r="M587" i="4"/>
  <c r="L587" i="4"/>
  <c r="K587" i="4"/>
  <c r="Z587" i="4" s="1" a="1"/>
  <c r="Z587" i="4" s="1"/>
  <c r="Y586" i="4"/>
  <c r="X586" i="4"/>
  <c r="W586" i="4"/>
  <c r="V586" i="4"/>
  <c r="U586" i="4"/>
  <c r="T586" i="4"/>
  <c r="O586" i="4"/>
  <c r="M586" i="4"/>
  <c r="L586" i="4"/>
  <c r="K586" i="4"/>
  <c r="Z586" i="4" s="1" a="1"/>
  <c r="Z586" i="4" s="1"/>
  <c r="Y585" i="4"/>
  <c r="X585" i="4"/>
  <c r="W585" i="4"/>
  <c r="V585" i="4"/>
  <c r="U585" i="4"/>
  <c r="T585" i="4"/>
  <c r="O585" i="4"/>
  <c r="M585" i="4"/>
  <c r="L585" i="4"/>
  <c r="K585" i="4"/>
  <c r="Z585" i="4" s="1" a="1"/>
  <c r="Z585" i="4" s="1"/>
  <c r="Y584" i="4"/>
  <c r="X584" i="4"/>
  <c r="W584" i="4"/>
  <c r="V584" i="4"/>
  <c r="U584" i="4"/>
  <c r="T584" i="4"/>
  <c r="O584" i="4"/>
  <c r="M584" i="4"/>
  <c r="L584" i="4"/>
  <c r="K584" i="4"/>
  <c r="Z584" i="4" s="1" a="1"/>
  <c r="Z584" i="4" s="1"/>
  <c r="Y583" i="4"/>
  <c r="X583" i="4"/>
  <c r="W583" i="4"/>
  <c r="V583" i="4"/>
  <c r="U583" i="4"/>
  <c r="T583" i="4"/>
  <c r="O583" i="4"/>
  <c r="M583" i="4"/>
  <c r="L583" i="4"/>
  <c r="K583" i="4"/>
  <c r="Z583" i="4" s="1" a="1"/>
  <c r="Z583" i="4" s="1"/>
  <c r="Y582" i="4"/>
  <c r="X582" i="4"/>
  <c r="W582" i="4"/>
  <c r="V582" i="4"/>
  <c r="U582" i="4"/>
  <c r="T582" i="4"/>
  <c r="O582" i="4"/>
  <c r="M582" i="4"/>
  <c r="L582" i="4"/>
  <c r="K582" i="4"/>
  <c r="Z582" i="4" s="1" a="1"/>
  <c r="Z582" i="4" s="1"/>
  <c r="Y581" i="4"/>
  <c r="X581" i="4"/>
  <c r="W581" i="4"/>
  <c r="V581" i="4"/>
  <c r="U581" i="4"/>
  <c r="T581" i="4"/>
  <c r="O581" i="4"/>
  <c r="M581" i="4"/>
  <c r="L581" i="4"/>
  <c r="K581" i="4"/>
  <c r="Z581" i="4" s="1" a="1"/>
  <c r="Z581" i="4" s="1"/>
  <c r="Y580" i="4"/>
  <c r="X580" i="4"/>
  <c r="W580" i="4"/>
  <c r="V580" i="4"/>
  <c r="U580" i="4"/>
  <c r="T580" i="4"/>
  <c r="O580" i="4"/>
  <c r="M580" i="4"/>
  <c r="L580" i="4"/>
  <c r="K580" i="4"/>
  <c r="Z580" i="4" s="1" a="1"/>
  <c r="Z580" i="4" s="1"/>
  <c r="Y579" i="4"/>
  <c r="X579" i="4"/>
  <c r="W579" i="4"/>
  <c r="V579" i="4"/>
  <c r="U579" i="4"/>
  <c r="T579" i="4"/>
  <c r="O579" i="4"/>
  <c r="M579" i="4"/>
  <c r="L579" i="4"/>
  <c r="K579" i="4"/>
  <c r="Z579" i="4" s="1" a="1"/>
  <c r="Z579" i="4" s="1"/>
  <c r="Y578" i="4"/>
  <c r="X578" i="4"/>
  <c r="W578" i="4"/>
  <c r="V578" i="4"/>
  <c r="U578" i="4"/>
  <c r="T578" i="4"/>
  <c r="O578" i="4"/>
  <c r="M578" i="4"/>
  <c r="L578" i="4"/>
  <c r="K578" i="4"/>
  <c r="Z578" i="4" s="1" a="1"/>
  <c r="Z578" i="4" s="1"/>
  <c r="Y577" i="4"/>
  <c r="X577" i="4"/>
  <c r="W577" i="4"/>
  <c r="V577" i="4"/>
  <c r="U577" i="4"/>
  <c r="T577" i="4"/>
  <c r="O577" i="4"/>
  <c r="M577" i="4"/>
  <c r="L577" i="4"/>
  <c r="K577" i="4"/>
  <c r="Z577" i="4" s="1" a="1"/>
  <c r="Z577" i="4" s="1"/>
  <c r="Y576" i="4"/>
  <c r="X576" i="4"/>
  <c r="W576" i="4"/>
  <c r="V576" i="4"/>
  <c r="U576" i="4"/>
  <c r="T576" i="4"/>
  <c r="O576" i="4"/>
  <c r="M576" i="4"/>
  <c r="L576" i="4"/>
  <c r="K576" i="4"/>
  <c r="Z576" i="4" s="1" a="1"/>
  <c r="Z576" i="4" s="1"/>
  <c r="Y575" i="4"/>
  <c r="X575" i="4"/>
  <c r="W575" i="4"/>
  <c r="V575" i="4"/>
  <c r="U575" i="4"/>
  <c r="T575" i="4"/>
  <c r="O575" i="4"/>
  <c r="M575" i="4"/>
  <c r="L575" i="4"/>
  <c r="K575" i="4"/>
  <c r="Z575" i="4" s="1" a="1"/>
  <c r="Z575" i="4" s="1"/>
  <c r="Y574" i="4"/>
  <c r="X574" i="4"/>
  <c r="W574" i="4"/>
  <c r="V574" i="4"/>
  <c r="U574" i="4"/>
  <c r="T574" i="4"/>
  <c r="O574" i="4"/>
  <c r="M574" i="4"/>
  <c r="L574" i="4"/>
  <c r="K574" i="4"/>
  <c r="Z574" i="4" s="1" a="1"/>
  <c r="Z574" i="4" s="1"/>
  <c r="Y573" i="4"/>
  <c r="X573" i="4"/>
  <c r="W573" i="4"/>
  <c r="V573" i="4"/>
  <c r="U573" i="4"/>
  <c r="T573" i="4"/>
  <c r="O573" i="4"/>
  <c r="M573" i="4"/>
  <c r="L573" i="4"/>
  <c r="K573" i="4"/>
  <c r="Z573" i="4" s="1" a="1"/>
  <c r="Z573" i="4" s="1"/>
  <c r="Y572" i="4"/>
  <c r="X572" i="4"/>
  <c r="W572" i="4"/>
  <c r="V572" i="4"/>
  <c r="U572" i="4"/>
  <c r="T572" i="4"/>
  <c r="O572" i="4"/>
  <c r="M572" i="4"/>
  <c r="L572" i="4"/>
  <c r="K572" i="4"/>
  <c r="Z572" i="4" s="1" a="1"/>
  <c r="Z572" i="4" s="1"/>
  <c r="Y571" i="4"/>
  <c r="X571" i="4"/>
  <c r="W571" i="4"/>
  <c r="V571" i="4"/>
  <c r="U571" i="4"/>
  <c r="T571" i="4"/>
  <c r="O571" i="4"/>
  <c r="M571" i="4"/>
  <c r="L571" i="4"/>
  <c r="K571" i="4"/>
  <c r="Z571" i="4" s="1" a="1"/>
  <c r="Z571" i="4" s="1"/>
  <c r="Y570" i="4"/>
  <c r="X570" i="4"/>
  <c r="W570" i="4"/>
  <c r="V570" i="4"/>
  <c r="U570" i="4"/>
  <c r="T570" i="4"/>
  <c r="O570" i="4"/>
  <c r="M570" i="4"/>
  <c r="L570" i="4"/>
  <c r="K570" i="4"/>
  <c r="Z570" i="4" s="1" a="1"/>
  <c r="Z570" i="4" s="1"/>
  <c r="Y569" i="4"/>
  <c r="X569" i="4"/>
  <c r="W569" i="4"/>
  <c r="V569" i="4"/>
  <c r="U569" i="4"/>
  <c r="T569" i="4"/>
  <c r="O569" i="4"/>
  <c r="M569" i="4"/>
  <c r="L569" i="4"/>
  <c r="K569" i="4"/>
  <c r="Z569" i="4" s="1" a="1"/>
  <c r="Z569" i="4" s="1"/>
  <c r="Y568" i="4"/>
  <c r="X568" i="4"/>
  <c r="W568" i="4"/>
  <c r="V568" i="4"/>
  <c r="U568" i="4"/>
  <c r="T568" i="4"/>
  <c r="O568" i="4"/>
  <c r="M568" i="4"/>
  <c r="L568" i="4"/>
  <c r="K568" i="4"/>
  <c r="Z568" i="4" s="1" a="1"/>
  <c r="Z568" i="4" s="1"/>
  <c r="Y567" i="4"/>
  <c r="X567" i="4"/>
  <c r="W567" i="4"/>
  <c r="V567" i="4"/>
  <c r="U567" i="4"/>
  <c r="T567" i="4"/>
  <c r="O567" i="4"/>
  <c r="M567" i="4"/>
  <c r="L567" i="4"/>
  <c r="K567" i="4"/>
  <c r="Z567" i="4" s="1" a="1"/>
  <c r="Z567" i="4" s="1"/>
  <c r="Y566" i="4"/>
  <c r="X566" i="4"/>
  <c r="W566" i="4"/>
  <c r="V566" i="4"/>
  <c r="U566" i="4"/>
  <c r="T566" i="4"/>
  <c r="O566" i="4"/>
  <c r="M566" i="4"/>
  <c r="L566" i="4"/>
  <c r="K566" i="4"/>
  <c r="Z566" i="4" s="1" a="1"/>
  <c r="Z566" i="4" s="1"/>
  <c r="Y565" i="4"/>
  <c r="X565" i="4"/>
  <c r="W565" i="4"/>
  <c r="V565" i="4"/>
  <c r="U565" i="4"/>
  <c r="T565" i="4"/>
  <c r="O565" i="4"/>
  <c r="M565" i="4"/>
  <c r="L565" i="4"/>
  <c r="K565" i="4"/>
  <c r="Z565" i="4" s="1" a="1"/>
  <c r="Z565" i="4" s="1"/>
  <c r="Y564" i="4"/>
  <c r="X564" i="4"/>
  <c r="W564" i="4"/>
  <c r="V564" i="4"/>
  <c r="U564" i="4"/>
  <c r="T564" i="4"/>
  <c r="O564" i="4"/>
  <c r="M564" i="4"/>
  <c r="L564" i="4"/>
  <c r="K564" i="4"/>
  <c r="Z564" i="4" s="1" a="1"/>
  <c r="Z564" i="4" s="1"/>
  <c r="Y563" i="4"/>
  <c r="X563" i="4"/>
  <c r="W563" i="4"/>
  <c r="V563" i="4"/>
  <c r="U563" i="4"/>
  <c r="T563" i="4"/>
  <c r="O563" i="4"/>
  <c r="M563" i="4"/>
  <c r="L563" i="4"/>
  <c r="K563" i="4"/>
  <c r="Z563" i="4" s="1" a="1"/>
  <c r="Z563" i="4" s="1"/>
  <c r="Y562" i="4"/>
  <c r="X562" i="4"/>
  <c r="W562" i="4"/>
  <c r="V562" i="4"/>
  <c r="U562" i="4"/>
  <c r="T562" i="4"/>
  <c r="O562" i="4"/>
  <c r="M562" i="4"/>
  <c r="L562" i="4"/>
  <c r="K562" i="4"/>
  <c r="Z562" i="4" s="1" a="1"/>
  <c r="Z562" i="4" s="1"/>
  <c r="Y561" i="4"/>
  <c r="X561" i="4"/>
  <c r="W561" i="4"/>
  <c r="V561" i="4"/>
  <c r="U561" i="4"/>
  <c r="T561" i="4"/>
  <c r="O561" i="4"/>
  <c r="M561" i="4"/>
  <c r="L561" i="4"/>
  <c r="K561" i="4"/>
  <c r="Z561" i="4" s="1" a="1"/>
  <c r="Z561" i="4" s="1"/>
  <c r="Y560" i="4"/>
  <c r="X560" i="4"/>
  <c r="W560" i="4"/>
  <c r="V560" i="4"/>
  <c r="U560" i="4"/>
  <c r="T560" i="4"/>
  <c r="O560" i="4"/>
  <c r="M560" i="4"/>
  <c r="L560" i="4"/>
  <c r="K560" i="4"/>
  <c r="Z560" i="4" s="1" a="1"/>
  <c r="Z560" i="4" s="1"/>
  <c r="Y559" i="4"/>
  <c r="X559" i="4"/>
  <c r="W559" i="4"/>
  <c r="V559" i="4"/>
  <c r="U559" i="4"/>
  <c r="T559" i="4"/>
  <c r="O559" i="4"/>
  <c r="M559" i="4"/>
  <c r="L559" i="4"/>
  <c r="K559" i="4"/>
  <c r="Z559" i="4" s="1" a="1"/>
  <c r="Z559" i="4" s="1"/>
  <c r="Y558" i="4"/>
  <c r="X558" i="4"/>
  <c r="W558" i="4"/>
  <c r="V558" i="4"/>
  <c r="U558" i="4"/>
  <c r="T558" i="4"/>
  <c r="O558" i="4"/>
  <c r="M558" i="4"/>
  <c r="L558" i="4"/>
  <c r="K558" i="4"/>
  <c r="Z558" i="4" s="1" a="1"/>
  <c r="Z558" i="4" s="1"/>
  <c r="Y557" i="4"/>
  <c r="X557" i="4"/>
  <c r="W557" i="4"/>
  <c r="V557" i="4"/>
  <c r="U557" i="4"/>
  <c r="T557" i="4"/>
  <c r="O557" i="4"/>
  <c r="M557" i="4"/>
  <c r="L557" i="4"/>
  <c r="K557" i="4"/>
  <c r="Z557" i="4" s="1" a="1"/>
  <c r="Z557" i="4" s="1"/>
  <c r="Y556" i="4"/>
  <c r="X556" i="4"/>
  <c r="W556" i="4"/>
  <c r="V556" i="4"/>
  <c r="U556" i="4"/>
  <c r="T556" i="4"/>
  <c r="O556" i="4"/>
  <c r="M556" i="4"/>
  <c r="L556" i="4"/>
  <c r="K556" i="4"/>
  <c r="Z556" i="4" s="1" a="1"/>
  <c r="Z556" i="4" s="1"/>
  <c r="Y555" i="4"/>
  <c r="X555" i="4"/>
  <c r="W555" i="4"/>
  <c r="V555" i="4"/>
  <c r="U555" i="4"/>
  <c r="T555" i="4"/>
  <c r="O555" i="4"/>
  <c r="M555" i="4"/>
  <c r="L555" i="4"/>
  <c r="K555" i="4"/>
  <c r="Z555" i="4" s="1" a="1"/>
  <c r="Z555" i="4" s="1"/>
  <c r="Y554" i="4"/>
  <c r="X554" i="4"/>
  <c r="W554" i="4"/>
  <c r="V554" i="4"/>
  <c r="U554" i="4"/>
  <c r="T554" i="4"/>
  <c r="O554" i="4"/>
  <c r="M554" i="4"/>
  <c r="L554" i="4"/>
  <c r="K554" i="4"/>
  <c r="Z554" i="4" s="1" a="1"/>
  <c r="Z554" i="4" s="1"/>
  <c r="Y553" i="4"/>
  <c r="X553" i="4"/>
  <c r="W553" i="4"/>
  <c r="V553" i="4"/>
  <c r="U553" i="4"/>
  <c r="T553" i="4"/>
  <c r="O553" i="4"/>
  <c r="M553" i="4"/>
  <c r="L553" i="4"/>
  <c r="K553" i="4"/>
  <c r="Z553" i="4" s="1" a="1"/>
  <c r="Z553" i="4" s="1"/>
  <c r="Y552" i="4"/>
  <c r="X552" i="4"/>
  <c r="W552" i="4"/>
  <c r="V552" i="4"/>
  <c r="U552" i="4"/>
  <c r="T552" i="4"/>
  <c r="O552" i="4"/>
  <c r="M552" i="4"/>
  <c r="L552" i="4"/>
  <c r="K552" i="4"/>
  <c r="Z552" i="4" s="1" a="1"/>
  <c r="Z552" i="4" s="1"/>
  <c r="Y551" i="4"/>
  <c r="X551" i="4"/>
  <c r="W551" i="4"/>
  <c r="V551" i="4"/>
  <c r="U551" i="4"/>
  <c r="T551" i="4"/>
  <c r="O551" i="4"/>
  <c r="M551" i="4"/>
  <c r="L551" i="4"/>
  <c r="K551" i="4"/>
  <c r="Z551" i="4" s="1" a="1"/>
  <c r="Z551" i="4" s="1"/>
  <c r="Y550" i="4"/>
  <c r="X550" i="4"/>
  <c r="W550" i="4"/>
  <c r="V550" i="4"/>
  <c r="U550" i="4"/>
  <c r="T550" i="4"/>
  <c r="O550" i="4"/>
  <c r="M550" i="4"/>
  <c r="L550" i="4"/>
  <c r="K550" i="4"/>
  <c r="Z550" i="4" s="1" a="1"/>
  <c r="Z550" i="4" s="1"/>
  <c r="Y549" i="4"/>
  <c r="X549" i="4"/>
  <c r="W549" i="4"/>
  <c r="V549" i="4"/>
  <c r="U549" i="4"/>
  <c r="T549" i="4"/>
  <c r="O549" i="4"/>
  <c r="M549" i="4"/>
  <c r="L549" i="4"/>
  <c r="K549" i="4"/>
  <c r="Z549" i="4" s="1" a="1"/>
  <c r="Z549" i="4" s="1"/>
  <c r="Y548" i="4"/>
  <c r="X548" i="4"/>
  <c r="W548" i="4"/>
  <c r="V548" i="4"/>
  <c r="U548" i="4"/>
  <c r="T548" i="4"/>
  <c r="O548" i="4"/>
  <c r="M548" i="4"/>
  <c r="L548" i="4"/>
  <c r="K548" i="4"/>
  <c r="Z548" i="4" s="1" a="1"/>
  <c r="Z548" i="4" s="1"/>
  <c r="Y547" i="4"/>
  <c r="X547" i="4"/>
  <c r="W547" i="4"/>
  <c r="V547" i="4"/>
  <c r="U547" i="4"/>
  <c r="T547" i="4"/>
  <c r="O547" i="4"/>
  <c r="M547" i="4"/>
  <c r="L547" i="4"/>
  <c r="K547" i="4"/>
  <c r="Z547" i="4" s="1" a="1"/>
  <c r="Z547" i="4" s="1"/>
  <c r="Y546" i="4"/>
  <c r="X546" i="4"/>
  <c r="W546" i="4"/>
  <c r="V546" i="4"/>
  <c r="U546" i="4"/>
  <c r="T546" i="4"/>
  <c r="O546" i="4"/>
  <c r="M546" i="4"/>
  <c r="L546" i="4"/>
  <c r="K546" i="4"/>
  <c r="Z546" i="4" s="1" a="1"/>
  <c r="Z546" i="4" s="1"/>
  <c r="Y545" i="4"/>
  <c r="X545" i="4"/>
  <c r="W545" i="4"/>
  <c r="V545" i="4"/>
  <c r="U545" i="4"/>
  <c r="T545" i="4"/>
  <c r="O545" i="4"/>
  <c r="M545" i="4"/>
  <c r="L545" i="4"/>
  <c r="K545" i="4"/>
  <c r="Z545" i="4" s="1" a="1"/>
  <c r="Z545" i="4" s="1"/>
  <c r="Y544" i="4"/>
  <c r="X544" i="4"/>
  <c r="W544" i="4"/>
  <c r="V544" i="4"/>
  <c r="U544" i="4"/>
  <c r="T544" i="4"/>
  <c r="O544" i="4"/>
  <c r="M544" i="4"/>
  <c r="L544" i="4"/>
  <c r="K544" i="4"/>
  <c r="Z544" i="4" s="1" a="1"/>
  <c r="Z544" i="4" s="1"/>
  <c r="Y543" i="4"/>
  <c r="X543" i="4"/>
  <c r="W543" i="4"/>
  <c r="V543" i="4"/>
  <c r="U543" i="4"/>
  <c r="T543" i="4"/>
  <c r="O543" i="4"/>
  <c r="M543" i="4"/>
  <c r="L543" i="4"/>
  <c r="K543" i="4"/>
  <c r="Z543" i="4" s="1" a="1"/>
  <c r="Z543" i="4" s="1"/>
  <c r="Y542" i="4"/>
  <c r="X542" i="4"/>
  <c r="W542" i="4"/>
  <c r="V542" i="4"/>
  <c r="U542" i="4"/>
  <c r="T542" i="4"/>
  <c r="O542" i="4"/>
  <c r="M542" i="4"/>
  <c r="L542" i="4"/>
  <c r="K542" i="4"/>
  <c r="Z542" i="4" s="1" a="1"/>
  <c r="Z542" i="4" s="1"/>
  <c r="Y541" i="4"/>
  <c r="X541" i="4"/>
  <c r="W541" i="4"/>
  <c r="V541" i="4"/>
  <c r="U541" i="4"/>
  <c r="T541" i="4"/>
  <c r="O541" i="4"/>
  <c r="M541" i="4"/>
  <c r="L541" i="4"/>
  <c r="K541" i="4"/>
  <c r="Z541" i="4" s="1" a="1"/>
  <c r="Z541" i="4" s="1"/>
  <c r="Y540" i="4"/>
  <c r="X540" i="4"/>
  <c r="W540" i="4"/>
  <c r="V540" i="4"/>
  <c r="U540" i="4"/>
  <c r="T540" i="4"/>
  <c r="O540" i="4"/>
  <c r="M540" i="4"/>
  <c r="L540" i="4"/>
  <c r="K540" i="4"/>
  <c r="Z540" i="4" s="1" a="1"/>
  <c r="Z540" i="4" s="1"/>
  <c r="Y539" i="4"/>
  <c r="X539" i="4"/>
  <c r="W539" i="4"/>
  <c r="V539" i="4"/>
  <c r="U539" i="4"/>
  <c r="T539" i="4"/>
  <c r="O539" i="4"/>
  <c r="M539" i="4"/>
  <c r="L539" i="4"/>
  <c r="K539" i="4"/>
  <c r="Z539" i="4" s="1" a="1"/>
  <c r="Z539" i="4" s="1"/>
  <c r="Y538" i="4"/>
  <c r="X538" i="4"/>
  <c r="W538" i="4"/>
  <c r="V538" i="4"/>
  <c r="U538" i="4"/>
  <c r="T538" i="4"/>
  <c r="O538" i="4"/>
  <c r="M538" i="4"/>
  <c r="L538" i="4"/>
  <c r="K538" i="4"/>
  <c r="Z538" i="4" s="1" a="1"/>
  <c r="Z538" i="4" s="1"/>
  <c r="Y537" i="4"/>
  <c r="X537" i="4"/>
  <c r="W537" i="4"/>
  <c r="V537" i="4"/>
  <c r="U537" i="4"/>
  <c r="T537" i="4"/>
  <c r="O537" i="4"/>
  <c r="M537" i="4"/>
  <c r="L537" i="4"/>
  <c r="K537" i="4"/>
  <c r="Z537" i="4" s="1" a="1"/>
  <c r="Z537" i="4" s="1"/>
  <c r="Y536" i="4"/>
  <c r="X536" i="4"/>
  <c r="W536" i="4"/>
  <c r="V536" i="4"/>
  <c r="U536" i="4"/>
  <c r="T536" i="4"/>
  <c r="O536" i="4"/>
  <c r="M536" i="4"/>
  <c r="L536" i="4"/>
  <c r="K536" i="4"/>
  <c r="Z536" i="4" s="1" a="1"/>
  <c r="Z536" i="4" s="1"/>
  <c r="Y535" i="4"/>
  <c r="X535" i="4"/>
  <c r="W535" i="4"/>
  <c r="V535" i="4"/>
  <c r="U535" i="4"/>
  <c r="T535" i="4"/>
  <c r="O535" i="4"/>
  <c r="M535" i="4"/>
  <c r="L535" i="4"/>
  <c r="K535" i="4"/>
  <c r="Z535" i="4" s="1" a="1"/>
  <c r="Z535" i="4" s="1"/>
  <c r="Y534" i="4"/>
  <c r="X534" i="4"/>
  <c r="W534" i="4"/>
  <c r="V534" i="4"/>
  <c r="U534" i="4"/>
  <c r="T534" i="4"/>
  <c r="O534" i="4"/>
  <c r="M534" i="4"/>
  <c r="L534" i="4"/>
  <c r="K534" i="4"/>
  <c r="Z534" i="4" s="1" a="1"/>
  <c r="Z534" i="4" s="1"/>
  <c r="Y533" i="4"/>
  <c r="X533" i="4"/>
  <c r="W533" i="4"/>
  <c r="V533" i="4"/>
  <c r="U533" i="4"/>
  <c r="T533" i="4"/>
  <c r="O533" i="4"/>
  <c r="M533" i="4"/>
  <c r="L533" i="4"/>
  <c r="K533" i="4"/>
  <c r="Z533" i="4" s="1" a="1"/>
  <c r="Z533" i="4" s="1"/>
  <c r="Y532" i="4"/>
  <c r="X532" i="4"/>
  <c r="W532" i="4"/>
  <c r="V532" i="4"/>
  <c r="U532" i="4"/>
  <c r="T532" i="4"/>
  <c r="O532" i="4"/>
  <c r="M532" i="4"/>
  <c r="L532" i="4"/>
  <c r="K532" i="4"/>
  <c r="Z532" i="4" s="1" a="1"/>
  <c r="Z532" i="4" s="1"/>
  <c r="Y531" i="4"/>
  <c r="X531" i="4"/>
  <c r="W531" i="4"/>
  <c r="V531" i="4"/>
  <c r="U531" i="4"/>
  <c r="T531" i="4"/>
  <c r="O531" i="4"/>
  <c r="M531" i="4"/>
  <c r="L531" i="4"/>
  <c r="K531" i="4"/>
  <c r="Z531" i="4" s="1" a="1"/>
  <c r="Z531" i="4" s="1"/>
  <c r="Y530" i="4"/>
  <c r="X530" i="4"/>
  <c r="W530" i="4"/>
  <c r="V530" i="4"/>
  <c r="U530" i="4"/>
  <c r="T530" i="4"/>
  <c r="O530" i="4"/>
  <c r="M530" i="4"/>
  <c r="L530" i="4"/>
  <c r="K530" i="4"/>
  <c r="Z530" i="4" s="1" a="1"/>
  <c r="Z530" i="4" s="1"/>
  <c r="Y529" i="4"/>
  <c r="X529" i="4"/>
  <c r="W529" i="4"/>
  <c r="V529" i="4"/>
  <c r="U529" i="4"/>
  <c r="T529" i="4"/>
  <c r="O529" i="4"/>
  <c r="M529" i="4"/>
  <c r="L529" i="4"/>
  <c r="K529" i="4"/>
  <c r="Z529" i="4" s="1" a="1"/>
  <c r="Z529" i="4" s="1"/>
  <c r="Y528" i="4"/>
  <c r="X528" i="4"/>
  <c r="W528" i="4"/>
  <c r="V528" i="4"/>
  <c r="U528" i="4"/>
  <c r="T528" i="4"/>
  <c r="O528" i="4"/>
  <c r="M528" i="4"/>
  <c r="L528" i="4"/>
  <c r="K528" i="4"/>
  <c r="Z528" i="4" s="1" a="1"/>
  <c r="Z528" i="4" s="1"/>
  <c r="Y527" i="4"/>
  <c r="X527" i="4"/>
  <c r="W527" i="4"/>
  <c r="V527" i="4"/>
  <c r="U527" i="4"/>
  <c r="T527" i="4"/>
  <c r="O527" i="4"/>
  <c r="M527" i="4"/>
  <c r="L527" i="4"/>
  <c r="K527" i="4"/>
  <c r="Z527" i="4" s="1" a="1"/>
  <c r="Z527" i="4" s="1"/>
  <c r="Y526" i="4"/>
  <c r="X526" i="4"/>
  <c r="W526" i="4"/>
  <c r="V526" i="4"/>
  <c r="U526" i="4"/>
  <c r="T526" i="4"/>
  <c r="O526" i="4"/>
  <c r="M526" i="4"/>
  <c r="L526" i="4"/>
  <c r="K526" i="4"/>
  <c r="Z526" i="4" s="1" a="1"/>
  <c r="Z526" i="4" s="1"/>
  <c r="Y525" i="4"/>
  <c r="X525" i="4"/>
  <c r="W525" i="4"/>
  <c r="V525" i="4"/>
  <c r="U525" i="4"/>
  <c r="T525" i="4"/>
  <c r="O525" i="4"/>
  <c r="M525" i="4"/>
  <c r="L525" i="4"/>
  <c r="K525" i="4"/>
  <c r="Z525" i="4" s="1" a="1"/>
  <c r="Z525" i="4" s="1"/>
  <c r="Y524" i="4"/>
  <c r="X524" i="4"/>
  <c r="W524" i="4"/>
  <c r="V524" i="4"/>
  <c r="U524" i="4"/>
  <c r="T524" i="4"/>
  <c r="O524" i="4"/>
  <c r="M524" i="4"/>
  <c r="L524" i="4"/>
  <c r="K524" i="4"/>
  <c r="Z524" i="4" s="1" a="1"/>
  <c r="Z524" i="4" s="1"/>
  <c r="Y523" i="4"/>
  <c r="X523" i="4"/>
  <c r="W523" i="4"/>
  <c r="V523" i="4"/>
  <c r="U523" i="4"/>
  <c r="T523" i="4"/>
  <c r="O523" i="4"/>
  <c r="M523" i="4"/>
  <c r="L523" i="4"/>
  <c r="K523" i="4"/>
  <c r="Z523" i="4" s="1" a="1"/>
  <c r="Z523" i="4" s="1"/>
  <c r="Y522" i="4"/>
  <c r="X522" i="4"/>
  <c r="W522" i="4"/>
  <c r="V522" i="4"/>
  <c r="U522" i="4"/>
  <c r="T522" i="4"/>
  <c r="O522" i="4"/>
  <c r="M522" i="4"/>
  <c r="L522" i="4"/>
  <c r="K522" i="4"/>
  <c r="Z522" i="4" s="1" a="1"/>
  <c r="Z522" i="4" s="1"/>
  <c r="Y521" i="4"/>
  <c r="X521" i="4"/>
  <c r="W521" i="4"/>
  <c r="V521" i="4"/>
  <c r="U521" i="4"/>
  <c r="T521" i="4"/>
  <c r="O521" i="4"/>
  <c r="M521" i="4"/>
  <c r="L521" i="4"/>
  <c r="K521" i="4"/>
  <c r="Z521" i="4" s="1" a="1"/>
  <c r="Z521" i="4" s="1"/>
  <c r="Y520" i="4"/>
  <c r="X520" i="4"/>
  <c r="W520" i="4"/>
  <c r="V520" i="4"/>
  <c r="U520" i="4"/>
  <c r="T520" i="4"/>
  <c r="O520" i="4"/>
  <c r="M520" i="4"/>
  <c r="L520" i="4"/>
  <c r="K520" i="4"/>
  <c r="Z520" i="4" s="1" a="1"/>
  <c r="Z520" i="4" s="1"/>
  <c r="Y519" i="4"/>
  <c r="X519" i="4"/>
  <c r="W519" i="4"/>
  <c r="V519" i="4"/>
  <c r="U519" i="4"/>
  <c r="T519" i="4"/>
  <c r="O519" i="4"/>
  <c r="M519" i="4"/>
  <c r="L519" i="4"/>
  <c r="K519" i="4"/>
  <c r="Z519" i="4" s="1" a="1"/>
  <c r="Z519" i="4" s="1"/>
  <c r="Y518" i="4"/>
  <c r="X518" i="4"/>
  <c r="W518" i="4"/>
  <c r="V518" i="4"/>
  <c r="U518" i="4"/>
  <c r="T518" i="4"/>
  <c r="O518" i="4"/>
  <c r="M518" i="4"/>
  <c r="L518" i="4"/>
  <c r="K518" i="4"/>
  <c r="Z518" i="4" s="1" a="1"/>
  <c r="Z518" i="4" s="1"/>
  <c r="Y517" i="4"/>
  <c r="X517" i="4"/>
  <c r="W517" i="4"/>
  <c r="V517" i="4"/>
  <c r="U517" i="4"/>
  <c r="T517" i="4"/>
  <c r="O517" i="4"/>
  <c r="M517" i="4"/>
  <c r="L517" i="4"/>
  <c r="K517" i="4"/>
  <c r="Z517" i="4" s="1" a="1"/>
  <c r="Z517" i="4" s="1"/>
  <c r="Y516" i="4"/>
  <c r="X516" i="4"/>
  <c r="W516" i="4"/>
  <c r="V516" i="4"/>
  <c r="U516" i="4"/>
  <c r="T516" i="4"/>
  <c r="O516" i="4"/>
  <c r="M516" i="4"/>
  <c r="L516" i="4"/>
  <c r="K516" i="4"/>
  <c r="Z516" i="4" s="1" a="1"/>
  <c r="Z516" i="4" s="1"/>
  <c r="Y515" i="4"/>
  <c r="X515" i="4"/>
  <c r="W515" i="4"/>
  <c r="V515" i="4"/>
  <c r="U515" i="4"/>
  <c r="T515" i="4"/>
  <c r="O515" i="4"/>
  <c r="M515" i="4"/>
  <c r="L515" i="4"/>
  <c r="K515" i="4"/>
  <c r="Z515" i="4" s="1" a="1"/>
  <c r="Z515" i="4" s="1"/>
  <c r="Y514" i="4"/>
  <c r="X514" i="4"/>
  <c r="W514" i="4"/>
  <c r="V514" i="4"/>
  <c r="U514" i="4"/>
  <c r="T514" i="4"/>
  <c r="O514" i="4"/>
  <c r="M514" i="4"/>
  <c r="L514" i="4"/>
  <c r="K514" i="4"/>
  <c r="Z514" i="4" s="1" a="1"/>
  <c r="Z514" i="4" s="1"/>
  <c r="Y513" i="4"/>
  <c r="X513" i="4"/>
  <c r="W513" i="4"/>
  <c r="V513" i="4"/>
  <c r="U513" i="4"/>
  <c r="T513" i="4"/>
  <c r="O513" i="4"/>
  <c r="M513" i="4"/>
  <c r="L513" i="4"/>
  <c r="K513" i="4"/>
  <c r="Z513" i="4" s="1" a="1"/>
  <c r="Z513" i="4" s="1"/>
  <c r="Y512" i="4"/>
  <c r="X512" i="4"/>
  <c r="W512" i="4"/>
  <c r="V512" i="4"/>
  <c r="U512" i="4"/>
  <c r="T512" i="4"/>
  <c r="O512" i="4"/>
  <c r="M512" i="4"/>
  <c r="L512" i="4"/>
  <c r="K512" i="4"/>
  <c r="Z512" i="4" s="1" a="1"/>
  <c r="Z512" i="4" s="1"/>
  <c r="Y511" i="4"/>
  <c r="X511" i="4"/>
  <c r="W511" i="4"/>
  <c r="V511" i="4"/>
  <c r="U511" i="4"/>
  <c r="T511" i="4"/>
  <c r="O511" i="4"/>
  <c r="M511" i="4"/>
  <c r="L511" i="4"/>
  <c r="K511" i="4"/>
  <c r="Z511" i="4" s="1" a="1"/>
  <c r="Z511" i="4" s="1"/>
  <c r="Y510" i="4"/>
  <c r="X510" i="4"/>
  <c r="W510" i="4"/>
  <c r="V510" i="4"/>
  <c r="U510" i="4"/>
  <c r="T510" i="4"/>
  <c r="O510" i="4"/>
  <c r="M510" i="4"/>
  <c r="L510" i="4"/>
  <c r="K510" i="4"/>
  <c r="Z510" i="4" s="1" a="1"/>
  <c r="Z510" i="4" s="1"/>
  <c r="Y509" i="4"/>
  <c r="X509" i="4"/>
  <c r="W509" i="4"/>
  <c r="V509" i="4"/>
  <c r="U509" i="4"/>
  <c r="T509" i="4"/>
  <c r="O509" i="4"/>
  <c r="M509" i="4"/>
  <c r="L509" i="4"/>
  <c r="K509" i="4"/>
  <c r="Z509" i="4" s="1" a="1"/>
  <c r="Z509" i="4" s="1"/>
  <c r="Y508" i="4"/>
  <c r="X508" i="4"/>
  <c r="W508" i="4"/>
  <c r="V508" i="4"/>
  <c r="U508" i="4"/>
  <c r="T508" i="4"/>
  <c r="O508" i="4"/>
  <c r="M508" i="4"/>
  <c r="L508" i="4"/>
  <c r="K508" i="4"/>
  <c r="Z508" i="4" s="1" a="1"/>
  <c r="Z508" i="4" s="1"/>
  <c r="Y507" i="4"/>
  <c r="X507" i="4"/>
  <c r="W507" i="4"/>
  <c r="V507" i="4"/>
  <c r="U507" i="4"/>
  <c r="T507" i="4"/>
  <c r="O507" i="4"/>
  <c r="M507" i="4"/>
  <c r="L507" i="4"/>
  <c r="K507" i="4"/>
  <c r="Z507" i="4" s="1" a="1"/>
  <c r="Z507" i="4" s="1"/>
  <c r="Y506" i="4"/>
  <c r="X506" i="4"/>
  <c r="W506" i="4"/>
  <c r="V506" i="4"/>
  <c r="U506" i="4"/>
  <c r="T506" i="4"/>
  <c r="O506" i="4"/>
  <c r="M506" i="4"/>
  <c r="L506" i="4"/>
  <c r="K506" i="4"/>
  <c r="Z506" i="4" s="1" a="1"/>
  <c r="Z506" i="4" s="1"/>
  <c r="Y505" i="4"/>
  <c r="X505" i="4"/>
  <c r="W505" i="4"/>
  <c r="V505" i="4"/>
  <c r="U505" i="4"/>
  <c r="T505" i="4"/>
  <c r="O505" i="4"/>
  <c r="M505" i="4"/>
  <c r="L505" i="4"/>
  <c r="K505" i="4"/>
  <c r="Z505" i="4" s="1" a="1"/>
  <c r="Z505" i="4" s="1"/>
  <c r="Y504" i="4"/>
  <c r="X504" i="4"/>
  <c r="W504" i="4"/>
  <c r="V504" i="4"/>
  <c r="U504" i="4"/>
  <c r="T504" i="4"/>
  <c r="O504" i="4"/>
  <c r="M504" i="4"/>
  <c r="L504" i="4"/>
  <c r="K504" i="4"/>
  <c r="Z504" i="4" s="1" a="1"/>
  <c r="Z504" i="4" s="1"/>
  <c r="Y503" i="4"/>
  <c r="X503" i="4"/>
  <c r="W503" i="4"/>
  <c r="V503" i="4"/>
  <c r="U503" i="4"/>
  <c r="T503" i="4"/>
  <c r="O503" i="4"/>
  <c r="M503" i="4"/>
  <c r="L503" i="4"/>
  <c r="K503" i="4"/>
  <c r="Z503" i="4" s="1" a="1"/>
  <c r="Z503" i="4" s="1"/>
  <c r="Y502" i="4"/>
  <c r="X502" i="4"/>
  <c r="W502" i="4"/>
  <c r="V502" i="4"/>
  <c r="U502" i="4"/>
  <c r="T502" i="4"/>
  <c r="O502" i="4"/>
  <c r="M502" i="4"/>
  <c r="L502" i="4"/>
  <c r="K502" i="4"/>
  <c r="Z502" i="4" s="1" a="1"/>
  <c r="Z502" i="4" s="1"/>
  <c r="Y501" i="4"/>
  <c r="X501" i="4"/>
  <c r="W501" i="4"/>
  <c r="V501" i="4"/>
  <c r="U501" i="4"/>
  <c r="T501" i="4"/>
  <c r="O501" i="4"/>
  <c r="M501" i="4"/>
  <c r="L501" i="4"/>
  <c r="K501" i="4"/>
  <c r="Z501" i="4" s="1" a="1"/>
  <c r="Z501" i="4" s="1"/>
  <c r="Y500" i="4"/>
  <c r="X500" i="4"/>
  <c r="W500" i="4"/>
  <c r="V500" i="4"/>
  <c r="U500" i="4"/>
  <c r="T500" i="4"/>
  <c r="O500" i="4"/>
  <c r="M500" i="4"/>
  <c r="L500" i="4"/>
  <c r="K500" i="4"/>
  <c r="Z500" i="4" s="1" a="1"/>
  <c r="Z500" i="4" s="1"/>
  <c r="Y499" i="4"/>
  <c r="X499" i="4"/>
  <c r="W499" i="4"/>
  <c r="V499" i="4"/>
  <c r="U499" i="4"/>
  <c r="T499" i="4"/>
  <c r="O499" i="4"/>
  <c r="M499" i="4"/>
  <c r="L499" i="4"/>
  <c r="K499" i="4"/>
  <c r="Z499" i="4" s="1" a="1"/>
  <c r="Z499" i="4" s="1"/>
  <c r="Y498" i="4"/>
  <c r="X498" i="4"/>
  <c r="W498" i="4"/>
  <c r="V498" i="4"/>
  <c r="U498" i="4"/>
  <c r="T498" i="4"/>
  <c r="O498" i="4"/>
  <c r="M498" i="4"/>
  <c r="L498" i="4"/>
  <c r="K498" i="4"/>
  <c r="Z498" i="4" s="1" a="1"/>
  <c r="Z498" i="4" s="1"/>
  <c r="Y497" i="4"/>
  <c r="X497" i="4"/>
  <c r="W497" i="4"/>
  <c r="V497" i="4"/>
  <c r="U497" i="4"/>
  <c r="T497" i="4"/>
  <c r="O497" i="4"/>
  <c r="M497" i="4"/>
  <c r="L497" i="4"/>
  <c r="K497" i="4"/>
  <c r="Z497" i="4" s="1" a="1"/>
  <c r="Z497" i="4" s="1"/>
  <c r="Y496" i="4"/>
  <c r="X496" i="4"/>
  <c r="W496" i="4"/>
  <c r="V496" i="4"/>
  <c r="U496" i="4"/>
  <c r="T496" i="4"/>
  <c r="O496" i="4"/>
  <c r="M496" i="4"/>
  <c r="L496" i="4"/>
  <c r="K496" i="4"/>
  <c r="Z496" i="4" s="1" a="1"/>
  <c r="Z496" i="4" s="1"/>
  <c r="Y495" i="4"/>
  <c r="X495" i="4"/>
  <c r="W495" i="4"/>
  <c r="V495" i="4"/>
  <c r="U495" i="4"/>
  <c r="T495" i="4"/>
  <c r="O495" i="4"/>
  <c r="M495" i="4"/>
  <c r="L495" i="4"/>
  <c r="K495" i="4"/>
  <c r="Z495" i="4" s="1" a="1"/>
  <c r="Z495" i="4" s="1"/>
  <c r="Y494" i="4"/>
  <c r="X494" i="4"/>
  <c r="W494" i="4"/>
  <c r="V494" i="4"/>
  <c r="U494" i="4"/>
  <c r="T494" i="4"/>
  <c r="O494" i="4"/>
  <c r="M494" i="4"/>
  <c r="L494" i="4"/>
  <c r="K494" i="4"/>
  <c r="Z494" i="4" s="1" a="1"/>
  <c r="Z494" i="4" s="1"/>
  <c r="Y493" i="4"/>
  <c r="X493" i="4"/>
  <c r="W493" i="4"/>
  <c r="V493" i="4"/>
  <c r="U493" i="4"/>
  <c r="T493" i="4"/>
  <c r="O493" i="4"/>
  <c r="M493" i="4"/>
  <c r="L493" i="4"/>
  <c r="K493" i="4"/>
  <c r="Z493" i="4" s="1" a="1"/>
  <c r="Z493" i="4" s="1"/>
  <c r="Y492" i="4"/>
  <c r="X492" i="4"/>
  <c r="W492" i="4"/>
  <c r="V492" i="4"/>
  <c r="U492" i="4"/>
  <c r="T492" i="4"/>
  <c r="O492" i="4"/>
  <c r="M492" i="4"/>
  <c r="L492" i="4"/>
  <c r="K492" i="4"/>
  <c r="Z492" i="4" s="1" a="1"/>
  <c r="Z492" i="4" s="1"/>
  <c r="Y491" i="4"/>
  <c r="X491" i="4"/>
  <c r="W491" i="4"/>
  <c r="V491" i="4"/>
  <c r="U491" i="4"/>
  <c r="T491" i="4"/>
  <c r="O491" i="4"/>
  <c r="M491" i="4"/>
  <c r="L491" i="4"/>
  <c r="K491" i="4"/>
  <c r="Z491" i="4" s="1" a="1"/>
  <c r="Z491" i="4" s="1"/>
  <c r="Y490" i="4"/>
  <c r="X490" i="4"/>
  <c r="W490" i="4"/>
  <c r="V490" i="4"/>
  <c r="U490" i="4"/>
  <c r="T490" i="4"/>
  <c r="O490" i="4"/>
  <c r="M490" i="4"/>
  <c r="L490" i="4"/>
  <c r="K490" i="4"/>
  <c r="Z490" i="4" s="1" a="1"/>
  <c r="Z490" i="4" s="1"/>
  <c r="Y489" i="4"/>
  <c r="X489" i="4"/>
  <c r="W489" i="4"/>
  <c r="V489" i="4"/>
  <c r="U489" i="4"/>
  <c r="T489" i="4"/>
  <c r="O489" i="4"/>
  <c r="M489" i="4"/>
  <c r="L489" i="4"/>
  <c r="K489" i="4"/>
  <c r="Z489" i="4" s="1" a="1"/>
  <c r="Z489" i="4" s="1"/>
  <c r="Y488" i="4"/>
  <c r="X488" i="4"/>
  <c r="W488" i="4"/>
  <c r="V488" i="4"/>
  <c r="U488" i="4"/>
  <c r="T488" i="4"/>
  <c r="O488" i="4"/>
  <c r="M488" i="4"/>
  <c r="L488" i="4"/>
  <c r="K488" i="4"/>
  <c r="Z488" i="4" s="1" a="1"/>
  <c r="Z488" i="4" s="1"/>
  <c r="Y487" i="4"/>
  <c r="X487" i="4"/>
  <c r="W487" i="4"/>
  <c r="V487" i="4"/>
  <c r="U487" i="4"/>
  <c r="T487" i="4"/>
  <c r="O487" i="4"/>
  <c r="M487" i="4"/>
  <c r="L487" i="4"/>
  <c r="K487" i="4"/>
  <c r="Z487" i="4" s="1" a="1"/>
  <c r="Z487" i="4" s="1"/>
  <c r="Y486" i="4"/>
  <c r="X486" i="4"/>
  <c r="W486" i="4"/>
  <c r="V486" i="4"/>
  <c r="U486" i="4"/>
  <c r="T486" i="4"/>
  <c r="O486" i="4"/>
  <c r="M486" i="4"/>
  <c r="L486" i="4"/>
  <c r="K486" i="4"/>
  <c r="Z486" i="4" s="1" a="1"/>
  <c r="Z486" i="4" s="1"/>
  <c r="Y485" i="4"/>
  <c r="X485" i="4"/>
  <c r="W485" i="4"/>
  <c r="V485" i="4"/>
  <c r="U485" i="4"/>
  <c r="T485" i="4"/>
  <c r="O485" i="4"/>
  <c r="M485" i="4"/>
  <c r="L485" i="4"/>
  <c r="K485" i="4"/>
  <c r="Z485" i="4" s="1" a="1"/>
  <c r="Z485" i="4" s="1"/>
  <c r="Y484" i="4"/>
  <c r="X484" i="4"/>
  <c r="W484" i="4"/>
  <c r="V484" i="4"/>
  <c r="U484" i="4"/>
  <c r="T484" i="4"/>
  <c r="O484" i="4"/>
  <c r="M484" i="4"/>
  <c r="L484" i="4"/>
  <c r="K484" i="4"/>
  <c r="Z484" i="4" s="1" a="1"/>
  <c r="Z484" i="4" s="1"/>
  <c r="Y483" i="4"/>
  <c r="X483" i="4"/>
  <c r="W483" i="4"/>
  <c r="V483" i="4"/>
  <c r="U483" i="4"/>
  <c r="T483" i="4"/>
  <c r="O483" i="4"/>
  <c r="M483" i="4"/>
  <c r="L483" i="4"/>
  <c r="K483" i="4"/>
  <c r="Z483" i="4" s="1" a="1"/>
  <c r="Z483" i="4" s="1"/>
  <c r="Y482" i="4"/>
  <c r="X482" i="4"/>
  <c r="W482" i="4"/>
  <c r="V482" i="4"/>
  <c r="U482" i="4"/>
  <c r="T482" i="4"/>
  <c r="O482" i="4"/>
  <c r="M482" i="4"/>
  <c r="L482" i="4"/>
  <c r="K482" i="4"/>
  <c r="Z482" i="4" s="1" a="1"/>
  <c r="Z482" i="4" s="1"/>
  <c r="Y481" i="4"/>
  <c r="X481" i="4"/>
  <c r="W481" i="4"/>
  <c r="V481" i="4"/>
  <c r="U481" i="4"/>
  <c r="T481" i="4"/>
  <c r="O481" i="4"/>
  <c r="M481" i="4"/>
  <c r="L481" i="4"/>
  <c r="K481" i="4"/>
  <c r="Z481" i="4" s="1" a="1"/>
  <c r="Z481" i="4" s="1"/>
  <c r="Y480" i="4"/>
  <c r="X480" i="4"/>
  <c r="W480" i="4"/>
  <c r="V480" i="4"/>
  <c r="U480" i="4"/>
  <c r="T480" i="4"/>
  <c r="O480" i="4"/>
  <c r="M480" i="4"/>
  <c r="L480" i="4"/>
  <c r="K480" i="4"/>
  <c r="Z480" i="4" s="1" a="1"/>
  <c r="Z480" i="4" s="1"/>
  <c r="Y479" i="4"/>
  <c r="X479" i="4"/>
  <c r="W479" i="4"/>
  <c r="V479" i="4"/>
  <c r="U479" i="4"/>
  <c r="T479" i="4"/>
  <c r="O479" i="4"/>
  <c r="M479" i="4"/>
  <c r="L479" i="4"/>
  <c r="K479" i="4"/>
  <c r="Z479" i="4" s="1" a="1"/>
  <c r="Z479" i="4" s="1"/>
  <c r="Y478" i="4"/>
  <c r="X478" i="4"/>
  <c r="W478" i="4"/>
  <c r="V478" i="4"/>
  <c r="U478" i="4"/>
  <c r="T478" i="4"/>
  <c r="O478" i="4"/>
  <c r="M478" i="4"/>
  <c r="L478" i="4"/>
  <c r="K478" i="4"/>
  <c r="Z478" i="4" s="1" a="1"/>
  <c r="Z478" i="4" s="1"/>
  <c r="Y477" i="4"/>
  <c r="X477" i="4"/>
  <c r="W477" i="4"/>
  <c r="V477" i="4"/>
  <c r="U477" i="4"/>
  <c r="T477" i="4"/>
  <c r="O477" i="4"/>
  <c r="M477" i="4"/>
  <c r="L477" i="4"/>
  <c r="K477" i="4"/>
  <c r="Z477" i="4" s="1" a="1"/>
  <c r="Z477" i="4" s="1"/>
  <c r="Y476" i="4"/>
  <c r="X476" i="4"/>
  <c r="W476" i="4"/>
  <c r="V476" i="4"/>
  <c r="U476" i="4"/>
  <c r="T476" i="4"/>
  <c r="O476" i="4"/>
  <c r="M476" i="4"/>
  <c r="L476" i="4"/>
  <c r="K476" i="4"/>
  <c r="Z476" i="4" s="1" a="1"/>
  <c r="Z476" i="4" s="1"/>
  <c r="Y475" i="4"/>
  <c r="X475" i="4"/>
  <c r="W475" i="4"/>
  <c r="V475" i="4"/>
  <c r="U475" i="4"/>
  <c r="T475" i="4"/>
  <c r="O475" i="4"/>
  <c r="M475" i="4"/>
  <c r="L475" i="4"/>
  <c r="K475" i="4"/>
  <c r="Z475" i="4" s="1" a="1"/>
  <c r="Z475" i="4" s="1"/>
  <c r="Y474" i="4"/>
  <c r="X474" i="4"/>
  <c r="W474" i="4"/>
  <c r="V474" i="4"/>
  <c r="U474" i="4"/>
  <c r="T474" i="4"/>
  <c r="O474" i="4"/>
  <c r="M474" i="4"/>
  <c r="L474" i="4"/>
  <c r="K474" i="4"/>
  <c r="Z474" i="4" s="1" a="1"/>
  <c r="Z474" i="4" s="1"/>
  <c r="Y473" i="4"/>
  <c r="X473" i="4"/>
  <c r="W473" i="4"/>
  <c r="V473" i="4"/>
  <c r="U473" i="4"/>
  <c r="T473" i="4"/>
  <c r="O473" i="4"/>
  <c r="M473" i="4"/>
  <c r="L473" i="4"/>
  <c r="K473" i="4"/>
  <c r="Z473" i="4" s="1" a="1"/>
  <c r="Z473" i="4" s="1"/>
  <c r="Y472" i="4"/>
  <c r="X472" i="4"/>
  <c r="W472" i="4"/>
  <c r="V472" i="4"/>
  <c r="U472" i="4"/>
  <c r="T472" i="4"/>
  <c r="O472" i="4"/>
  <c r="M472" i="4"/>
  <c r="L472" i="4"/>
  <c r="K472" i="4"/>
  <c r="Z472" i="4" s="1" a="1"/>
  <c r="Z472" i="4" s="1"/>
  <c r="Y471" i="4"/>
  <c r="X471" i="4"/>
  <c r="W471" i="4"/>
  <c r="V471" i="4"/>
  <c r="U471" i="4"/>
  <c r="T471" i="4"/>
  <c r="O471" i="4"/>
  <c r="M471" i="4"/>
  <c r="L471" i="4"/>
  <c r="K471" i="4"/>
  <c r="Z471" i="4" s="1" a="1"/>
  <c r="Z471" i="4" s="1"/>
  <c r="Y470" i="4"/>
  <c r="X470" i="4"/>
  <c r="W470" i="4"/>
  <c r="V470" i="4"/>
  <c r="U470" i="4"/>
  <c r="T470" i="4"/>
  <c r="O470" i="4"/>
  <c r="M470" i="4"/>
  <c r="L470" i="4"/>
  <c r="K470" i="4"/>
  <c r="Z470" i="4" s="1" a="1"/>
  <c r="Z470" i="4" s="1"/>
  <c r="Y469" i="4"/>
  <c r="X469" i="4"/>
  <c r="W469" i="4"/>
  <c r="V469" i="4"/>
  <c r="U469" i="4"/>
  <c r="T469" i="4"/>
  <c r="O469" i="4"/>
  <c r="M469" i="4"/>
  <c r="L469" i="4"/>
  <c r="K469" i="4"/>
  <c r="Z469" i="4" s="1" a="1"/>
  <c r="Z469" i="4" s="1"/>
  <c r="Y468" i="4"/>
  <c r="X468" i="4"/>
  <c r="W468" i="4"/>
  <c r="V468" i="4"/>
  <c r="U468" i="4"/>
  <c r="T468" i="4"/>
  <c r="O468" i="4"/>
  <c r="M468" i="4"/>
  <c r="L468" i="4"/>
  <c r="K468" i="4"/>
  <c r="Z468" i="4" s="1" a="1"/>
  <c r="Z468" i="4" s="1"/>
  <c r="Y467" i="4"/>
  <c r="X467" i="4"/>
  <c r="W467" i="4"/>
  <c r="V467" i="4"/>
  <c r="U467" i="4"/>
  <c r="T467" i="4"/>
  <c r="O467" i="4"/>
  <c r="M467" i="4"/>
  <c r="L467" i="4"/>
  <c r="K467" i="4"/>
  <c r="Z467" i="4" s="1" a="1"/>
  <c r="Z467" i="4" s="1"/>
  <c r="Y466" i="4"/>
  <c r="X466" i="4"/>
  <c r="W466" i="4"/>
  <c r="V466" i="4"/>
  <c r="U466" i="4"/>
  <c r="T466" i="4"/>
  <c r="O466" i="4"/>
  <c r="M466" i="4"/>
  <c r="L466" i="4"/>
  <c r="K466" i="4"/>
  <c r="Z466" i="4" s="1" a="1"/>
  <c r="Z466" i="4" s="1"/>
  <c r="Y465" i="4"/>
  <c r="X465" i="4"/>
  <c r="W465" i="4"/>
  <c r="V465" i="4"/>
  <c r="U465" i="4"/>
  <c r="T465" i="4"/>
  <c r="O465" i="4"/>
  <c r="M465" i="4"/>
  <c r="L465" i="4"/>
  <c r="K465" i="4"/>
  <c r="Z465" i="4" s="1" a="1"/>
  <c r="Z465" i="4" s="1"/>
  <c r="Y464" i="4"/>
  <c r="X464" i="4"/>
  <c r="W464" i="4"/>
  <c r="V464" i="4"/>
  <c r="U464" i="4"/>
  <c r="T464" i="4"/>
  <c r="O464" i="4"/>
  <c r="M464" i="4"/>
  <c r="L464" i="4"/>
  <c r="K464" i="4"/>
  <c r="Z464" i="4" s="1" a="1"/>
  <c r="Z464" i="4" s="1"/>
  <c r="Y463" i="4"/>
  <c r="X463" i="4"/>
  <c r="W463" i="4"/>
  <c r="V463" i="4"/>
  <c r="U463" i="4"/>
  <c r="T463" i="4"/>
  <c r="O463" i="4"/>
  <c r="M463" i="4"/>
  <c r="L463" i="4"/>
  <c r="K463" i="4"/>
  <c r="Z463" i="4" s="1" a="1"/>
  <c r="Z463" i="4" s="1"/>
  <c r="Y462" i="4"/>
  <c r="X462" i="4"/>
  <c r="W462" i="4"/>
  <c r="V462" i="4"/>
  <c r="U462" i="4"/>
  <c r="T462" i="4"/>
  <c r="O462" i="4"/>
  <c r="M462" i="4"/>
  <c r="L462" i="4"/>
  <c r="K462" i="4"/>
  <c r="Z462" i="4" s="1" a="1"/>
  <c r="Z462" i="4" s="1"/>
  <c r="Y461" i="4"/>
  <c r="X461" i="4"/>
  <c r="W461" i="4"/>
  <c r="V461" i="4"/>
  <c r="U461" i="4"/>
  <c r="T461" i="4"/>
  <c r="O461" i="4"/>
  <c r="M461" i="4"/>
  <c r="L461" i="4"/>
  <c r="K461" i="4"/>
  <c r="Z461" i="4" s="1" a="1"/>
  <c r="Z461" i="4" s="1"/>
  <c r="Y460" i="4"/>
  <c r="X460" i="4"/>
  <c r="W460" i="4"/>
  <c r="V460" i="4"/>
  <c r="U460" i="4"/>
  <c r="T460" i="4"/>
  <c r="O460" i="4"/>
  <c r="M460" i="4"/>
  <c r="L460" i="4"/>
  <c r="K460" i="4"/>
  <c r="Z460" i="4" s="1" a="1"/>
  <c r="Z460" i="4" s="1"/>
  <c r="Y459" i="4"/>
  <c r="X459" i="4"/>
  <c r="W459" i="4"/>
  <c r="V459" i="4"/>
  <c r="U459" i="4"/>
  <c r="T459" i="4"/>
  <c r="O459" i="4"/>
  <c r="M459" i="4"/>
  <c r="L459" i="4"/>
  <c r="K459" i="4"/>
  <c r="Z459" i="4" s="1" a="1"/>
  <c r="Z459" i="4" s="1"/>
  <c r="Y458" i="4"/>
  <c r="X458" i="4"/>
  <c r="W458" i="4"/>
  <c r="V458" i="4"/>
  <c r="U458" i="4"/>
  <c r="T458" i="4"/>
  <c r="O458" i="4"/>
  <c r="M458" i="4"/>
  <c r="L458" i="4"/>
  <c r="K458" i="4"/>
  <c r="Z458" i="4" s="1" a="1"/>
  <c r="Z458" i="4" s="1"/>
  <c r="Y457" i="4"/>
  <c r="X457" i="4"/>
  <c r="W457" i="4"/>
  <c r="V457" i="4"/>
  <c r="U457" i="4"/>
  <c r="T457" i="4"/>
  <c r="O457" i="4"/>
  <c r="M457" i="4"/>
  <c r="L457" i="4"/>
  <c r="K457" i="4"/>
  <c r="Z457" i="4" s="1" a="1"/>
  <c r="Z457" i="4" s="1"/>
  <c r="Y456" i="4"/>
  <c r="X456" i="4"/>
  <c r="W456" i="4"/>
  <c r="V456" i="4"/>
  <c r="U456" i="4"/>
  <c r="T456" i="4"/>
  <c r="O456" i="4"/>
  <c r="M456" i="4"/>
  <c r="L456" i="4"/>
  <c r="K456" i="4"/>
  <c r="Z456" i="4" s="1" a="1"/>
  <c r="Z456" i="4" s="1"/>
  <c r="Y455" i="4"/>
  <c r="X455" i="4"/>
  <c r="W455" i="4"/>
  <c r="V455" i="4"/>
  <c r="U455" i="4"/>
  <c r="T455" i="4"/>
  <c r="O455" i="4"/>
  <c r="M455" i="4"/>
  <c r="L455" i="4"/>
  <c r="K455" i="4"/>
  <c r="Z455" i="4" s="1" a="1"/>
  <c r="Z455" i="4" s="1"/>
  <c r="Y454" i="4"/>
  <c r="X454" i="4"/>
  <c r="W454" i="4"/>
  <c r="V454" i="4"/>
  <c r="U454" i="4"/>
  <c r="T454" i="4"/>
  <c r="O454" i="4"/>
  <c r="M454" i="4"/>
  <c r="L454" i="4"/>
  <c r="K454" i="4"/>
  <c r="Z454" i="4" s="1" a="1"/>
  <c r="Z454" i="4" s="1"/>
  <c r="Y453" i="4"/>
  <c r="X453" i="4"/>
  <c r="W453" i="4"/>
  <c r="V453" i="4"/>
  <c r="U453" i="4"/>
  <c r="T453" i="4"/>
  <c r="O453" i="4"/>
  <c r="M453" i="4"/>
  <c r="L453" i="4"/>
  <c r="K453" i="4"/>
  <c r="Z453" i="4" s="1" a="1"/>
  <c r="Z453" i="4" s="1"/>
  <c r="Y452" i="4"/>
  <c r="X452" i="4"/>
  <c r="W452" i="4"/>
  <c r="V452" i="4"/>
  <c r="U452" i="4"/>
  <c r="T452" i="4"/>
  <c r="O452" i="4"/>
  <c r="M452" i="4"/>
  <c r="L452" i="4"/>
  <c r="K452" i="4"/>
  <c r="Z452" i="4" s="1" a="1"/>
  <c r="Z452" i="4" s="1"/>
  <c r="Y451" i="4"/>
  <c r="X451" i="4"/>
  <c r="W451" i="4"/>
  <c r="V451" i="4"/>
  <c r="U451" i="4"/>
  <c r="T451" i="4"/>
  <c r="O451" i="4"/>
  <c r="M451" i="4"/>
  <c r="L451" i="4"/>
  <c r="K451" i="4"/>
  <c r="Z451" i="4" s="1" a="1"/>
  <c r="Z451" i="4" s="1"/>
  <c r="Y450" i="4"/>
  <c r="X450" i="4"/>
  <c r="W450" i="4"/>
  <c r="V450" i="4"/>
  <c r="U450" i="4"/>
  <c r="T450" i="4"/>
  <c r="O450" i="4"/>
  <c r="M450" i="4"/>
  <c r="L450" i="4"/>
  <c r="K450" i="4"/>
  <c r="Z450" i="4" s="1" a="1"/>
  <c r="Z450" i="4" s="1"/>
  <c r="Y449" i="4"/>
  <c r="X449" i="4"/>
  <c r="W449" i="4"/>
  <c r="V449" i="4"/>
  <c r="U449" i="4"/>
  <c r="T449" i="4"/>
  <c r="O449" i="4"/>
  <c r="M449" i="4"/>
  <c r="L449" i="4"/>
  <c r="K449" i="4"/>
  <c r="Z449" i="4" s="1" a="1"/>
  <c r="Z449" i="4" s="1"/>
  <c r="Y448" i="4"/>
  <c r="X448" i="4"/>
  <c r="W448" i="4"/>
  <c r="V448" i="4"/>
  <c r="U448" i="4"/>
  <c r="T448" i="4"/>
  <c r="O448" i="4"/>
  <c r="M448" i="4"/>
  <c r="L448" i="4"/>
  <c r="K448" i="4"/>
  <c r="Z448" i="4" s="1" a="1"/>
  <c r="Z448" i="4" s="1"/>
  <c r="Y447" i="4"/>
  <c r="X447" i="4"/>
  <c r="W447" i="4"/>
  <c r="V447" i="4"/>
  <c r="U447" i="4"/>
  <c r="T447" i="4"/>
  <c r="O447" i="4"/>
  <c r="M447" i="4"/>
  <c r="L447" i="4"/>
  <c r="K447" i="4"/>
  <c r="Z447" i="4" s="1" a="1"/>
  <c r="Z447" i="4" s="1"/>
  <c r="Y446" i="4"/>
  <c r="X446" i="4"/>
  <c r="W446" i="4"/>
  <c r="V446" i="4"/>
  <c r="U446" i="4"/>
  <c r="T446" i="4"/>
  <c r="O446" i="4"/>
  <c r="M446" i="4"/>
  <c r="L446" i="4"/>
  <c r="K446" i="4"/>
  <c r="Z446" i="4" s="1" a="1"/>
  <c r="Z446" i="4" s="1"/>
  <c r="Y445" i="4"/>
  <c r="X445" i="4"/>
  <c r="W445" i="4"/>
  <c r="V445" i="4"/>
  <c r="U445" i="4"/>
  <c r="T445" i="4"/>
  <c r="O445" i="4"/>
  <c r="M445" i="4"/>
  <c r="L445" i="4"/>
  <c r="K445" i="4"/>
  <c r="Z445" i="4" s="1" a="1"/>
  <c r="Z445" i="4" s="1"/>
  <c r="Y444" i="4"/>
  <c r="X444" i="4"/>
  <c r="W444" i="4"/>
  <c r="V444" i="4"/>
  <c r="U444" i="4"/>
  <c r="T444" i="4"/>
  <c r="O444" i="4"/>
  <c r="M444" i="4"/>
  <c r="L444" i="4"/>
  <c r="K444" i="4"/>
  <c r="Z444" i="4" s="1" a="1"/>
  <c r="Z444" i="4" s="1"/>
  <c r="Y443" i="4"/>
  <c r="X443" i="4"/>
  <c r="W443" i="4"/>
  <c r="V443" i="4"/>
  <c r="U443" i="4"/>
  <c r="T443" i="4"/>
  <c r="O443" i="4"/>
  <c r="M443" i="4"/>
  <c r="L443" i="4"/>
  <c r="K443" i="4"/>
  <c r="Z443" i="4" s="1" a="1"/>
  <c r="Z443" i="4" s="1"/>
  <c r="Y442" i="4"/>
  <c r="X442" i="4"/>
  <c r="W442" i="4"/>
  <c r="V442" i="4"/>
  <c r="U442" i="4"/>
  <c r="T442" i="4"/>
  <c r="O442" i="4"/>
  <c r="M442" i="4"/>
  <c r="L442" i="4"/>
  <c r="K442" i="4"/>
  <c r="Z442" i="4" s="1" a="1"/>
  <c r="Z442" i="4" s="1"/>
  <c r="Y441" i="4"/>
  <c r="X441" i="4"/>
  <c r="W441" i="4"/>
  <c r="V441" i="4"/>
  <c r="U441" i="4"/>
  <c r="T441" i="4"/>
  <c r="O441" i="4"/>
  <c r="M441" i="4"/>
  <c r="L441" i="4"/>
  <c r="K441" i="4"/>
  <c r="Z441" i="4" s="1" a="1"/>
  <c r="Z441" i="4" s="1"/>
  <c r="Y440" i="4"/>
  <c r="X440" i="4"/>
  <c r="W440" i="4"/>
  <c r="V440" i="4"/>
  <c r="U440" i="4"/>
  <c r="T440" i="4"/>
  <c r="O440" i="4"/>
  <c r="M440" i="4"/>
  <c r="L440" i="4"/>
  <c r="K440" i="4"/>
  <c r="Z440" i="4" s="1" a="1"/>
  <c r="Z440" i="4" s="1"/>
  <c r="Y439" i="4"/>
  <c r="X439" i="4"/>
  <c r="W439" i="4"/>
  <c r="V439" i="4"/>
  <c r="U439" i="4"/>
  <c r="T439" i="4"/>
  <c r="O439" i="4"/>
  <c r="M439" i="4"/>
  <c r="L439" i="4"/>
  <c r="K439" i="4"/>
  <c r="Z439" i="4" s="1" a="1"/>
  <c r="Z439" i="4" s="1"/>
  <c r="Y438" i="4"/>
  <c r="X438" i="4"/>
  <c r="W438" i="4"/>
  <c r="V438" i="4"/>
  <c r="U438" i="4"/>
  <c r="T438" i="4"/>
  <c r="O438" i="4"/>
  <c r="M438" i="4"/>
  <c r="L438" i="4"/>
  <c r="K438" i="4"/>
  <c r="Z438" i="4" s="1" a="1"/>
  <c r="Z438" i="4" s="1"/>
  <c r="Y437" i="4"/>
  <c r="X437" i="4"/>
  <c r="W437" i="4"/>
  <c r="V437" i="4"/>
  <c r="U437" i="4"/>
  <c r="T437" i="4"/>
  <c r="O437" i="4"/>
  <c r="M437" i="4"/>
  <c r="L437" i="4"/>
  <c r="K437" i="4"/>
  <c r="Z437" i="4" s="1" a="1"/>
  <c r="Z437" i="4" s="1"/>
  <c r="Y436" i="4"/>
  <c r="X436" i="4"/>
  <c r="W436" i="4"/>
  <c r="V436" i="4"/>
  <c r="U436" i="4"/>
  <c r="T436" i="4"/>
  <c r="O436" i="4"/>
  <c r="M436" i="4"/>
  <c r="L436" i="4"/>
  <c r="K436" i="4"/>
  <c r="Z436" i="4" s="1" a="1"/>
  <c r="Z436" i="4" s="1"/>
  <c r="Y435" i="4"/>
  <c r="X435" i="4"/>
  <c r="W435" i="4"/>
  <c r="V435" i="4"/>
  <c r="U435" i="4"/>
  <c r="T435" i="4"/>
  <c r="O435" i="4"/>
  <c r="M435" i="4"/>
  <c r="L435" i="4"/>
  <c r="K435" i="4"/>
  <c r="Z435" i="4" s="1" a="1"/>
  <c r="Z435" i="4" s="1"/>
  <c r="Y434" i="4"/>
  <c r="X434" i="4"/>
  <c r="W434" i="4"/>
  <c r="V434" i="4"/>
  <c r="U434" i="4"/>
  <c r="T434" i="4"/>
  <c r="O434" i="4"/>
  <c r="M434" i="4"/>
  <c r="L434" i="4"/>
  <c r="K434" i="4"/>
  <c r="Z434" i="4" s="1" a="1"/>
  <c r="Z434" i="4" s="1"/>
  <c r="Y433" i="4"/>
  <c r="X433" i="4"/>
  <c r="W433" i="4"/>
  <c r="V433" i="4"/>
  <c r="U433" i="4"/>
  <c r="T433" i="4"/>
  <c r="O433" i="4"/>
  <c r="M433" i="4"/>
  <c r="L433" i="4"/>
  <c r="K433" i="4"/>
  <c r="Z433" i="4" s="1" a="1"/>
  <c r="Z433" i="4" s="1"/>
  <c r="Y432" i="4"/>
  <c r="X432" i="4"/>
  <c r="W432" i="4"/>
  <c r="V432" i="4"/>
  <c r="U432" i="4"/>
  <c r="T432" i="4"/>
  <c r="O432" i="4"/>
  <c r="M432" i="4"/>
  <c r="L432" i="4"/>
  <c r="K432" i="4"/>
  <c r="Z432" i="4" s="1" a="1"/>
  <c r="Z432" i="4" s="1"/>
  <c r="Y431" i="4"/>
  <c r="X431" i="4"/>
  <c r="W431" i="4"/>
  <c r="V431" i="4"/>
  <c r="U431" i="4"/>
  <c r="T431" i="4"/>
  <c r="O431" i="4"/>
  <c r="M431" i="4"/>
  <c r="L431" i="4"/>
  <c r="K431" i="4"/>
  <c r="Z431" i="4" s="1" a="1"/>
  <c r="Z431" i="4" s="1"/>
  <c r="Y430" i="4"/>
  <c r="X430" i="4"/>
  <c r="W430" i="4"/>
  <c r="V430" i="4"/>
  <c r="U430" i="4"/>
  <c r="T430" i="4"/>
  <c r="O430" i="4"/>
  <c r="M430" i="4"/>
  <c r="L430" i="4"/>
  <c r="K430" i="4"/>
  <c r="Z430" i="4" s="1" a="1"/>
  <c r="Z430" i="4" s="1"/>
  <c r="Y429" i="4"/>
  <c r="X429" i="4"/>
  <c r="W429" i="4"/>
  <c r="V429" i="4"/>
  <c r="U429" i="4"/>
  <c r="T429" i="4"/>
  <c r="O429" i="4"/>
  <c r="M429" i="4"/>
  <c r="L429" i="4"/>
  <c r="K429" i="4"/>
  <c r="Z429" i="4" s="1" a="1"/>
  <c r="Z429" i="4" s="1"/>
  <c r="Y428" i="4"/>
  <c r="X428" i="4"/>
  <c r="W428" i="4"/>
  <c r="V428" i="4"/>
  <c r="U428" i="4"/>
  <c r="T428" i="4"/>
  <c r="O428" i="4"/>
  <c r="M428" i="4"/>
  <c r="L428" i="4"/>
  <c r="K428" i="4"/>
  <c r="Z428" i="4" s="1" a="1"/>
  <c r="Z428" i="4" s="1"/>
  <c r="Y427" i="4"/>
  <c r="X427" i="4"/>
  <c r="W427" i="4"/>
  <c r="V427" i="4"/>
  <c r="U427" i="4"/>
  <c r="T427" i="4"/>
  <c r="O427" i="4"/>
  <c r="M427" i="4"/>
  <c r="L427" i="4"/>
  <c r="K427" i="4"/>
  <c r="Z427" i="4" s="1" a="1"/>
  <c r="Z427" i="4" s="1"/>
  <c r="Y426" i="4"/>
  <c r="X426" i="4"/>
  <c r="W426" i="4"/>
  <c r="V426" i="4"/>
  <c r="U426" i="4"/>
  <c r="T426" i="4"/>
  <c r="O426" i="4"/>
  <c r="M426" i="4"/>
  <c r="L426" i="4"/>
  <c r="K426" i="4"/>
  <c r="Z426" i="4" s="1" a="1"/>
  <c r="Z426" i="4" s="1"/>
  <c r="Y425" i="4"/>
  <c r="X425" i="4"/>
  <c r="W425" i="4"/>
  <c r="V425" i="4"/>
  <c r="U425" i="4"/>
  <c r="T425" i="4"/>
  <c r="O425" i="4"/>
  <c r="M425" i="4"/>
  <c r="L425" i="4"/>
  <c r="K425" i="4"/>
  <c r="Z425" i="4" s="1" a="1"/>
  <c r="Z425" i="4" s="1"/>
  <c r="Y424" i="4"/>
  <c r="X424" i="4"/>
  <c r="W424" i="4"/>
  <c r="V424" i="4"/>
  <c r="U424" i="4"/>
  <c r="T424" i="4"/>
  <c r="O424" i="4"/>
  <c r="M424" i="4"/>
  <c r="L424" i="4"/>
  <c r="K424" i="4"/>
  <c r="Z424" i="4" s="1" a="1"/>
  <c r="Z424" i="4" s="1"/>
  <c r="Y423" i="4"/>
  <c r="X423" i="4"/>
  <c r="W423" i="4"/>
  <c r="V423" i="4"/>
  <c r="U423" i="4"/>
  <c r="T423" i="4"/>
  <c r="O423" i="4"/>
  <c r="M423" i="4"/>
  <c r="L423" i="4"/>
  <c r="K423" i="4"/>
  <c r="Z423" i="4" s="1" a="1"/>
  <c r="Z423" i="4" s="1"/>
  <c r="Y422" i="4"/>
  <c r="X422" i="4"/>
  <c r="W422" i="4"/>
  <c r="V422" i="4"/>
  <c r="U422" i="4"/>
  <c r="T422" i="4"/>
  <c r="O422" i="4"/>
  <c r="M422" i="4"/>
  <c r="L422" i="4"/>
  <c r="K422" i="4"/>
  <c r="Z422" i="4" s="1" a="1"/>
  <c r="Z422" i="4" s="1"/>
  <c r="Y421" i="4"/>
  <c r="X421" i="4"/>
  <c r="W421" i="4"/>
  <c r="V421" i="4"/>
  <c r="U421" i="4"/>
  <c r="T421" i="4"/>
  <c r="O421" i="4"/>
  <c r="M421" i="4"/>
  <c r="L421" i="4"/>
  <c r="K421" i="4"/>
  <c r="Z421" i="4" s="1" a="1"/>
  <c r="Z421" i="4" s="1"/>
  <c r="Y420" i="4"/>
  <c r="X420" i="4"/>
  <c r="W420" i="4"/>
  <c r="V420" i="4"/>
  <c r="U420" i="4"/>
  <c r="T420" i="4"/>
  <c r="O420" i="4"/>
  <c r="M420" i="4"/>
  <c r="L420" i="4"/>
  <c r="K420" i="4"/>
  <c r="Z420" i="4" s="1" a="1"/>
  <c r="Z420" i="4" s="1"/>
  <c r="Y419" i="4"/>
  <c r="X419" i="4"/>
  <c r="W419" i="4"/>
  <c r="V419" i="4"/>
  <c r="U419" i="4"/>
  <c r="T419" i="4"/>
  <c r="O419" i="4"/>
  <c r="M419" i="4"/>
  <c r="L419" i="4"/>
  <c r="K419" i="4"/>
  <c r="Z419" i="4" s="1" a="1"/>
  <c r="Z419" i="4" s="1"/>
  <c r="Y418" i="4"/>
  <c r="X418" i="4"/>
  <c r="W418" i="4"/>
  <c r="V418" i="4"/>
  <c r="U418" i="4"/>
  <c r="T418" i="4"/>
  <c r="O418" i="4"/>
  <c r="M418" i="4"/>
  <c r="L418" i="4"/>
  <c r="K418" i="4"/>
  <c r="Z418" i="4" s="1" a="1"/>
  <c r="Z418" i="4" s="1"/>
  <c r="Y417" i="4"/>
  <c r="X417" i="4"/>
  <c r="W417" i="4"/>
  <c r="V417" i="4"/>
  <c r="U417" i="4"/>
  <c r="T417" i="4"/>
  <c r="O417" i="4"/>
  <c r="M417" i="4"/>
  <c r="L417" i="4"/>
  <c r="K417" i="4"/>
  <c r="Z417" i="4" s="1" a="1"/>
  <c r="Z417" i="4" s="1"/>
  <c r="Y416" i="4"/>
  <c r="X416" i="4"/>
  <c r="W416" i="4"/>
  <c r="V416" i="4"/>
  <c r="U416" i="4"/>
  <c r="T416" i="4"/>
  <c r="O416" i="4"/>
  <c r="M416" i="4"/>
  <c r="L416" i="4"/>
  <c r="K416" i="4"/>
  <c r="Z416" i="4" s="1" a="1"/>
  <c r="Z416" i="4" s="1"/>
  <c r="Y415" i="4"/>
  <c r="X415" i="4"/>
  <c r="W415" i="4"/>
  <c r="V415" i="4"/>
  <c r="U415" i="4"/>
  <c r="T415" i="4"/>
  <c r="O415" i="4"/>
  <c r="M415" i="4"/>
  <c r="L415" i="4"/>
  <c r="K415" i="4"/>
  <c r="Z415" i="4" s="1" a="1"/>
  <c r="Z415" i="4" s="1"/>
  <c r="Y414" i="4"/>
  <c r="X414" i="4"/>
  <c r="W414" i="4"/>
  <c r="V414" i="4"/>
  <c r="U414" i="4"/>
  <c r="T414" i="4"/>
  <c r="O414" i="4"/>
  <c r="M414" i="4"/>
  <c r="L414" i="4"/>
  <c r="K414" i="4"/>
  <c r="Z414" i="4" s="1" a="1"/>
  <c r="Z414" i="4" s="1"/>
  <c r="Y413" i="4"/>
  <c r="X413" i="4"/>
  <c r="W413" i="4"/>
  <c r="V413" i="4"/>
  <c r="U413" i="4"/>
  <c r="T413" i="4"/>
  <c r="O413" i="4"/>
  <c r="M413" i="4"/>
  <c r="L413" i="4"/>
  <c r="K413" i="4"/>
  <c r="Z413" i="4" s="1" a="1"/>
  <c r="Z413" i="4" s="1"/>
  <c r="Y412" i="4"/>
  <c r="X412" i="4"/>
  <c r="W412" i="4"/>
  <c r="V412" i="4"/>
  <c r="U412" i="4"/>
  <c r="T412" i="4"/>
  <c r="O412" i="4"/>
  <c r="M412" i="4"/>
  <c r="L412" i="4"/>
  <c r="K412" i="4"/>
  <c r="Z412" i="4" s="1" a="1"/>
  <c r="Z412" i="4" s="1"/>
  <c r="Y411" i="4"/>
  <c r="X411" i="4"/>
  <c r="W411" i="4"/>
  <c r="V411" i="4"/>
  <c r="U411" i="4"/>
  <c r="T411" i="4"/>
  <c r="O411" i="4"/>
  <c r="M411" i="4"/>
  <c r="L411" i="4"/>
  <c r="K411" i="4"/>
  <c r="Z411" i="4" s="1" a="1"/>
  <c r="Z411" i="4" s="1"/>
  <c r="Y410" i="4"/>
  <c r="X410" i="4"/>
  <c r="W410" i="4"/>
  <c r="V410" i="4"/>
  <c r="U410" i="4"/>
  <c r="T410" i="4"/>
  <c r="O410" i="4"/>
  <c r="M410" i="4"/>
  <c r="L410" i="4"/>
  <c r="K410" i="4"/>
  <c r="Z410" i="4" s="1" a="1"/>
  <c r="Z410" i="4" s="1"/>
  <c r="Y409" i="4"/>
  <c r="X409" i="4"/>
  <c r="W409" i="4"/>
  <c r="V409" i="4"/>
  <c r="U409" i="4"/>
  <c r="T409" i="4"/>
  <c r="O409" i="4"/>
  <c r="M409" i="4"/>
  <c r="L409" i="4"/>
  <c r="K409" i="4"/>
  <c r="Z409" i="4" s="1" a="1"/>
  <c r="Z409" i="4" s="1"/>
  <c r="Y408" i="4"/>
  <c r="X408" i="4"/>
  <c r="W408" i="4"/>
  <c r="V408" i="4"/>
  <c r="U408" i="4"/>
  <c r="T408" i="4"/>
  <c r="O408" i="4"/>
  <c r="M408" i="4"/>
  <c r="L408" i="4"/>
  <c r="K408" i="4"/>
  <c r="Z408" i="4" s="1" a="1"/>
  <c r="Z408" i="4" s="1"/>
  <c r="Y407" i="4"/>
  <c r="X407" i="4"/>
  <c r="W407" i="4"/>
  <c r="V407" i="4"/>
  <c r="U407" i="4"/>
  <c r="T407" i="4"/>
  <c r="O407" i="4"/>
  <c r="M407" i="4"/>
  <c r="L407" i="4"/>
  <c r="K407" i="4"/>
  <c r="Z407" i="4" s="1" a="1"/>
  <c r="Z407" i="4" s="1"/>
  <c r="Y406" i="4"/>
  <c r="X406" i="4"/>
  <c r="W406" i="4"/>
  <c r="V406" i="4"/>
  <c r="U406" i="4"/>
  <c r="T406" i="4"/>
  <c r="O406" i="4"/>
  <c r="M406" i="4"/>
  <c r="L406" i="4"/>
  <c r="K406" i="4"/>
  <c r="Z406" i="4" s="1" a="1"/>
  <c r="Z406" i="4" s="1"/>
  <c r="Y405" i="4"/>
  <c r="X405" i="4"/>
  <c r="W405" i="4"/>
  <c r="V405" i="4"/>
  <c r="U405" i="4"/>
  <c r="T405" i="4"/>
  <c r="O405" i="4"/>
  <c r="M405" i="4"/>
  <c r="L405" i="4"/>
  <c r="K405" i="4"/>
  <c r="Z405" i="4" s="1" a="1"/>
  <c r="Z405" i="4" s="1"/>
  <c r="Y404" i="4"/>
  <c r="X404" i="4"/>
  <c r="W404" i="4"/>
  <c r="V404" i="4"/>
  <c r="U404" i="4"/>
  <c r="T404" i="4"/>
  <c r="O404" i="4"/>
  <c r="M404" i="4"/>
  <c r="L404" i="4"/>
  <c r="K404" i="4"/>
  <c r="Z404" i="4" s="1" a="1"/>
  <c r="Z404" i="4" s="1"/>
  <c r="Y403" i="4"/>
  <c r="X403" i="4"/>
  <c r="W403" i="4"/>
  <c r="V403" i="4"/>
  <c r="U403" i="4"/>
  <c r="T403" i="4"/>
  <c r="O403" i="4"/>
  <c r="M403" i="4"/>
  <c r="L403" i="4"/>
  <c r="K403" i="4"/>
  <c r="Z403" i="4" s="1" a="1"/>
  <c r="Z403" i="4" s="1"/>
  <c r="Y402" i="4"/>
  <c r="X402" i="4"/>
  <c r="W402" i="4"/>
  <c r="V402" i="4"/>
  <c r="U402" i="4"/>
  <c r="T402" i="4"/>
  <c r="O402" i="4"/>
  <c r="M402" i="4"/>
  <c r="L402" i="4"/>
  <c r="K402" i="4"/>
  <c r="Z402" i="4" s="1" a="1"/>
  <c r="Z402" i="4" s="1"/>
  <c r="Y401" i="4"/>
  <c r="X401" i="4"/>
  <c r="W401" i="4"/>
  <c r="V401" i="4"/>
  <c r="U401" i="4"/>
  <c r="T401" i="4"/>
  <c r="O401" i="4"/>
  <c r="M401" i="4"/>
  <c r="L401" i="4"/>
  <c r="K401" i="4"/>
  <c r="Z401" i="4" s="1" a="1"/>
  <c r="Z401" i="4" s="1"/>
  <c r="Y400" i="4"/>
  <c r="X400" i="4"/>
  <c r="W400" i="4"/>
  <c r="V400" i="4"/>
  <c r="U400" i="4"/>
  <c r="T400" i="4"/>
  <c r="O400" i="4"/>
  <c r="M400" i="4"/>
  <c r="L400" i="4"/>
  <c r="K400" i="4"/>
  <c r="Z400" i="4" s="1" a="1"/>
  <c r="Z400" i="4" s="1"/>
  <c r="Y399" i="4"/>
  <c r="X399" i="4"/>
  <c r="W399" i="4"/>
  <c r="V399" i="4"/>
  <c r="U399" i="4"/>
  <c r="T399" i="4"/>
  <c r="O399" i="4"/>
  <c r="M399" i="4"/>
  <c r="L399" i="4"/>
  <c r="K399" i="4"/>
  <c r="Z399" i="4" s="1" a="1"/>
  <c r="Z399" i="4" s="1"/>
  <c r="Y398" i="4"/>
  <c r="X398" i="4"/>
  <c r="W398" i="4"/>
  <c r="V398" i="4"/>
  <c r="U398" i="4"/>
  <c r="T398" i="4"/>
  <c r="O398" i="4"/>
  <c r="M398" i="4"/>
  <c r="L398" i="4"/>
  <c r="K398" i="4"/>
  <c r="Z398" i="4" s="1" a="1"/>
  <c r="Z398" i="4" s="1"/>
  <c r="Y397" i="4"/>
  <c r="X397" i="4"/>
  <c r="W397" i="4"/>
  <c r="V397" i="4"/>
  <c r="U397" i="4"/>
  <c r="T397" i="4"/>
  <c r="O397" i="4"/>
  <c r="M397" i="4"/>
  <c r="L397" i="4"/>
  <c r="K397" i="4"/>
  <c r="Z397" i="4" s="1" a="1"/>
  <c r="Z397" i="4" s="1"/>
  <c r="Y396" i="4"/>
  <c r="X396" i="4"/>
  <c r="W396" i="4"/>
  <c r="V396" i="4"/>
  <c r="U396" i="4"/>
  <c r="T396" i="4"/>
  <c r="O396" i="4"/>
  <c r="M396" i="4"/>
  <c r="L396" i="4"/>
  <c r="K396" i="4"/>
  <c r="Z396" i="4" s="1" a="1"/>
  <c r="Z396" i="4" s="1"/>
  <c r="Y395" i="4"/>
  <c r="X395" i="4"/>
  <c r="W395" i="4"/>
  <c r="V395" i="4"/>
  <c r="U395" i="4"/>
  <c r="T395" i="4"/>
  <c r="O395" i="4"/>
  <c r="M395" i="4"/>
  <c r="L395" i="4"/>
  <c r="K395" i="4"/>
  <c r="Z395" i="4" s="1" a="1"/>
  <c r="Z395" i="4" s="1"/>
  <c r="Y394" i="4"/>
  <c r="X394" i="4"/>
  <c r="W394" i="4"/>
  <c r="V394" i="4"/>
  <c r="U394" i="4"/>
  <c r="T394" i="4"/>
  <c r="O394" i="4"/>
  <c r="M394" i="4"/>
  <c r="L394" i="4"/>
  <c r="K394" i="4"/>
  <c r="Z394" i="4" s="1" a="1"/>
  <c r="Z394" i="4" s="1"/>
  <c r="Y393" i="4"/>
  <c r="X393" i="4"/>
  <c r="W393" i="4"/>
  <c r="V393" i="4"/>
  <c r="U393" i="4"/>
  <c r="T393" i="4"/>
  <c r="O393" i="4"/>
  <c r="M393" i="4"/>
  <c r="L393" i="4"/>
  <c r="K393" i="4"/>
  <c r="Z393" i="4" s="1" a="1"/>
  <c r="Z393" i="4" s="1"/>
  <c r="Y392" i="4"/>
  <c r="X392" i="4"/>
  <c r="W392" i="4"/>
  <c r="V392" i="4"/>
  <c r="U392" i="4"/>
  <c r="T392" i="4"/>
  <c r="O392" i="4"/>
  <c r="M392" i="4"/>
  <c r="L392" i="4"/>
  <c r="K392" i="4"/>
  <c r="Z392" i="4" s="1" a="1"/>
  <c r="Z392" i="4" s="1"/>
  <c r="Y391" i="4"/>
  <c r="X391" i="4"/>
  <c r="W391" i="4"/>
  <c r="V391" i="4"/>
  <c r="U391" i="4"/>
  <c r="T391" i="4"/>
  <c r="O391" i="4"/>
  <c r="M391" i="4"/>
  <c r="L391" i="4"/>
  <c r="K391" i="4"/>
  <c r="Z391" i="4" s="1" a="1"/>
  <c r="Z391" i="4" s="1"/>
  <c r="Y390" i="4"/>
  <c r="X390" i="4"/>
  <c r="W390" i="4"/>
  <c r="V390" i="4"/>
  <c r="U390" i="4"/>
  <c r="T390" i="4"/>
  <c r="O390" i="4"/>
  <c r="M390" i="4"/>
  <c r="L390" i="4"/>
  <c r="K390" i="4"/>
  <c r="Z390" i="4" s="1" a="1"/>
  <c r="Z390" i="4" s="1"/>
  <c r="Y389" i="4"/>
  <c r="X389" i="4"/>
  <c r="W389" i="4"/>
  <c r="V389" i="4"/>
  <c r="U389" i="4"/>
  <c r="T389" i="4"/>
  <c r="O389" i="4"/>
  <c r="M389" i="4"/>
  <c r="L389" i="4"/>
  <c r="K389" i="4"/>
  <c r="Z389" i="4" s="1" a="1"/>
  <c r="Z389" i="4" s="1"/>
  <c r="Y388" i="4"/>
  <c r="X388" i="4"/>
  <c r="W388" i="4"/>
  <c r="V388" i="4"/>
  <c r="U388" i="4"/>
  <c r="T388" i="4"/>
  <c r="O388" i="4"/>
  <c r="M388" i="4"/>
  <c r="L388" i="4"/>
  <c r="K388" i="4"/>
  <c r="Z388" i="4" s="1" a="1"/>
  <c r="Z388" i="4" s="1"/>
  <c r="Y387" i="4"/>
  <c r="X387" i="4"/>
  <c r="W387" i="4"/>
  <c r="V387" i="4"/>
  <c r="U387" i="4"/>
  <c r="T387" i="4"/>
  <c r="O387" i="4"/>
  <c r="M387" i="4"/>
  <c r="L387" i="4"/>
  <c r="K387" i="4"/>
  <c r="Z387" i="4" s="1" a="1"/>
  <c r="Z387" i="4" s="1"/>
  <c r="Y386" i="4"/>
  <c r="X386" i="4"/>
  <c r="W386" i="4"/>
  <c r="V386" i="4"/>
  <c r="U386" i="4"/>
  <c r="T386" i="4"/>
  <c r="O386" i="4"/>
  <c r="M386" i="4"/>
  <c r="L386" i="4"/>
  <c r="K386" i="4"/>
  <c r="Z386" i="4" s="1" a="1"/>
  <c r="Z386" i="4" s="1"/>
  <c r="Y385" i="4"/>
  <c r="X385" i="4"/>
  <c r="W385" i="4"/>
  <c r="V385" i="4"/>
  <c r="U385" i="4"/>
  <c r="T385" i="4"/>
  <c r="O385" i="4"/>
  <c r="M385" i="4"/>
  <c r="L385" i="4"/>
  <c r="K385" i="4"/>
  <c r="Z385" i="4" s="1" a="1"/>
  <c r="Z385" i="4" s="1"/>
  <c r="Y384" i="4"/>
  <c r="X384" i="4"/>
  <c r="W384" i="4"/>
  <c r="V384" i="4"/>
  <c r="U384" i="4"/>
  <c r="T384" i="4"/>
  <c r="O384" i="4"/>
  <c r="M384" i="4"/>
  <c r="L384" i="4"/>
  <c r="K384" i="4"/>
  <c r="Z384" i="4" s="1" a="1"/>
  <c r="Z384" i="4" s="1"/>
  <c r="Y383" i="4"/>
  <c r="X383" i="4"/>
  <c r="W383" i="4"/>
  <c r="V383" i="4"/>
  <c r="U383" i="4"/>
  <c r="T383" i="4"/>
  <c r="O383" i="4"/>
  <c r="M383" i="4"/>
  <c r="L383" i="4"/>
  <c r="K383" i="4"/>
  <c r="Z383" i="4" s="1" a="1"/>
  <c r="Z383" i="4" s="1"/>
  <c r="Y382" i="4"/>
  <c r="X382" i="4"/>
  <c r="W382" i="4"/>
  <c r="V382" i="4"/>
  <c r="U382" i="4"/>
  <c r="T382" i="4"/>
  <c r="O382" i="4"/>
  <c r="M382" i="4"/>
  <c r="L382" i="4"/>
  <c r="K382" i="4"/>
  <c r="Z382" i="4" s="1" a="1"/>
  <c r="Z382" i="4" s="1"/>
  <c r="Y381" i="4"/>
  <c r="X381" i="4"/>
  <c r="W381" i="4"/>
  <c r="V381" i="4"/>
  <c r="U381" i="4"/>
  <c r="T381" i="4"/>
  <c r="O381" i="4"/>
  <c r="M381" i="4"/>
  <c r="L381" i="4"/>
  <c r="K381" i="4"/>
  <c r="Z381" i="4" s="1" a="1"/>
  <c r="Z381" i="4" s="1"/>
  <c r="Y380" i="4"/>
  <c r="X380" i="4"/>
  <c r="W380" i="4"/>
  <c r="V380" i="4"/>
  <c r="U380" i="4"/>
  <c r="T380" i="4"/>
  <c r="O380" i="4"/>
  <c r="M380" i="4"/>
  <c r="L380" i="4"/>
  <c r="K380" i="4"/>
  <c r="Z380" i="4" s="1" a="1"/>
  <c r="Z380" i="4" s="1"/>
  <c r="Y379" i="4"/>
  <c r="X379" i="4"/>
  <c r="W379" i="4"/>
  <c r="V379" i="4"/>
  <c r="U379" i="4"/>
  <c r="T379" i="4"/>
  <c r="O379" i="4"/>
  <c r="M379" i="4"/>
  <c r="L379" i="4"/>
  <c r="K379" i="4"/>
  <c r="Z379" i="4" s="1" a="1"/>
  <c r="Z379" i="4" s="1"/>
  <c r="Y378" i="4"/>
  <c r="X378" i="4"/>
  <c r="W378" i="4"/>
  <c r="V378" i="4"/>
  <c r="U378" i="4"/>
  <c r="T378" i="4"/>
  <c r="O378" i="4"/>
  <c r="M378" i="4"/>
  <c r="L378" i="4"/>
  <c r="K378" i="4"/>
  <c r="Z378" i="4" s="1" a="1"/>
  <c r="Z378" i="4" s="1"/>
  <c r="Y377" i="4"/>
  <c r="X377" i="4"/>
  <c r="W377" i="4"/>
  <c r="V377" i="4"/>
  <c r="U377" i="4"/>
  <c r="T377" i="4"/>
  <c r="O377" i="4"/>
  <c r="M377" i="4"/>
  <c r="L377" i="4"/>
  <c r="K377" i="4"/>
  <c r="Z377" i="4" s="1" a="1"/>
  <c r="Z377" i="4" s="1"/>
  <c r="Y376" i="4"/>
  <c r="X376" i="4"/>
  <c r="W376" i="4"/>
  <c r="V376" i="4"/>
  <c r="U376" i="4"/>
  <c r="T376" i="4"/>
  <c r="O376" i="4"/>
  <c r="M376" i="4"/>
  <c r="L376" i="4"/>
  <c r="K376" i="4"/>
  <c r="Z376" i="4" s="1" a="1"/>
  <c r="Z376" i="4" s="1"/>
  <c r="Y375" i="4"/>
  <c r="X375" i="4"/>
  <c r="W375" i="4"/>
  <c r="V375" i="4"/>
  <c r="U375" i="4"/>
  <c r="T375" i="4"/>
  <c r="O375" i="4"/>
  <c r="M375" i="4"/>
  <c r="L375" i="4"/>
  <c r="K375" i="4"/>
  <c r="Z375" i="4" s="1" a="1"/>
  <c r="Z375" i="4" s="1"/>
  <c r="Y374" i="4"/>
  <c r="X374" i="4"/>
  <c r="W374" i="4"/>
  <c r="V374" i="4"/>
  <c r="U374" i="4"/>
  <c r="T374" i="4"/>
  <c r="O374" i="4"/>
  <c r="M374" i="4"/>
  <c r="L374" i="4"/>
  <c r="K374" i="4"/>
  <c r="Z374" i="4" s="1" a="1"/>
  <c r="Z374" i="4" s="1"/>
  <c r="Y373" i="4"/>
  <c r="X373" i="4"/>
  <c r="W373" i="4"/>
  <c r="V373" i="4"/>
  <c r="U373" i="4"/>
  <c r="T373" i="4"/>
  <c r="O373" i="4"/>
  <c r="M373" i="4"/>
  <c r="L373" i="4"/>
  <c r="K373" i="4"/>
  <c r="Z373" i="4" s="1" a="1"/>
  <c r="Z373" i="4" s="1"/>
  <c r="Y372" i="4"/>
  <c r="X372" i="4"/>
  <c r="W372" i="4"/>
  <c r="V372" i="4"/>
  <c r="U372" i="4"/>
  <c r="T372" i="4"/>
  <c r="O372" i="4"/>
  <c r="M372" i="4"/>
  <c r="L372" i="4"/>
  <c r="K372" i="4"/>
  <c r="Z372" i="4" s="1" a="1"/>
  <c r="Z372" i="4" s="1"/>
  <c r="Y371" i="4"/>
  <c r="X371" i="4"/>
  <c r="W371" i="4"/>
  <c r="V371" i="4"/>
  <c r="U371" i="4"/>
  <c r="T371" i="4"/>
  <c r="O371" i="4"/>
  <c r="M371" i="4"/>
  <c r="L371" i="4"/>
  <c r="K371" i="4"/>
  <c r="Z371" i="4" s="1" a="1"/>
  <c r="Z371" i="4" s="1"/>
  <c r="Y370" i="4"/>
  <c r="X370" i="4"/>
  <c r="W370" i="4"/>
  <c r="V370" i="4"/>
  <c r="U370" i="4"/>
  <c r="T370" i="4"/>
  <c r="O370" i="4"/>
  <c r="M370" i="4"/>
  <c r="L370" i="4"/>
  <c r="K370" i="4"/>
  <c r="Z370" i="4" s="1" a="1"/>
  <c r="Z370" i="4" s="1"/>
  <c r="Y369" i="4"/>
  <c r="X369" i="4"/>
  <c r="W369" i="4"/>
  <c r="V369" i="4"/>
  <c r="U369" i="4"/>
  <c r="T369" i="4"/>
  <c r="O369" i="4"/>
  <c r="M369" i="4"/>
  <c r="L369" i="4"/>
  <c r="K369" i="4"/>
  <c r="Z369" i="4" s="1" a="1"/>
  <c r="Z369" i="4" s="1"/>
  <c r="Y368" i="4"/>
  <c r="X368" i="4"/>
  <c r="W368" i="4"/>
  <c r="V368" i="4"/>
  <c r="U368" i="4"/>
  <c r="T368" i="4"/>
  <c r="O368" i="4"/>
  <c r="M368" i="4"/>
  <c r="L368" i="4"/>
  <c r="K368" i="4"/>
  <c r="Z368" i="4" s="1" a="1"/>
  <c r="Z368" i="4" s="1"/>
  <c r="Y367" i="4"/>
  <c r="X367" i="4"/>
  <c r="W367" i="4"/>
  <c r="V367" i="4"/>
  <c r="U367" i="4"/>
  <c r="T367" i="4"/>
  <c r="O367" i="4"/>
  <c r="M367" i="4"/>
  <c r="L367" i="4"/>
  <c r="K367" i="4"/>
  <c r="Z367" i="4" s="1" a="1"/>
  <c r="Z367" i="4" s="1"/>
  <c r="Y366" i="4"/>
  <c r="X366" i="4"/>
  <c r="W366" i="4"/>
  <c r="V366" i="4"/>
  <c r="U366" i="4"/>
  <c r="T366" i="4"/>
  <c r="O366" i="4"/>
  <c r="M366" i="4"/>
  <c r="L366" i="4"/>
  <c r="K366" i="4"/>
  <c r="Z366" i="4" s="1" a="1"/>
  <c r="Z366" i="4" s="1"/>
  <c r="Y365" i="4"/>
  <c r="X365" i="4"/>
  <c r="W365" i="4"/>
  <c r="V365" i="4"/>
  <c r="U365" i="4"/>
  <c r="T365" i="4"/>
  <c r="O365" i="4"/>
  <c r="M365" i="4"/>
  <c r="L365" i="4"/>
  <c r="K365" i="4"/>
  <c r="Z365" i="4" s="1" a="1"/>
  <c r="Z365" i="4" s="1"/>
  <c r="Y364" i="4"/>
  <c r="X364" i="4"/>
  <c r="W364" i="4"/>
  <c r="V364" i="4"/>
  <c r="U364" i="4"/>
  <c r="T364" i="4"/>
  <c r="O364" i="4"/>
  <c r="M364" i="4"/>
  <c r="L364" i="4"/>
  <c r="K364" i="4"/>
  <c r="Z364" i="4" s="1" a="1"/>
  <c r="Z364" i="4" s="1"/>
  <c r="Y363" i="4"/>
  <c r="X363" i="4"/>
  <c r="W363" i="4"/>
  <c r="V363" i="4"/>
  <c r="U363" i="4"/>
  <c r="T363" i="4"/>
  <c r="O363" i="4"/>
  <c r="M363" i="4"/>
  <c r="L363" i="4"/>
  <c r="K363" i="4"/>
  <c r="Z363" i="4" s="1" a="1"/>
  <c r="Z363" i="4" s="1"/>
  <c r="Y362" i="4"/>
  <c r="X362" i="4"/>
  <c r="W362" i="4"/>
  <c r="V362" i="4"/>
  <c r="U362" i="4"/>
  <c r="T362" i="4"/>
  <c r="O362" i="4"/>
  <c r="M362" i="4"/>
  <c r="L362" i="4"/>
  <c r="K362" i="4"/>
  <c r="Z362" i="4" s="1" a="1"/>
  <c r="Z362" i="4" s="1"/>
  <c r="Y361" i="4"/>
  <c r="X361" i="4"/>
  <c r="W361" i="4"/>
  <c r="V361" i="4"/>
  <c r="U361" i="4"/>
  <c r="T361" i="4"/>
  <c r="O361" i="4"/>
  <c r="M361" i="4"/>
  <c r="L361" i="4"/>
  <c r="K361" i="4"/>
  <c r="Z361" i="4" s="1" a="1"/>
  <c r="Z361" i="4" s="1"/>
  <c r="Y360" i="4"/>
  <c r="X360" i="4"/>
  <c r="W360" i="4"/>
  <c r="V360" i="4"/>
  <c r="U360" i="4"/>
  <c r="T360" i="4"/>
  <c r="O360" i="4"/>
  <c r="M360" i="4"/>
  <c r="L360" i="4"/>
  <c r="K360" i="4"/>
  <c r="Z360" i="4" s="1" a="1"/>
  <c r="Z360" i="4" s="1"/>
  <c r="Y359" i="4"/>
  <c r="X359" i="4"/>
  <c r="W359" i="4"/>
  <c r="V359" i="4"/>
  <c r="U359" i="4"/>
  <c r="T359" i="4"/>
  <c r="O359" i="4"/>
  <c r="M359" i="4"/>
  <c r="L359" i="4"/>
  <c r="K359" i="4"/>
  <c r="Z359" i="4" s="1" a="1"/>
  <c r="Z359" i="4" s="1"/>
  <c r="Y358" i="4"/>
  <c r="X358" i="4"/>
  <c r="W358" i="4"/>
  <c r="V358" i="4"/>
  <c r="U358" i="4"/>
  <c r="T358" i="4"/>
  <c r="O358" i="4"/>
  <c r="M358" i="4"/>
  <c r="L358" i="4"/>
  <c r="K358" i="4"/>
  <c r="Z358" i="4" s="1" a="1"/>
  <c r="Z358" i="4" s="1"/>
  <c r="Y357" i="4"/>
  <c r="X357" i="4"/>
  <c r="W357" i="4"/>
  <c r="V357" i="4"/>
  <c r="U357" i="4"/>
  <c r="T357" i="4"/>
  <c r="O357" i="4"/>
  <c r="M357" i="4"/>
  <c r="L357" i="4"/>
  <c r="K357" i="4"/>
  <c r="Z357" i="4" s="1" a="1"/>
  <c r="Z357" i="4" s="1"/>
  <c r="Y356" i="4"/>
  <c r="X356" i="4"/>
  <c r="W356" i="4"/>
  <c r="V356" i="4"/>
  <c r="U356" i="4"/>
  <c r="T356" i="4"/>
  <c r="O356" i="4"/>
  <c r="M356" i="4"/>
  <c r="L356" i="4"/>
  <c r="K356" i="4"/>
  <c r="Z356" i="4" s="1" a="1"/>
  <c r="Z356" i="4" s="1"/>
  <c r="Y355" i="4"/>
  <c r="X355" i="4"/>
  <c r="W355" i="4"/>
  <c r="V355" i="4"/>
  <c r="U355" i="4"/>
  <c r="T355" i="4"/>
  <c r="O355" i="4"/>
  <c r="M355" i="4"/>
  <c r="L355" i="4"/>
  <c r="K355" i="4"/>
  <c r="Z355" i="4" s="1" a="1"/>
  <c r="Z355" i="4" s="1"/>
  <c r="Y354" i="4"/>
  <c r="X354" i="4"/>
  <c r="W354" i="4"/>
  <c r="V354" i="4"/>
  <c r="U354" i="4"/>
  <c r="T354" i="4"/>
  <c r="O354" i="4"/>
  <c r="M354" i="4"/>
  <c r="L354" i="4"/>
  <c r="K354" i="4"/>
  <c r="Z354" i="4" s="1" a="1"/>
  <c r="Z354" i="4" s="1"/>
  <c r="Y353" i="4"/>
  <c r="X353" i="4"/>
  <c r="W353" i="4"/>
  <c r="V353" i="4"/>
  <c r="U353" i="4"/>
  <c r="T353" i="4"/>
  <c r="O353" i="4"/>
  <c r="M353" i="4"/>
  <c r="L353" i="4"/>
  <c r="K353" i="4"/>
  <c r="Z353" i="4" s="1" a="1"/>
  <c r="Z353" i="4" s="1"/>
  <c r="Y352" i="4"/>
  <c r="X352" i="4"/>
  <c r="W352" i="4"/>
  <c r="V352" i="4"/>
  <c r="U352" i="4"/>
  <c r="T352" i="4"/>
  <c r="O352" i="4"/>
  <c r="M352" i="4"/>
  <c r="L352" i="4"/>
  <c r="K352" i="4"/>
  <c r="Z352" i="4" s="1" a="1"/>
  <c r="Z352" i="4" s="1"/>
  <c r="Y351" i="4"/>
  <c r="X351" i="4"/>
  <c r="W351" i="4"/>
  <c r="V351" i="4"/>
  <c r="U351" i="4"/>
  <c r="T351" i="4"/>
  <c r="O351" i="4"/>
  <c r="M351" i="4"/>
  <c r="L351" i="4"/>
  <c r="K351" i="4"/>
  <c r="Z351" i="4" s="1" a="1"/>
  <c r="Z351" i="4" s="1"/>
  <c r="Y350" i="4"/>
  <c r="X350" i="4"/>
  <c r="W350" i="4"/>
  <c r="V350" i="4"/>
  <c r="U350" i="4"/>
  <c r="T350" i="4"/>
  <c r="O350" i="4"/>
  <c r="M350" i="4"/>
  <c r="L350" i="4"/>
  <c r="K350" i="4"/>
  <c r="Z350" i="4" s="1" a="1"/>
  <c r="Z350" i="4" s="1"/>
  <c r="Y349" i="4"/>
  <c r="X349" i="4"/>
  <c r="W349" i="4"/>
  <c r="V349" i="4"/>
  <c r="U349" i="4"/>
  <c r="T349" i="4"/>
  <c r="O349" i="4"/>
  <c r="M349" i="4"/>
  <c r="L349" i="4"/>
  <c r="K349" i="4"/>
  <c r="Z349" i="4" s="1" a="1"/>
  <c r="Z349" i="4" s="1"/>
  <c r="Y348" i="4"/>
  <c r="X348" i="4"/>
  <c r="W348" i="4"/>
  <c r="V348" i="4"/>
  <c r="U348" i="4"/>
  <c r="T348" i="4"/>
  <c r="O348" i="4"/>
  <c r="M348" i="4"/>
  <c r="L348" i="4"/>
  <c r="K348" i="4"/>
  <c r="Z348" i="4" s="1" a="1"/>
  <c r="Z348" i="4" s="1"/>
  <c r="Y347" i="4"/>
  <c r="X347" i="4"/>
  <c r="W347" i="4"/>
  <c r="V347" i="4"/>
  <c r="U347" i="4"/>
  <c r="T347" i="4"/>
  <c r="O347" i="4"/>
  <c r="M347" i="4"/>
  <c r="L347" i="4"/>
  <c r="K347" i="4"/>
  <c r="Z347" i="4" s="1" a="1"/>
  <c r="Z347" i="4" s="1"/>
  <c r="Y346" i="4"/>
  <c r="X346" i="4"/>
  <c r="W346" i="4"/>
  <c r="V346" i="4"/>
  <c r="U346" i="4"/>
  <c r="T346" i="4"/>
  <c r="O346" i="4"/>
  <c r="M346" i="4"/>
  <c r="L346" i="4"/>
  <c r="K346" i="4"/>
  <c r="Z346" i="4" s="1" a="1"/>
  <c r="Z346" i="4" s="1"/>
  <c r="Y345" i="4"/>
  <c r="X345" i="4"/>
  <c r="W345" i="4"/>
  <c r="V345" i="4"/>
  <c r="U345" i="4"/>
  <c r="T345" i="4"/>
  <c r="O345" i="4"/>
  <c r="M345" i="4"/>
  <c r="L345" i="4"/>
  <c r="K345" i="4"/>
  <c r="Z345" i="4" s="1" a="1"/>
  <c r="Z345" i="4" s="1"/>
  <c r="Y344" i="4"/>
  <c r="X344" i="4"/>
  <c r="W344" i="4"/>
  <c r="V344" i="4"/>
  <c r="U344" i="4"/>
  <c r="T344" i="4"/>
  <c r="O344" i="4"/>
  <c r="M344" i="4"/>
  <c r="L344" i="4"/>
  <c r="K344" i="4"/>
  <c r="Z344" i="4" s="1" a="1"/>
  <c r="Z344" i="4" s="1"/>
  <c r="Y343" i="4"/>
  <c r="X343" i="4"/>
  <c r="W343" i="4"/>
  <c r="V343" i="4"/>
  <c r="U343" i="4"/>
  <c r="T343" i="4"/>
  <c r="O343" i="4"/>
  <c r="M343" i="4"/>
  <c r="L343" i="4"/>
  <c r="K343" i="4"/>
  <c r="Z343" i="4" s="1" a="1"/>
  <c r="Z343" i="4" s="1"/>
  <c r="Y342" i="4"/>
  <c r="X342" i="4"/>
  <c r="W342" i="4"/>
  <c r="V342" i="4"/>
  <c r="U342" i="4"/>
  <c r="T342" i="4"/>
  <c r="O342" i="4"/>
  <c r="M342" i="4"/>
  <c r="L342" i="4"/>
  <c r="K342" i="4"/>
  <c r="Z342" i="4" s="1" a="1"/>
  <c r="Z342" i="4" s="1"/>
  <c r="Y341" i="4"/>
  <c r="X341" i="4"/>
  <c r="W341" i="4"/>
  <c r="V341" i="4"/>
  <c r="U341" i="4"/>
  <c r="T341" i="4"/>
  <c r="O341" i="4"/>
  <c r="M341" i="4"/>
  <c r="L341" i="4"/>
  <c r="K341" i="4"/>
  <c r="Z341" i="4" s="1" a="1"/>
  <c r="Z341" i="4" s="1"/>
  <c r="Y340" i="4"/>
  <c r="X340" i="4"/>
  <c r="W340" i="4"/>
  <c r="V340" i="4"/>
  <c r="U340" i="4"/>
  <c r="T340" i="4"/>
  <c r="O340" i="4"/>
  <c r="M340" i="4"/>
  <c r="L340" i="4"/>
  <c r="K340" i="4"/>
  <c r="Z340" i="4" s="1" a="1"/>
  <c r="Z340" i="4" s="1"/>
  <c r="Y339" i="4"/>
  <c r="X339" i="4"/>
  <c r="W339" i="4"/>
  <c r="V339" i="4"/>
  <c r="U339" i="4"/>
  <c r="T339" i="4"/>
  <c r="O339" i="4"/>
  <c r="M339" i="4"/>
  <c r="L339" i="4"/>
  <c r="K339" i="4"/>
  <c r="Z339" i="4" s="1" a="1"/>
  <c r="Z339" i="4" s="1"/>
  <c r="Y338" i="4"/>
  <c r="X338" i="4"/>
  <c r="W338" i="4"/>
  <c r="V338" i="4"/>
  <c r="U338" i="4"/>
  <c r="T338" i="4"/>
  <c r="O338" i="4"/>
  <c r="M338" i="4"/>
  <c r="L338" i="4"/>
  <c r="K338" i="4"/>
  <c r="Z338" i="4" s="1" a="1"/>
  <c r="Z338" i="4" s="1"/>
  <c r="Y337" i="4"/>
  <c r="X337" i="4"/>
  <c r="W337" i="4"/>
  <c r="V337" i="4"/>
  <c r="U337" i="4"/>
  <c r="T337" i="4"/>
  <c r="O337" i="4"/>
  <c r="M337" i="4"/>
  <c r="L337" i="4"/>
  <c r="K337" i="4"/>
  <c r="Z337" i="4" s="1" a="1"/>
  <c r="Z337" i="4" s="1"/>
  <c r="Y336" i="4"/>
  <c r="X336" i="4"/>
  <c r="W336" i="4"/>
  <c r="V336" i="4"/>
  <c r="U336" i="4"/>
  <c r="T336" i="4"/>
  <c r="O336" i="4"/>
  <c r="M336" i="4"/>
  <c r="L336" i="4"/>
  <c r="K336" i="4"/>
  <c r="Z336" i="4" s="1" a="1"/>
  <c r="Z336" i="4" s="1"/>
  <c r="Y335" i="4"/>
  <c r="X335" i="4"/>
  <c r="W335" i="4"/>
  <c r="V335" i="4"/>
  <c r="U335" i="4"/>
  <c r="T335" i="4"/>
  <c r="O335" i="4"/>
  <c r="M335" i="4"/>
  <c r="L335" i="4"/>
  <c r="K335" i="4"/>
  <c r="Z335" i="4" s="1" a="1"/>
  <c r="Z335" i="4" s="1"/>
  <c r="Y334" i="4"/>
  <c r="X334" i="4"/>
  <c r="W334" i="4"/>
  <c r="V334" i="4"/>
  <c r="U334" i="4"/>
  <c r="T334" i="4"/>
  <c r="O334" i="4"/>
  <c r="M334" i="4"/>
  <c r="L334" i="4"/>
  <c r="K334" i="4"/>
  <c r="Z334" i="4" s="1" a="1"/>
  <c r="Z334" i="4" s="1"/>
  <c r="Y333" i="4"/>
  <c r="X333" i="4"/>
  <c r="W333" i="4"/>
  <c r="V333" i="4"/>
  <c r="U333" i="4"/>
  <c r="T333" i="4"/>
  <c r="O333" i="4"/>
  <c r="M333" i="4"/>
  <c r="L333" i="4"/>
  <c r="K333" i="4"/>
  <c r="Z333" i="4" s="1" a="1"/>
  <c r="Z333" i="4" s="1"/>
  <c r="Y332" i="4"/>
  <c r="X332" i="4"/>
  <c r="W332" i="4"/>
  <c r="V332" i="4"/>
  <c r="U332" i="4"/>
  <c r="T332" i="4"/>
  <c r="O332" i="4"/>
  <c r="M332" i="4"/>
  <c r="L332" i="4"/>
  <c r="K332" i="4"/>
  <c r="Z332" i="4" s="1" a="1"/>
  <c r="Z332" i="4" s="1"/>
  <c r="Y331" i="4"/>
  <c r="X331" i="4"/>
  <c r="W331" i="4"/>
  <c r="V331" i="4"/>
  <c r="U331" i="4"/>
  <c r="T331" i="4"/>
  <c r="O331" i="4"/>
  <c r="M331" i="4"/>
  <c r="L331" i="4"/>
  <c r="K331" i="4"/>
  <c r="Z331" i="4" s="1" a="1"/>
  <c r="Z331" i="4" s="1"/>
  <c r="Y330" i="4"/>
  <c r="X330" i="4"/>
  <c r="W330" i="4"/>
  <c r="V330" i="4"/>
  <c r="U330" i="4"/>
  <c r="T330" i="4"/>
  <c r="O330" i="4"/>
  <c r="M330" i="4"/>
  <c r="L330" i="4"/>
  <c r="K330" i="4"/>
  <c r="Z330" i="4" s="1" a="1"/>
  <c r="Z330" i="4" s="1"/>
  <c r="Y329" i="4"/>
  <c r="X329" i="4"/>
  <c r="W329" i="4"/>
  <c r="V329" i="4"/>
  <c r="U329" i="4"/>
  <c r="T329" i="4"/>
  <c r="O329" i="4"/>
  <c r="M329" i="4"/>
  <c r="L329" i="4"/>
  <c r="K329" i="4"/>
  <c r="Z329" i="4" s="1" a="1"/>
  <c r="Z329" i="4" s="1"/>
  <c r="Y328" i="4"/>
  <c r="X328" i="4"/>
  <c r="W328" i="4"/>
  <c r="V328" i="4"/>
  <c r="U328" i="4"/>
  <c r="T328" i="4"/>
  <c r="O328" i="4"/>
  <c r="M328" i="4"/>
  <c r="L328" i="4"/>
  <c r="K328" i="4"/>
  <c r="Z328" i="4" s="1" a="1"/>
  <c r="Z328" i="4" s="1"/>
  <c r="Y327" i="4"/>
  <c r="X327" i="4"/>
  <c r="W327" i="4"/>
  <c r="V327" i="4"/>
  <c r="U327" i="4"/>
  <c r="T327" i="4"/>
  <c r="O327" i="4"/>
  <c r="M327" i="4"/>
  <c r="L327" i="4"/>
  <c r="K327" i="4"/>
  <c r="Z327" i="4" s="1" a="1"/>
  <c r="Z327" i="4" s="1"/>
  <c r="Y326" i="4"/>
  <c r="X326" i="4"/>
  <c r="W326" i="4"/>
  <c r="V326" i="4"/>
  <c r="U326" i="4"/>
  <c r="T326" i="4"/>
  <c r="O326" i="4"/>
  <c r="M326" i="4"/>
  <c r="L326" i="4"/>
  <c r="K326" i="4"/>
  <c r="Z326" i="4" s="1" a="1"/>
  <c r="Z326" i="4" s="1"/>
  <c r="Y325" i="4"/>
  <c r="X325" i="4"/>
  <c r="W325" i="4"/>
  <c r="V325" i="4"/>
  <c r="U325" i="4"/>
  <c r="T325" i="4"/>
  <c r="O325" i="4"/>
  <c r="M325" i="4"/>
  <c r="L325" i="4"/>
  <c r="K325" i="4"/>
  <c r="Z325" i="4" s="1" a="1"/>
  <c r="Z325" i="4" s="1"/>
  <c r="Y324" i="4"/>
  <c r="X324" i="4"/>
  <c r="W324" i="4"/>
  <c r="V324" i="4"/>
  <c r="U324" i="4"/>
  <c r="T324" i="4"/>
  <c r="O324" i="4"/>
  <c r="M324" i="4"/>
  <c r="L324" i="4"/>
  <c r="K324" i="4"/>
  <c r="Z324" i="4" s="1" a="1"/>
  <c r="Z324" i="4" s="1"/>
  <c r="Y323" i="4"/>
  <c r="X323" i="4"/>
  <c r="W323" i="4"/>
  <c r="V323" i="4"/>
  <c r="U323" i="4"/>
  <c r="T323" i="4"/>
  <c r="O323" i="4"/>
  <c r="M323" i="4"/>
  <c r="L323" i="4"/>
  <c r="K323" i="4"/>
  <c r="Z323" i="4" s="1" a="1"/>
  <c r="Z323" i="4" s="1"/>
  <c r="Y322" i="4"/>
  <c r="X322" i="4"/>
  <c r="W322" i="4"/>
  <c r="V322" i="4"/>
  <c r="U322" i="4"/>
  <c r="T322" i="4"/>
  <c r="O322" i="4"/>
  <c r="M322" i="4"/>
  <c r="L322" i="4"/>
  <c r="K322" i="4"/>
  <c r="Z322" i="4" s="1" a="1"/>
  <c r="Z322" i="4" s="1"/>
  <c r="Y321" i="4"/>
  <c r="X321" i="4"/>
  <c r="W321" i="4"/>
  <c r="V321" i="4"/>
  <c r="U321" i="4"/>
  <c r="T321" i="4"/>
  <c r="O321" i="4"/>
  <c r="M321" i="4"/>
  <c r="L321" i="4"/>
  <c r="K321" i="4"/>
  <c r="Z321" i="4" s="1" a="1"/>
  <c r="Z321" i="4" s="1"/>
  <c r="Y320" i="4"/>
  <c r="X320" i="4"/>
  <c r="W320" i="4"/>
  <c r="V320" i="4"/>
  <c r="U320" i="4"/>
  <c r="T320" i="4"/>
  <c r="O320" i="4"/>
  <c r="M320" i="4"/>
  <c r="L320" i="4"/>
  <c r="K320" i="4"/>
  <c r="Z320" i="4" s="1" a="1"/>
  <c r="Z320" i="4" s="1"/>
  <c r="Y319" i="4"/>
  <c r="X319" i="4"/>
  <c r="W319" i="4"/>
  <c r="V319" i="4"/>
  <c r="U319" i="4"/>
  <c r="T319" i="4"/>
  <c r="O319" i="4"/>
  <c r="M319" i="4"/>
  <c r="L319" i="4"/>
  <c r="K319" i="4"/>
  <c r="Z319" i="4" s="1" a="1"/>
  <c r="Z319" i="4" s="1"/>
  <c r="Y318" i="4"/>
  <c r="X318" i="4"/>
  <c r="W318" i="4"/>
  <c r="V318" i="4"/>
  <c r="U318" i="4"/>
  <c r="T318" i="4"/>
  <c r="O318" i="4"/>
  <c r="M318" i="4"/>
  <c r="L318" i="4"/>
  <c r="K318" i="4"/>
  <c r="Z318" i="4" s="1" a="1"/>
  <c r="Z318" i="4" s="1"/>
  <c r="Y317" i="4"/>
  <c r="X317" i="4"/>
  <c r="W317" i="4"/>
  <c r="V317" i="4"/>
  <c r="U317" i="4"/>
  <c r="T317" i="4"/>
  <c r="O317" i="4"/>
  <c r="M317" i="4"/>
  <c r="L317" i="4"/>
  <c r="K317" i="4"/>
  <c r="Z317" i="4" s="1" a="1"/>
  <c r="Z317" i="4" s="1"/>
  <c r="Y316" i="4"/>
  <c r="X316" i="4"/>
  <c r="W316" i="4"/>
  <c r="V316" i="4"/>
  <c r="U316" i="4"/>
  <c r="T316" i="4"/>
  <c r="O316" i="4"/>
  <c r="M316" i="4"/>
  <c r="L316" i="4"/>
  <c r="K316" i="4"/>
  <c r="Z316" i="4" s="1" a="1"/>
  <c r="Z316" i="4" s="1"/>
  <c r="Y315" i="4"/>
  <c r="X315" i="4"/>
  <c r="W315" i="4"/>
  <c r="V315" i="4"/>
  <c r="U315" i="4"/>
  <c r="T315" i="4"/>
  <c r="O315" i="4"/>
  <c r="M315" i="4"/>
  <c r="L315" i="4"/>
  <c r="K315" i="4"/>
  <c r="Z315" i="4" s="1" a="1"/>
  <c r="Z315" i="4" s="1"/>
  <c r="Y314" i="4"/>
  <c r="X314" i="4"/>
  <c r="W314" i="4"/>
  <c r="V314" i="4"/>
  <c r="U314" i="4"/>
  <c r="T314" i="4"/>
  <c r="O314" i="4"/>
  <c r="M314" i="4"/>
  <c r="L314" i="4"/>
  <c r="K314" i="4"/>
  <c r="Z314" i="4" s="1" a="1"/>
  <c r="Z314" i="4" s="1"/>
  <c r="Y313" i="4"/>
  <c r="X313" i="4"/>
  <c r="W313" i="4"/>
  <c r="V313" i="4"/>
  <c r="U313" i="4"/>
  <c r="T313" i="4"/>
  <c r="O313" i="4"/>
  <c r="M313" i="4"/>
  <c r="L313" i="4"/>
  <c r="K313" i="4"/>
  <c r="Z313" i="4" s="1" a="1"/>
  <c r="Z313" i="4" s="1"/>
  <c r="Y312" i="4"/>
  <c r="X312" i="4"/>
  <c r="W312" i="4"/>
  <c r="V312" i="4"/>
  <c r="U312" i="4"/>
  <c r="T312" i="4"/>
  <c r="O312" i="4"/>
  <c r="M312" i="4"/>
  <c r="L312" i="4"/>
  <c r="K312" i="4"/>
  <c r="Z312" i="4" s="1" a="1"/>
  <c r="Z312" i="4" s="1"/>
  <c r="Y311" i="4"/>
  <c r="X311" i="4"/>
  <c r="W311" i="4"/>
  <c r="V311" i="4"/>
  <c r="U311" i="4"/>
  <c r="T311" i="4"/>
  <c r="O311" i="4"/>
  <c r="M311" i="4"/>
  <c r="L311" i="4"/>
  <c r="K311" i="4"/>
  <c r="Z311" i="4" s="1" a="1"/>
  <c r="Z311" i="4" s="1"/>
  <c r="Y310" i="4"/>
  <c r="X310" i="4"/>
  <c r="W310" i="4"/>
  <c r="V310" i="4"/>
  <c r="U310" i="4"/>
  <c r="T310" i="4"/>
  <c r="O310" i="4"/>
  <c r="M310" i="4"/>
  <c r="L310" i="4"/>
  <c r="K310" i="4"/>
  <c r="Z310" i="4" s="1" a="1"/>
  <c r="Z310" i="4" s="1"/>
  <c r="Y309" i="4"/>
  <c r="X309" i="4"/>
  <c r="W309" i="4"/>
  <c r="V309" i="4"/>
  <c r="U309" i="4"/>
  <c r="T309" i="4"/>
  <c r="O309" i="4"/>
  <c r="M309" i="4"/>
  <c r="L309" i="4"/>
  <c r="K309" i="4"/>
  <c r="Z309" i="4" s="1" a="1"/>
  <c r="Z309" i="4" s="1"/>
  <c r="Y308" i="4"/>
  <c r="X308" i="4"/>
  <c r="W308" i="4"/>
  <c r="V308" i="4"/>
  <c r="U308" i="4"/>
  <c r="T308" i="4"/>
  <c r="O308" i="4"/>
  <c r="M308" i="4"/>
  <c r="L308" i="4"/>
  <c r="K308" i="4"/>
  <c r="Z308" i="4" s="1" a="1"/>
  <c r="Z308" i="4" s="1"/>
  <c r="Y307" i="4"/>
  <c r="X307" i="4"/>
  <c r="W307" i="4"/>
  <c r="V307" i="4"/>
  <c r="U307" i="4"/>
  <c r="T307" i="4"/>
  <c r="O307" i="4"/>
  <c r="M307" i="4"/>
  <c r="L307" i="4"/>
  <c r="K307" i="4"/>
  <c r="Z307" i="4" s="1" a="1"/>
  <c r="Z307" i="4" s="1"/>
  <c r="Y306" i="4"/>
  <c r="X306" i="4"/>
  <c r="W306" i="4"/>
  <c r="V306" i="4"/>
  <c r="U306" i="4"/>
  <c r="T306" i="4"/>
  <c r="O306" i="4"/>
  <c r="M306" i="4"/>
  <c r="L306" i="4"/>
  <c r="K306" i="4"/>
  <c r="Z306" i="4" s="1" a="1"/>
  <c r="Z306" i="4" s="1"/>
  <c r="Y305" i="4"/>
  <c r="X305" i="4"/>
  <c r="W305" i="4"/>
  <c r="V305" i="4"/>
  <c r="U305" i="4"/>
  <c r="T305" i="4"/>
  <c r="O305" i="4"/>
  <c r="M305" i="4"/>
  <c r="L305" i="4"/>
  <c r="K305" i="4"/>
  <c r="Z305" i="4" s="1" a="1"/>
  <c r="Z305" i="4" s="1"/>
  <c r="Y304" i="4"/>
  <c r="X304" i="4"/>
  <c r="W304" i="4"/>
  <c r="V304" i="4"/>
  <c r="U304" i="4"/>
  <c r="T304" i="4"/>
  <c r="O304" i="4"/>
  <c r="M304" i="4"/>
  <c r="L304" i="4"/>
  <c r="K304" i="4"/>
  <c r="Z304" i="4" s="1" a="1"/>
  <c r="Z304" i="4" s="1"/>
  <c r="Y303" i="4"/>
  <c r="X303" i="4"/>
  <c r="W303" i="4"/>
  <c r="V303" i="4"/>
  <c r="U303" i="4"/>
  <c r="T303" i="4"/>
  <c r="O303" i="4"/>
  <c r="M303" i="4"/>
  <c r="L303" i="4"/>
  <c r="K303" i="4"/>
  <c r="Z303" i="4" s="1" a="1"/>
  <c r="Z303" i="4" s="1"/>
  <c r="Y302" i="4"/>
  <c r="X302" i="4"/>
  <c r="W302" i="4"/>
  <c r="V302" i="4"/>
  <c r="U302" i="4"/>
  <c r="T302" i="4"/>
  <c r="O302" i="4"/>
  <c r="M302" i="4"/>
  <c r="L302" i="4"/>
  <c r="K302" i="4"/>
  <c r="Z302" i="4" s="1" a="1"/>
  <c r="Z302" i="4" s="1"/>
  <c r="Y301" i="4"/>
  <c r="X301" i="4"/>
  <c r="W301" i="4"/>
  <c r="V301" i="4"/>
  <c r="U301" i="4"/>
  <c r="T301" i="4"/>
  <c r="O301" i="4"/>
  <c r="M301" i="4"/>
  <c r="L301" i="4"/>
  <c r="K301" i="4"/>
  <c r="Z301" i="4" s="1" a="1"/>
  <c r="Z301" i="4" s="1"/>
  <c r="Y300" i="4"/>
  <c r="X300" i="4"/>
  <c r="W300" i="4"/>
  <c r="V300" i="4"/>
  <c r="U300" i="4"/>
  <c r="T300" i="4"/>
  <c r="O300" i="4"/>
  <c r="M300" i="4"/>
  <c r="L300" i="4"/>
  <c r="K300" i="4"/>
  <c r="Z300" i="4" s="1" a="1"/>
  <c r="Z300" i="4" s="1"/>
  <c r="Y299" i="4"/>
  <c r="X299" i="4"/>
  <c r="W299" i="4"/>
  <c r="V299" i="4"/>
  <c r="U299" i="4"/>
  <c r="T299" i="4"/>
  <c r="O299" i="4"/>
  <c r="M299" i="4"/>
  <c r="L299" i="4"/>
  <c r="K299" i="4"/>
  <c r="Z299" i="4" s="1" a="1"/>
  <c r="Z299" i="4" s="1"/>
  <c r="Y298" i="4"/>
  <c r="X298" i="4"/>
  <c r="W298" i="4"/>
  <c r="V298" i="4"/>
  <c r="U298" i="4"/>
  <c r="T298" i="4"/>
  <c r="O298" i="4"/>
  <c r="M298" i="4"/>
  <c r="L298" i="4"/>
  <c r="K298" i="4"/>
  <c r="Z298" i="4" s="1" a="1"/>
  <c r="Z298" i="4" s="1"/>
  <c r="Y297" i="4"/>
  <c r="X297" i="4"/>
  <c r="W297" i="4"/>
  <c r="V297" i="4"/>
  <c r="U297" i="4"/>
  <c r="T297" i="4"/>
  <c r="O297" i="4"/>
  <c r="M297" i="4"/>
  <c r="L297" i="4"/>
  <c r="K297" i="4"/>
  <c r="Z297" i="4" s="1" a="1"/>
  <c r="Z297" i="4" s="1"/>
  <c r="Y296" i="4"/>
  <c r="X296" i="4"/>
  <c r="W296" i="4"/>
  <c r="V296" i="4"/>
  <c r="U296" i="4"/>
  <c r="T296" i="4"/>
  <c r="O296" i="4"/>
  <c r="M296" i="4"/>
  <c r="L296" i="4"/>
  <c r="K296" i="4"/>
  <c r="Z296" i="4" s="1" a="1"/>
  <c r="Z296" i="4" s="1"/>
  <c r="Y295" i="4"/>
  <c r="X295" i="4"/>
  <c r="W295" i="4"/>
  <c r="V295" i="4"/>
  <c r="U295" i="4"/>
  <c r="T295" i="4"/>
  <c r="O295" i="4"/>
  <c r="M295" i="4"/>
  <c r="L295" i="4"/>
  <c r="K295" i="4"/>
  <c r="Z295" i="4" s="1" a="1"/>
  <c r="Z295" i="4" s="1"/>
  <c r="Y294" i="4"/>
  <c r="X294" i="4"/>
  <c r="W294" i="4"/>
  <c r="V294" i="4"/>
  <c r="U294" i="4"/>
  <c r="T294" i="4"/>
  <c r="O294" i="4"/>
  <c r="M294" i="4"/>
  <c r="L294" i="4"/>
  <c r="K294" i="4"/>
  <c r="Z294" i="4" s="1" a="1"/>
  <c r="Z294" i="4" s="1"/>
  <c r="Y293" i="4"/>
  <c r="X293" i="4"/>
  <c r="W293" i="4"/>
  <c r="V293" i="4"/>
  <c r="U293" i="4"/>
  <c r="T293" i="4"/>
  <c r="O293" i="4"/>
  <c r="M293" i="4"/>
  <c r="L293" i="4"/>
  <c r="K293" i="4"/>
  <c r="Z293" i="4" s="1" a="1"/>
  <c r="Z293" i="4" s="1"/>
  <c r="Y292" i="4"/>
  <c r="X292" i="4"/>
  <c r="W292" i="4"/>
  <c r="V292" i="4"/>
  <c r="U292" i="4"/>
  <c r="T292" i="4"/>
  <c r="O292" i="4"/>
  <c r="M292" i="4"/>
  <c r="L292" i="4"/>
  <c r="K292" i="4"/>
  <c r="Z292" i="4" s="1" a="1"/>
  <c r="Z292" i="4" s="1"/>
  <c r="Y291" i="4"/>
  <c r="X291" i="4"/>
  <c r="W291" i="4"/>
  <c r="V291" i="4"/>
  <c r="U291" i="4"/>
  <c r="T291" i="4"/>
  <c r="O291" i="4"/>
  <c r="M291" i="4"/>
  <c r="L291" i="4"/>
  <c r="K291" i="4"/>
  <c r="Z291" i="4" s="1" a="1"/>
  <c r="Z291" i="4" s="1"/>
  <c r="Y290" i="4"/>
  <c r="X290" i="4"/>
  <c r="W290" i="4"/>
  <c r="V290" i="4"/>
  <c r="U290" i="4"/>
  <c r="T290" i="4"/>
  <c r="O290" i="4"/>
  <c r="M290" i="4"/>
  <c r="L290" i="4"/>
  <c r="K290" i="4"/>
  <c r="Z290" i="4" s="1" a="1"/>
  <c r="Z290" i="4" s="1"/>
  <c r="Y289" i="4"/>
  <c r="X289" i="4"/>
  <c r="W289" i="4"/>
  <c r="V289" i="4"/>
  <c r="U289" i="4"/>
  <c r="T289" i="4"/>
  <c r="O289" i="4"/>
  <c r="M289" i="4"/>
  <c r="L289" i="4"/>
  <c r="K289" i="4"/>
  <c r="Z289" i="4" s="1" a="1"/>
  <c r="Z289" i="4" s="1"/>
  <c r="Y288" i="4"/>
  <c r="X288" i="4"/>
  <c r="W288" i="4"/>
  <c r="V288" i="4"/>
  <c r="U288" i="4"/>
  <c r="T288" i="4"/>
  <c r="O288" i="4"/>
  <c r="M288" i="4"/>
  <c r="L288" i="4"/>
  <c r="K288" i="4"/>
  <c r="Z288" i="4" s="1" a="1"/>
  <c r="Z288" i="4" s="1"/>
  <c r="Y287" i="4"/>
  <c r="X287" i="4"/>
  <c r="W287" i="4"/>
  <c r="V287" i="4"/>
  <c r="U287" i="4"/>
  <c r="T287" i="4"/>
  <c r="O287" i="4"/>
  <c r="M287" i="4"/>
  <c r="L287" i="4"/>
  <c r="K287" i="4"/>
  <c r="Z287" i="4" s="1" a="1"/>
  <c r="Z287" i="4" s="1"/>
  <c r="Y286" i="4"/>
  <c r="X286" i="4"/>
  <c r="W286" i="4"/>
  <c r="V286" i="4"/>
  <c r="U286" i="4"/>
  <c r="T286" i="4"/>
  <c r="O286" i="4"/>
  <c r="M286" i="4"/>
  <c r="L286" i="4"/>
  <c r="K286" i="4"/>
  <c r="Z286" i="4" s="1" a="1"/>
  <c r="Z286" i="4" s="1"/>
  <c r="Y285" i="4"/>
  <c r="X285" i="4"/>
  <c r="W285" i="4"/>
  <c r="V285" i="4"/>
  <c r="U285" i="4"/>
  <c r="T285" i="4"/>
  <c r="O285" i="4"/>
  <c r="M285" i="4"/>
  <c r="L285" i="4"/>
  <c r="K285" i="4"/>
  <c r="Z285" i="4" s="1" a="1"/>
  <c r="Z285" i="4" s="1"/>
  <c r="Y284" i="4"/>
  <c r="X284" i="4"/>
  <c r="W284" i="4"/>
  <c r="V284" i="4"/>
  <c r="U284" i="4"/>
  <c r="T284" i="4"/>
  <c r="O284" i="4"/>
  <c r="M284" i="4"/>
  <c r="L284" i="4"/>
  <c r="K284" i="4"/>
  <c r="Z284" i="4" s="1" a="1"/>
  <c r="Z284" i="4" s="1"/>
  <c r="Y283" i="4"/>
  <c r="X283" i="4"/>
  <c r="W283" i="4"/>
  <c r="V283" i="4"/>
  <c r="U283" i="4"/>
  <c r="T283" i="4"/>
  <c r="O283" i="4"/>
  <c r="M283" i="4"/>
  <c r="L283" i="4"/>
  <c r="K283" i="4"/>
  <c r="Z283" i="4" s="1" a="1"/>
  <c r="Z283" i="4" s="1"/>
  <c r="Y282" i="4"/>
  <c r="X282" i="4"/>
  <c r="W282" i="4"/>
  <c r="V282" i="4"/>
  <c r="U282" i="4"/>
  <c r="T282" i="4"/>
  <c r="O282" i="4"/>
  <c r="M282" i="4"/>
  <c r="L282" i="4"/>
  <c r="K282" i="4"/>
  <c r="Z282" i="4" s="1" a="1"/>
  <c r="Z282" i="4" s="1"/>
  <c r="Y281" i="4"/>
  <c r="X281" i="4"/>
  <c r="W281" i="4"/>
  <c r="V281" i="4"/>
  <c r="U281" i="4"/>
  <c r="T281" i="4"/>
  <c r="O281" i="4"/>
  <c r="M281" i="4"/>
  <c r="L281" i="4"/>
  <c r="K281" i="4"/>
  <c r="Z281" i="4" s="1" a="1"/>
  <c r="Z281" i="4" s="1"/>
  <c r="Y280" i="4"/>
  <c r="X280" i="4"/>
  <c r="W280" i="4"/>
  <c r="V280" i="4"/>
  <c r="U280" i="4"/>
  <c r="T280" i="4"/>
  <c r="O280" i="4"/>
  <c r="M280" i="4"/>
  <c r="L280" i="4"/>
  <c r="K280" i="4"/>
  <c r="Z280" i="4" s="1" a="1"/>
  <c r="Z280" i="4" s="1"/>
  <c r="Y279" i="4"/>
  <c r="X279" i="4"/>
  <c r="W279" i="4"/>
  <c r="V279" i="4"/>
  <c r="U279" i="4"/>
  <c r="T279" i="4"/>
  <c r="O279" i="4"/>
  <c r="M279" i="4"/>
  <c r="L279" i="4"/>
  <c r="K279" i="4"/>
  <c r="Z279" i="4" s="1" a="1"/>
  <c r="Z279" i="4" s="1"/>
  <c r="Y278" i="4"/>
  <c r="X278" i="4"/>
  <c r="W278" i="4"/>
  <c r="V278" i="4"/>
  <c r="U278" i="4"/>
  <c r="T278" i="4"/>
  <c r="O278" i="4"/>
  <c r="M278" i="4"/>
  <c r="L278" i="4"/>
  <c r="K278" i="4"/>
  <c r="Z278" i="4" s="1" a="1"/>
  <c r="Z278" i="4" s="1"/>
  <c r="Y277" i="4"/>
  <c r="X277" i="4"/>
  <c r="W277" i="4"/>
  <c r="V277" i="4"/>
  <c r="U277" i="4"/>
  <c r="T277" i="4"/>
  <c r="O277" i="4"/>
  <c r="M277" i="4"/>
  <c r="L277" i="4"/>
  <c r="K277" i="4"/>
  <c r="Z277" i="4" s="1" a="1"/>
  <c r="Z277" i="4" s="1"/>
  <c r="Y276" i="4"/>
  <c r="X276" i="4"/>
  <c r="W276" i="4"/>
  <c r="V276" i="4"/>
  <c r="U276" i="4"/>
  <c r="T276" i="4"/>
  <c r="O276" i="4"/>
  <c r="M276" i="4"/>
  <c r="L276" i="4"/>
  <c r="K276" i="4"/>
  <c r="Z276" i="4" s="1" a="1"/>
  <c r="Z276" i="4" s="1"/>
  <c r="Y275" i="4"/>
  <c r="X275" i="4"/>
  <c r="W275" i="4"/>
  <c r="V275" i="4"/>
  <c r="U275" i="4"/>
  <c r="T275" i="4"/>
  <c r="O275" i="4"/>
  <c r="M275" i="4"/>
  <c r="L275" i="4"/>
  <c r="K275" i="4"/>
  <c r="Z275" i="4" s="1" a="1"/>
  <c r="Z275" i="4" s="1"/>
  <c r="Y274" i="4"/>
  <c r="X274" i="4"/>
  <c r="W274" i="4"/>
  <c r="V274" i="4"/>
  <c r="U274" i="4"/>
  <c r="T274" i="4"/>
  <c r="O274" i="4"/>
  <c r="M274" i="4"/>
  <c r="L274" i="4"/>
  <c r="K274" i="4"/>
  <c r="Z274" i="4" s="1" a="1"/>
  <c r="Z274" i="4" s="1"/>
  <c r="Y273" i="4"/>
  <c r="X273" i="4"/>
  <c r="W273" i="4"/>
  <c r="V273" i="4"/>
  <c r="U273" i="4"/>
  <c r="T273" i="4"/>
  <c r="O273" i="4"/>
  <c r="M273" i="4"/>
  <c r="L273" i="4"/>
  <c r="K273" i="4"/>
  <c r="Z273" i="4" s="1" a="1"/>
  <c r="Z273" i="4" s="1"/>
  <c r="Y272" i="4"/>
  <c r="X272" i="4"/>
  <c r="W272" i="4"/>
  <c r="V272" i="4"/>
  <c r="U272" i="4"/>
  <c r="T272" i="4"/>
  <c r="O272" i="4"/>
  <c r="M272" i="4"/>
  <c r="L272" i="4"/>
  <c r="K272" i="4"/>
  <c r="Z272" i="4" s="1" a="1"/>
  <c r="Z272" i="4" s="1"/>
  <c r="Y271" i="4"/>
  <c r="X271" i="4"/>
  <c r="W271" i="4"/>
  <c r="V271" i="4"/>
  <c r="U271" i="4"/>
  <c r="T271" i="4"/>
  <c r="O271" i="4"/>
  <c r="M271" i="4"/>
  <c r="L271" i="4"/>
  <c r="K271" i="4"/>
  <c r="Z271" i="4" s="1" a="1"/>
  <c r="Z271" i="4" s="1"/>
  <c r="Y270" i="4"/>
  <c r="X270" i="4"/>
  <c r="W270" i="4"/>
  <c r="V270" i="4"/>
  <c r="U270" i="4"/>
  <c r="T270" i="4"/>
  <c r="O270" i="4"/>
  <c r="M270" i="4"/>
  <c r="L270" i="4"/>
  <c r="K270" i="4"/>
  <c r="Z270" i="4" s="1" a="1"/>
  <c r="Z270" i="4" s="1"/>
  <c r="Y269" i="4"/>
  <c r="X269" i="4"/>
  <c r="W269" i="4"/>
  <c r="V269" i="4"/>
  <c r="U269" i="4"/>
  <c r="T269" i="4"/>
  <c r="O269" i="4"/>
  <c r="M269" i="4"/>
  <c r="L269" i="4"/>
  <c r="K269" i="4"/>
  <c r="Z269" i="4" s="1" a="1"/>
  <c r="Z269" i="4" s="1"/>
  <c r="Y268" i="4"/>
  <c r="X268" i="4"/>
  <c r="W268" i="4"/>
  <c r="V268" i="4"/>
  <c r="U268" i="4"/>
  <c r="T268" i="4"/>
  <c r="O268" i="4"/>
  <c r="M268" i="4"/>
  <c r="L268" i="4"/>
  <c r="K268" i="4"/>
  <c r="Z268" i="4" s="1" a="1"/>
  <c r="Z268" i="4" s="1"/>
  <c r="Y267" i="4"/>
  <c r="X267" i="4"/>
  <c r="W267" i="4"/>
  <c r="V267" i="4"/>
  <c r="U267" i="4"/>
  <c r="T267" i="4"/>
  <c r="O267" i="4"/>
  <c r="M267" i="4"/>
  <c r="L267" i="4"/>
  <c r="K267" i="4"/>
  <c r="Z267" i="4" s="1" a="1"/>
  <c r="Z267" i="4" s="1"/>
  <c r="Y266" i="4"/>
  <c r="X266" i="4"/>
  <c r="W266" i="4"/>
  <c r="V266" i="4"/>
  <c r="U266" i="4"/>
  <c r="T266" i="4"/>
  <c r="O266" i="4"/>
  <c r="M266" i="4"/>
  <c r="L266" i="4"/>
  <c r="K266" i="4"/>
  <c r="Z266" i="4" s="1" a="1"/>
  <c r="Z266" i="4" s="1"/>
  <c r="Y265" i="4"/>
  <c r="X265" i="4"/>
  <c r="W265" i="4"/>
  <c r="V265" i="4"/>
  <c r="U265" i="4"/>
  <c r="T265" i="4"/>
  <c r="O265" i="4"/>
  <c r="M265" i="4"/>
  <c r="L265" i="4"/>
  <c r="K265" i="4"/>
  <c r="Z265" i="4" s="1" a="1"/>
  <c r="Z265" i="4" s="1"/>
  <c r="Y264" i="4"/>
  <c r="X264" i="4"/>
  <c r="W264" i="4"/>
  <c r="V264" i="4"/>
  <c r="U264" i="4"/>
  <c r="T264" i="4"/>
  <c r="O264" i="4"/>
  <c r="M264" i="4"/>
  <c r="L264" i="4"/>
  <c r="K264" i="4"/>
  <c r="Z264" i="4" s="1" a="1"/>
  <c r="Z264" i="4" s="1"/>
  <c r="Y263" i="4"/>
  <c r="X263" i="4"/>
  <c r="W263" i="4"/>
  <c r="V263" i="4"/>
  <c r="U263" i="4"/>
  <c r="T263" i="4"/>
  <c r="O263" i="4"/>
  <c r="M263" i="4"/>
  <c r="L263" i="4"/>
  <c r="K263" i="4"/>
  <c r="Z263" i="4" s="1" a="1"/>
  <c r="Z263" i="4" s="1"/>
  <c r="Y262" i="4"/>
  <c r="X262" i="4"/>
  <c r="W262" i="4"/>
  <c r="V262" i="4"/>
  <c r="U262" i="4"/>
  <c r="T262" i="4"/>
  <c r="O262" i="4"/>
  <c r="M262" i="4"/>
  <c r="L262" i="4"/>
  <c r="K262" i="4"/>
  <c r="Z262" i="4" s="1" a="1"/>
  <c r="Z262" i="4" s="1"/>
  <c r="Y261" i="4"/>
  <c r="X261" i="4"/>
  <c r="W261" i="4"/>
  <c r="V261" i="4"/>
  <c r="U261" i="4"/>
  <c r="T261" i="4"/>
  <c r="O261" i="4"/>
  <c r="M261" i="4"/>
  <c r="L261" i="4"/>
  <c r="K261" i="4"/>
  <c r="Z261" i="4" s="1" a="1"/>
  <c r="Z261" i="4" s="1"/>
  <c r="Y260" i="4"/>
  <c r="X260" i="4"/>
  <c r="W260" i="4"/>
  <c r="V260" i="4"/>
  <c r="U260" i="4"/>
  <c r="T260" i="4"/>
  <c r="O260" i="4"/>
  <c r="M260" i="4"/>
  <c r="L260" i="4"/>
  <c r="K260" i="4"/>
  <c r="Z260" i="4" s="1" a="1"/>
  <c r="Z260" i="4" s="1"/>
  <c r="Y259" i="4"/>
  <c r="X259" i="4"/>
  <c r="W259" i="4"/>
  <c r="V259" i="4"/>
  <c r="U259" i="4"/>
  <c r="T259" i="4"/>
  <c r="O259" i="4"/>
  <c r="M259" i="4"/>
  <c r="L259" i="4"/>
  <c r="K259" i="4"/>
  <c r="Z259" i="4" s="1" a="1"/>
  <c r="Z259" i="4" s="1"/>
  <c r="Y258" i="4"/>
  <c r="X258" i="4"/>
  <c r="W258" i="4"/>
  <c r="V258" i="4"/>
  <c r="U258" i="4"/>
  <c r="T258" i="4"/>
  <c r="O258" i="4"/>
  <c r="M258" i="4"/>
  <c r="L258" i="4"/>
  <c r="K258" i="4"/>
  <c r="Z258" i="4" s="1" a="1"/>
  <c r="Z258" i="4" s="1"/>
  <c r="Y257" i="4"/>
  <c r="X257" i="4"/>
  <c r="W257" i="4"/>
  <c r="V257" i="4"/>
  <c r="U257" i="4"/>
  <c r="T257" i="4"/>
  <c r="O257" i="4"/>
  <c r="M257" i="4"/>
  <c r="L257" i="4"/>
  <c r="K257" i="4"/>
  <c r="Z257" i="4" s="1" a="1"/>
  <c r="Z257" i="4" s="1"/>
  <c r="Y256" i="4"/>
  <c r="X256" i="4"/>
  <c r="W256" i="4"/>
  <c r="V256" i="4"/>
  <c r="U256" i="4"/>
  <c r="T256" i="4"/>
  <c r="O256" i="4"/>
  <c r="M256" i="4"/>
  <c r="L256" i="4"/>
  <c r="K256" i="4"/>
  <c r="Z256" i="4" s="1" a="1"/>
  <c r="Z256" i="4" s="1"/>
  <c r="Y255" i="4"/>
  <c r="X255" i="4"/>
  <c r="W255" i="4"/>
  <c r="V255" i="4"/>
  <c r="U255" i="4"/>
  <c r="T255" i="4"/>
  <c r="O255" i="4"/>
  <c r="M255" i="4"/>
  <c r="L255" i="4"/>
  <c r="K255" i="4"/>
  <c r="Z255" i="4" s="1" a="1"/>
  <c r="Z255" i="4" s="1"/>
  <c r="Y254" i="4"/>
  <c r="X254" i="4"/>
  <c r="W254" i="4"/>
  <c r="V254" i="4"/>
  <c r="U254" i="4"/>
  <c r="T254" i="4"/>
  <c r="O254" i="4"/>
  <c r="M254" i="4"/>
  <c r="L254" i="4"/>
  <c r="K254" i="4"/>
  <c r="Z254" i="4" s="1" a="1"/>
  <c r="Z254" i="4" s="1"/>
  <c r="Y253" i="4"/>
  <c r="X253" i="4"/>
  <c r="W253" i="4"/>
  <c r="V253" i="4"/>
  <c r="U253" i="4"/>
  <c r="T253" i="4"/>
  <c r="O253" i="4"/>
  <c r="M253" i="4"/>
  <c r="L253" i="4"/>
  <c r="K253" i="4"/>
  <c r="Z253" i="4" s="1" a="1"/>
  <c r="Z253" i="4" s="1"/>
  <c r="Y252" i="4"/>
  <c r="X252" i="4"/>
  <c r="W252" i="4"/>
  <c r="V252" i="4"/>
  <c r="U252" i="4"/>
  <c r="T252" i="4"/>
  <c r="O252" i="4"/>
  <c r="M252" i="4"/>
  <c r="L252" i="4"/>
  <c r="K252" i="4"/>
  <c r="Z252" i="4" s="1" a="1"/>
  <c r="Z252" i="4" s="1"/>
  <c r="Y251" i="4"/>
  <c r="X251" i="4"/>
  <c r="W251" i="4"/>
  <c r="V251" i="4"/>
  <c r="U251" i="4"/>
  <c r="T251" i="4"/>
  <c r="O251" i="4"/>
  <c r="M251" i="4"/>
  <c r="L251" i="4"/>
  <c r="K251" i="4"/>
  <c r="Z251" i="4" s="1" a="1"/>
  <c r="Z251" i="4" s="1"/>
  <c r="Y250" i="4"/>
  <c r="X250" i="4"/>
  <c r="W250" i="4"/>
  <c r="V250" i="4"/>
  <c r="U250" i="4"/>
  <c r="T250" i="4"/>
  <c r="O250" i="4"/>
  <c r="M250" i="4"/>
  <c r="L250" i="4"/>
  <c r="K250" i="4"/>
  <c r="Z250" i="4" s="1" a="1"/>
  <c r="Z250" i="4" s="1"/>
  <c r="Y249" i="4"/>
  <c r="X249" i="4"/>
  <c r="W249" i="4"/>
  <c r="V249" i="4"/>
  <c r="U249" i="4"/>
  <c r="T249" i="4"/>
  <c r="O249" i="4"/>
  <c r="M249" i="4"/>
  <c r="L249" i="4"/>
  <c r="K249" i="4"/>
  <c r="Z249" i="4" s="1" a="1"/>
  <c r="Z249" i="4" s="1"/>
  <c r="Y248" i="4"/>
  <c r="X248" i="4"/>
  <c r="W248" i="4"/>
  <c r="V248" i="4"/>
  <c r="U248" i="4"/>
  <c r="T248" i="4"/>
  <c r="O248" i="4"/>
  <c r="M248" i="4"/>
  <c r="L248" i="4"/>
  <c r="K248" i="4"/>
  <c r="Z248" i="4" s="1" a="1"/>
  <c r="Z248" i="4" s="1"/>
  <c r="Y247" i="4"/>
  <c r="X247" i="4"/>
  <c r="W247" i="4"/>
  <c r="V247" i="4"/>
  <c r="U247" i="4"/>
  <c r="T247" i="4"/>
  <c r="O247" i="4"/>
  <c r="M247" i="4"/>
  <c r="L247" i="4"/>
  <c r="K247" i="4"/>
  <c r="Z247" i="4" s="1" a="1"/>
  <c r="Z247" i="4" s="1"/>
  <c r="Y246" i="4"/>
  <c r="X246" i="4"/>
  <c r="W246" i="4"/>
  <c r="V246" i="4"/>
  <c r="U246" i="4"/>
  <c r="T246" i="4"/>
  <c r="O246" i="4"/>
  <c r="M246" i="4"/>
  <c r="L246" i="4"/>
  <c r="K246" i="4"/>
  <c r="Z246" i="4" s="1" a="1"/>
  <c r="Z246" i="4" s="1"/>
  <c r="Y245" i="4"/>
  <c r="X245" i="4"/>
  <c r="W245" i="4"/>
  <c r="V245" i="4"/>
  <c r="U245" i="4"/>
  <c r="T245" i="4"/>
  <c r="O245" i="4"/>
  <c r="M245" i="4"/>
  <c r="L245" i="4"/>
  <c r="K245" i="4"/>
  <c r="Z245" i="4" s="1" a="1"/>
  <c r="Z245" i="4" s="1"/>
  <c r="Y244" i="4"/>
  <c r="X244" i="4"/>
  <c r="W244" i="4"/>
  <c r="V244" i="4"/>
  <c r="U244" i="4"/>
  <c r="T244" i="4"/>
  <c r="O244" i="4"/>
  <c r="M244" i="4"/>
  <c r="L244" i="4"/>
  <c r="K244" i="4"/>
  <c r="Z244" i="4" s="1" a="1"/>
  <c r="Z244" i="4" s="1"/>
  <c r="Y243" i="4"/>
  <c r="X243" i="4"/>
  <c r="W243" i="4"/>
  <c r="V243" i="4"/>
  <c r="U243" i="4"/>
  <c r="T243" i="4"/>
  <c r="O243" i="4"/>
  <c r="M243" i="4"/>
  <c r="L243" i="4"/>
  <c r="K243" i="4"/>
  <c r="Z243" i="4" s="1" a="1"/>
  <c r="Z243" i="4" s="1"/>
  <c r="Y242" i="4"/>
  <c r="X242" i="4"/>
  <c r="W242" i="4"/>
  <c r="V242" i="4"/>
  <c r="U242" i="4"/>
  <c r="T242" i="4"/>
  <c r="O242" i="4"/>
  <c r="M242" i="4"/>
  <c r="L242" i="4"/>
  <c r="K242" i="4"/>
  <c r="Z242" i="4" s="1" a="1"/>
  <c r="Z242" i="4" s="1"/>
  <c r="Y241" i="4"/>
  <c r="X241" i="4"/>
  <c r="W241" i="4"/>
  <c r="V241" i="4"/>
  <c r="U241" i="4"/>
  <c r="T241" i="4"/>
  <c r="O241" i="4"/>
  <c r="M241" i="4"/>
  <c r="L241" i="4"/>
  <c r="K241" i="4"/>
  <c r="Z241" i="4" s="1" a="1"/>
  <c r="Z241" i="4" s="1"/>
  <c r="Y240" i="4"/>
  <c r="X240" i="4"/>
  <c r="W240" i="4"/>
  <c r="V240" i="4"/>
  <c r="U240" i="4"/>
  <c r="T240" i="4"/>
  <c r="O240" i="4"/>
  <c r="M240" i="4"/>
  <c r="L240" i="4"/>
  <c r="K240" i="4"/>
  <c r="Z240" i="4" s="1" a="1"/>
  <c r="Z240" i="4" s="1"/>
  <c r="Y239" i="4"/>
  <c r="X239" i="4"/>
  <c r="W239" i="4"/>
  <c r="V239" i="4"/>
  <c r="U239" i="4"/>
  <c r="T239" i="4"/>
  <c r="O239" i="4"/>
  <c r="M239" i="4"/>
  <c r="L239" i="4"/>
  <c r="K239" i="4"/>
  <c r="Z239" i="4" s="1" a="1"/>
  <c r="Z239" i="4" s="1"/>
  <c r="Y238" i="4"/>
  <c r="X238" i="4"/>
  <c r="W238" i="4"/>
  <c r="V238" i="4"/>
  <c r="U238" i="4"/>
  <c r="T238" i="4"/>
  <c r="O238" i="4"/>
  <c r="M238" i="4"/>
  <c r="L238" i="4"/>
  <c r="K238" i="4"/>
  <c r="Z238" i="4" s="1" a="1"/>
  <c r="Z238" i="4" s="1"/>
  <c r="Y237" i="4"/>
  <c r="X237" i="4"/>
  <c r="W237" i="4"/>
  <c r="V237" i="4"/>
  <c r="U237" i="4"/>
  <c r="T237" i="4"/>
  <c r="O237" i="4"/>
  <c r="M237" i="4"/>
  <c r="L237" i="4"/>
  <c r="K237" i="4"/>
  <c r="Z237" i="4" s="1" a="1"/>
  <c r="Z237" i="4" s="1"/>
  <c r="Y236" i="4"/>
  <c r="X236" i="4"/>
  <c r="W236" i="4"/>
  <c r="V236" i="4"/>
  <c r="U236" i="4"/>
  <c r="T236" i="4"/>
  <c r="O236" i="4"/>
  <c r="M236" i="4"/>
  <c r="L236" i="4"/>
  <c r="K236" i="4"/>
  <c r="Z236" i="4" s="1" a="1"/>
  <c r="Z236" i="4" s="1"/>
  <c r="Y235" i="4"/>
  <c r="X235" i="4"/>
  <c r="W235" i="4"/>
  <c r="V235" i="4"/>
  <c r="U235" i="4"/>
  <c r="T235" i="4"/>
  <c r="O235" i="4"/>
  <c r="M235" i="4"/>
  <c r="L235" i="4"/>
  <c r="K235" i="4"/>
  <c r="Z235" i="4" s="1" a="1"/>
  <c r="Z235" i="4" s="1"/>
  <c r="Y234" i="4"/>
  <c r="X234" i="4"/>
  <c r="W234" i="4"/>
  <c r="V234" i="4"/>
  <c r="U234" i="4"/>
  <c r="T234" i="4"/>
  <c r="O234" i="4"/>
  <c r="M234" i="4"/>
  <c r="L234" i="4"/>
  <c r="K234" i="4"/>
  <c r="Z234" i="4" s="1" a="1"/>
  <c r="Z234" i="4" s="1"/>
  <c r="Y233" i="4"/>
  <c r="X233" i="4"/>
  <c r="W233" i="4"/>
  <c r="V233" i="4"/>
  <c r="U233" i="4"/>
  <c r="T233" i="4"/>
  <c r="O233" i="4"/>
  <c r="M233" i="4"/>
  <c r="L233" i="4"/>
  <c r="K233" i="4"/>
  <c r="Z233" i="4" s="1" a="1"/>
  <c r="Z233" i="4" s="1"/>
  <c r="Y232" i="4"/>
  <c r="X232" i="4"/>
  <c r="W232" i="4"/>
  <c r="V232" i="4"/>
  <c r="U232" i="4"/>
  <c r="T232" i="4"/>
  <c r="O232" i="4"/>
  <c r="M232" i="4"/>
  <c r="L232" i="4"/>
  <c r="K232" i="4"/>
  <c r="Z232" i="4" s="1" a="1"/>
  <c r="Z232" i="4" s="1"/>
  <c r="Y231" i="4"/>
  <c r="X231" i="4"/>
  <c r="W231" i="4"/>
  <c r="V231" i="4"/>
  <c r="U231" i="4"/>
  <c r="T231" i="4"/>
  <c r="O231" i="4"/>
  <c r="M231" i="4"/>
  <c r="L231" i="4"/>
  <c r="K231" i="4"/>
  <c r="Z231" i="4" s="1" a="1"/>
  <c r="Z231" i="4" s="1"/>
  <c r="Y230" i="4"/>
  <c r="X230" i="4"/>
  <c r="W230" i="4"/>
  <c r="V230" i="4"/>
  <c r="U230" i="4"/>
  <c r="T230" i="4"/>
  <c r="O230" i="4"/>
  <c r="M230" i="4"/>
  <c r="L230" i="4"/>
  <c r="K230" i="4"/>
  <c r="Z230" i="4" s="1" a="1"/>
  <c r="Z230" i="4" s="1"/>
  <c r="Y229" i="4"/>
  <c r="X229" i="4"/>
  <c r="W229" i="4"/>
  <c r="V229" i="4"/>
  <c r="U229" i="4"/>
  <c r="T229" i="4"/>
  <c r="O229" i="4"/>
  <c r="M229" i="4"/>
  <c r="L229" i="4"/>
  <c r="K229" i="4"/>
  <c r="Z229" i="4" s="1" a="1"/>
  <c r="Z229" i="4" s="1"/>
  <c r="Y228" i="4"/>
  <c r="X228" i="4"/>
  <c r="W228" i="4"/>
  <c r="V228" i="4"/>
  <c r="U228" i="4"/>
  <c r="T228" i="4"/>
  <c r="O228" i="4"/>
  <c r="M228" i="4"/>
  <c r="L228" i="4"/>
  <c r="K228" i="4"/>
  <c r="Z228" i="4" s="1" a="1"/>
  <c r="Z228" i="4" s="1"/>
  <c r="Y227" i="4"/>
  <c r="X227" i="4"/>
  <c r="W227" i="4"/>
  <c r="V227" i="4"/>
  <c r="U227" i="4"/>
  <c r="T227" i="4"/>
  <c r="O227" i="4"/>
  <c r="M227" i="4"/>
  <c r="L227" i="4"/>
  <c r="K227" i="4"/>
  <c r="Z227" i="4" s="1" a="1"/>
  <c r="Z227" i="4" s="1"/>
  <c r="Y226" i="4"/>
  <c r="X226" i="4"/>
  <c r="W226" i="4"/>
  <c r="V226" i="4"/>
  <c r="U226" i="4"/>
  <c r="T226" i="4"/>
  <c r="O226" i="4"/>
  <c r="M226" i="4"/>
  <c r="L226" i="4"/>
  <c r="K226" i="4"/>
  <c r="Z226" i="4" s="1" a="1"/>
  <c r="Z226" i="4" s="1"/>
  <c r="Y225" i="4"/>
  <c r="X225" i="4"/>
  <c r="W225" i="4"/>
  <c r="V225" i="4"/>
  <c r="U225" i="4"/>
  <c r="T225" i="4"/>
  <c r="O225" i="4"/>
  <c r="M225" i="4"/>
  <c r="L225" i="4"/>
  <c r="K225" i="4"/>
  <c r="Z225" i="4" s="1" a="1"/>
  <c r="Z225" i="4" s="1"/>
  <c r="Y224" i="4"/>
  <c r="X224" i="4"/>
  <c r="W224" i="4"/>
  <c r="V224" i="4"/>
  <c r="U224" i="4"/>
  <c r="T224" i="4"/>
  <c r="O224" i="4"/>
  <c r="M224" i="4"/>
  <c r="L224" i="4"/>
  <c r="K224" i="4"/>
  <c r="Z224" i="4" s="1" a="1"/>
  <c r="Z224" i="4" s="1"/>
  <c r="Y223" i="4"/>
  <c r="X223" i="4"/>
  <c r="W223" i="4"/>
  <c r="V223" i="4"/>
  <c r="U223" i="4"/>
  <c r="T223" i="4"/>
  <c r="O223" i="4"/>
  <c r="M223" i="4"/>
  <c r="L223" i="4"/>
  <c r="K223" i="4"/>
  <c r="Z223" i="4" s="1" a="1"/>
  <c r="Z223" i="4" s="1"/>
  <c r="Y222" i="4"/>
  <c r="X222" i="4"/>
  <c r="W222" i="4"/>
  <c r="V222" i="4"/>
  <c r="U222" i="4"/>
  <c r="T222" i="4"/>
  <c r="O222" i="4"/>
  <c r="M222" i="4"/>
  <c r="L222" i="4"/>
  <c r="K222" i="4"/>
  <c r="Z222" i="4" s="1" a="1"/>
  <c r="Z222" i="4" s="1"/>
  <c r="Y221" i="4"/>
  <c r="X221" i="4"/>
  <c r="W221" i="4"/>
  <c r="V221" i="4"/>
  <c r="U221" i="4"/>
  <c r="T221" i="4"/>
  <c r="O221" i="4"/>
  <c r="M221" i="4"/>
  <c r="L221" i="4"/>
  <c r="K221" i="4"/>
  <c r="Z221" i="4" s="1" a="1"/>
  <c r="Z221" i="4" s="1"/>
  <c r="Y220" i="4"/>
  <c r="X220" i="4"/>
  <c r="W220" i="4"/>
  <c r="V220" i="4"/>
  <c r="U220" i="4"/>
  <c r="T220" i="4"/>
  <c r="O220" i="4"/>
  <c r="M220" i="4"/>
  <c r="L220" i="4"/>
  <c r="K220" i="4"/>
  <c r="Z220" i="4" s="1" a="1"/>
  <c r="Z220" i="4" s="1"/>
  <c r="Y219" i="4"/>
  <c r="X219" i="4"/>
  <c r="W219" i="4"/>
  <c r="V219" i="4"/>
  <c r="U219" i="4"/>
  <c r="T219" i="4"/>
  <c r="O219" i="4"/>
  <c r="M219" i="4"/>
  <c r="L219" i="4"/>
  <c r="K219" i="4"/>
  <c r="Z219" i="4" s="1" a="1"/>
  <c r="Z219" i="4" s="1"/>
  <c r="Y218" i="4"/>
  <c r="X218" i="4"/>
  <c r="W218" i="4"/>
  <c r="V218" i="4"/>
  <c r="U218" i="4"/>
  <c r="T218" i="4"/>
  <c r="O218" i="4"/>
  <c r="M218" i="4"/>
  <c r="L218" i="4"/>
  <c r="K218" i="4"/>
  <c r="Z218" i="4" s="1" a="1"/>
  <c r="Z218" i="4" s="1"/>
  <c r="Y217" i="4"/>
  <c r="X217" i="4"/>
  <c r="W217" i="4"/>
  <c r="V217" i="4"/>
  <c r="U217" i="4"/>
  <c r="T217" i="4"/>
  <c r="O217" i="4"/>
  <c r="M217" i="4"/>
  <c r="L217" i="4"/>
  <c r="K217" i="4"/>
  <c r="Z217" i="4" s="1" a="1"/>
  <c r="Z217" i="4" s="1"/>
  <c r="Y216" i="4"/>
  <c r="X216" i="4"/>
  <c r="W216" i="4"/>
  <c r="V216" i="4"/>
  <c r="U216" i="4"/>
  <c r="T216" i="4"/>
  <c r="O216" i="4"/>
  <c r="M216" i="4"/>
  <c r="L216" i="4"/>
  <c r="K216" i="4"/>
  <c r="Z216" i="4" s="1" a="1"/>
  <c r="Z216" i="4" s="1"/>
  <c r="Y215" i="4"/>
  <c r="X215" i="4"/>
  <c r="W215" i="4"/>
  <c r="V215" i="4"/>
  <c r="U215" i="4"/>
  <c r="T215" i="4"/>
  <c r="O215" i="4"/>
  <c r="M215" i="4"/>
  <c r="L215" i="4"/>
  <c r="K215" i="4"/>
  <c r="Z215" i="4" s="1" a="1"/>
  <c r="Z215" i="4" s="1"/>
  <c r="Y214" i="4"/>
  <c r="X214" i="4"/>
  <c r="W214" i="4"/>
  <c r="V214" i="4"/>
  <c r="U214" i="4"/>
  <c r="T214" i="4"/>
  <c r="O214" i="4"/>
  <c r="M214" i="4"/>
  <c r="L214" i="4"/>
  <c r="K214" i="4"/>
  <c r="Z214" i="4" s="1" a="1"/>
  <c r="Z214" i="4" s="1"/>
  <c r="Y213" i="4"/>
  <c r="X213" i="4"/>
  <c r="W213" i="4"/>
  <c r="V213" i="4"/>
  <c r="U213" i="4"/>
  <c r="T213" i="4"/>
  <c r="O213" i="4"/>
  <c r="M213" i="4"/>
  <c r="L213" i="4"/>
  <c r="K213" i="4"/>
  <c r="Z213" i="4" s="1" a="1"/>
  <c r="Z213" i="4" s="1"/>
  <c r="Y212" i="4"/>
  <c r="X212" i="4"/>
  <c r="W212" i="4"/>
  <c r="V212" i="4"/>
  <c r="U212" i="4"/>
  <c r="T212" i="4"/>
  <c r="O212" i="4"/>
  <c r="M212" i="4"/>
  <c r="L212" i="4"/>
  <c r="K212" i="4"/>
  <c r="Z212" i="4" s="1" a="1"/>
  <c r="Z212" i="4" s="1"/>
  <c r="Y211" i="4"/>
  <c r="X211" i="4"/>
  <c r="W211" i="4"/>
  <c r="V211" i="4"/>
  <c r="U211" i="4"/>
  <c r="T211" i="4"/>
  <c r="O211" i="4"/>
  <c r="M211" i="4"/>
  <c r="L211" i="4"/>
  <c r="K211" i="4"/>
  <c r="Z211" i="4" s="1" a="1"/>
  <c r="Z211" i="4" s="1"/>
  <c r="Y210" i="4"/>
  <c r="X210" i="4"/>
  <c r="W210" i="4"/>
  <c r="V210" i="4"/>
  <c r="U210" i="4"/>
  <c r="T210" i="4"/>
  <c r="O210" i="4"/>
  <c r="M210" i="4"/>
  <c r="L210" i="4"/>
  <c r="K210" i="4"/>
  <c r="Z210" i="4" s="1" a="1"/>
  <c r="Z210" i="4" s="1"/>
  <c r="Y209" i="4"/>
  <c r="X209" i="4"/>
  <c r="W209" i="4"/>
  <c r="V209" i="4"/>
  <c r="U209" i="4"/>
  <c r="T209" i="4"/>
  <c r="O209" i="4"/>
  <c r="M209" i="4"/>
  <c r="L209" i="4"/>
  <c r="K209" i="4"/>
  <c r="Z209" i="4" s="1" a="1"/>
  <c r="Z209" i="4" s="1"/>
  <c r="Y208" i="4"/>
  <c r="X208" i="4"/>
  <c r="W208" i="4"/>
  <c r="V208" i="4"/>
  <c r="U208" i="4"/>
  <c r="T208" i="4"/>
  <c r="O208" i="4"/>
  <c r="M208" i="4"/>
  <c r="L208" i="4"/>
  <c r="K208" i="4"/>
  <c r="Z208" i="4" s="1" a="1"/>
  <c r="Z208" i="4" s="1"/>
  <c r="Y207" i="4"/>
  <c r="X207" i="4"/>
  <c r="W207" i="4"/>
  <c r="V207" i="4"/>
  <c r="U207" i="4"/>
  <c r="T207" i="4"/>
  <c r="O207" i="4"/>
  <c r="M207" i="4"/>
  <c r="L207" i="4"/>
  <c r="K207" i="4"/>
  <c r="Z207" i="4" s="1" a="1"/>
  <c r="Z207" i="4" s="1"/>
  <c r="Y206" i="4"/>
  <c r="X206" i="4"/>
  <c r="W206" i="4"/>
  <c r="V206" i="4"/>
  <c r="U206" i="4"/>
  <c r="T206" i="4"/>
  <c r="O206" i="4"/>
  <c r="M206" i="4"/>
  <c r="L206" i="4"/>
  <c r="K206" i="4"/>
  <c r="Z206" i="4" s="1" a="1"/>
  <c r="Z206" i="4" s="1"/>
  <c r="Y205" i="4"/>
  <c r="X205" i="4"/>
  <c r="W205" i="4"/>
  <c r="V205" i="4"/>
  <c r="U205" i="4"/>
  <c r="T205" i="4"/>
  <c r="O205" i="4"/>
  <c r="M205" i="4"/>
  <c r="L205" i="4"/>
  <c r="K205" i="4"/>
  <c r="Z205" i="4" s="1" a="1"/>
  <c r="Z205" i="4" s="1"/>
  <c r="Y204" i="4"/>
  <c r="X204" i="4"/>
  <c r="W204" i="4"/>
  <c r="V204" i="4"/>
  <c r="U204" i="4"/>
  <c r="T204" i="4"/>
  <c r="O204" i="4"/>
  <c r="M204" i="4"/>
  <c r="L204" i="4"/>
  <c r="K204" i="4"/>
  <c r="Z204" i="4" s="1" a="1"/>
  <c r="Z204" i="4" s="1"/>
  <c r="Y203" i="4"/>
  <c r="X203" i="4"/>
  <c r="W203" i="4"/>
  <c r="V203" i="4"/>
  <c r="U203" i="4"/>
  <c r="T203" i="4"/>
  <c r="O203" i="4"/>
  <c r="M203" i="4"/>
  <c r="L203" i="4"/>
  <c r="K203" i="4"/>
  <c r="Z203" i="4" s="1" a="1"/>
  <c r="Z203" i="4" s="1"/>
  <c r="Y202" i="4"/>
  <c r="X202" i="4"/>
  <c r="W202" i="4"/>
  <c r="V202" i="4"/>
  <c r="U202" i="4"/>
  <c r="T202" i="4"/>
  <c r="O202" i="4"/>
  <c r="M202" i="4"/>
  <c r="L202" i="4"/>
  <c r="K202" i="4"/>
  <c r="Z202" i="4" s="1" a="1"/>
  <c r="Z202" i="4" s="1"/>
  <c r="Y201" i="4"/>
  <c r="X201" i="4"/>
  <c r="W201" i="4"/>
  <c r="V201" i="4"/>
  <c r="U201" i="4"/>
  <c r="T201" i="4"/>
  <c r="O201" i="4"/>
  <c r="M201" i="4"/>
  <c r="L201" i="4"/>
  <c r="K201" i="4"/>
  <c r="Z201" i="4" s="1" a="1"/>
  <c r="Z201" i="4" s="1"/>
  <c r="Y200" i="4"/>
  <c r="X200" i="4"/>
  <c r="W200" i="4"/>
  <c r="V200" i="4"/>
  <c r="U200" i="4"/>
  <c r="T200" i="4"/>
  <c r="O200" i="4"/>
  <c r="M200" i="4"/>
  <c r="L200" i="4"/>
  <c r="K200" i="4"/>
  <c r="Z200" i="4" s="1" a="1"/>
  <c r="Z200" i="4" s="1"/>
  <c r="Y199" i="4"/>
  <c r="X199" i="4"/>
  <c r="W199" i="4"/>
  <c r="V199" i="4"/>
  <c r="U199" i="4"/>
  <c r="T199" i="4"/>
  <c r="O199" i="4"/>
  <c r="M199" i="4"/>
  <c r="L199" i="4"/>
  <c r="K199" i="4"/>
  <c r="Z199" i="4" s="1" a="1"/>
  <c r="Z199" i="4" s="1"/>
  <c r="Y198" i="4"/>
  <c r="X198" i="4"/>
  <c r="W198" i="4"/>
  <c r="V198" i="4"/>
  <c r="U198" i="4"/>
  <c r="T198" i="4"/>
  <c r="O198" i="4"/>
  <c r="M198" i="4"/>
  <c r="L198" i="4"/>
  <c r="K198" i="4"/>
  <c r="Z198" i="4" s="1" a="1"/>
  <c r="Z198" i="4" s="1"/>
  <c r="Y197" i="4"/>
  <c r="X197" i="4"/>
  <c r="W197" i="4"/>
  <c r="V197" i="4"/>
  <c r="U197" i="4"/>
  <c r="T197" i="4"/>
  <c r="O197" i="4"/>
  <c r="M197" i="4"/>
  <c r="L197" i="4"/>
  <c r="K197" i="4"/>
  <c r="Z197" i="4" s="1" a="1"/>
  <c r="Z197" i="4" s="1"/>
  <c r="Y196" i="4"/>
  <c r="X196" i="4"/>
  <c r="W196" i="4"/>
  <c r="V196" i="4"/>
  <c r="U196" i="4"/>
  <c r="T196" i="4"/>
  <c r="O196" i="4"/>
  <c r="M196" i="4"/>
  <c r="L196" i="4"/>
  <c r="K196" i="4"/>
  <c r="Z196" i="4" s="1" a="1"/>
  <c r="Z196" i="4" s="1"/>
  <c r="Y195" i="4"/>
  <c r="X195" i="4"/>
  <c r="W195" i="4"/>
  <c r="V195" i="4"/>
  <c r="U195" i="4"/>
  <c r="T195" i="4"/>
  <c r="O195" i="4"/>
  <c r="M195" i="4"/>
  <c r="L195" i="4"/>
  <c r="K195" i="4"/>
  <c r="Z195" i="4" s="1" a="1"/>
  <c r="Z195" i="4" s="1"/>
  <c r="Y194" i="4"/>
  <c r="X194" i="4"/>
  <c r="W194" i="4"/>
  <c r="V194" i="4"/>
  <c r="U194" i="4"/>
  <c r="T194" i="4"/>
  <c r="O194" i="4"/>
  <c r="M194" i="4"/>
  <c r="L194" i="4"/>
  <c r="K194" i="4"/>
  <c r="Z194" i="4" s="1" a="1"/>
  <c r="Z194" i="4" s="1"/>
  <c r="Y193" i="4"/>
  <c r="X193" i="4"/>
  <c r="W193" i="4"/>
  <c r="V193" i="4"/>
  <c r="U193" i="4"/>
  <c r="T193" i="4"/>
  <c r="O193" i="4"/>
  <c r="M193" i="4"/>
  <c r="L193" i="4"/>
  <c r="K193" i="4"/>
  <c r="Z193" i="4" s="1" a="1"/>
  <c r="Z193" i="4" s="1"/>
  <c r="Y192" i="4"/>
  <c r="X192" i="4"/>
  <c r="W192" i="4"/>
  <c r="V192" i="4"/>
  <c r="U192" i="4"/>
  <c r="T192" i="4"/>
  <c r="O192" i="4"/>
  <c r="M192" i="4"/>
  <c r="L192" i="4"/>
  <c r="K192" i="4"/>
  <c r="Z192" i="4" s="1" a="1"/>
  <c r="Z192" i="4" s="1"/>
  <c r="Y191" i="4"/>
  <c r="X191" i="4"/>
  <c r="W191" i="4"/>
  <c r="V191" i="4"/>
  <c r="U191" i="4"/>
  <c r="T191" i="4"/>
  <c r="O191" i="4"/>
  <c r="M191" i="4"/>
  <c r="L191" i="4"/>
  <c r="K191" i="4"/>
  <c r="Z191" i="4" s="1" a="1"/>
  <c r="Z191" i="4" s="1"/>
  <c r="Y190" i="4"/>
  <c r="X190" i="4"/>
  <c r="W190" i="4"/>
  <c r="V190" i="4"/>
  <c r="U190" i="4"/>
  <c r="T190" i="4"/>
  <c r="O190" i="4"/>
  <c r="M190" i="4"/>
  <c r="L190" i="4"/>
  <c r="K190" i="4"/>
  <c r="Z190" i="4" s="1" a="1"/>
  <c r="Z190" i="4" s="1"/>
  <c r="Y189" i="4"/>
  <c r="X189" i="4"/>
  <c r="W189" i="4"/>
  <c r="V189" i="4"/>
  <c r="U189" i="4"/>
  <c r="T189" i="4"/>
  <c r="O189" i="4"/>
  <c r="M189" i="4"/>
  <c r="L189" i="4"/>
  <c r="K189" i="4"/>
  <c r="Z189" i="4" s="1" a="1"/>
  <c r="Z189" i="4" s="1"/>
  <c r="Y188" i="4"/>
  <c r="X188" i="4"/>
  <c r="W188" i="4"/>
  <c r="V188" i="4"/>
  <c r="U188" i="4"/>
  <c r="T188" i="4"/>
  <c r="O188" i="4"/>
  <c r="M188" i="4"/>
  <c r="L188" i="4"/>
  <c r="K188" i="4"/>
  <c r="Z188" i="4" s="1" a="1"/>
  <c r="Z188" i="4" s="1"/>
  <c r="Y187" i="4"/>
  <c r="X187" i="4"/>
  <c r="W187" i="4"/>
  <c r="V187" i="4"/>
  <c r="U187" i="4"/>
  <c r="T187" i="4"/>
  <c r="O187" i="4"/>
  <c r="M187" i="4"/>
  <c r="L187" i="4"/>
  <c r="K187" i="4"/>
  <c r="Z187" i="4" s="1" a="1"/>
  <c r="Z187" i="4" s="1"/>
  <c r="Y186" i="4"/>
  <c r="X186" i="4"/>
  <c r="W186" i="4"/>
  <c r="V186" i="4"/>
  <c r="U186" i="4"/>
  <c r="T186" i="4"/>
  <c r="O186" i="4"/>
  <c r="M186" i="4"/>
  <c r="L186" i="4"/>
  <c r="K186" i="4"/>
  <c r="Z186" i="4" s="1" a="1"/>
  <c r="Z186" i="4" s="1"/>
  <c r="Y185" i="4"/>
  <c r="X185" i="4"/>
  <c r="W185" i="4"/>
  <c r="V185" i="4"/>
  <c r="U185" i="4"/>
  <c r="T185" i="4"/>
  <c r="O185" i="4"/>
  <c r="M185" i="4"/>
  <c r="L185" i="4"/>
  <c r="K185" i="4"/>
  <c r="Z185" i="4" s="1" a="1"/>
  <c r="Z185" i="4" s="1"/>
  <c r="Y184" i="4"/>
  <c r="X184" i="4"/>
  <c r="W184" i="4"/>
  <c r="V184" i="4"/>
  <c r="U184" i="4"/>
  <c r="T184" i="4"/>
  <c r="O184" i="4"/>
  <c r="M184" i="4"/>
  <c r="L184" i="4"/>
  <c r="K184" i="4"/>
  <c r="Z184" i="4" s="1" a="1"/>
  <c r="Z184" i="4" s="1"/>
  <c r="Y183" i="4"/>
  <c r="X183" i="4"/>
  <c r="W183" i="4"/>
  <c r="V183" i="4"/>
  <c r="U183" i="4"/>
  <c r="T183" i="4"/>
  <c r="O183" i="4"/>
  <c r="M183" i="4"/>
  <c r="L183" i="4"/>
  <c r="K183" i="4"/>
  <c r="Z183" i="4" s="1" a="1"/>
  <c r="Z183" i="4" s="1"/>
  <c r="Y182" i="4"/>
  <c r="X182" i="4"/>
  <c r="W182" i="4"/>
  <c r="V182" i="4"/>
  <c r="U182" i="4"/>
  <c r="T182" i="4"/>
  <c r="O182" i="4"/>
  <c r="M182" i="4"/>
  <c r="L182" i="4"/>
  <c r="K182" i="4"/>
  <c r="Z182" i="4" s="1" a="1"/>
  <c r="Z182" i="4" s="1"/>
  <c r="Y181" i="4"/>
  <c r="X181" i="4"/>
  <c r="W181" i="4"/>
  <c r="V181" i="4"/>
  <c r="U181" i="4"/>
  <c r="T181" i="4"/>
  <c r="O181" i="4"/>
  <c r="M181" i="4"/>
  <c r="L181" i="4"/>
  <c r="K181" i="4"/>
  <c r="Z181" i="4" s="1" a="1"/>
  <c r="Z181" i="4" s="1"/>
  <c r="Y180" i="4"/>
  <c r="X180" i="4"/>
  <c r="W180" i="4"/>
  <c r="V180" i="4"/>
  <c r="U180" i="4"/>
  <c r="T180" i="4"/>
  <c r="O180" i="4"/>
  <c r="M180" i="4"/>
  <c r="L180" i="4"/>
  <c r="K180" i="4"/>
  <c r="Z180" i="4" s="1" a="1"/>
  <c r="Z180" i="4" s="1"/>
  <c r="Y179" i="4"/>
  <c r="X179" i="4"/>
  <c r="W179" i="4"/>
  <c r="V179" i="4"/>
  <c r="U179" i="4"/>
  <c r="T179" i="4"/>
  <c r="O179" i="4"/>
  <c r="M179" i="4"/>
  <c r="L179" i="4"/>
  <c r="K179" i="4"/>
  <c r="Z179" i="4" s="1" a="1"/>
  <c r="Z179" i="4" s="1"/>
  <c r="Y178" i="4"/>
  <c r="X178" i="4"/>
  <c r="W178" i="4"/>
  <c r="V178" i="4"/>
  <c r="U178" i="4"/>
  <c r="T178" i="4"/>
  <c r="O178" i="4"/>
  <c r="M178" i="4"/>
  <c r="L178" i="4"/>
  <c r="K178" i="4"/>
  <c r="Z178" i="4" s="1" a="1"/>
  <c r="Z178" i="4" s="1"/>
  <c r="Y177" i="4"/>
  <c r="X177" i="4"/>
  <c r="W177" i="4"/>
  <c r="V177" i="4"/>
  <c r="U177" i="4"/>
  <c r="T177" i="4"/>
  <c r="O177" i="4"/>
  <c r="M177" i="4"/>
  <c r="L177" i="4"/>
  <c r="K177" i="4"/>
  <c r="Z177" i="4" s="1" a="1"/>
  <c r="Z177" i="4" s="1"/>
  <c r="Y176" i="4"/>
  <c r="X176" i="4"/>
  <c r="W176" i="4"/>
  <c r="V176" i="4"/>
  <c r="U176" i="4"/>
  <c r="T176" i="4"/>
  <c r="O176" i="4"/>
  <c r="M176" i="4"/>
  <c r="L176" i="4"/>
  <c r="K176" i="4"/>
  <c r="Z176" i="4" s="1" a="1"/>
  <c r="Z176" i="4" s="1"/>
  <c r="Y175" i="4"/>
  <c r="X175" i="4"/>
  <c r="W175" i="4"/>
  <c r="V175" i="4"/>
  <c r="U175" i="4"/>
  <c r="T175" i="4"/>
  <c r="O175" i="4"/>
  <c r="M175" i="4"/>
  <c r="L175" i="4"/>
  <c r="K175" i="4"/>
  <c r="Z175" i="4" s="1" a="1"/>
  <c r="Z175" i="4" s="1"/>
  <c r="Y174" i="4"/>
  <c r="X174" i="4"/>
  <c r="W174" i="4"/>
  <c r="V174" i="4"/>
  <c r="U174" i="4"/>
  <c r="T174" i="4"/>
  <c r="O174" i="4"/>
  <c r="M174" i="4"/>
  <c r="L174" i="4"/>
  <c r="K174" i="4"/>
  <c r="Z174" i="4" s="1" a="1"/>
  <c r="Z174" i="4" s="1"/>
  <c r="Y173" i="4"/>
  <c r="X173" i="4"/>
  <c r="W173" i="4"/>
  <c r="V173" i="4"/>
  <c r="U173" i="4"/>
  <c r="T173" i="4"/>
  <c r="O173" i="4"/>
  <c r="M173" i="4"/>
  <c r="L173" i="4"/>
  <c r="K173" i="4"/>
  <c r="Z173" i="4" s="1" a="1"/>
  <c r="Z173" i="4" s="1"/>
  <c r="Y172" i="4"/>
  <c r="X172" i="4"/>
  <c r="W172" i="4"/>
  <c r="V172" i="4"/>
  <c r="U172" i="4"/>
  <c r="T172" i="4"/>
  <c r="O172" i="4"/>
  <c r="M172" i="4"/>
  <c r="L172" i="4"/>
  <c r="K172" i="4"/>
  <c r="Z172" i="4" s="1" a="1"/>
  <c r="Z172" i="4" s="1"/>
  <c r="Y171" i="4"/>
  <c r="X171" i="4"/>
  <c r="W171" i="4"/>
  <c r="V171" i="4"/>
  <c r="U171" i="4"/>
  <c r="T171" i="4"/>
  <c r="O171" i="4"/>
  <c r="M171" i="4"/>
  <c r="L171" i="4"/>
  <c r="K171" i="4"/>
  <c r="Z171" i="4" s="1" a="1"/>
  <c r="Z171" i="4" s="1"/>
  <c r="Y170" i="4"/>
  <c r="X170" i="4"/>
  <c r="W170" i="4"/>
  <c r="V170" i="4"/>
  <c r="U170" i="4"/>
  <c r="T170" i="4"/>
  <c r="O170" i="4"/>
  <c r="M170" i="4"/>
  <c r="L170" i="4"/>
  <c r="K170" i="4"/>
  <c r="Z170" i="4" s="1" a="1"/>
  <c r="Z170" i="4" s="1"/>
  <c r="Y169" i="4"/>
  <c r="X169" i="4"/>
  <c r="W169" i="4"/>
  <c r="V169" i="4"/>
  <c r="U169" i="4"/>
  <c r="T169" i="4"/>
  <c r="O169" i="4"/>
  <c r="M169" i="4"/>
  <c r="L169" i="4"/>
  <c r="K169" i="4"/>
  <c r="Z169" i="4" s="1" a="1"/>
  <c r="Z169" i="4" s="1"/>
  <c r="Y168" i="4"/>
  <c r="X168" i="4"/>
  <c r="W168" i="4"/>
  <c r="V168" i="4"/>
  <c r="U168" i="4"/>
  <c r="T168" i="4"/>
  <c r="O168" i="4"/>
  <c r="M168" i="4"/>
  <c r="L168" i="4"/>
  <c r="K168" i="4"/>
  <c r="Z168" i="4" s="1" a="1"/>
  <c r="Z168" i="4" s="1"/>
  <c r="Y167" i="4"/>
  <c r="X167" i="4"/>
  <c r="W167" i="4"/>
  <c r="V167" i="4"/>
  <c r="U167" i="4"/>
  <c r="T167" i="4"/>
  <c r="O167" i="4"/>
  <c r="M167" i="4"/>
  <c r="L167" i="4"/>
  <c r="K167" i="4"/>
  <c r="Z167" i="4" s="1" a="1"/>
  <c r="Z167" i="4" s="1"/>
  <c r="Y166" i="4"/>
  <c r="X166" i="4"/>
  <c r="W166" i="4"/>
  <c r="V166" i="4"/>
  <c r="U166" i="4"/>
  <c r="T166" i="4"/>
  <c r="O166" i="4"/>
  <c r="M166" i="4"/>
  <c r="L166" i="4"/>
  <c r="K166" i="4"/>
  <c r="Z166" i="4" s="1" a="1"/>
  <c r="Z166" i="4" s="1"/>
  <c r="Y165" i="4"/>
  <c r="X165" i="4"/>
  <c r="W165" i="4"/>
  <c r="V165" i="4"/>
  <c r="U165" i="4"/>
  <c r="T165" i="4"/>
  <c r="O165" i="4"/>
  <c r="M165" i="4"/>
  <c r="L165" i="4"/>
  <c r="K165" i="4"/>
  <c r="Z165" i="4" s="1" a="1"/>
  <c r="Z165" i="4" s="1"/>
  <c r="Y164" i="4"/>
  <c r="X164" i="4"/>
  <c r="W164" i="4"/>
  <c r="V164" i="4"/>
  <c r="U164" i="4"/>
  <c r="T164" i="4"/>
  <c r="O164" i="4"/>
  <c r="M164" i="4"/>
  <c r="L164" i="4"/>
  <c r="K164" i="4"/>
  <c r="Z164" i="4" s="1" a="1"/>
  <c r="Z164" i="4" s="1"/>
  <c r="Y163" i="4"/>
  <c r="X163" i="4"/>
  <c r="W163" i="4"/>
  <c r="V163" i="4"/>
  <c r="U163" i="4"/>
  <c r="T163" i="4"/>
  <c r="O163" i="4"/>
  <c r="M163" i="4"/>
  <c r="L163" i="4"/>
  <c r="K163" i="4"/>
  <c r="Z163" i="4" s="1" a="1"/>
  <c r="Z163" i="4" s="1"/>
  <c r="Y162" i="4"/>
  <c r="X162" i="4"/>
  <c r="W162" i="4"/>
  <c r="V162" i="4"/>
  <c r="U162" i="4"/>
  <c r="T162" i="4"/>
  <c r="O162" i="4"/>
  <c r="M162" i="4"/>
  <c r="L162" i="4"/>
  <c r="K162" i="4"/>
  <c r="Z162" i="4" s="1" a="1"/>
  <c r="Z162" i="4" s="1"/>
  <c r="Y161" i="4"/>
  <c r="X161" i="4"/>
  <c r="W161" i="4"/>
  <c r="V161" i="4"/>
  <c r="U161" i="4"/>
  <c r="T161" i="4"/>
  <c r="O161" i="4"/>
  <c r="M161" i="4"/>
  <c r="L161" i="4"/>
  <c r="K161" i="4"/>
  <c r="Z161" i="4" s="1" a="1"/>
  <c r="Z161" i="4" s="1"/>
  <c r="Y160" i="4"/>
  <c r="X160" i="4"/>
  <c r="W160" i="4"/>
  <c r="V160" i="4"/>
  <c r="U160" i="4"/>
  <c r="T160" i="4"/>
  <c r="O160" i="4"/>
  <c r="M160" i="4"/>
  <c r="L160" i="4"/>
  <c r="K160" i="4"/>
  <c r="Z160" i="4" s="1" a="1"/>
  <c r="Z160" i="4" s="1"/>
  <c r="Y159" i="4"/>
  <c r="X159" i="4"/>
  <c r="W159" i="4"/>
  <c r="V159" i="4"/>
  <c r="U159" i="4"/>
  <c r="T159" i="4"/>
  <c r="O159" i="4"/>
  <c r="M159" i="4"/>
  <c r="L159" i="4"/>
  <c r="K159" i="4"/>
  <c r="Z159" i="4" s="1" a="1"/>
  <c r="Z159" i="4" s="1"/>
  <c r="Y158" i="4"/>
  <c r="X158" i="4"/>
  <c r="W158" i="4"/>
  <c r="V158" i="4"/>
  <c r="U158" i="4"/>
  <c r="T158" i="4"/>
  <c r="O158" i="4"/>
  <c r="M158" i="4"/>
  <c r="L158" i="4"/>
  <c r="K158" i="4"/>
  <c r="Z158" i="4" s="1" a="1"/>
  <c r="Z158" i="4" s="1"/>
  <c r="Y157" i="4"/>
  <c r="X157" i="4"/>
  <c r="W157" i="4"/>
  <c r="V157" i="4"/>
  <c r="U157" i="4"/>
  <c r="T157" i="4"/>
  <c r="O157" i="4"/>
  <c r="M157" i="4"/>
  <c r="L157" i="4"/>
  <c r="K157" i="4"/>
  <c r="Z157" i="4" s="1" a="1"/>
  <c r="Z157" i="4" s="1"/>
  <c r="Y156" i="4"/>
  <c r="X156" i="4"/>
  <c r="W156" i="4"/>
  <c r="V156" i="4"/>
  <c r="U156" i="4"/>
  <c r="T156" i="4"/>
  <c r="O156" i="4"/>
  <c r="M156" i="4"/>
  <c r="L156" i="4"/>
  <c r="K156" i="4"/>
  <c r="Z156" i="4" s="1" a="1"/>
  <c r="Z156" i="4" s="1"/>
  <c r="Y155" i="4"/>
  <c r="X155" i="4"/>
  <c r="W155" i="4"/>
  <c r="V155" i="4"/>
  <c r="U155" i="4"/>
  <c r="T155" i="4"/>
  <c r="O155" i="4"/>
  <c r="M155" i="4"/>
  <c r="L155" i="4"/>
  <c r="K155" i="4"/>
  <c r="Z155" i="4" s="1" a="1"/>
  <c r="Z155" i="4" s="1"/>
  <c r="Y154" i="4"/>
  <c r="X154" i="4"/>
  <c r="W154" i="4"/>
  <c r="V154" i="4"/>
  <c r="U154" i="4"/>
  <c r="T154" i="4"/>
  <c r="O154" i="4"/>
  <c r="M154" i="4"/>
  <c r="L154" i="4"/>
  <c r="K154" i="4"/>
  <c r="Z154" i="4" s="1" a="1"/>
  <c r="Z154" i="4" s="1"/>
  <c r="Y153" i="4"/>
  <c r="X153" i="4"/>
  <c r="W153" i="4"/>
  <c r="V153" i="4"/>
  <c r="U153" i="4"/>
  <c r="T153" i="4"/>
  <c r="O153" i="4"/>
  <c r="M153" i="4"/>
  <c r="L153" i="4"/>
  <c r="K153" i="4"/>
  <c r="Z153" i="4" s="1" a="1"/>
  <c r="Z153" i="4" s="1"/>
  <c r="Y152" i="4"/>
  <c r="X152" i="4"/>
  <c r="W152" i="4"/>
  <c r="V152" i="4"/>
  <c r="U152" i="4"/>
  <c r="T152" i="4"/>
  <c r="O152" i="4"/>
  <c r="M152" i="4"/>
  <c r="L152" i="4"/>
  <c r="K152" i="4"/>
  <c r="Z152" i="4" s="1" a="1"/>
  <c r="Z152" i="4" s="1"/>
  <c r="Y151" i="4"/>
  <c r="X151" i="4"/>
  <c r="W151" i="4"/>
  <c r="V151" i="4"/>
  <c r="U151" i="4"/>
  <c r="T151" i="4"/>
  <c r="O151" i="4"/>
  <c r="M151" i="4"/>
  <c r="L151" i="4"/>
  <c r="K151" i="4"/>
  <c r="Z151" i="4" s="1" a="1"/>
  <c r="Z151" i="4" s="1"/>
  <c r="Y150" i="4"/>
  <c r="X150" i="4"/>
  <c r="W150" i="4"/>
  <c r="V150" i="4"/>
  <c r="U150" i="4"/>
  <c r="T150" i="4"/>
  <c r="O150" i="4"/>
  <c r="M150" i="4"/>
  <c r="L150" i="4"/>
  <c r="K150" i="4"/>
  <c r="Z150" i="4" s="1" a="1"/>
  <c r="Z150" i="4" s="1"/>
  <c r="Y149" i="4"/>
  <c r="X149" i="4"/>
  <c r="W149" i="4"/>
  <c r="V149" i="4"/>
  <c r="U149" i="4"/>
  <c r="T149" i="4"/>
  <c r="O149" i="4"/>
  <c r="M149" i="4"/>
  <c r="L149" i="4"/>
  <c r="K149" i="4"/>
  <c r="Z149" i="4" s="1" a="1"/>
  <c r="Z149" i="4" s="1"/>
  <c r="Y148" i="4"/>
  <c r="X148" i="4"/>
  <c r="W148" i="4"/>
  <c r="V148" i="4"/>
  <c r="U148" i="4"/>
  <c r="T148" i="4"/>
  <c r="O148" i="4"/>
  <c r="M148" i="4"/>
  <c r="L148" i="4"/>
  <c r="K148" i="4"/>
  <c r="Z148" i="4" s="1" a="1"/>
  <c r="Z148" i="4" s="1"/>
  <c r="Y147" i="4"/>
  <c r="X147" i="4"/>
  <c r="W147" i="4"/>
  <c r="V147" i="4"/>
  <c r="U147" i="4"/>
  <c r="T147" i="4"/>
  <c r="O147" i="4"/>
  <c r="M147" i="4"/>
  <c r="L147" i="4"/>
  <c r="K147" i="4"/>
  <c r="Z147" i="4" s="1" a="1"/>
  <c r="Z147" i="4" s="1"/>
  <c r="Y146" i="4"/>
  <c r="X146" i="4"/>
  <c r="W146" i="4"/>
  <c r="V146" i="4"/>
  <c r="U146" i="4"/>
  <c r="T146" i="4"/>
  <c r="O146" i="4"/>
  <c r="M146" i="4"/>
  <c r="L146" i="4"/>
  <c r="K146" i="4"/>
  <c r="Z146" i="4" s="1" a="1"/>
  <c r="Z146" i="4" s="1"/>
  <c r="Y145" i="4"/>
  <c r="X145" i="4"/>
  <c r="W145" i="4"/>
  <c r="V145" i="4"/>
  <c r="U145" i="4"/>
  <c r="T145" i="4"/>
  <c r="O145" i="4"/>
  <c r="M145" i="4"/>
  <c r="L145" i="4"/>
  <c r="K145" i="4"/>
  <c r="Z145" i="4" s="1" a="1"/>
  <c r="Z145" i="4" s="1"/>
  <c r="Y144" i="4"/>
  <c r="X144" i="4"/>
  <c r="W144" i="4"/>
  <c r="V144" i="4"/>
  <c r="U144" i="4"/>
  <c r="T144" i="4"/>
  <c r="O144" i="4"/>
  <c r="M144" i="4"/>
  <c r="L144" i="4"/>
  <c r="K144" i="4"/>
  <c r="Z144" i="4" s="1" a="1"/>
  <c r="Z144" i="4" s="1"/>
  <c r="Y143" i="4"/>
  <c r="X143" i="4"/>
  <c r="W143" i="4"/>
  <c r="V143" i="4"/>
  <c r="U143" i="4"/>
  <c r="T143" i="4"/>
  <c r="O143" i="4"/>
  <c r="M143" i="4"/>
  <c r="L143" i="4"/>
  <c r="K143" i="4"/>
  <c r="Z143" i="4" s="1" a="1"/>
  <c r="Z143" i="4" s="1"/>
  <c r="Y142" i="4"/>
  <c r="X142" i="4"/>
  <c r="W142" i="4"/>
  <c r="V142" i="4"/>
  <c r="U142" i="4"/>
  <c r="T142" i="4"/>
  <c r="O142" i="4"/>
  <c r="M142" i="4"/>
  <c r="L142" i="4"/>
  <c r="K142" i="4"/>
  <c r="Z142" i="4" s="1" a="1"/>
  <c r="Z142" i="4" s="1"/>
  <c r="Y141" i="4"/>
  <c r="X141" i="4"/>
  <c r="W141" i="4"/>
  <c r="V141" i="4"/>
  <c r="U141" i="4"/>
  <c r="T141" i="4"/>
  <c r="O141" i="4"/>
  <c r="M141" i="4"/>
  <c r="L141" i="4"/>
  <c r="K141" i="4"/>
  <c r="Z141" i="4" s="1" a="1"/>
  <c r="Z141" i="4" s="1"/>
  <c r="Y140" i="4"/>
  <c r="X140" i="4"/>
  <c r="W140" i="4"/>
  <c r="V140" i="4"/>
  <c r="U140" i="4"/>
  <c r="T140" i="4"/>
  <c r="O140" i="4"/>
  <c r="M140" i="4"/>
  <c r="L140" i="4"/>
  <c r="K140" i="4"/>
  <c r="Z140" i="4" s="1" a="1"/>
  <c r="Z140" i="4" s="1"/>
  <c r="Y139" i="4"/>
  <c r="X139" i="4"/>
  <c r="W139" i="4"/>
  <c r="V139" i="4"/>
  <c r="U139" i="4"/>
  <c r="T139" i="4"/>
  <c r="O139" i="4"/>
  <c r="M139" i="4"/>
  <c r="L139" i="4"/>
  <c r="K139" i="4"/>
  <c r="Z139" i="4" s="1" a="1"/>
  <c r="Z139" i="4" s="1"/>
  <c r="Y138" i="4"/>
  <c r="X138" i="4"/>
  <c r="W138" i="4"/>
  <c r="V138" i="4"/>
  <c r="U138" i="4"/>
  <c r="T138" i="4"/>
  <c r="O138" i="4"/>
  <c r="M138" i="4"/>
  <c r="L138" i="4"/>
  <c r="K138" i="4"/>
  <c r="Z138" i="4" s="1" a="1"/>
  <c r="Z138" i="4" s="1"/>
  <c r="Y137" i="4"/>
  <c r="X137" i="4"/>
  <c r="W137" i="4"/>
  <c r="V137" i="4"/>
  <c r="U137" i="4"/>
  <c r="T137" i="4"/>
  <c r="O137" i="4"/>
  <c r="M137" i="4"/>
  <c r="L137" i="4"/>
  <c r="K137" i="4"/>
  <c r="Z137" i="4" s="1" a="1"/>
  <c r="Z137" i="4" s="1"/>
  <c r="Y136" i="4"/>
  <c r="X136" i="4"/>
  <c r="W136" i="4"/>
  <c r="V136" i="4"/>
  <c r="U136" i="4"/>
  <c r="T136" i="4"/>
  <c r="O136" i="4"/>
  <c r="M136" i="4"/>
  <c r="L136" i="4"/>
  <c r="K136" i="4"/>
  <c r="Z136" i="4" s="1" a="1"/>
  <c r="Z136" i="4" s="1"/>
  <c r="Y135" i="4"/>
  <c r="X135" i="4"/>
  <c r="W135" i="4"/>
  <c r="V135" i="4"/>
  <c r="U135" i="4"/>
  <c r="T135" i="4"/>
  <c r="O135" i="4"/>
  <c r="M135" i="4"/>
  <c r="L135" i="4"/>
  <c r="K135" i="4"/>
  <c r="Z135" i="4" s="1" a="1"/>
  <c r="Z135" i="4" s="1"/>
  <c r="Y134" i="4"/>
  <c r="X134" i="4"/>
  <c r="W134" i="4"/>
  <c r="V134" i="4"/>
  <c r="U134" i="4"/>
  <c r="T134" i="4"/>
  <c r="O134" i="4"/>
  <c r="M134" i="4"/>
  <c r="L134" i="4"/>
  <c r="K134" i="4"/>
  <c r="Z134" i="4" s="1" a="1"/>
  <c r="Z134" i="4" s="1"/>
  <c r="Y133" i="4"/>
  <c r="X133" i="4"/>
  <c r="W133" i="4"/>
  <c r="V133" i="4"/>
  <c r="U133" i="4"/>
  <c r="T133" i="4"/>
  <c r="O133" i="4"/>
  <c r="M133" i="4"/>
  <c r="L133" i="4"/>
  <c r="K133" i="4"/>
  <c r="Z133" i="4" s="1" a="1"/>
  <c r="Z133" i="4" s="1"/>
  <c r="Y132" i="4"/>
  <c r="X132" i="4"/>
  <c r="W132" i="4"/>
  <c r="V132" i="4"/>
  <c r="U132" i="4"/>
  <c r="T132" i="4"/>
  <c r="O132" i="4"/>
  <c r="M132" i="4"/>
  <c r="L132" i="4"/>
  <c r="K132" i="4"/>
  <c r="Z132" i="4" s="1" a="1"/>
  <c r="Z132" i="4" s="1"/>
  <c r="Y131" i="4"/>
  <c r="X131" i="4"/>
  <c r="W131" i="4"/>
  <c r="V131" i="4"/>
  <c r="U131" i="4"/>
  <c r="T131" i="4"/>
  <c r="O131" i="4"/>
  <c r="M131" i="4"/>
  <c r="L131" i="4"/>
  <c r="K131" i="4"/>
  <c r="Z131" i="4" s="1" a="1"/>
  <c r="Z131" i="4" s="1"/>
  <c r="Y130" i="4"/>
  <c r="X130" i="4"/>
  <c r="W130" i="4"/>
  <c r="V130" i="4"/>
  <c r="U130" i="4"/>
  <c r="T130" i="4"/>
  <c r="O130" i="4"/>
  <c r="M130" i="4"/>
  <c r="L130" i="4"/>
  <c r="K130" i="4"/>
  <c r="Z130" i="4" s="1" a="1"/>
  <c r="Z130" i="4" s="1"/>
  <c r="Y129" i="4"/>
  <c r="X129" i="4"/>
  <c r="W129" i="4"/>
  <c r="V129" i="4"/>
  <c r="U129" i="4"/>
  <c r="T129" i="4"/>
  <c r="O129" i="4"/>
  <c r="M129" i="4"/>
  <c r="L129" i="4"/>
  <c r="K129" i="4"/>
  <c r="Z129" i="4" s="1" a="1"/>
  <c r="Z129" i="4" s="1"/>
  <c r="Y128" i="4"/>
  <c r="X128" i="4"/>
  <c r="W128" i="4"/>
  <c r="V128" i="4"/>
  <c r="U128" i="4"/>
  <c r="T128" i="4"/>
  <c r="O128" i="4"/>
  <c r="M128" i="4"/>
  <c r="L128" i="4"/>
  <c r="K128" i="4"/>
  <c r="Z128" i="4" s="1" a="1"/>
  <c r="Z128" i="4" s="1"/>
  <c r="Y127" i="4"/>
  <c r="X127" i="4"/>
  <c r="W127" i="4"/>
  <c r="V127" i="4"/>
  <c r="U127" i="4"/>
  <c r="T127" i="4"/>
  <c r="O127" i="4"/>
  <c r="M127" i="4"/>
  <c r="L127" i="4"/>
  <c r="K127" i="4"/>
  <c r="Z127" i="4" s="1" a="1"/>
  <c r="Z127" i="4" s="1"/>
  <c r="Y126" i="4"/>
  <c r="X126" i="4"/>
  <c r="W126" i="4"/>
  <c r="V126" i="4"/>
  <c r="U126" i="4"/>
  <c r="T126" i="4"/>
  <c r="O126" i="4"/>
  <c r="M126" i="4"/>
  <c r="L126" i="4"/>
  <c r="K126" i="4"/>
  <c r="Z126" i="4" s="1" a="1"/>
  <c r="Z126" i="4" s="1"/>
  <c r="Y125" i="4"/>
  <c r="X125" i="4"/>
  <c r="W125" i="4"/>
  <c r="V125" i="4"/>
  <c r="U125" i="4"/>
  <c r="T125" i="4"/>
  <c r="O125" i="4"/>
  <c r="M125" i="4"/>
  <c r="L125" i="4"/>
  <c r="K125" i="4"/>
  <c r="Z125" i="4" s="1" a="1"/>
  <c r="Z125" i="4" s="1"/>
  <c r="Y124" i="4"/>
  <c r="X124" i="4"/>
  <c r="W124" i="4"/>
  <c r="V124" i="4"/>
  <c r="U124" i="4"/>
  <c r="T124" i="4"/>
  <c r="O124" i="4"/>
  <c r="M124" i="4"/>
  <c r="L124" i="4"/>
  <c r="K124" i="4"/>
  <c r="Z124" i="4" s="1" a="1"/>
  <c r="Z124" i="4" s="1"/>
  <c r="Y123" i="4"/>
  <c r="X123" i="4"/>
  <c r="W123" i="4"/>
  <c r="V123" i="4"/>
  <c r="U123" i="4"/>
  <c r="T123" i="4"/>
  <c r="O123" i="4"/>
  <c r="M123" i="4"/>
  <c r="L123" i="4"/>
  <c r="K123" i="4"/>
  <c r="Z123" i="4" s="1" a="1"/>
  <c r="Z123" i="4" s="1"/>
  <c r="Y122" i="4"/>
  <c r="X122" i="4"/>
  <c r="W122" i="4"/>
  <c r="V122" i="4"/>
  <c r="U122" i="4"/>
  <c r="T122" i="4"/>
  <c r="O122" i="4"/>
  <c r="M122" i="4"/>
  <c r="L122" i="4"/>
  <c r="K122" i="4"/>
  <c r="Z122" i="4" s="1" a="1"/>
  <c r="Z122" i="4" s="1"/>
  <c r="Y121" i="4"/>
  <c r="X121" i="4"/>
  <c r="W121" i="4"/>
  <c r="V121" i="4"/>
  <c r="U121" i="4"/>
  <c r="T121" i="4"/>
  <c r="O121" i="4"/>
  <c r="M121" i="4"/>
  <c r="L121" i="4"/>
  <c r="K121" i="4"/>
  <c r="Z121" i="4" s="1" a="1"/>
  <c r="Z121" i="4" s="1"/>
  <c r="Y120" i="4"/>
  <c r="X120" i="4"/>
  <c r="W120" i="4"/>
  <c r="V120" i="4"/>
  <c r="U120" i="4"/>
  <c r="T120" i="4"/>
  <c r="O120" i="4"/>
  <c r="M120" i="4"/>
  <c r="L120" i="4"/>
  <c r="K120" i="4"/>
  <c r="Z120" i="4" s="1" a="1"/>
  <c r="Z120" i="4" s="1"/>
  <c r="Y119" i="4"/>
  <c r="X119" i="4"/>
  <c r="W119" i="4"/>
  <c r="V119" i="4"/>
  <c r="U119" i="4"/>
  <c r="T119" i="4"/>
  <c r="O119" i="4"/>
  <c r="M119" i="4"/>
  <c r="L119" i="4"/>
  <c r="K119" i="4"/>
  <c r="Z119" i="4" s="1" a="1"/>
  <c r="Z119" i="4" s="1"/>
  <c r="Y118" i="4"/>
  <c r="X118" i="4"/>
  <c r="W118" i="4"/>
  <c r="V118" i="4"/>
  <c r="U118" i="4"/>
  <c r="T118" i="4"/>
  <c r="O118" i="4"/>
  <c r="M118" i="4"/>
  <c r="L118" i="4"/>
  <c r="K118" i="4"/>
  <c r="Z118" i="4" s="1" a="1"/>
  <c r="Z118" i="4" s="1"/>
  <c r="Y117" i="4"/>
  <c r="X117" i="4"/>
  <c r="W117" i="4"/>
  <c r="V117" i="4"/>
  <c r="U117" i="4"/>
  <c r="T117" i="4"/>
  <c r="O117" i="4"/>
  <c r="M117" i="4"/>
  <c r="L117" i="4"/>
  <c r="K117" i="4"/>
  <c r="Z117" i="4" s="1" a="1"/>
  <c r="Z117" i="4" s="1"/>
  <c r="Y116" i="4"/>
  <c r="X116" i="4"/>
  <c r="W116" i="4"/>
  <c r="V116" i="4"/>
  <c r="U116" i="4"/>
  <c r="T116" i="4"/>
  <c r="O116" i="4"/>
  <c r="M116" i="4"/>
  <c r="L116" i="4"/>
  <c r="K116" i="4"/>
  <c r="Z116" i="4" s="1" a="1"/>
  <c r="Z116" i="4" s="1"/>
  <c r="Y115" i="4"/>
  <c r="X115" i="4"/>
  <c r="W115" i="4"/>
  <c r="V115" i="4"/>
  <c r="U115" i="4"/>
  <c r="T115" i="4"/>
  <c r="O115" i="4"/>
  <c r="M115" i="4"/>
  <c r="L115" i="4"/>
  <c r="K115" i="4"/>
  <c r="Z115" i="4" s="1" a="1"/>
  <c r="Z115" i="4" s="1"/>
  <c r="Y114" i="4"/>
  <c r="X114" i="4"/>
  <c r="W114" i="4"/>
  <c r="V114" i="4"/>
  <c r="U114" i="4"/>
  <c r="T114" i="4"/>
  <c r="O114" i="4"/>
  <c r="M114" i="4"/>
  <c r="L114" i="4"/>
  <c r="K114" i="4"/>
  <c r="Z114" i="4" s="1" a="1"/>
  <c r="Z114" i="4" s="1"/>
  <c r="Y113" i="4"/>
  <c r="X113" i="4"/>
  <c r="W113" i="4"/>
  <c r="V113" i="4"/>
  <c r="U113" i="4"/>
  <c r="T113" i="4"/>
  <c r="O113" i="4"/>
  <c r="M113" i="4"/>
  <c r="L113" i="4"/>
  <c r="K113" i="4"/>
  <c r="Z113" i="4" s="1" a="1"/>
  <c r="Z113" i="4" s="1"/>
  <c r="Y112" i="4"/>
  <c r="X112" i="4"/>
  <c r="W112" i="4"/>
  <c r="V112" i="4"/>
  <c r="U112" i="4"/>
  <c r="T112" i="4"/>
  <c r="O112" i="4"/>
  <c r="M112" i="4"/>
  <c r="L112" i="4"/>
  <c r="K112" i="4"/>
  <c r="Z112" i="4" s="1" a="1"/>
  <c r="Z112" i="4" s="1"/>
  <c r="Y111" i="4"/>
  <c r="X111" i="4"/>
  <c r="W111" i="4"/>
  <c r="V111" i="4"/>
  <c r="U111" i="4"/>
  <c r="T111" i="4"/>
  <c r="O111" i="4"/>
  <c r="M111" i="4"/>
  <c r="L111" i="4"/>
  <c r="K111" i="4"/>
  <c r="Z111" i="4" s="1" a="1"/>
  <c r="Z111" i="4" s="1"/>
  <c r="Y110" i="4"/>
  <c r="X110" i="4"/>
  <c r="W110" i="4"/>
  <c r="V110" i="4"/>
  <c r="U110" i="4"/>
  <c r="T110" i="4"/>
  <c r="O110" i="4"/>
  <c r="M110" i="4"/>
  <c r="L110" i="4"/>
  <c r="K110" i="4"/>
  <c r="Z110" i="4" s="1" a="1"/>
  <c r="Z110" i="4" s="1"/>
  <c r="Y109" i="4"/>
  <c r="X109" i="4"/>
  <c r="W109" i="4"/>
  <c r="V109" i="4"/>
  <c r="U109" i="4"/>
  <c r="T109" i="4"/>
  <c r="O109" i="4"/>
  <c r="M109" i="4"/>
  <c r="L109" i="4"/>
  <c r="K109" i="4"/>
  <c r="Z109" i="4" s="1" a="1"/>
  <c r="Z109" i="4" s="1"/>
  <c r="Y108" i="4"/>
  <c r="X108" i="4"/>
  <c r="W108" i="4"/>
  <c r="V108" i="4"/>
  <c r="U108" i="4"/>
  <c r="T108" i="4"/>
  <c r="O108" i="4"/>
  <c r="M108" i="4"/>
  <c r="L108" i="4"/>
  <c r="K108" i="4"/>
  <c r="Z108" i="4" s="1" a="1"/>
  <c r="Z108" i="4" s="1"/>
  <c r="Y107" i="4"/>
  <c r="X107" i="4"/>
  <c r="W107" i="4"/>
  <c r="V107" i="4"/>
  <c r="U107" i="4"/>
  <c r="T107" i="4"/>
  <c r="O107" i="4"/>
  <c r="M107" i="4"/>
  <c r="L107" i="4"/>
  <c r="K107" i="4"/>
  <c r="Z107" i="4" s="1" a="1"/>
  <c r="Z107" i="4" s="1"/>
  <c r="Y106" i="4"/>
  <c r="X106" i="4"/>
  <c r="W106" i="4"/>
  <c r="V106" i="4"/>
  <c r="U106" i="4"/>
  <c r="T106" i="4"/>
  <c r="O106" i="4"/>
  <c r="M106" i="4"/>
  <c r="L106" i="4"/>
  <c r="K106" i="4"/>
  <c r="Z106" i="4" s="1" a="1"/>
  <c r="Z106" i="4" s="1"/>
  <c r="Y105" i="4"/>
  <c r="X105" i="4"/>
  <c r="W105" i="4"/>
  <c r="V105" i="4"/>
  <c r="U105" i="4"/>
  <c r="T105" i="4"/>
  <c r="O105" i="4"/>
  <c r="M105" i="4"/>
  <c r="L105" i="4"/>
  <c r="K105" i="4"/>
  <c r="Z105" i="4" s="1" a="1"/>
  <c r="Z105" i="4" s="1"/>
  <c r="Y104" i="4"/>
  <c r="X104" i="4"/>
  <c r="W104" i="4"/>
  <c r="V104" i="4"/>
  <c r="U104" i="4"/>
  <c r="T104" i="4"/>
  <c r="O104" i="4"/>
  <c r="M104" i="4"/>
  <c r="L104" i="4"/>
  <c r="K104" i="4"/>
  <c r="Z104" i="4" s="1" a="1"/>
  <c r="Z104" i="4" s="1"/>
  <c r="Y103" i="4"/>
  <c r="X103" i="4"/>
  <c r="W103" i="4"/>
  <c r="V103" i="4"/>
  <c r="U103" i="4"/>
  <c r="T103" i="4"/>
  <c r="O103" i="4"/>
  <c r="M103" i="4"/>
  <c r="L103" i="4"/>
  <c r="K103" i="4"/>
  <c r="Z103" i="4" s="1" a="1"/>
  <c r="Z103" i="4" s="1"/>
  <c r="Y102" i="4"/>
  <c r="X102" i="4"/>
  <c r="W102" i="4"/>
  <c r="V102" i="4"/>
  <c r="U102" i="4"/>
  <c r="T102" i="4"/>
  <c r="O102" i="4"/>
  <c r="M102" i="4"/>
  <c r="L102" i="4"/>
  <c r="K102" i="4"/>
  <c r="Z102" i="4" s="1" a="1"/>
  <c r="Z102" i="4" s="1"/>
  <c r="Y101" i="4"/>
  <c r="X101" i="4"/>
  <c r="W101" i="4"/>
  <c r="V101" i="4"/>
  <c r="U101" i="4"/>
  <c r="T101" i="4"/>
  <c r="O101" i="4"/>
  <c r="M101" i="4"/>
  <c r="L101" i="4"/>
  <c r="K101" i="4"/>
  <c r="Z101" i="4" s="1" a="1"/>
  <c r="Z101" i="4" s="1"/>
  <c r="Y100" i="4"/>
  <c r="X100" i="4"/>
  <c r="W100" i="4"/>
  <c r="V100" i="4"/>
  <c r="U100" i="4"/>
  <c r="T100" i="4"/>
  <c r="O100" i="4"/>
  <c r="M100" i="4"/>
  <c r="L100" i="4"/>
  <c r="K100" i="4"/>
  <c r="Z100" i="4" s="1" a="1"/>
  <c r="Z100" i="4" s="1"/>
  <c r="Y99" i="4"/>
  <c r="X99" i="4"/>
  <c r="W99" i="4"/>
  <c r="V99" i="4"/>
  <c r="U99" i="4"/>
  <c r="T99" i="4"/>
  <c r="O99" i="4"/>
  <c r="M99" i="4"/>
  <c r="L99" i="4"/>
  <c r="K99" i="4"/>
  <c r="Z99" i="4" s="1" a="1"/>
  <c r="Z99" i="4" s="1"/>
  <c r="Y98" i="4"/>
  <c r="X98" i="4"/>
  <c r="W98" i="4"/>
  <c r="V98" i="4"/>
  <c r="U98" i="4"/>
  <c r="T98" i="4"/>
  <c r="O98" i="4"/>
  <c r="M98" i="4"/>
  <c r="L98" i="4"/>
  <c r="K98" i="4"/>
  <c r="Z98" i="4" s="1" a="1"/>
  <c r="Z98" i="4" s="1"/>
  <c r="Y97" i="4"/>
  <c r="X97" i="4"/>
  <c r="W97" i="4"/>
  <c r="V97" i="4"/>
  <c r="U97" i="4"/>
  <c r="T97" i="4"/>
  <c r="O97" i="4"/>
  <c r="M97" i="4"/>
  <c r="L97" i="4"/>
  <c r="K97" i="4"/>
  <c r="Z97" i="4" s="1" a="1"/>
  <c r="Z97" i="4" s="1"/>
  <c r="Y96" i="4"/>
  <c r="X96" i="4"/>
  <c r="W96" i="4"/>
  <c r="V96" i="4"/>
  <c r="U96" i="4"/>
  <c r="T96" i="4"/>
  <c r="O96" i="4"/>
  <c r="M96" i="4"/>
  <c r="L96" i="4"/>
  <c r="K96" i="4"/>
  <c r="Z96" i="4" s="1" a="1"/>
  <c r="Z96" i="4" s="1"/>
  <c r="Y95" i="4"/>
  <c r="X95" i="4"/>
  <c r="W95" i="4"/>
  <c r="V95" i="4"/>
  <c r="U95" i="4"/>
  <c r="T95" i="4"/>
  <c r="O95" i="4"/>
  <c r="M95" i="4"/>
  <c r="L95" i="4"/>
  <c r="K95" i="4"/>
  <c r="Z95" i="4" s="1" a="1"/>
  <c r="Z95" i="4" s="1"/>
  <c r="Y94" i="4"/>
  <c r="X94" i="4"/>
  <c r="W94" i="4"/>
  <c r="V94" i="4"/>
  <c r="U94" i="4"/>
  <c r="T94" i="4"/>
  <c r="O94" i="4"/>
  <c r="M94" i="4"/>
  <c r="L94" i="4"/>
  <c r="K94" i="4"/>
  <c r="Z94" i="4" s="1" a="1"/>
  <c r="Z94" i="4" s="1"/>
  <c r="Y93" i="4"/>
  <c r="X93" i="4"/>
  <c r="W93" i="4"/>
  <c r="V93" i="4"/>
  <c r="U93" i="4"/>
  <c r="T93" i="4"/>
  <c r="O93" i="4"/>
  <c r="M93" i="4"/>
  <c r="L93" i="4"/>
  <c r="K93" i="4"/>
  <c r="Z93" i="4" s="1" a="1"/>
  <c r="Z93" i="4" s="1"/>
  <c r="Y92" i="4"/>
  <c r="X92" i="4"/>
  <c r="W92" i="4"/>
  <c r="V92" i="4"/>
  <c r="U92" i="4"/>
  <c r="T92" i="4"/>
  <c r="O92" i="4"/>
  <c r="M92" i="4"/>
  <c r="L92" i="4"/>
  <c r="K92" i="4"/>
  <c r="Z92" i="4" s="1" a="1"/>
  <c r="Z92" i="4" s="1"/>
  <c r="Y91" i="4"/>
  <c r="X91" i="4"/>
  <c r="W91" i="4"/>
  <c r="V91" i="4"/>
  <c r="U91" i="4"/>
  <c r="T91" i="4"/>
  <c r="O91" i="4"/>
  <c r="M91" i="4"/>
  <c r="L91" i="4"/>
  <c r="K91" i="4"/>
  <c r="Z91" i="4" s="1" a="1"/>
  <c r="Z91" i="4" s="1"/>
  <c r="Y90" i="4"/>
  <c r="X90" i="4"/>
  <c r="W90" i="4"/>
  <c r="V90" i="4"/>
  <c r="U90" i="4"/>
  <c r="T90" i="4"/>
  <c r="O90" i="4"/>
  <c r="M90" i="4"/>
  <c r="L90" i="4"/>
  <c r="K90" i="4"/>
  <c r="Z90" i="4" s="1" a="1"/>
  <c r="Z90" i="4" s="1"/>
  <c r="Y89" i="4"/>
  <c r="X89" i="4"/>
  <c r="W89" i="4"/>
  <c r="V89" i="4"/>
  <c r="U89" i="4"/>
  <c r="T89" i="4"/>
  <c r="O89" i="4"/>
  <c r="M89" i="4"/>
  <c r="L89" i="4"/>
  <c r="K89" i="4"/>
  <c r="Z89" i="4" s="1" a="1"/>
  <c r="Z89" i="4" s="1"/>
  <c r="Y88" i="4"/>
  <c r="X88" i="4"/>
  <c r="W88" i="4"/>
  <c r="V88" i="4"/>
  <c r="U88" i="4"/>
  <c r="T88" i="4"/>
  <c r="O88" i="4"/>
  <c r="M88" i="4"/>
  <c r="L88" i="4"/>
  <c r="K88" i="4"/>
  <c r="Z88" i="4" s="1" a="1"/>
  <c r="Z88" i="4" s="1"/>
  <c r="Y87" i="4"/>
  <c r="X87" i="4"/>
  <c r="W87" i="4"/>
  <c r="V87" i="4"/>
  <c r="U87" i="4"/>
  <c r="T87" i="4"/>
  <c r="O87" i="4"/>
  <c r="M87" i="4"/>
  <c r="L87" i="4"/>
  <c r="K87" i="4"/>
  <c r="Z87" i="4" s="1" a="1"/>
  <c r="Z87" i="4" s="1"/>
  <c r="Y86" i="4"/>
  <c r="X86" i="4"/>
  <c r="W86" i="4"/>
  <c r="V86" i="4"/>
  <c r="U86" i="4"/>
  <c r="T86" i="4"/>
  <c r="O86" i="4"/>
  <c r="M86" i="4"/>
  <c r="L86" i="4"/>
  <c r="K86" i="4"/>
  <c r="Z86" i="4" s="1" a="1"/>
  <c r="Z86" i="4" s="1"/>
  <c r="Y85" i="4"/>
  <c r="X85" i="4"/>
  <c r="W85" i="4"/>
  <c r="V85" i="4"/>
  <c r="U85" i="4"/>
  <c r="T85" i="4"/>
  <c r="O85" i="4"/>
  <c r="M85" i="4"/>
  <c r="L85" i="4"/>
  <c r="K85" i="4"/>
  <c r="Z85" i="4" s="1" a="1"/>
  <c r="Z85" i="4" s="1"/>
  <c r="Y84" i="4"/>
  <c r="X84" i="4"/>
  <c r="W84" i="4"/>
  <c r="V84" i="4"/>
  <c r="U84" i="4"/>
  <c r="T84" i="4"/>
  <c r="O84" i="4"/>
  <c r="M84" i="4"/>
  <c r="L84" i="4"/>
  <c r="K84" i="4"/>
  <c r="Z84" i="4" s="1" a="1"/>
  <c r="Z84" i="4" s="1"/>
  <c r="Y83" i="4"/>
  <c r="X83" i="4"/>
  <c r="W83" i="4"/>
  <c r="V83" i="4"/>
  <c r="U83" i="4"/>
  <c r="T83" i="4"/>
  <c r="O83" i="4"/>
  <c r="M83" i="4"/>
  <c r="L83" i="4"/>
  <c r="K83" i="4"/>
  <c r="Z83" i="4" s="1" a="1"/>
  <c r="Z83" i="4" s="1"/>
  <c r="Y82" i="4"/>
  <c r="X82" i="4"/>
  <c r="W82" i="4"/>
  <c r="V82" i="4"/>
  <c r="U82" i="4"/>
  <c r="T82" i="4"/>
  <c r="O82" i="4"/>
  <c r="M82" i="4"/>
  <c r="L82" i="4"/>
  <c r="K82" i="4"/>
  <c r="Z82" i="4" s="1" a="1"/>
  <c r="Z82" i="4" s="1"/>
  <c r="Y81" i="4"/>
  <c r="X81" i="4"/>
  <c r="W81" i="4"/>
  <c r="V81" i="4"/>
  <c r="U81" i="4"/>
  <c r="T81" i="4"/>
  <c r="O81" i="4"/>
  <c r="M81" i="4"/>
  <c r="L81" i="4"/>
  <c r="K81" i="4"/>
  <c r="Z81" i="4" s="1" a="1"/>
  <c r="Z81" i="4" s="1"/>
  <c r="Y80" i="4"/>
  <c r="X80" i="4"/>
  <c r="W80" i="4"/>
  <c r="V80" i="4"/>
  <c r="U80" i="4"/>
  <c r="T80" i="4"/>
  <c r="O80" i="4"/>
  <c r="M80" i="4"/>
  <c r="L80" i="4"/>
  <c r="K80" i="4"/>
  <c r="Z80" i="4" s="1" a="1"/>
  <c r="Z80" i="4" s="1"/>
  <c r="Y79" i="4"/>
  <c r="X79" i="4"/>
  <c r="W79" i="4"/>
  <c r="V79" i="4"/>
  <c r="U79" i="4"/>
  <c r="T79" i="4"/>
  <c r="O79" i="4"/>
  <c r="M79" i="4"/>
  <c r="L79" i="4"/>
  <c r="K79" i="4"/>
  <c r="Z79" i="4" s="1" a="1"/>
  <c r="Z79" i="4" s="1"/>
  <c r="Y78" i="4"/>
  <c r="X78" i="4"/>
  <c r="W78" i="4"/>
  <c r="V78" i="4"/>
  <c r="U78" i="4"/>
  <c r="T78" i="4"/>
  <c r="O78" i="4"/>
  <c r="M78" i="4"/>
  <c r="L78" i="4"/>
  <c r="K78" i="4"/>
  <c r="Z78" i="4" s="1" a="1"/>
  <c r="Z78" i="4" s="1"/>
  <c r="Y77" i="4"/>
  <c r="X77" i="4"/>
  <c r="W77" i="4"/>
  <c r="V77" i="4"/>
  <c r="U77" i="4"/>
  <c r="T77" i="4"/>
  <c r="O77" i="4"/>
  <c r="M77" i="4"/>
  <c r="L77" i="4"/>
  <c r="K77" i="4"/>
  <c r="Z77" i="4" s="1" a="1"/>
  <c r="Z77" i="4" s="1"/>
  <c r="Y76" i="4"/>
  <c r="X76" i="4"/>
  <c r="W76" i="4"/>
  <c r="V76" i="4"/>
  <c r="U76" i="4"/>
  <c r="T76" i="4"/>
  <c r="O76" i="4"/>
  <c r="M76" i="4"/>
  <c r="L76" i="4"/>
  <c r="K76" i="4"/>
  <c r="Z76" i="4" s="1" a="1"/>
  <c r="Z76" i="4" s="1"/>
  <c r="Y75" i="4"/>
  <c r="X75" i="4"/>
  <c r="W75" i="4"/>
  <c r="V75" i="4"/>
  <c r="U75" i="4"/>
  <c r="T75" i="4"/>
  <c r="O75" i="4"/>
  <c r="M75" i="4"/>
  <c r="L75" i="4"/>
  <c r="K75" i="4"/>
  <c r="Z75" i="4" s="1" a="1"/>
  <c r="Z75" i="4" s="1"/>
  <c r="Y74" i="4"/>
  <c r="X74" i="4"/>
  <c r="W74" i="4"/>
  <c r="V74" i="4"/>
  <c r="U74" i="4"/>
  <c r="T74" i="4"/>
  <c r="O74" i="4"/>
  <c r="M74" i="4"/>
  <c r="L74" i="4"/>
  <c r="K74" i="4"/>
  <c r="Z74" i="4" s="1" a="1"/>
  <c r="Z74" i="4" s="1"/>
  <c r="Y73" i="4"/>
  <c r="X73" i="4"/>
  <c r="W73" i="4"/>
  <c r="V73" i="4"/>
  <c r="U73" i="4"/>
  <c r="T73" i="4"/>
  <c r="O73" i="4"/>
  <c r="M73" i="4"/>
  <c r="L73" i="4"/>
  <c r="K73" i="4"/>
  <c r="Z73" i="4" s="1" a="1"/>
  <c r="Z73" i="4" s="1"/>
  <c r="Y72" i="4"/>
  <c r="X72" i="4"/>
  <c r="W72" i="4"/>
  <c r="V72" i="4"/>
  <c r="U72" i="4"/>
  <c r="T72" i="4"/>
  <c r="O72" i="4"/>
  <c r="M72" i="4"/>
  <c r="L72" i="4"/>
  <c r="K72" i="4"/>
  <c r="Z72" i="4" s="1" a="1"/>
  <c r="Z72" i="4" s="1"/>
  <c r="Y71" i="4"/>
  <c r="X71" i="4"/>
  <c r="W71" i="4"/>
  <c r="V71" i="4"/>
  <c r="U71" i="4"/>
  <c r="T71" i="4"/>
  <c r="O71" i="4"/>
  <c r="M71" i="4"/>
  <c r="L71" i="4"/>
  <c r="K71" i="4"/>
  <c r="Z71" i="4" s="1" a="1"/>
  <c r="Z71" i="4" s="1"/>
  <c r="Y70" i="4"/>
  <c r="X70" i="4"/>
  <c r="W70" i="4"/>
  <c r="V70" i="4"/>
  <c r="U70" i="4"/>
  <c r="T70" i="4"/>
  <c r="O70" i="4"/>
  <c r="M70" i="4"/>
  <c r="L70" i="4"/>
  <c r="K70" i="4"/>
  <c r="Z70" i="4" s="1" a="1"/>
  <c r="Z70" i="4" s="1"/>
  <c r="Y69" i="4"/>
  <c r="X69" i="4"/>
  <c r="W69" i="4"/>
  <c r="V69" i="4"/>
  <c r="U69" i="4"/>
  <c r="T69" i="4"/>
  <c r="O69" i="4"/>
  <c r="M69" i="4"/>
  <c r="L69" i="4"/>
  <c r="K69" i="4"/>
  <c r="Z69" i="4" s="1" a="1"/>
  <c r="Z69" i="4" s="1"/>
  <c r="Y68" i="4"/>
  <c r="X68" i="4"/>
  <c r="W68" i="4"/>
  <c r="V68" i="4"/>
  <c r="U68" i="4"/>
  <c r="T68" i="4"/>
  <c r="O68" i="4"/>
  <c r="M68" i="4"/>
  <c r="L68" i="4"/>
  <c r="K68" i="4"/>
  <c r="Z68" i="4" s="1" a="1"/>
  <c r="Z68" i="4" s="1"/>
  <c r="Y67" i="4"/>
  <c r="X67" i="4"/>
  <c r="W67" i="4"/>
  <c r="V67" i="4"/>
  <c r="U67" i="4"/>
  <c r="T67" i="4"/>
  <c r="O67" i="4"/>
  <c r="M67" i="4"/>
  <c r="L67" i="4"/>
  <c r="K67" i="4"/>
  <c r="Z67" i="4" s="1" a="1"/>
  <c r="Z67" i="4" s="1"/>
  <c r="Y66" i="4"/>
  <c r="X66" i="4"/>
  <c r="W66" i="4"/>
  <c r="V66" i="4"/>
  <c r="U66" i="4"/>
  <c r="T66" i="4"/>
  <c r="O66" i="4"/>
  <c r="M66" i="4"/>
  <c r="L66" i="4"/>
  <c r="K66" i="4"/>
  <c r="Z66" i="4" s="1" a="1"/>
  <c r="Z66" i="4" s="1"/>
  <c r="Y65" i="4"/>
  <c r="X65" i="4"/>
  <c r="W65" i="4"/>
  <c r="V65" i="4"/>
  <c r="U65" i="4"/>
  <c r="T65" i="4"/>
  <c r="O65" i="4"/>
  <c r="M65" i="4"/>
  <c r="L65" i="4"/>
  <c r="K65" i="4"/>
  <c r="Z65" i="4" s="1" a="1"/>
  <c r="Z65" i="4" s="1"/>
  <c r="Y64" i="4"/>
  <c r="X64" i="4"/>
  <c r="W64" i="4"/>
  <c r="V64" i="4"/>
  <c r="U64" i="4"/>
  <c r="T64" i="4"/>
  <c r="O64" i="4"/>
  <c r="M64" i="4"/>
  <c r="L64" i="4"/>
  <c r="K64" i="4"/>
  <c r="Z64" i="4" s="1" a="1"/>
  <c r="Z64" i="4" s="1"/>
  <c r="Y63" i="4"/>
  <c r="X63" i="4"/>
  <c r="W63" i="4"/>
  <c r="V63" i="4"/>
  <c r="U63" i="4"/>
  <c r="T63" i="4"/>
  <c r="O63" i="4"/>
  <c r="M63" i="4"/>
  <c r="L63" i="4"/>
  <c r="K63" i="4"/>
  <c r="Z63" i="4" s="1" a="1"/>
  <c r="Z63" i="4" s="1"/>
  <c r="Y62" i="4"/>
  <c r="X62" i="4"/>
  <c r="W62" i="4"/>
  <c r="V62" i="4"/>
  <c r="U62" i="4"/>
  <c r="T62" i="4"/>
  <c r="O62" i="4"/>
  <c r="M62" i="4"/>
  <c r="L62" i="4"/>
  <c r="K62" i="4"/>
  <c r="Z62" i="4" s="1" a="1"/>
  <c r="Z62" i="4" s="1"/>
  <c r="Y61" i="4"/>
  <c r="X61" i="4"/>
  <c r="W61" i="4"/>
  <c r="V61" i="4"/>
  <c r="U61" i="4"/>
  <c r="T61" i="4"/>
  <c r="O61" i="4"/>
  <c r="M61" i="4"/>
  <c r="L61" i="4"/>
  <c r="K61" i="4"/>
  <c r="Z61" i="4" s="1" a="1"/>
  <c r="Z61" i="4" s="1"/>
  <c r="Y60" i="4"/>
  <c r="X60" i="4"/>
  <c r="W60" i="4"/>
  <c r="V60" i="4"/>
  <c r="U60" i="4"/>
  <c r="T60" i="4"/>
  <c r="O60" i="4"/>
  <c r="M60" i="4"/>
  <c r="L60" i="4"/>
  <c r="K60" i="4"/>
  <c r="Z60" i="4" s="1" a="1"/>
  <c r="Z60" i="4" s="1"/>
  <c r="Y59" i="4"/>
  <c r="X59" i="4"/>
  <c r="W59" i="4"/>
  <c r="V59" i="4"/>
  <c r="U59" i="4"/>
  <c r="T59" i="4"/>
  <c r="O59" i="4"/>
  <c r="M59" i="4"/>
  <c r="L59" i="4"/>
  <c r="K59" i="4"/>
  <c r="Z59" i="4" s="1" a="1"/>
  <c r="Z59" i="4" s="1"/>
  <c r="Y58" i="4"/>
  <c r="X58" i="4"/>
  <c r="W58" i="4"/>
  <c r="V58" i="4"/>
  <c r="U58" i="4"/>
  <c r="T58" i="4"/>
  <c r="O58" i="4"/>
  <c r="M58" i="4"/>
  <c r="L58" i="4"/>
  <c r="K58" i="4"/>
  <c r="Z58" i="4" s="1" a="1"/>
  <c r="Z58" i="4" s="1"/>
  <c r="Y57" i="4"/>
  <c r="X57" i="4"/>
  <c r="W57" i="4"/>
  <c r="V57" i="4"/>
  <c r="U57" i="4"/>
  <c r="T57" i="4"/>
  <c r="O57" i="4"/>
  <c r="M57" i="4"/>
  <c r="L57" i="4"/>
  <c r="K57" i="4"/>
  <c r="Z57" i="4" s="1" a="1"/>
  <c r="Z57" i="4" s="1"/>
  <c r="Y56" i="4"/>
  <c r="X56" i="4"/>
  <c r="W56" i="4"/>
  <c r="V56" i="4"/>
  <c r="U56" i="4"/>
  <c r="T56" i="4"/>
  <c r="O56" i="4"/>
  <c r="M56" i="4"/>
  <c r="L56" i="4"/>
  <c r="K56" i="4"/>
  <c r="Z56" i="4" s="1" a="1"/>
  <c r="Z56" i="4" s="1"/>
  <c r="Y55" i="4"/>
  <c r="X55" i="4"/>
  <c r="W55" i="4"/>
  <c r="V55" i="4"/>
  <c r="U55" i="4"/>
  <c r="T55" i="4"/>
  <c r="O55" i="4"/>
  <c r="M55" i="4"/>
  <c r="L55" i="4"/>
  <c r="K55" i="4"/>
  <c r="Z55" i="4" s="1" a="1"/>
  <c r="Z55" i="4" s="1"/>
  <c r="Y54" i="4"/>
  <c r="X54" i="4"/>
  <c r="W54" i="4"/>
  <c r="V54" i="4"/>
  <c r="U54" i="4"/>
  <c r="T54" i="4"/>
  <c r="O54" i="4"/>
  <c r="M54" i="4"/>
  <c r="L54" i="4"/>
  <c r="K54" i="4"/>
  <c r="Z54" i="4" s="1" a="1"/>
  <c r="Z54" i="4" s="1"/>
  <c r="Y53" i="4"/>
  <c r="X53" i="4"/>
  <c r="W53" i="4"/>
  <c r="V53" i="4"/>
  <c r="U53" i="4"/>
  <c r="T53" i="4"/>
  <c r="O53" i="4"/>
  <c r="M53" i="4"/>
  <c r="L53" i="4"/>
  <c r="K53" i="4"/>
  <c r="Z53" i="4" s="1" a="1"/>
  <c r="Z53" i="4" s="1"/>
  <c r="Y52" i="4"/>
  <c r="X52" i="4"/>
  <c r="W52" i="4"/>
  <c r="V52" i="4"/>
  <c r="U52" i="4"/>
  <c r="T52" i="4"/>
  <c r="O52" i="4"/>
  <c r="M52" i="4"/>
  <c r="L52" i="4"/>
  <c r="K52" i="4"/>
  <c r="Z52" i="4" s="1" a="1"/>
  <c r="Z52" i="4" s="1"/>
  <c r="Y51" i="4"/>
  <c r="X51" i="4"/>
  <c r="W51" i="4"/>
  <c r="V51" i="4"/>
  <c r="U51" i="4"/>
  <c r="T51" i="4"/>
  <c r="O51" i="4"/>
  <c r="M51" i="4"/>
  <c r="L51" i="4"/>
  <c r="K51" i="4"/>
  <c r="Z51" i="4" s="1" a="1"/>
  <c r="Z51" i="4" s="1"/>
  <c r="Y50" i="4"/>
  <c r="X50" i="4"/>
  <c r="W50" i="4"/>
  <c r="V50" i="4"/>
  <c r="U50" i="4"/>
  <c r="T50" i="4"/>
  <c r="O50" i="4"/>
  <c r="M50" i="4"/>
  <c r="L50" i="4"/>
  <c r="K50" i="4"/>
  <c r="Z50" i="4" s="1" a="1"/>
  <c r="Z50" i="4" s="1"/>
  <c r="Y49" i="4"/>
  <c r="X49" i="4"/>
  <c r="W49" i="4"/>
  <c r="V49" i="4"/>
  <c r="U49" i="4"/>
  <c r="T49" i="4"/>
  <c r="O49" i="4"/>
  <c r="M49" i="4"/>
  <c r="L49" i="4"/>
  <c r="K49" i="4"/>
  <c r="Z49" i="4" s="1" a="1"/>
  <c r="Z49" i="4" s="1"/>
  <c r="Y48" i="4"/>
  <c r="X48" i="4"/>
  <c r="W48" i="4"/>
  <c r="V48" i="4"/>
  <c r="U48" i="4"/>
  <c r="T48" i="4"/>
  <c r="O48" i="4"/>
  <c r="M48" i="4"/>
  <c r="L48" i="4"/>
  <c r="K48" i="4"/>
  <c r="Z48" i="4" s="1" a="1"/>
  <c r="Z48" i="4" s="1"/>
  <c r="Y47" i="4"/>
  <c r="X47" i="4"/>
  <c r="W47" i="4"/>
  <c r="V47" i="4"/>
  <c r="U47" i="4"/>
  <c r="T47" i="4"/>
  <c r="O47" i="4"/>
  <c r="M47" i="4"/>
  <c r="L47" i="4"/>
  <c r="K47" i="4"/>
  <c r="Z47" i="4" s="1" a="1"/>
  <c r="Z47" i="4" s="1"/>
  <c r="Y46" i="4"/>
  <c r="X46" i="4"/>
  <c r="W46" i="4"/>
  <c r="V46" i="4"/>
  <c r="U46" i="4"/>
  <c r="T46" i="4"/>
  <c r="O46" i="4"/>
  <c r="M46" i="4"/>
  <c r="L46" i="4"/>
  <c r="K46" i="4"/>
  <c r="Z46" i="4" s="1" a="1"/>
  <c r="Z46" i="4" s="1"/>
  <c r="Y45" i="4"/>
  <c r="X45" i="4"/>
  <c r="W45" i="4"/>
  <c r="V45" i="4"/>
  <c r="U45" i="4"/>
  <c r="T45" i="4"/>
  <c r="O45" i="4"/>
  <c r="M45" i="4"/>
  <c r="L45" i="4"/>
  <c r="K45" i="4"/>
  <c r="Z45" i="4" s="1" a="1"/>
  <c r="Z45" i="4" s="1"/>
  <c r="Y44" i="4"/>
  <c r="X44" i="4"/>
  <c r="W44" i="4"/>
  <c r="V44" i="4"/>
  <c r="U44" i="4"/>
  <c r="T44" i="4"/>
  <c r="O44" i="4"/>
  <c r="M44" i="4"/>
  <c r="L44" i="4"/>
  <c r="K44" i="4"/>
  <c r="Z44" i="4" s="1" a="1"/>
  <c r="Z44" i="4" s="1"/>
  <c r="Y43" i="4"/>
  <c r="X43" i="4"/>
  <c r="W43" i="4"/>
  <c r="V43" i="4"/>
  <c r="U43" i="4"/>
  <c r="T43" i="4"/>
  <c r="O43" i="4"/>
  <c r="M43" i="4"/>
  <c r="L43" i="4"/>
  <c r="K43" i="4"/>
  <c r="Z43" i="4" s="1" a="1"/>
  <c r="Z43" i="4" s="1"/>
  <c r="Y42" i="4"/>
  <c r="X42" i="4"/>
  <c r="W42" i="4"/>
  <c r="V42" i="4"/>
  <c r="U42" i="4"/>
  <c r="T42" i="4"/>
  <c r="O42" i="4"/>
  <c r="M42" i="4"/>
  <c r="L42" i="4"/>
  <c r="K42" i="4"/>
  <c r="Z42" i="4" s="1" a="1"/>
  <c r="Z42" i="4" s="1"/>
  <c r="Y41" i="4"/>
  <c r="X41" i="4"/>
  <c r="W41" i="4"/>
  <c r="V41" i="4"/>
  <c r="U41" i="4"/>
  <c r="T41" i="4"/>
  <c r="O41" i="4"/>
  <c r="M41" i="4"/>
  <c r="L41" i="4"/>
  <c r="K41" i="4"/>
  <c r="Z41" i="4" s="1" a="1"/>
  <c r="Z41" i="4" s="1"/>
  <c r="Y40" i="4"/>
  <c r="X40" i="4"/>
  <c r="W40" i="4"/>
  <c r="V40" i="4"/>
  <c r="U40" i="4"/>
  <c r="T40" i="4"/>
  <c r="O40" i="4"/>
  <c r="M40" i="4"/>
  <c r="L40" i="4"/>
  <c r="K40" i="4"/>
  <c r="Z40" i="4" s="1" a="1"/>
  <c r="Z40" i="4" s="1"/>
  <c r="Y39" i="4"/>
  <c r="X39" i="4"/>
  <c r="W39" i="4"/>
  <c r="V39" i="4"/>
  <c r="U39" i="4"/>
  <c r="T39" i="4"/>
  <c r="O39" i="4"/>
  <c r="M39" i="4"/>
  <c r="L39" i="4"/>
  <c r="K39" i="4"/>
  <c r="Z39" i="4" s="1" a="1"/>
  <c r="Z39" i="4" s="1"/>
  <c r="Y38" i="4"/>
  <c r="X38" i="4"/>
  <c r="W38" i="4"/>
  <c r="V38" i="4"/>
  <c r="U38" i="4"/>
  <c r="T38" i="4"/>
  <c r="O38" i="4"/>
  <c r="M38" i="4"/>
  <c r="L38" i="4"/>
  <c r="K38" i="4"/>
  <c r="Z38" i="4" s="1" a="1"/>
  <c r="Z38" i="4" s="1"/>
  <c r="Y37" i="4"/>
  <c r="X37" i="4"/>
  <c r="W37" i="4"/>
  <c r="V37" i="4"/>
  <c r="U37" i="4"/>
  <c r="T37" i="4"/>
  <c r="O37" i="4"/>
  <c r="M37" i="4"/>
  <c r="L37" i="4"/>
  <c r="K37" i="4"/>
  <c r="Z37" i="4" s="1" a="1"/>
  <c r="Z37" i="4" s="1"/>
  <c r="Y36" i="4"/>
  <c r="X36" i="4"/>
  <c r="W36" i="4"/>
  <c r="V36" i="4"/>
  <c r="U36" i="4"/>
  <c r="T36" i="4"/>
  <c r="O36" i="4"/>
  <c r="M36" i="4"/>
  <c r="L36" i="4"/>
  <c r="K36" i="4"/>
  <c r="Z36" i="4" s="1" a="1"/>
  <c r="Z36" i="4" s="1"/>
  <c r="Y35" i="4"/>
  <c r="X35" i="4"/>
  <c r="W35" i="4"/>
  <c r="V35" i="4"/>
  <c r="U35" i="4"/>
  <c r="T35" i="4"/>
  <c r="O35" i="4"/>
  <c r="M35" i="4"/>
  <c r="L35" i="4"/>
  <c r="K35" i="4"/>
  <c r="Z35" i="4" s="1" a="1"/>
  <c r="Z35" i="4" s="1"/>
  <c r="Y34" i="4"/>
  <c r="X34" i="4"/>
  <c r="W34" i="4"/>
  <c r="V34" i="4"/>
  <c r="U34" i="4"/>
  <c r="T34" i="4"/>
  <c r="O34" i="4"/>
  <c r="M34" i="4"/>
  <c r="L34" i="4"/>
  <c r="K34" i="4"/>
  <c r="Z34" i="4" s="1" a="1"/>
  <c r="Z34" i="4" s="1"/>
  <c r="Y33" i="4"/>
  <c r="X33" i="4"/>
  <c r="W33" i="4"/>
  <c r="V33" i="4"/>
  <c r="U33" i="4"/>
  <c r="T33" i="4"/>
  <c r="O33" i="4"/>
  <c r="M33" i="4"/>
  <c r="L33" i="4"/>
  <c r="K33" i="4"/>
  <c r="Z33" i="4" s="1" a="1"/>
  <c r="Z33" i="4" s="1"/>
  <c r="Y32" i="4"/>
  <c r="X32" i="4"/>
  <c r="W32" i="4"/>
  <c r="V32" i="4"/>
  <c r="U32" i="4"/>
  <c r="T32" i="4"/>
  <c r="O32" i="4"/>
  <c r="M32" i="4"/>
  <c r="L32" i="4"/>
  <c r="K32" i="4"/>
  <c r="Z32" i="4" s="1" a="1"/>
  <c r="Z32" i="4" s="1"/>
  <c r="Y31" i="4"/>
  <c r="X31" i="4"/>
  <c r="W31" i="4"/>
  <c r="V31" i="4"/>
  <c r="U31" i="4"/>
  <c r="T31" i="4"/>
  <c r="O31" i="4"/>
  <c r="M31" i="4"/>
  <c r="L31" i="4"/>
  <c r="K31" i="4"/>
  <c r="Z31" i="4" s="1" a="1"/>
  <c r="Z31" i="4" s="1"/>
  <c r="Y30" i="4"/>
  <c r="X30" i="4"/>
  <c r="W30" i="4"/>
  <c r="V30" i="4"/>
  <c r="U30" i="4"/>
  <c r="T30" i="4"/>
  <c r="O30" i="4"/>
  <c r="M30" i="4"/>
  <c r="L30" i="4"/>
  <c r="K30" i="4"/>
  <c r="Z30" i="4" s="1" a="1"/>
  <c r="Z30" i="4" s="1"/>
  <c r="Y29" i="4"/>
  <c r="X29" i="4"/>
  <c r="W29" i="4"/>
  <c r="V29" i="4"/>
  <c r="U29" i="4"/>
  <c r="T29" i="4"/>
  <c r="O29" i="4"/>
  <c r="M29" i="4"/>
  <c r="L29" i="4"/>
  <c r="K29" i="4"/>
  <c r="Z29" i="4" s="1" a="1"/>
  <c r="Z29" i="4" s="1"/>
  <c r="Y28" i="4"/>
  <c r="X28" i="4"/>
  <c r="W28" i="4"/>
  <c r="V28" i="4"/>
  <c r="U28" i="4"/>
  <c r="T28" i="4"/>
  <c r="O28" i="4"/>
  <c r="M28" i="4"/>
  <c r="L28" i="4"/>
  <c r="K28" i="4"/>
  <c r="Z28" i="4" s="1" a="1"/>
  <c r="Z28" i="4" s="1"/>
  <c r="Y27" i="4"/>
  <c r="X27" i="4"/>
  <c r="W27" i="4"/>
  <c r="V27" i="4"/>
  <c r="U27" i="4"/>
  <c r="T27" i="4"/>
  <c r="O27" i="4"/>
  <c r="M27" i="4"/>
  <c r="L27" i="4"/>
  <c r="K27" i="4"/>
  <c r="Z27" i="4" s="1" a="1"/>
  <c r="Z27" i="4" s="1"/>
  <c r="Y26" i="4"/>
  <c r="X26" i="4"/>
  <c r="W26" i="4"/>
  <c r="V26" i="4"/>
  <c r="U26" i="4"/>
  <c r="T26" i="4"/>
  <c r="O26" i="4"/>
  <c r="M26" i="4"/>
  <c r="L26" i="4"/>
  <c r="K26" i="4"/>
  <c r="Z26" i="4" s="1" a="1"/>
  <c r="Z26" i="4" s="1"/>
  <c r="Y25" i="4"/>
  <c r="X25" i="4"/>
  <c r="W25" i="4"/>
  <c r="V25" i="4"/>
  <c r="U25" i="4"/>
  <c r="T25" i="4"/>
  <c r="O25" i="4"/>
  <c r="M25" i="4"/>
  <c r="L25" i="4"/>
  <c r="K25" i="4"/>
  <c r="Z25" i="4" s="1" a="1"/>
  <c r="Z25" i="4" s="1"/>
  <c r="Y24" i="4"/>
  <c r="X24" i="4"/>
  <c r="W24" i="4"/>
  <c r="V24" i="4"/>
  <c r="U24" i="4"/>
  <c r="T24" i="4"/>
  <c r="O24" i="4"/>
  <c r="M24" i="4"/>
  <c r="L24" i="4"/>
  <c r="K24" i="4"/>
  <c r="Z24" i="4" s="1" a="1"/>
  <c r="Z24" i="4" s="1"/>
  <c r="Y23" i="4"/>
  <c r="X23" i="4"/>
  <c r="W23" i="4"/>
  <c r="V23" i="4"/>
  <c r="U23" i="4"/>
  <c r="T23" i="4"/>
  <c r="O23" i="4"/>
  <c r="M23" i="4"/>
  <c r="L23" i="4"/>
  <c r="K23" i="4"/>
  <c r="Z23" i="4" s="1" a="1"/>
  <c r="Z23" i="4" s="1"/>
  <c r="Y22" i="4"/>
  <c r="X22" i="4"/>
  <c r="W22" i="4"/>
  <c r="V22" i="4"/>
  <c r="U22" i="4"/>
  <c r="T22" i="4"/>
  <c r="O22" i="4"/>
  <c r="M22" i="4"/>
  <c r="L22" i="4"/>
  <c r="K22" i="4"/>
  <c r="Z22" i="4" s="1" a="1"/>
  <c r="Z22" i="4" s="1"/>
  <c r="Y21" i="4"/>
  <c r="X21" i="4"/>
  <c r="W21" i="4"/>
  <c r="V21" i="4"/>
  <c r="U21" i="4"/>
  <c r="T21" i="4"/>
  <c r="O21" i="4"/>
  <c r="M21" i="4"/>
  <c r="L21" i="4"/>
  <c r="K21" i="4"/>
  <c r="Z21" i="4" s="1" a="1"/>
  <c r="Z21" i="4" s="1"/>
  <c r="Y20" i="4"/>
  <c r="X20" i="4"/>
  <c r="W20" i="4"/>
  <c r="V20" i="4"/>
  <c r="U20" i="4"/>
  <c r="T20" i="4"/>
  <c r="O20" i="4"/>
  <c r="M20" i="4"/>
  <c r="L20" i="4"/>
  <c r="K20" i="4"/>
  <c r="Z20" i="4" s="1" a="1"/>
  <c r="Z20" i="4" s="1"/>
  <c r="Y19" i="4"/>
  <c r="X19" i="4"/>
  <c r="W19" i="4"/>
  <c r="V19" i="4"/>
  <c r="U19" i="4"/>
  <c r="T19" i="4"/>
  <c r="O19" i="4"/>
  <c r="M19" i="4"/>
  <c r="L19" i="4"/>
  <c r="K19" i="4"/>
  <c r="Z19" i="4" s="1" a="1"/>
  <c r="Z19" i="4" s="1"/>
  <c r="Y18" i="4"/>
  <c r="X18" i="4"/>
  <c r="W18" i="4"/>
  <c r="V18" i="4"/>
  <c r="U18" i="4"/>
  <c r="T18" i="4"/>
  <c r="O18" i="4"/>
  <c r="M18" i="4"/>
  <c r="L18" i="4"/>
  <c r="K18" i="4"/>
  <c r="Z18" i="4" s="1" a="1"/>
  <c r="Z18" i="4" s="1"/>
  <c r="Y17" i="4"/>
  <c r="X17" i="4"/>
  <c r="W17" i="4"/>
  <c r="V17" i="4"/>
  <c r="U17" i="4"/>
  <c r="T17" i="4"/>
  <c r="O17" i="4"/>
  <c r="M17" i="4"/>
  <c r="L17" i="4"/>
  <c r="K17" i="4"/>
  <c r="Z17" i="4" s="1" a="1"/>
  <c r="Z17" i="4" s="1"/>
  <c r="Y16" i="4"/>
  <c r="X16" i="4"/>
  <c r="W16" i="4"/>
  <c r="V16" i="4"/>
  <c r="U16" i="4"/>
  <c r="T16" i="4"/>
  <c r="O16" i="4"/>
  <c r="M16" i="4"/>
  <c r="L16" i="4"/>
  <c r="K16" i="4"/>
  <c r="Z16" i="4" s="1" a="1"/>
  <c r="Z16" i="4" s="1"/>
  <c r="Y15" i="4"/>
  <c r="X15" i="4"/>
  <c r="W15" i="4"/>
  <c r="V15" i="4"/>
  <c r="U15" i="4"/>
  <c r="T15" i="4"/>
  <c r="O15" i="4"/>
  <c r="M15" i="4"/>
  <c r="L15" i="4"/>
  <c r="K15" i="4"/>
  <c r="Z15" i="4" s="1" a="1"/>
  <c r="Z15" i="4" s="1"/>
  <c r="Y14" i="4"/>
  <c r="X14" i="4"/>
  <c r="W14" i="4"/>
  <c r="V14" i="4"/>
  <c r="U14" i="4"/>
  <c r="T14" i="4"/>
  <c r="O14" i="4"/>
  <c r="M14" i="4"/>
  <c r="L14" i="4"/>
  <c r="K14" i="4"/>
  <c r="Z14" i="4" s="1" a="1"/>
  <c r="Z14" i="4" s="1"/>
  <c r="Y13" i="4"/>
  <c r="X13" i="4"/>
  <c r="W13" i="4"/>
  <c r="V13" i="4"/>
  <c r="U13" i="4"/>
  <c r="T13" i="4"/>
  <c r="O13" i="4"/>
  <c r="M13" i="4"/>
  <c r="L13" i="4"/>
  <c r="K13" i="4"/>
  <c r="Z13" i="4" s="1" a="1"/>
  <c r="Z13" i="4" s="1"/>
  <c r="Y12" i="4"/>
  <c r="X12" i="4"/>
  <c r="W12" i="4"/>
  <c r="V12" i="4"/>
  <c r="U12" i="4"/>
  <c r="T12" i="4"/>
  <c r="O12" i="4"/>
  <c r="M12" i="4"/>
  <c r="L12" i="4"/>
  <c r="K12" i="4"/>
  <c r="Z12" i="4" s="1" a="1"/>
  <c r="Z12" i="4" s="1"/>
  <c r="Y11" i="4"/>
  <c r="X11" i="4"/>
  <c r="W11" i="4"/>
  <c r="V11" i="4"/>
  <c r="U11" i="4"/>
  <c r="T11" i="4"/>
  <c r="O11" i="4"/>
  <c r="M11" i="4"/>
  <c r="L11" i="4"/>
  <c r="K11" i="4"/>
  <c r="Z11" i="4" s="1" a="1"/>
  <c r="Z11" i="4" s="1"/>
  <c r="Y10" i="4"/>
  <c r="X10" i="4"/>
  <c r="W10" i="4"/>
  <c r="V10" i="4"/>
  <c r="U10" i="4"/>
  <c r="T10" i="4"/>
  <c r="O10" i="4"/>
  <c r="M10" i="4"/>
  <c r="L10" i="4"/>
  <c r="K10" i="4"/>
  <c r="Z10" i="4" s="1" a="1"/>
  <c r="Z10" i="4" s="1"/>
  <c r="Y9" i="4"/>
  <c r="X9" i="4"/>
  <c r="W9" i="4"/>
  <c r="V9" i="4"/>
  <c r="U9" i="4"/>
  <c r="T9" i="4"/>
  <c r="O9" i="4"/>
  <c r="M9" i="4"/>
  <c r="L9" i="4"/>
  <c r="K9" i="4"/>
  <c r="Z9" i="4" s="1" a="1"/>
  <c r="Z9" i="4" s="1"/>
  <c r="Y8" i="4"/>
  <c r="X8" i="4"/>
  <c r="W8" i="4"/>
  <c r="V8" i="4"/>
  <c r="U8" i="4"/>
  <c r="T8" i="4"/>
  <c r="O8" i="4"/>
  <c r="M8" i="4"/>
  <c r="L8" i="4"/>
  <c r="K8" i="4"/>
  <c r="Z8" i="4" s="1" a="1"/>
  <c r="Z8" i="4" s="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C2" i="3"/>
  <c r="B2" i="12" s="1"/>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6" i="3"/>
  <c r="C11" i="14"/>
  <c r="C10" i="14"/>
  <c r="C9" i="14"/>
  <c r="C8" i="14"/>
  <c r="C7" i="14"/>
  <c r="B8" i="14"/>
  <c r="B7" i="14"/>
  <c r="B11" i="14"/>
  <c r="B10" i="14"/>
  <c r="B9" i="14"/>
  <c r="X8" i="14"/>
  <c r="D374" i="3" l="1"/>
  <c r="D246" i="3"/>
  <c r="D642" i="3"/>
  <c r="D906" i="3"/>
  <c r="D727" i="3"/>
  <c r="D329" i="3"/>
  <c r="D749" i="3"/>
  <c r="D893" i="3"/>
  <c r="D78" i="3"/>
  <c r="D870" i="3"/>
  <c r="D499" i="3"/>
  <c r="D122" i="3"/>
  <c r="D580" i="3"/>
  <c r="D761" i="3"/>
  <c r="D18" i="3"/>
  <c r="D594" i="3"/>
  <c r="D762" i="3"/>
  <c r="D91" i="3"/>
  <c r="D247" i="3"/>
  <c r="D343" i="3"/>
  <c r="D907" i="3"/>
  <c r="D111" i="3"/>
  <c r="D123" i="3"/>
  <c r="D66" i="3"/>
  <c r="D978" i="3"/>
  <c r="D43" i="3"/>
  <c r="D151" i="3"/>
  <c r="D235" i="3"/>
  <c r="D331" i="3"/>
  <c r="D427" i="3"/>
  <c r="D511" i="3"/>
  <c r="D571" i="3"/>
  <c r="D655" i="3"/>
  <c r="D763" i="3"/>
  <c r="D979" i="3"/>
  <c r="D216" i="3"/>
  <c r="D850" i="3"/>
  <c r="D140" i="3"/>
  <c r="D200" i="3"/>
  <c r="D237" i="3"/>
  <c r="D500" i="3"/>
  <c r="D30" i="3"/>
  <c r="D114" i="3"/>
  <c r="D138" i="3"/>
  <c r="D174" i="3"/>
  <c r="D198" i="3"/>
  <c r="D258" i="3"/>
  <c r="D282" i="3"/>
  <c r="D342" i="3"/>
  <c r="D354" i="3"/>
  <c r="D390" i="3"/>
  <c r="D426" i="3"/>
  <c r="D450" i="3"/>
  <c r="D486" i="3"/>
  <c r="D498" i="3"/>
  <c r="D534" i="3"/>
  <c r="D546" i="3"/>
  <c r="D570" i="3"/>
  <c r="D606" i="3"/>
  <c r="D618" i="3"/>
  <c r="D630" i="3"/>
  <c r="D654" i="3"/>
  <c r="D666" i="3"/>
  <c r="D678" i="3"/>
  <c r="D702" i="3"/>
  <c r="D726" i="3"/>
  <c r="D774" i="3"/>
  <c r="D810" i="3"/>
  <c r="D822" i="3"/>
  <c r="D846" i="3"/>
  <c r="D882" i="3"/>
  <c r="D918" i="3"/>
  <c r="D930" i="3"/>
  <c r="D966" i="3"/>
  <c r="D1002" i="3"/>
  <c r="D488" i="3"/>
  <c r="D19" i="3"/>
  <c r="D79" i="3"/>
  <c r="D115" i="3"/>
  <c r="D163" i="3"/>
  <c r="D211" i="3"/>
  <c r="D271" i="3"/>
  <c r="D295" i="3"/>
  <c r="D355" i="3"/>
  <c r="D403" i="3"/>
  <c r="D451" i="3"/>
  <c r="D475" i="3"/>
  <c r="D535" i="3"/>
  <c r="D583" i="3"/>
  <c r="D619" i="3"/>
  <c r="D679" i="3"/>
  <c r="D703" i="3"/>
  <c r="D751" i="3"/>
  <c r="D775" i="3"/>
  <c r="D811" i="3"/>
  <c r="D835" i="3"/>
  <c r="D895" i="3"/>
  <c r="D931" i="3"/>
  <c r="D967" i="3"/>
  <c r="D991" i="3"/>
  <c r="D10" i="3"/>
  <c r="D58" i="3"/>
  <c r="D82" i="3"/>
  <c r="D106" i="3"/>
  <c r="D142" i="3"/>
  <c r="D166" i="3"/>
  <c r="D310" i="3"/>
  <c r="D71" i="3"/>
  <c r="D324" i="3"/>
  <c r="D708" i="3"/>
  <c r="D6" i="3"/>
  <c r="D623" i="3"/>
  <c r="D13" i="3"/>
  <c r="D25" i="3"/>
  <c r="D37" i="3"/>
  <c r="D49" i="3"/>
  <c r="D61" i="3"/>
  <c r="D73" i="3"/>
  <c r="D85" i="3"/>
  <c r="D97" i="3"/>
  <c r="D109" i="3"/>
  <c r="D121" i="3"/>
  <c r="D133" i="3"/>
  <c r="D145" i="3"/>
  <c r="D157" i="3"/>
  <c r="D169" i="3"/>
  <c r="D181" i="3"/>
  <c r="D193" i="3"/>
  <c r="D205" i="3"/>
  <c r="D217" i="3"/>
  <c r="D362" i="3"/>
  <c r="D624" i="3"/>
  <c r="D54" i="3"/>
  <c r="D150" i="3"/>
  <c r="D234" i="3"/>
  <c r="D306" i="3"/>
  <c r="D402" i="3"/>
  <c r="D798" i="3"/>
  <c r="D7" i="3"/>
  <c r="D67" i="3"/>
  <c r="D175" i="3"/>
  <c r="D223" i="3"/>
  <c r="D319" i="3"/>
  <c r="D415" i="3"/>
  <c r="D523" i="3"/>
  <c r="D859" i="3"/>
  <c r="D34" i="3"/>
  <c r="D118" i="3"/>
  <c r="D14" i="3"/>
  <c r="D50" i="3"/>
  <c r="D74" i="3"/>
  <c r="D98" i="3"/>
  <c r="D110" i="3"/>
  <c r="D134" i="3"/>
  <c r="D146" i="3"/>
  <c r="D158" i="3"/>
  <c r="D170" i="3"/>
  <c r="D182" i="3"/>
  <c r="D194" i="3"/>
  <c r="D206" i="3"/>
  <c r="D218" i="3"/>
  <c r="D230" i="3"/>
  <c r="D242" i="3"/>
  <c r="D266" i="3"/>
  <c r="D290" i="3"/>
  <c r="D326" i="3"/>
  <c r="D542" i="3"/>
  <c r="D372" i="3"/>
  <c r="D711" i="3"/>
  <c r="D42" i="3"/>
  <c r="D90" i="3"/>
  <c r="D126" i="3"/>
  <c r="D186" i="3"/>
  <c r="D210" i="3"/>
  <c r="D270" i="3"/>
  <c r="D294" i="3"/>
  <c r="D330" i="3"/>
  <c r="D366" i="3"/>
  <c r="D414" i="3"/>
  <c r="D438" i="3"/>
  <c r="D462" i="3"/>
  <c r="D474" i="3"/>
  <c r="D510" i="3"/>
  <c r="D522" i="3"/>
  <c r="D558" i="3"/>
  <c r="D582" i="3"/>
  <c r="D690" i="3"/>
  <c r="D738" i="3"/>
  <c r="D750" i="3"/>
  <c r="D786" i="3"/>
  <c r="D834" i="3"/>
  <c r="D858" i="3"/>
  <c r="D894" i="3"/>
  <c r="D942" i="3"/>
  <c r="D954" i="3"/>
  <c r="D990" i="3"/>
  <c r="D202" i="3"/>
  <c r="D55" i="3"/>
  <c r="D103" i="3"/>
  <c r="D139" i="3"/>
  <c r="D199" i="3"/>
  <c r="D259" i="3"/>
  <c r="D307" i="3"/>
  <c r="D367" i="3"/>
  <c r="D391" i="3"/>
  <c r="D439" i="3"/>
  <c r="D487" i="3"/>
  <c r="D559" i="3"/>
  <c r="D607" i="3"/>
  <c r="D631" i="3"/>
  <c r="D667" i="3"/>
  <c r="D691" i="3"/>
  <c r="D739" i="3"/>
  <c r="D787" i="3"/>
  <c r="D823" i="3"/>
  <c r="D847" i="3"/>
  <c r="D883" i="3"/>
  <c r="D919" i="3"/>
  <c r="D955" i="3"/>
  <c r="D1003" i="3"/>
  <c r="D22" i="3"/>
  <c r="D46" i="3"/>
  <c r="D70" i="3"/>
  <c r="D94" i="3"/>
  <c r="D130" i="3"/>
  <c r="D154" i="3"/>
  <c r="D178" i="3"/>
  <c r="D226" i="3"/>
  <c r="D815" i="3"/>
  <c r="D612" i="3"/>
  <c r="D26" i="3"/>
  <c r="D38" i="3"/>
  <c r="D62" i="3"/>
  <c r="D86" i="3"/>
  <c r="D15" i="3"/>
  <c r="D27" i="3"/>
  <c r="D39" i="3"/>
  <c r="D51" i="3"/>
  <c r="D63" i="3"/>
  <c r="D75" i="3"/>
  <c r="D87" i="3"/>
  <c r="D99" i="3"/>
  <c r="D135" i="3"/>
  <c r="D147" i="3"/>
  <c r="D159" i="3"/>
  <c r="D171" i="3"/>
  <c r="D183" i="3"/>
  <c r="D195" i="3"/>
  <c r="D207" i="3"/>
  <c r="D219" i="3"/>
  <c r="D231" i="3"/>
  <c r="D243" i="3"/>
  <c r="D255" i="3"/>
  <c r="D267" i="3"/>
  <c r="D279" i="3"/>
  <c r="D291" i="3"/>
  <c r="D303" i="3"/>
  <c r="D315" i="3"/>
  <c r="D327" i="3"/>
  <c r="D339" i="3"/>
  <c r="D351" i="3"/>
  <c r="D363" i="3"/>
  <c r="D375" i="3"/>
  <c r="D387" i="3"/>
  <c r="D399" i="3"/>
  <c r="D411" i="3"/>
  <c r="D423" i="3"/>
  <c r="D435" i="3"/>
  <c r="D447" i="3"/>
  <c r="D459" i="3"/>
  <c r="D471" i="3"/>
  <c r="D483" i="3"/>
  <c r="D495" i="3"/>
  <c r="D507" i="3"/>
  <c r="D519" i="3"/>
  <c r="D531" i="3"/>
  <c r="D543" i="3"/>
  <c r="D555" i="3"/>
  <c r="D567" i="3"/>
  <c r="D579" i="3"/>
  <c r="D591" i="3"/>
  <c r="D603" i="3"/>
  <c r="D615" i="3"/>
  <c r="D627" i="3"/>
  <c r="D639" i="3"/>
  <c r="D651" i="3"/>
  <c r="D663" i="3"/>
  <c r="D675" i="3"/>
  <c r="D687" i="3"/>
  <c r="D699" i="3"/>
  <c r="D723" i="3"/>
  <c r="D735" i="3"/>
  <c r="D819" i="3"/>
  <c r="D831" i="3"/>
  <c r="D927" i="3"/>
  <c r="D891" i="3"/>
  <c r="D808" i="3"/>
  <c r="D807" i="3"/>
  <c r="D951" i="3"/>
  <c r="D855" i="3"/>
  <c r="D796" i="3"/>
  <c r="D657" i="3"/>
  <c r="D404" i="3"/>
  <c r="D710" i="3"/>
  <c r="D1004" i="3"/>
  <c r="D1000" i="3"/>
  <c r="D771" i="3"/>
  <c r="D994" i="3"/>
  <c r="D848" i="3"/>
  <c r="D578" i="3"/>
  <c r="D843" i="3"/>
  <c r="D320" i="3"/>
  <c r="D832" i="3"/>
  <c r="D561" i="3"/>
  <c r="D676" i="3"/>
  <c r="D296" i="3"/>
  <c r="D801" i="3"/>
  <c r="D662" i="3"/>
  <c r="D410" i="3"/>
  <c r="D782" i="3"/>
  <c r="D644" i="3"/>
  <c r="D518" i="3"/>
  <c r="D920" i="3"/>
  <c r="D635" i="3"/>
  <c r="D384" i="3"/>
  <c r="D102" i="3"/>
  <c r="D162" i="3"/>
  <c r="D222" i="3"/>
  <c r="D318" i="3"/>
  <c r="D378" i="3"/>
  <c r="D714" i="3"/>
  <c r="D31" i="3"/>
  <c r="D127" i="3"/>
  <c r="D187" i="3"/>
  <c r="D283" i="3"/>
  <c r="D379" i="3"/>
  <c r="D463" i="3"/>
  <c r="D547" i="3"/>
  <c r="D595" i="3"/>
  <c r="D643" i="3"/>
  <c r="D715" i="3"/>
  <c r="D799" i="3"/>
  <c r="D871" i="3"/>
  <c r="D943" i="3"/>
  <c r="D16" i="3"/>
  <c r="D28" i="3"/>
  <c r="D40" i="3"/>
  <c r="D52" i="3"/>
  <c r="D64" i="3"/>
  <c r="D76" i="3"/>
  <c r="D88" i="3"/>
  <c r="D100" i="3"/>
  <c r="D112" i="3"/>
  <c r="D124" i="3"/>
  <c r="D136" i="3"/>
  <c r="D148" i="3"/>
  <c r="D160" i="3"/>
  <c r="D172" i="3"/>
  <c r="D184" i="3"/>
  <c r="D196" i="3"/>
  <c r="D208" i="3"/>
  <c r="D220" i="3"/>
  <c r="D232" i="3"/>
  <c r="D244" i="3"/>
  <c r="D256" i="3"/>
  <c r="D268" i="3"/>
  <c r="D280" i="3"/>
  <c r="D292" i="3"/>
  <c r="D304" i="3"/>
  <c r="D316" i="3"/>
  <c r="D328" i="3"/>
  <c r="D340" i="3"/>
  <c r="D352" i="3"/>
  <c r="D364" i="3"/>
  <c r="D376" i="3"/>
  <c r="D388" i="3"/>
  <c r="D400" i="3"/>
  <c r="D412" i="3"/>
  <c r="D424" i="3"/>
  <c r="D436" i="3"/>
  <c r="D448" i="3"/>
  <c r="D460" i="3"/>
  <c r="D472" i="3"/>
  <c r="D484" i="3"/>
  <c r="D496" i="3"/>
  <c r="D508" i="3"/>
  <c r="D520" i="3"/>
  <c r="D532" i="3"/>
  <c r="D544" i="3"/>
  <c r="D556" i="3"/>
  <c r="D568" i="3"/>
  <c r="D592" i="3"/>
  <c r="D604" i="3"/>
  <c r="D616" i="3"/>
  <c r="D628" i="3"/>
  <c r="D640" i="3"/>
  <c r="D453" i="3"/>
  <c r="D17" i="3"/>
  <c r="D29" i="3"/>
  <c r="D41" i="3"/>
  <c r="D53" i="3"/>
  <c r="D65" i="3"/>
  <c r="D77" i="3"/>
  <c r="D89" i="3"/>
  <c r="D101" i="3"/>
  <c r="D113" i="3"/>
  <c r="D125" i="3"/>
  <c r="D137" i="3"/>
  <c r="D149" i="3"/>
  <c r="D161" i="3"/>
  <c r="D173" i="3"/>
  <c r="D185" i="3"/>
  <c r="D197" i="3"/>
  <c r="D209" i="3"/>
  <c r="D221" i="3"/>
  <c r="D233" i="3"/>
  <c r="D245" i="3"/>
  <c r="D257" i="3"/>
  <c r="D269" i="3"/>
  <c r="D281" i="3"/>
  <c r="D293" i="3"/>
  <c r="D305" i="3"/>
  <c r="D317" i="3"/>
  <c r="D341" i="3"/>
  <c r="D353" i="3"/>
  <c r="D365" i="3"/>
  <c r="D377" i="3"/>
  <c r="D389" i="3"/>
  <c r="D401" i="3"/>
  <c r="D413" i="3"/>
  <c r="D425" i="3"/>
  <c r="D437" i="3"/>
  <c r="D449" i="3"/>
  <c r="D461" i="3"/>
  <c r="D473" i="3"/>
  <c r="D485" i="3"/>
  <c r="D497" i="3"/>
  <c r="D509" i="3"/>
  <c r="D521" i="3"/>
  <c r="D533" i="3"/>
  <c r="D545" i="3"/>
  <c r="D557" i="3"/>
  <c r="D569" i="3"/>
  <c r="D581" i="3"/>
  <c r="D593" i="3"/>
  <c r="D605" i="3"/>
  <c r="D617" i="3"/>
  <c r="D629" i="3"/>
  <c r="D641" i="3"/>
  <c r="D653" i="3"/>
  <c r="D665" i="3"/>
  <c r="D677" i="3"/>
  <c r="D689" i="3"/>
  <c r="D701" i="3"/>
  <c r="D713" i="3"/>
  <c r="D725" i="3"/>
  <c r="D737" i="3"/>
  <c r="D773" i="3"/>
  <c r="D785" i="3"/>
  <c r="D797" i="3"/>
  <c r="D809" i="3"/>
  <c r="D821" i="3"/>
  <c r="D833" i="3"/>
  <c r="D845" i="3"/>
  <c r="D857" i="3"/>
  <c r="D869" i="3"/>
  <c r="D881" i="3"/>
  <c r="D905" i="3"/>
  <c r="D917" i="3"/>
  <c r="D929" i="3"/>
  <c r="D941" i="3"/>
  <c r="D953" i="3"/>
  <c r="D965" i="3"/>
  <c r="D977" i="3"/>
  <c r="D989" i="3"/>
  <c r="D1001" i="3"/>
  <c r="D467" i="3"/>
  <c r="D8" i="3"/>
  <c r="D20" i="3"/>
  <c r="D32" i="3"/>
  <c r="D44" i="3"/>
  <c r="D56" i="3"/>
  <c r="D68" i="3"/>
  <c r="D80" i="3"/>
  <c r="D92" i="3"/>
  <c r="D104" i="3"/>
  <c r="D116" i="3"/>
  <c r="D128" i="3"/>
  <c r="D152" i="3"/>
  <c r="D164" i="3"/>
  <c r="D176" i="3"/>
  <c r="D188" i="3"/>
  <c r="D212" i="3"/>
  <c r="D416" i="3"/>
  <c r="D452" i="3"/>
  <c r="D572" i="3"/>
  <c r="D740" i="3"/>
  <c r="D884" i="3"/>
  <c r="D9" i="3"/>
  <c r="D21" i="3"/>
  <c r="D33" i="3"/>
  <c r="D45" i="3"/>
  <c r="D57" i="3"/>
  <c r="D69" i="3"/>
  <c r="D81" i="3"/>
  <c r="D93" i="3"/>
  <c r="D105" i="3"/>
  <c r="D117" i="3"/>
  <c r="D129" i="3"/>
  <c r="D141" i="3"/>
  <c r="D153" i="3"/>
  <c r="D165" i="3"/>
  <c r="D177" i="3"/>
  <c r="D189" i="3"/>
  <c r="D201" i="3"/>
  <c r="D213" i="3"/>
  <c r="D225" i="3"/>
  <c r="D249" i="3"/>
  <c r="D261" i="3"/>
  <c r="D273" i="3"/>
  <c r="D285" i="3"/>
  <c r="D297" i="3"/>
  <c r="D309" i="3"/>
  <c r="D321" i="3"/>
  <c r="D333" i="3"/>
  <c r="D345" i="3"/>
  <c r="D357" i="3"/>
  <c r="D369" i="3"/>
  <c r="D381" i="3"/>
  <c r="D393" i="3"/>
  <c r="D405" i="3"/>
  <c r="D417" i="3"/>
  <c r="D429" i="3"/>
  <c r="D441" i="3"/>
  <c r="D465" i="3"/>
  <c r="D477" i="3"/>
  <c r="D489" i="3"/>
  <c r="D501" i="3"/>
  <c r="D513" i="3"/>
  <c r="D525" i="3"/>
  <c r="D669" i="3"/>
  <c r="D849" i="3"/>
  <c r="D957" i="3"/>
  <c r="D1005" i="3"/>
  <c r="D238" i="3"/>
  <c r="D250" i="3"/>
  <c r="D262" i="3"/>
  <c r="D274" i="3"/>
  <c r="D286" i="3"/>
  <c r="D298" i="3"/>
  <c r="D322" i="3"/>
  <c r="D334" i="3"/>
  <c r="D346" i="3"/>
  <c r="D358" i="3"/>
  <c r="D370" i="3"/>
  <c r="D382" i="3"/>
  <c r="D394" i="3"/>
  <c r="D406" i="3"/>
  <c r="D454" i="3"/>
  <c r="D478" i="3"/>
  <c r="D610" i="3"/>
  <c r="D634" i="3"/>
  <c r="D670" i="3"/>
  <c r="D946" i="3"/>
  <c r="D190" i="3"/>
  <c r="D11" i="3"/>
  <c r="D311" i="3"/>
  <c r="D347" i="3"/>
  <c r="D383" i="3"/>
  <c r="D419" i="3"/>
  <c r="D431" i="3"/>
  <c r="D455" i="3"/>
  <c r="D479" i="3"/>
  <c r="D491" i="3"/>
  <c r="D503" i="3"/>
  <c r="D515" i="3"/>
  <c r="D527" i="3"/>
  <c r="D539" i="3"/>
  <c r="D551" i="3"/>
  <c r="D563" i="3"/>
  <c r="D575" i="3"/>
  <c r="D587" i="3"/>
  <c r="D599" i="3"/>
  <c r="D611" i="3"/>
  <c r="D647" i="3"/>
  <c r="D659" i="3"/>
  <c r="D671" i="3"/>
  <c r="D683" i="3"/>
  <c r="D695" i="3"/>
  <c r="D707" i="3"/>
  <c r="D719" i="3"/>
  <c r="D731" i="3"/>
  <c r="D743" i="3"/>
  <c r="D755" i="3"/>
  <c r="D767" i="3"/>
  <c r="D779" i="3"/>
  <c r="D791" i="3"/>
  <c r="D803" i="3"/>
  <c r="D827" i="3"/>
  <c r="D839" i="3"/>
  <c r="D851" i="3"/>
  <c r="D863" i="3"/>
  <c r="D875" i="3"/>
  <c r="D887" i="3"/>
  <c r="D899" i="3"/>
  <c r="D911" i="3"/>
  <c r="D923" i="3"/>
  <c r="D935" i="3"/>
  <c r="D947" i="3"/>
  <c r="D959" i="3"/>
  <c r="D971" i="3"/>
  <c r="D983" i="3"/>
  <c r="D995" i="3"/>
  <c r="D214" i="3"/>
  <c r="D23" i="3"/>
  <c r="D35" i="3"/>
  <c r="D47" i="3"/>
  <c r="D59" i="3"/>
  <c r="D83" i="3"/>
  <c r="D95" i="3"/>
  <c r="D107" i="3"/>
  <c r="D119" i="3"/>
  <c r="D131" i="3"/>
  <c r="D143" i="3"/>
  <c r="D155" i="3"/>
  <c r="D167" i="3"/>
  <c r="D179" i="3"/>
  <c r="D191" i="3"/>
  <c r="D203" i="3"/>
  <c r="D215" i="3"/>
  <c r="D227" i="3"/>
  <c r="D239" i="3"/>
  <c r="D251" i="3"/>
  <c r="D263" i="3"/>
  <c r="D275" i="3"/>
  <c r="D287" i="3"/>
  <c r="D299" i="3"/>
  <c r="D323" i="3"/>
  <c r="D335" i="3"/>
  <c r="D359" i="3"/>
  <c r="D371" i="3"/>
  <c r="D395" i="3"/>
  <c r="D407" i="3"/>
  <c r="D443" i="3"/>
  <c r="D12" i="3"/>
  <c r="D24" i="3"/>
  <c r="D36" i="3"/>
  <c r="D48" i="3"/>
  <c r="D60" i="3"/>
  <c r="D72" i="3"/>
  <c r="D84" i="3"/>
  <c r="D96" i="3"/>
  <c r="D108" i="3"/>
  <c r="D120" i="3"/>
  <c r="D132" i="3"/>
  <c r="D144" i="3"/>
  <c r="D156" i="3"/>
  <c r="D168" i="3"/>
  <c r="D180" i="3"/>
  <c r="D192" i="3"/>
  <c r="D204" i="3"/>
  <c r="D228" i="3"/>
  <c r="D240" i="3"/>
  <c r="D252" i="3"/>
  <c r="D264" i="3"/>
  <c r="D276" i="3"/>
  <c r="D288" i="3"/>
  <c r="D300" i="3"/>
  <c r="D312" i="3"/>
  <c r="D336" i="3"/>
  <c r="D348" i="3"/>
  <c r="D360" i="3"/>
  <c r="D396" i="3"/>
  <c r="D408" i="3"/>
  <c r="D420" i="3"/>
  <c r="D432" i="3"/>
  <c r="D444" i="3"/>
  <c r="D456" i="3"/>
  <c r="D468" i="3"/>
  <c r="D480" i="3"/>
  <c r="D492" i="3"/>
  <c r="D504" i="3"/>
  <c r="D516" i="3"/>
  <c r="D528" i="3"/>
  <c r="D540" i="3"/>
  <c r="D552" i="3"/>
  <c r="D564" i="3"/>
  <c r="D576" i="3"/>
  <c r="D588" i="3"/>
  <c r="D600" i="3"/>
  <c r="D636" i="3"/>
  <c r="D648" i="3"/>
  <c r="D660" i="3"/>
  <c r="D672" i="3"/>
  <c r="D684" i="3"/>
  <c r="D696" i="3"/>
  <c r="D720" i="3"/>
  <c r="D732" i="3"/>
  <c r="D744" i="3"/>
  <c r="D756" i="3"/>
  <c r="D768" i="3"/>
  <c r="D780" i="3"/>
  <c r="D792" i="3"/>
  <c r="D804" i="3"/>
  <c r="D816" i="3"/>
  <c r="D828" i="3"/>
  <c r="D840" i="3"/>
  <c r="D852" i="3"/>
  <c r="D864" i="3"/>
  <c r="D876" i="3"/>
  <c r="D888" i="3"/>
  <c r="D900" i="3"/>
  <c r="D912" i="3"/>
  <c r="D924" i="3"/>
  <c r="D936" i="3"/>
  <c r="D948" i="3"/>
  <c r="D960" i="3"/>
  <c r="D972" i="3"/>
  <c r="D984" i="3"/>
  <c r="D996" i="3"/>
  <c r="D229" i="3"/>
  <c r="D241" i="3"/>
  <c r="D253" i="3"/>
  <c r="D265" i="3"/>
  <c r="D277" i="3"/>
  <c r="D289" i="3"/>
  <c r="D301" i="3"/>
  <c r="D313" i="3"/>
  <c r="D325" i="3"/>
  <c r="D337" i="3"/>
  <c r="D349" i="3"/>
  <c r="D361" i="3"/>
  <c r="D373" i="3"/>
  <c r="D385" i="3"/>
  <c r="D397" i="3"/>
  <c r="D409" i="3"/>
  <c r="D421" i="3"/>
  <c r="D433" i="3"/>
  <c r="D445" i="3"/>
  <c r="D457" i="3"/>
  <c r="D469" i="3"/>
  <c r="D481" i="3"/>
  <c r="D493" i="3"/>
  <c r="D505" i="3"/>
  <c r="D517" i="3"/>
  <c r="D529" i="3"/>
  <c r="D541" i="3"/>
  <c r="D553" i="3"/>
  <c r="D565" i="3"/>
  <c r="D577" i="3"/>
  <c r="D589" i="3"/>
  <c r="D601" i="3"/>
  <c r="D613" i="3"/>
  <c r="D625" i="3"/>
  <c r="D637" i="3"/>
  <c r="D649" i="3"/>
  <c r="D661" i="3"/>
  <c r="D673" i="3"/>
  <c r="D685" i="3"/>
  <c r="D697" i="3"/>
  <c r="D709" i="3"/>
  <c r="D721" i="3"/>
  <c r="D733" i="3"/>
  <c r="D745" i="3"/>
  <c r="D757" i="3"/>
  <c r="D769" i="3"/>
  <c r="D781" i="3"/>
  <c r="D793" i="3"/>
  <c r="D805" i="3"/>
  <c r="D817" i="3"/>
  <c r="D829" i="3"/>
  <c r="D841" i="3"/>
  <c r="D853" i="3"/>
  <c r="D865" i="3"/>
  <c r="D877" i="3"/>
  <c r="D889" i="3"/>
  <c r="D901" i="3"/>
  <c r="D913" i="3"/>
  <c r="D925" i="3"/>
  <c r="D937" i="3"/>
  <c r="D949" i="3"/>
  <c r="D961" i="3"/>
  <c r="D973" i="3"/>
  <c r="D985" i="3"/>
  <c r="D997" i="3"/>
  <c r="D254" i="3"/>
  <c r="D278" i="3"/>
  <c r="D302" i="3"/>
  <c r="D314" i="3"/>
  <c r="D338" i="3"/>
  <c r="D350" i="3"/>
  <c r="D386" i="3"/>
  <c r="D398" i="3"/>
  <c r="D422" i="3"/>
  <c r="D434" i="3"/>
  <c r="D446" i="3"/>
  <c r="D458" i="3"/>
  <c r="D470" i="3"/>
  <c r="D482" i="3"/>
  <c r="D494" i="3"/>
  <c r="D506" i="3"/>
  <c r="D530" i="3"/>
  <c r="D554" i="3"/>
  <c r="D566" i="3"/>
  <c r="D590" i="3"/>
  <c r="D602" i="3"/>
  <c r="D614" i="3"/>
  <c r="D626" i="3"/>
  <c r="D638" i="3"/>
  <c r="D650" i="3"/>
  <c r="D674" i="3"/>
  <c r="D686" i="3"/>
  <c r="D818" i="3"/>
  <c r="D652" i="3"/>
  <c r="D664" i="3"/>
  <c r="D688" i="3"/>
  <c r="D700" i="3"/>
  <c r="D712" i="3"/>
  <c r="D724" i="3"/>
  <c r="D736" i="3"/>
  <c r="D748" i="3"/>
  <c r="D760" i="3"/>
  <c r="D880" i="3"/>
  <c r="D892" i="3"/>
  <c r="D928" i="3"/>
  <c r="D224" i="3"/>
  <c r="D236" i="3"/>
  <c r="D248" i="3"/>
  <c r="D260" i="3"/>
  <c r="D272" i="3"/>
  <c r="D284" i="3"/>
  <c r="D308" i="3"/>
  <c r="D332" i="3"/>
  <c r="D344" i="3"/>
  <c r="D356" i="3"/>
  <c r="D368" i="3"/>
  <c r="D380" i="3"/>
  <c r="D392" i="3"/>
  <c r="D428" i="3"/>
  <c r="D440" i="3"/>
  <c r="D464" i="3"/>
  <c r="D476" i="3"/>
  <c r="D512" i="3"/>
  <c r="D524" i="3"/>
  <c r="D536" i="3"/>
  <c r="D548" i="3"/>
  <c r="D560" i="3"/>
  <c r="D584" i="3"/>
  <c r="D596" i="3"/>
  <c r="D608" i="3"/>
  <c r="D620" i="3"/>
  <c r="D632" i="3"/>
  <c r="D656" i="3"/>
  <c r="D668" i="3"/>
  <c r="D680" i="3"/>
  <c r="D692" i="3"/>
  <c r="D704" i="3"/>
  <c r="D716" i="3"/>
  <c r="D728" i="3"/>
  <c r="D752" i="3"/>
  <c r="D764" i="3"/>
  <c r="D776" i="3"/>
  <c r="D788" i="3"/>
  <c r="D800" i="3"/>
  <c r="D812" i="3"/>
  <c r="D824" i="3"/>
  <c r="D836" i="3"/>
  <c r="D860" i="3"/>
  <c r="D872" i="3"/>
  <c r="D896" i="3"/>
  <c r="D908" i="3"/>
  <c r="D932" i="3"/>
  <c r="D944" i="3"/>
  <c r="D956" i="3"/>
  <c r="D968" i="3"/>
  <c r="D980" i="3"/>
  <c r="D537" i="3"/>
  <c r="D549" i="3"/>
  <c r="D573" i="3"/>
  <c r="D585" i="3"/>
  <c r="D597" i="3"/>
  <c r="D609" i="3"/>
  <c r="D621" i="3"/>
  <c r="D633" i="3"/>
  <c r="D645" i="3"/>
  <c r="D681" i="3"/>
  <c r="D693" i="3"/>
  <c r="D705" i="3"/>
  <c r="D717" i="3"/>
  <c r="D729" i="3"/>
  <c r="D741" i="3"/>
  <c r="D753" i="3"/>
  <c r="D765" i="3"/>
  <c r="D777" i="3"/>
  <c r="D789" i="3"/>
  <c r="D813" i="3"/>
  <c r="D825" i="3"/>
  <c r="D837" i="3"/>
  <c r="D861" i="3"/>
  <c r="D873" i="3"/>
  <c r="D885" i="3"/>
  <c r="D897" i="3"/>
  <c r="D909" i="3"/>
  <c r="D921" i="3"/>
  <c r="D933" i="3"/>
  <c r="D945" i="3"/>
  <c r="D969" i="3"/>
  <c r="D981" i="3"/>
  <c r="D993" i="3"/>
  <c r="D418" i="3"/>
  <c r="D430" i="3"/>
  <c r="D442" i="3"/>
  <c r="D466" i="3"/>
  <c r="D490" i="3"/>
  <c r="D502" i="3"/>
  <c r="D514" i="3"/>
  <c r="D526" i="3"/>
  <c r="D538" i="3"/>
  <c r="D550" i="3"/>
  <c r="D562" i="3"/>
  <c r="D574" i="3"/>
  <c r="D586" i="3"/>
  <c r="D598" i="3"/>
  <c r="D622" i="3"/>
  <c r="D646" i="3"/>
  <c r="D658" i="3"/>
  <c r="D682" i="3"/>
  <c r="D694" i="3"/>
  <c r="D706" i="3"/>
  <c r="D718" i="3"/>
  <c r="D730" i="3"/>
  <c r="D742" i="3"/>
  <c r="D754" i="3"/>
  <c r="D766" i="3"/>
  <c r="D778" i="3"/>
  <c r="D790" i="3"/>
  <c r="D802" i="3"/>
  <c r="D814" i="3"/>
  <c r="D826" i="3"/>
  <c r="D838" i="3"/>
  <c r="D862" i="3"/>
  <c r="D874" i="3"/>
  <c r="D886" i="3"/>
  <c r="D898" i="3"/>
  <c r="D910" i="3"/>
  <c r="D922" i="3"/>
  <c r="D934" i="3"/>
  <c r="D958" i="3"/>
  <c r="D970" i="3"/>
  <c r="D982" i="3"/>
  <c r="D992" i="3"/>
  <c r="D698" i="3"/>
  <c r="D722" i="3"/>
  <c r="D734" i="3"/>
  <c r="D746" i="3"/>
  <c r="D758" i="3"/>
  <c r="D770" i="3"/>
  <c r="D794" i="3"/>
  <c r="D806" i="3"/>
  <c r="D830" i="3"/>
  <c r="D842" i="3"/>
  <c r="D854" i="3"/>
  <c r="D866" i="3"/>
  <c r="D878" i="3"/>
  <c r="D890" i="3"/>
  <c r="D902" i="3"/>
  <c r="D914" i="3"/>
  <c r="D926" i="3"/>
  <c r="D938" i="3"/>
  <c r="D950" i="3"/>
  <c r="D962" i="3"/>
  <c r="D974" i="3"/>
  <c r="D986" i="3"/>
  <c r="D998" i="3"/>
  <c r="D747" i="3"/>
  <c r="D759" i="3"/>
  <c r="D783" i="3"/>
  <c r="D795" i="3"/>
  <c r="D867" i="3"/>
  <c r="D879" i="3"/>
  <c r="D903" i="3"/>
  <c r="D915" i="3"/>
  <c r="D939" i="3"/>
  <c r="D963" i="3"/>
  <c r="D975" i="3"/>
  <c r="D987" i="3"/>
  <c r="D999" i="3"/>
  <c r="D772" i="3"/>
  <c r="D784" i="3"/>
  <c r="D820" i="3"/>
  <c r="D844" i="3"/>
  <c r="D856" i="3"/>
  <c r="D868" i="3"/>
  <c r="D904" i="3"/>
  <c r="D916" i="3"/>
  <c r="D940" i="3"/>
  <c r="D952" i="3"/>
  <c r="D964" i="3"/>
  <c r="D976" i="3"/>
  <c r="D988" i="3"/>
  <c r="K3" i="4"/>
  <c r="E8" i="12" s="1"/>
  <c r="C3" i="4"/>
  <c r="E6" i="12" s="1"/>
  <c r="G3" i="4"/>
  <c r="E3" i="4"/>
  <c r="S992" i="5"/>
  <c r="S848" i="5"/>
  <c r="S697" i="5"/>
  <c r="S535" i="5"/>
  <c r="S315" i="5"/>
  <c r="S980" i="5"/>
  <c r="S836" i="5"/>
  <c r="S684" i="5"/>
  <c r="S521" i="5"/>
  <c r="S290" i="5"/>
  <c r="S968" i="5"/>
  <c r="S824" i="5"/>
  <c r="S671" i="5"/>
  <c r="S507" i="5"/>
  <c r="S264" i="5"/>
  <c r="S956" i="5"/>
  <c r="S812" i="5"/>
  <c r="S657" i="5"/>
  <c r="S493" i="5"/>
  <c r="S242" i="5"/>
  <c r="S920" i="5"/>
  <c r="S775" i="5"/>
  <c r="S618" i="5"/>
  <c r="S448" i="5"/>
  <c r="S157" i="5"/>
  <c r="S908" i="5"/>
  <c r="S762" i="5"/>
  <c r="S605" i="5"/>
  <c r="S428" i="5"/>
  <c r="S133" i="5"/>
  <c r="S896" i="5"/>
  <c r="S749" i="5"/>
  <c r="S592" i="5"/>
  <c r="S410" i="5"/>
  <c r="S106" i="5"/>
  <c r="S884" i="5"/>
  <c r="S736" i="5"/>
  <c r="S579" i="5"/>
  <c r="S387" i="5"/>
  <c r="S75" i="5"/>
  <c r="S872" i="5"/>
  <c r="S723" i="5"/>
  <c r="S565" i="5"/>
  <c r="S363" i="5"/>
  <c r="S51" i="5"/>
  <c r="S1004" i="5"/>
  <c r="S860" i="5"/>
  <c r="S710" i="5"/>
  <c r="S549" i="5"/>
  <c r="S337" i="5"/>
  <c r="S23" i="5"/>
  <c r="S1008" i="5"/>
  <c r="S996" i="5"/>
  <c r="S984" i="5"/>
  <c r="S972" i="5"/>
  <c r="S960" i="5"/>
  <c r="S948" i="5"/>
  <c r="S936" i="5"/>
  <c r="S924" i="5"/>
  <c r="S912" i="5"/>
  <c r="S900" i="5"/>
  <c r="S888" i="5"/>
  <c r="S876" i="5"/>
  <c r="S864" i="5"/>
  <c r="S852" i="5"/>
  <c r="S840" i="5"/>
  <c r="S828" i="5"/>
  <c r="S816" i="5"/>
  <c r="S804" i="5"/>
  <c r="S792" i="5"/>
  <c r="S780" i="5"/>
  <c r="S767" i="5"/>
  <c r="S753" i="5"/>
  <c r="S740" i="5"/>
  <c r="S727" i="5"/>
  <c r="S714" i="5"/>
  <c r="S701" i="5"/>
  <c r="S688" i="5"/>
  <c r="S675" i="5"/>
  <c r="S662" i="5"/>
  <c r="S649" i="5"/>
  <c r="S636" i="5"/>
  <c r="S623" i="5"/>
  <c r="S609" i="5"/>
  <c r="S596" i="5"/>
  <c r="S583" i="5"/>
  <c r="S569" i="5"/>
  <c r="S555" i="5"/>
  <c r="S541" i="5"/>
  <c r="S525" i="5"/>
  <c r="S511" i="5"/>
  <c r="S497" i="5"/>
  <c r="S483" i="5"/>
  <c r="S469" i="5"/>
  <c r="S453" i="5"/>
  <c r="S436" i="5"/>
  <c r="S415" i="5"/>
  <c r="S393" i="5"/>
  <c r="S373" i="5"/>
  <c r="S348" i="5"/>
  <c r="S322" i="5"/>
  <c r="S300" i="5"/>
  <c r="S274" i="5"/>
  <c r="S249" i="5"/>
  <c r="S221" i="5"/>
  <c r="S197" i="5"/>
  <c r="S169" i="5"/>
  <c r="S140" i="5"/>
  <c r="S116" i="5"/>
  <c r="S86" i="5"/>
  <c r="S59" i="5"/>
  <c r="S29" i="5"/>
  <c r="G3" i="5"/>
  <c r="S1007" i="5"/>
  <c r="S995" i="5"/>
  <c r="S983" i="5"/>
  <c r="S971" i="5"/>
  <c r="S959" i="5"/>
  <c r="S947" i="5"/>
  <c r="S935" i="5"/>
  <c r="S923" i="5"/>
  <c r="S911" i="5"/>
  <c r="S899" i="5"/>
  <c r="S887" i="5"/>
  <c r="S875" i="5"/>
  <c r="S863" i="5"/>
  <c r="S851" i="5"/>
  <c r="S839" i="5"/>
  <c r="S827" i="5"/>
  <c r="S815" i="5"/>
  <c r="S803" i="5"/>
  <c r="S791" i="5"/>
  <c r="S779" i="5"/>
  <c r="S765" i="5"/>
  <c r="S752" i="5"/>
  <c r="S739" i="5"/>
  <c r="S726" i="5"/>
  <c r="S713" i="5"/>
  <c r="S700" i="5"/>
  <c r="S687" i="5"/>
  <c r="S674" i="5"/>
  <c r="S661" i="5"/>
  <c r="S648" i="5"/>
  <c r="S635" i="5"/>
  <c r="S621" i="5"/>
  <c r="S608" i="5"/>
  <c r="S595" i="5"/>
  <c r="S582" i="5"/>
  <c r="S568" i="5"/>
  <c r="S554" i="5"/>
  <c r="S539" i="5"/>
  <c r="S524" i="5"/>
  <c r="S510" i="5"/>
  <c r="S496" i="5"/>
  <c r="S482" i="5"/>
  <c r="S467" i="5"/>
  <c r="S452" i="5"/>
  <c r="S435" i="5"/>
  <c r="S414" i="5"/>
  <c r="S392" i="5"/>
  <c r="S372" i="5"/>
  <c r="S346" i="5"/>
  <c r="S321" i="5"/>
  <c r="S295" i="5"/>
  <c r="S273" i="5"/>
  <c r="S248" i="5"/>
  <c r="S219" i="5"/>
  <c r="S195" i="5"/>
  <c r="S167" i="5"/>
  <c r="S139" i="5"/>
  <c r="S109" i="5"/>
  <c r="S85" i="5"/>
  <c r="S58" i="5"/>
  <c r="S27" i="5"/>
  <c r="S1006" i="5"/>
  <c r="S994" i="5"/>
  <c r="S982" i="5"/>
  <c r="S970" i="5"/>
  <c r="S958" i="5"/>
  <c r="S946" i="5"/>
  <c r="S934" i="5"/>
  <c r="S922" i="5"/>
  <c r="S910" i="5"/>
  <c r="S898" i="5"/>
  <c r="S886" i="5"/>
  <c r="S874" i="5"/>
  <c r="S862" i="5"/>
  <c r="S850" i="5"/>
  <c r="S838" i="5"/>
  <c r="S826" i="5"/>
  <c r="S814" i="5"/>
  <c r="S802" i="5"/>
  <c r="S790" i="5"/>
  <c r="S777" i="5"/>
  <c r="S764" i="5"/>
  <c r="S751" i="5"/>
  <c r="S738" i="5"/>
  <c r="S725" i="5"/>
  <c r="S712" i="5"/>
  <c r="S699" i="5"/>
  <c r="S686" i="5"/>
  <c r="S673" i="5"/>
  <c r="S660" i="5"/>
  <c r="S647" i="5"/>
  <c r="S633" i="5"/>
  <c r="S620" i="5"/>
  <c r="S607" i="5"/>
  <c r="S594" i="5"/>
  <c r="S581" i="5"/>
  <c r="S567" i="5"/>
  <c r="S553" i="5"/>
  <c r="S537" i="5"/>
  <c r="S523" i="5"/>
  <c r="S509" i="5"/>
  <c r="S495" i="5"/>
  <c r="S481" i="5"/>
  <c r="S465" i="5"/>
  <c r="S451" i="5"/>
  <c r="S434" i="5"/>
  <c r="S412" i="5"/>
  <c r="S391" i="5"/>
  <c r="S367" i="5"/>
  <c r="S345" i="5"/>
  <c r="S320" i="5"/>
  <c r="S293" i="5"/>
  <c r="S272" i="5"/>
  <c r="S245" i="5"/>
  <c r="S218" i="5"/>
  <c r="S190" i="5"/>
  <c r="S166" i="5"/>
  <c r="S137" i="5"/>
  <c r="S108" i="5"/>
  <c r="S84" i="5"/>
  <c r="S55" i="5"/>
  <c r="S26" i="5"/>
  <c r="S1005" i="5"/>
  <c r="S993" i="5"/>
  <c r="S981" i="5"/>
  <c r="S969" i="5"/>
  <c r="S957" i="5"/>
  <c r="S945" i="5"/>
  <c r="S933" i="5"/>
  <c r="S921" i="5"/>
  <c r="S909" i="5"/>
  <c r="S897" i="5"/>
  <c r="S885" i="5"/>
  <c r="S873" i="5"/>
  <c r="S861" i="5"/>
  <c r="S849" i="5"/>
  <c r="S837" i="5"/>
  <c r="S825" i="5"/>
  <c r="S813" i="5"/>
  <c r="S801" i="5"/>
  <c r="S789" i="5"/>
  <c r="S776" i="5"/>
  <c r="S763" i="5"/>
  <c r="S750" i="5"/>
  <c r="S737" i="5"/>
  <c r="S724" i="5"/>
  <c r="S711" i="5"/>
  <c r="S698" i="5"/>
  <c r="S685" i="5"/>
  <c r="S672" i="5"/>
  <c r="S659" i="5"/>
  <c r="S645" i="5"/>
  <c r="S632" i="5"/>
  <c r="S619" i="5"/>
  <c r="S606" i="5"/>
  <c r="S593" i="5"/>
  <c r="S580" i="5"/>
  <c r="S566" i="5"/>
  <c r="S551" i="5"/>
  <c r="S536" i="5"/>
  <c r="S522" i="5"/>
  <c r="S508" i="5"/>
  <c r="S494" i="5"/>
  <c r="S479" i="5"/>
  <c r="S464" i="5"/>
  <c r="S450" i="5"/>
  <c r="S429" i="5"/>
  <c r="S411" i="5"/>
  <c r="S390" i="5"/>
  <c r="S365" i="5"/>
  <c r="S344" i="5"/>
  <c r="S317" i="5"/>
  <c r="S291" i="5"/>
  <c r="S265" i="5"/>
  <c r="S243" i="5"/>
  <c r="S217" i="5"/>
  <c r="S188" i="5"/>
  <c r="S164" i="5"/>
  <c r="S134" i="5"/>
  <c r="S107" i="5"/>
  <c r="S77" i="5"/>
  <c r="S53" i="5"/>
  <c r="S25" i="5"/>
  <c r="S1003" i="5"/>
  <c r="S991" i="5"/>
  <c r="S979" i="5"/>
  <c r="S967" i="5"/>
  <c r="S955" i="5"/>
  <c r="S943" i="5"/>
  <c r="S931" i="5"/>
  <c r="S919" i="5"/>
  <c r="S907" i="5"/>
  <c r="S895" i="5"/>
  <c r="S883" i="5"/>
  <c r="S871" i="5"/>
  <c r="S859" i="5"/>
  <c r="S847" i="5"/>
  <c r="S835" i="5"/>
  <c r="S823" i="5"/>
  <c r="S811" i="5"/>
  <c r="S799" i="5"/>
  <c r="S787" i="5"/>
  <c r="S774" i="5"/>
  <c r="S761" i="5"/>
  <c r="S748" i="5"/>
  <c r="S735" i="5"/>
  <c r="S722" i="5"/>
  <c r="S709" i="5"/>
  <c r="S696" i="5"/>
  <c r="S683" i="5"/>
  <c r="S669" i="5"/>
  <c r="S656" i="5"/>
  <c r="S643" i="5"/>
  <c r="S630" i="5"/>
  <c r="S617" i="5"/>
  <c r="S604" i="5"/>
  <c r="S591" i="5"/>
  <c r="S578" i="5"/>
  <c r="S563" i="5"/>
  <c r="S548" i="5"/>
  <c r="S534" i="5"/>
  <c r="S520" i="5"/>
  <c r="S506" i="5"/>
  <c r="S491" i="5"/>
  <c r="S476" i="5"/>
  <c r="S462" i="5"/>
  <c r="S447" i="5"/>
  <c r="S427" i="5"/>
  <c r="S405" i="5"/>
  <c r="S386" i="5"/>
  <c r="S362" i="5"/>
  <c r="S336" i="5"/>
  <c r="S314" i="5"/>
  <c r="S288" i="5"/>
  <c r="S263" i="5"/>
  <c r="S237" i="5"/>
  <c r="S214" i="5"/>
  <c r="S185" i="5"/>
  <c r="S156" i="5"/>
  <c r="S132" i="5"/>
  <c r="S103" i="5"/>
  <c r="S74" i="5"/>
  <c r="S46" i="5"/>
  <c r="S22" i="5"/>
  <c r="S1002" i="5"/>
  <c r="S990" i="5"/>
  <c r="S978" i="5"/>
  <c r="S966" i="5"/>
  <c r="S954" i="5"/>
  <c r="S942" i="5"/>
  <c r="S930" i="5"/>
  <c r="S918" i="5"/>
  <c r="S906" i="5"/>
  <c r="S894" i="5"/>
  <c r="S882" i="5"/>
  <c r="S870" i="5"/>
  <c r="S858" i="5"/>
  <c r="S846" i="5"/>
  <c r="S834" i="5"/>
  <c r="S822" i="5"/>
  <c r="S810" i="5"/>
  <c r="S798" i="5"/>
  <c r="S786" i="5"/>
  <c r="S773" i="5"/>
  <c r="S760" i="5"/>
  <c r="S747" i="5"/>
  <c r="S734" i="5"/>
  <c r="S721" i="5"/>
  <c r="S708" i="5"/>
  <c r="S695" i="5"/>
  <c r="S681" i="5"/>
  <c r="S668" i="5"/>
  <c r="S655" i="5"/>
  <c r="S642" i="5"/>
  <c r="S629" i="5"/>
  <c r="S616" i="5"/>
  <c r="S603" i="5"/>
  <c r="S590" i="5"/>
  <c r="S577" i="5"/>
  <c r="S561" i="5"/>
  <c r="S547" i="5"/>
  <c r="S533" i="5"/>
  <c r="S519" i="5"/>
  <c r="S505" i="5"/>
  <c r="S489" i="5"/>
  <c r="S475" i="5"/>
  <c r="S461" i="5"/>
  <c r="S446" i="5"/>
  <c r="S426" i="5"/>
  <c r="S404" i="5"/>
  <c r="S385" i="5"/>
  <c r="S360" i="5"/>
  <c r="S335" i="5"/>
  <c r="S309" i="5"/>
  <c r="S287" i="5"/>
  <c r="S262" i="5"/>
  <c r="S236" i="5"/>
  <c r="S212" i="5"/>
  <c r="S182" i="5"/>
  <c r="S155" i="5"/>
  <c r="S125" i="5"/>
  <c r="S101" i="5"/>
  <c r="S73" i="5"/>
  <c r="S44" i="5"/>
  <c r="S20" i="5"/>
  <c r="S1001" i="5"/>
  <c r="S989" i="5"/>
  <c r="S977" i="5"/>
  <c r="S965" i="5"/>
  <c r="S953" i="5"/>
  <c r="S941" i="5"/>
  <c r="S929" i="5"/>
  <c r="S917" i="5"/>
  <c r="S905" i="5"/>
  <c r="S893" i="5"/>
  <c r="S881" i="5"/>
  <c r="S869" i="5"/>
  <c r="S857" i="5"/>
  <c r="S845" i="5"/>
  <c r="S833" i="5"/>
  <c r="S821" i="5"/>
  <c r="S809" i="5"/>
  <c r="S797" i="5"/>
  <c r="S785" i="5"/>
  <c r="S772" i="5"/>
  <c r="S759" i="5"/>
  <c r="S746" i="5"/>
  <c r="S733" i="5"/>
  <c r="S720" i="5"/>
  <c r="S707" i="5"/>
  <c r="S693" i="5"/>
  <c r="S680" i="5"/>
  <c r="S667" i="5"/>
  <c r="S654" i="5"/>
  <c r="S641" i="5"/>
  <c r="S628" i="5"/>
  <c r="S615" i="5"/>
  <c r="S602" i="5"/>
  <c r="S589" i="5"/>
  <c r="S575" i="5"/>
  <c r="S560" i="5"/>
  <c r="S546" i="5"/>
  <c r="S532" i="5"/>
  <c r="S518" i="5"/>
  <c r="S503" i="5"/>
  <c r="S488" i="5"/>
  <c r="S474" i="5"/>
  <c r="S460" i="5"/>
  <c r="S445" i="5"/>
  <c r="S424" i="5"/>
  <c r="S403" i="5"/>
  <c r="S380" i="5"/>
  <c r="S359" i="5"/>
  <c r="S334" i="5"/>
  <c r="S308" i="5"/>
  <c r="S286" i="5"/>
  <c r="S260" i="5"/>
  <c r="S235" i="5"/>
  <c r="S205" i="5"/>
  <c r="S181" i="5"/>
  <c r="S154" i="5"/>
  <c r="S123" i="5"/>
  <c r="S99" i="5"/>
  <c r="S71" i="5"/>
  <c r="S43" i="5"/>
  <c r="S12" i="5"/>
  <c r="S1000" i="5"/>
  <c r="S988" i="5"/>
  <c r="S976" i="5"/>
  <c r="S964" i="5"/>
  <c r="S952" i="5"/>
  <c r="S940" i="5"/>
  <c r="S928" i="5"/>
  <c r="S916" i="5"/>
  <c r="S904" i="5"/>
  <c r="S892" i="5"/>
  <c r="S880" i="5"/>
  <c r="S868" i="5"/>
  <c r="S856" i="5"/>
  <c r="S844" i="5"/>
  <c r="S832" i="5"/>
  <c r="S820" i="5"/>
  <c r="S808" i="5"/>
  <c r="S796" i="5"/>
  <c r="S784" i="5"/>
  <c r="S771" i="5"/>
  <c r="S758" i="5"/>
  <c r="S745" i="5"/>
  <c r="S732" i="5"/>
  <c r="S719" i="5"/>
  <c r="S705" i="5"/>
  <c r="S692" i="5"/>
  <c r="S679" i="5"/>
  <c r="S666" i="5"/>
  <c r="S653" i="5"/>
  <c r="S640" i="5"/>
  <c r="S627" i="5"/>
  <c r="S614" i="5"/>
  <c r="S601" i="5"/>
  <c r="S588" i="5"/>
  <c r="S573" i="5"/>
  <c r="S559" i="5"/>
  <c r="S545" i="5"/>
  <c r="S531" i="5"/>
  <c r="S517" i="5"/>
  <c r="S501" i="5"/>
  <c r="S487" i="5"/>
  <c r="S473" i="5"/>
  <c r="S459" i="5"/>
  <c r="S441" i="5"/>
  <c r="S423" i="5"/>
  <c r="S402" i="5"/>
  <c r="S379" i="5"/>
  <c r="S358" i="5"/>
  <c r="S332" i="5"/>
  <c r="S307" i="5"/>
  <c r="S279" i="5"/>
  <c r="S259" i="5"/>
  <c r="S233" i="5"/>
  <c r="S204" i="5"/>
  <c r="S180" i="5"/>
  <c r="S151" i="5"/>
  <c r="S122" i="5"/>
  <c r="S94" i="5"/>
  <c r="S70" i="5"/>
  <c r="S41" i="5"/>
  <c r="S19" i="5"/>
  <c r="S15" i="5"/>
  <c r="S28" i="5"/>
  <c r="S40" i="5"/>
  <c r="S52" i="5"/>
  <c r="S64" i="5"/>
  <c r="S76" i="5"/>
  <c r="S88" i="5"/>
  <c r="S100" i="5"/>
  <c r="S112" i="5"/>
  <c r="S124" i="5"/>
  <c r="S136" i="5"/>
  <c r="S148" i="5"/>
  <c r="S160" i="5"/>
  <c r="S172" i="5"/>
  <c r="S184" i="5"/>
  <c r="S196" i="5"/>
  <c r="S208" i="5"/>
  <c r="S220" i="5"/>
  <c r="S232" i="5"/>
  <c r="S244" i="5"/>
  <c r="S256" i="5"/>
  <c r="S268" i="5"/>
  <c r="S280" i="5"/>
  <c r="S292" i="5"/>
  <c r="S304" i="5"/>
  <c r="S316" i="5"/>
  <c r="S328" i="5"/>
  <c r="S340" i="5"/>
  <c r="S352" i="5"/>
  <c r="S364" i="5"/>
  <c r="S376" i="5"/>
  <c r="S388" i="5"/>
  <c r="S17" i="5"/>
  <c r="S30" i="5"/>
  <c r="S42" i="5"/>
  <c r="S54" i="5"/>
  <c r="S66" i="5"/>
  <c r="S78" i="5"/>
  <c r="S90" i="5"/>
  <c r="S102" i="5"/>
  <c r="S114" i="5"/>
  <c r="S126" i="5"/>
  <c r="S138" i="5"/>
  <c r="S150" i="5"/>
  <c r="S162" i="5"/>
  <c r="S174" i="5"/>
  <c r="S186" i="5"/>
  <c r="S198" i="5"/>
  <c r="S210" i="5"/>
  <c r="S222" i="5"/>
  <c r="S234" i="5"/>
  <c r="S246" i="5"/>
  <c r="S258" i="5"/>
  <c r="S270" i="5"/>
  <c r="S282" i="5"/>
  <c r="S294" i="5"/>
  <c r="S306" i="5"/>
  <c r="S318" i="5"/>
  <c r="S330" i="5"/>
  <c r="S342" i="5"/>
  <c r="S354" i="5"/>
  <c r="S366" i="5"/>
  <c r="S21" i="5"/>
  <c r="S33" i="5"/>
  <c r="S45" i="5"/>
  <c r="S57" i="5"/>
  <c r="S69" i="5"/>
  <c r="S81" i="5"/>
  <c r="S93" i="5"/>
  <c r="S105" i="5"/>
  <c r="S117" i="5"/>
  <c r="S129" i="5"/>
  <c r="S141" i="5"/>
  <c r="S153" i="5"/>
  <c r="S165" i="5"/>
  <c r="S177" i="5"/>
  <c r="S189" i="5"/>
  <c r="S201" i="5"/>
  <c r="S213" i="5"/>
  <c r="S225" i="5"/>
  <c r="S13" i="5"/>
  <c r="S31" i="5"/>
  <c r="S47" i="5"/>
  <c r="S62" i="5"/>
  <c r="S79" i="5"/>
  <c r="S95" i="5"/>
  <c r="S110" i="5"/>
  <c r="S127" i="5"/>
  <c r="S143" i="5"/>
  <c r="S158" i="5"/>
  <c r="S175" i="5"/>
  <c r="S191" i="5"/>
  <c r="S206" i="5"/>
  <c r="S223" i="5"/>
  <c r="S238" i="5"/>
  <c r="S252" i="5"/>
  <c r="S266" i="5"/>
  <c r="S281" i="5"/>
  <c r="S296" i="5"/>
  <c r="S310" i="5"/>
  <c r="S324" i="5"/>
  <c r="S338" i="5"/>
  <c r="S353" i="5"/>
  <c r="S368" i="5"/>
  <c r="S381" i="5"/>
  <c r="S394" i="5"/>
  <c r="S406" i="5"/>
  <c r="S418" i="5"/>
  <c r="S430" i="5"/>
  <c r="S442" i="5"/>
  <c r="S454" i="5"/>
  <c r="S466" i="5"/>
  <c r="S478" i="5"/>
  <c r="S490" i="5"/>
  <c r="S502" i="5"/>
  <c r="S514" i="5"/>
  <c r="S526" i="5"/>
  <c r="S538" i="5"/>
  <c r="S550" i="5"/>
  <c r="S562" i="5"/>
  <c r="S574" i="5"/>
  <c r="S586" i="5"/>
  <c r="S598" i="5"/>
  <c r="S610" i="5"/>
  <c r="S622" i="5"/>
  <c r="S634" i="5"/>
  <c r="S646" i="5"/>
  <c r="S658" i="5"/>
  <c r="S670" i="5"/>
  <c r="S682" i="5"/>
  <c r="S694" i="5"/>
  <c r="S706" i="5"/>
  <c r="S718" i="5"/>
  <c r="S730" i="5"/>
  <c r="S742" i="5"/>
  <c r="S754" i="5"/>
  <c r="S766" i="5"/>
  <c r="S778" i="5"/>
  <c r="S14" i="5"/>
  <c r="S32" i="5"/>
  <c r="S48" i="5"/>
  <c r="S63" i="5"/>
  <c r="S80" i="5"/>
  <c r="S96" i="5"/>
  <c r="S111" i="5"/>
  <c r="S128" i="5"/>
  <c r="S144" i="5"/>
  <c r="S159" i="5"/>
  <c r="S176" i="5"/>
  <c r="S192" i="5"/>
  <c r="S207" i="5"/>
  <c r="S224" i="5"/>
  <c r="S239" i="5"/>
  <c r="S253" i="5"/>
  <c r="S267" i="5"/>
  <c r="S283" i="5"/>
  <c r="S297" i="5"/>
  <c r="S311" i="5"/>
  <c r="S325" i="5"/>
  <c r="S339" i="5"/>
  <c r="S355" i="5"/>
  <c r="S369" i="5"/>
  <c r="S382" i="5"/>
  <c r="S395" i="5"/>
  <c r="S407" i="5"/>
  <c r="S419" i="5"/>
  <c r="S431" i="5"/>
  <c r="S443" i="5"/>
  <c r="S16" i="5"/>
  <c r="S34" i="5"/>
  <c r="S49" i="5"/>
  <c r="S65" i="5"/>
  <c r="S82" i="5"/>
  <c r="S97" i="5"/>
  <c r="S113" i="5"/>
  <c r="S130" i="5"/>
  <c r="S145" i="5"/>
  <c r="S161" i="5"/>
  <c r="S178" i="5"/>
  <c r="S193" i="5"/>
  <c r="S209" i="5"/>
  <c r="S226" i="5"/>
  <c r="S240" i="5"/>
  <c r="S254" i="5"/>
  <c r="S269" i="5"/>
  <c r="S284" i="5"/>
  <c r="S298" i="5"/>
  <c r="S312" i="5"/>
  <c r="S326" i="5"/>
  <c r="S341" i="5"/>
  <c r="S356" i="5"/>
  <c r="S370" i="5"/>
  <c r="S383" i="5"/>
  <c r="S396" i="5"/>
  <c r="S408" i="5"/>
  <c r="S420" i="5"/>
  <c r="S432" i="5"/>
  <c r="S444" i="5"/>
  <c r="S456" i="5"/>
  <c r="S468" i="5"/>
  <c r="S480" i="5"/>
  <c r="S492" i="5"/>
  <c r="S504" i="5"/>
  <c r="S516" i="5"/>
  <c r="S528" i="5"/>
  <c r="S540" i="5"/>
  <c r="S552" i="5"/>
  <c r="S564" i="5"/>
  <c r="S576" i="5"/>
  <c r="S18" i="5"/>
  <c r="S35" i="5"/>
  <c r="S50" i="5"/>
  <c r="S67" i="5"/>
  <c r="S83" i="5"/>
  <c r="S98" i="5"/>
  <c r="S115" i="5"/>
  <c r="S131" i="5"/>
  <c r="S146" i="5"/>
  <c r="S163" i="5"/>
  <c r="S179" i="5"/>
  <c r="S194" i="5"/>
  <c r="S211" i="5"/>
  <c r="S227" i="5"/>
  <c r="S241" i="5"/>
  <c r="S255" i="5"/>
  <c r="S271" i="5"/>
  <c r="S285" i="5"/>
  <c r="S299" i="5"/>
  <c r="S313" i="5"/>
  <c r="S327" i="5"/>
  <c r="S343" i="5"/>
  <c r="S357" i="5"/>
  <c r="S371" i="5"/>
  <c r="S384" i="5"/>
  <c r="S397" i="5"/>
  <c r="S409" i="5"/>
  <c r="S421" i="5"/>
  <c r="S433" i="5"/>
  <c r="S24" i="5"/>
  <c r="S39" i="5"/>
  <c r="S56" i="5"/>
  <c r="S72" i="5"/>
  <c r="S87" i="5"/>
  <c r="S104" i="5"/>
  <c r="S120" i="5"/>
  <c r="S135" i="5"/>
  <c r="S152" i="5"/>
  <c r="S168" i="5"/>
  <c r="S183" i="5"/>
  <c r="S200" i="5"/>
  <c r="S216" i="5"/>
  <c r="S231" i="5"/>
  <c r="S247" i="5"/>
  <c r="S261" i="5"/>
  <c r="S275" i="5"/>
  <c r="S289" i="5"/>
  <c r="S303" i="5"/>
  <c r="S319" i="5"/>
  <c r="S333" i="5"/>
  <c r="S347" i="5"/>
  <c r="S361" i="5"/>
  <c r="S375" i="5"/>
  <c r="S389" i="5"/>
  <c r="S401" i="5"/>
  <c r="S413" i="5"/>
  <c r="S425" i="5"/>
  <c r="S437" i="5"/>
  <c r="S449" i="5"/>
  <c r="S999" i="5"/>
  <c r="S987" i="5"/>
  <c r="S975" i="5"/>
  <c r="S963" i="5"/>
  <c r="S951" i="5"/>
  <c r="S939" i="5"/>
  <c r="S927" i="5"/>
  <c r="S915" i="5"/>
  <c r="S903" i="5"/>
  <c r="S891" i="5"/>
  <c r="S879" i="5"/>
  <c r="S867" i="5"/>
  <c r="S855" i="5"/>
  <c r="S843" i="5"/>
  <c r="S831" i="5"/>
  <c r="S819" i="5"/>
  <c r="S807" i="5"/>
  <c r="S795" i="5"/>
  <c r="S783" i="5"/>
  <c r="S770" i="5"/>
  <c r="S757" i="5"/>
  <c r="S744" i="5"/>
  <c r="S731" i="5"/>
  <c r="S717" i="5"/>
  <c r="S704" i="5"/>
  <c r="S691" i="5"/>
  <c r="S678" i="5"/>
  <c r="S665" i="5"/>
  <c r="S652" i="5"/>
  <c r="S639" i="5"/>
  <c r="S626" i="5"/>
  <c r="S613" i="5"/>
  <c r="S600" i="5"/>
  <c r="S587" i="5"/>
  <c r="S572" i="5"/>
  <c r="S558" i="5"/>
  <c r="S544" i="5"/>
  <c r="S530" i="5"/>
  <c r="S515" i="5"/>
  <c r="S500" i="5"/>
  <c r="S486" i="5"/>
  <c r="S472" i="5"/>
  <c r="S458" i="5"/>
  <c r="S440" i="5"/>
  <c r="S422" i="5"/>
  <c r="S400" i="5"/>
  <c r="S378" i="5"/>
  <c r="S351" i="5"/>
  <c r="S331" i="5"/>
  <c r="S305" i="5"/>
  <c r="S278" i="5"/>
  <c r="S257" i="5"/>
  <c r="S230" i="5"/>
  <c r="S203" i="5"/>
  <c r="S173" i="5"/>
  <c r="S149" i="5"/>
  <c r="S121" i="5"/>
  <c r="S92" i="5"/>
  <c r="S68" i="5"/>
  <c r="S38" i="5"/>
  <c r="S10" i="5"/>
  <c r="S998" i="5"/>
  <c r="S986" i="5"/>
  <c r="S974" i="5"/>
  <c r="S962" i="5"/>
  <c r="S950" i="5"/>
  <c r="S938" i="5"/>
  <c r="S926" i="5"/>
  <c r="S914" i="5"/>
  <c r="S902" i="5"/>
  <c r="S890" i="5"/>
  <c r="S878" i="5"/>
  <c r="S866" i="5"/>
  <c r="S854" i="5"/>
  <c r="S842" i="5"/>
  <c r="S830" i="5"/>
  <c r="S818" i="5"/>
  <c r="S806" i="5"/>
  <c r="S794" i="5"/>
  <c r="S782" i="5"/>
  <c r="S769" i="5"/>
  <c r="S756" i="5"/>
  <c r="S743" i="5"/>
  <c r="S729" i="5"/>
  <c r="S716" i="5"/>
  <c r="S703" i="5"/>
  <c r="S690" i="5"/>
  <c r="S677" i="5"/>
  <c r="S664" i="5"/>
  <c r="S651" i="5"/>
  <c r="S638" i="5"/>
  <c r="S625" i="5"/>
  <c r="S612" i="5"/>
  <c r="S599" i="5"/>
  <c r="S585" i="5"/>
  <c r="S571" i="5"/>
  <c r="S557" i="5"/>
  <c r="S543" i="5"/>
  <c r="S529" i="5"/>
  <c r="S513" i="5"/>
  <c r="S499" i="5"/>
  <c r="S485" i="5"/>
  <c r="S471" i="5"/>
  <c r="S457" i="5"/>
  <c r="S439" i="5"/>
  <c r="S417" i="5"/>
  <c r="S399" i="5"/>
  <c r="S377" i="5"/>
  <c r="S350" i="5"/>
  <c r="S329" i="5"/>
  <c r="S302" i="5"/>
  <c r="S277" i="5"/>
  <c r="S251" i="5"/>
  <c r="S229" i="5"/>
  <c r="S202" i="5"/>
  <c r="S171" i="5"/>
  <c r="S147" i="5"/>
  <c r="S119" i="5"/>
  <c r="S91" i="5"/>
  <c r="S61" i="5"/>
  <c r="S37" i="5"/>
  <c r="S1009" i="5"/>
  <c r="S997" i="5"/>
  <c r="S985" i="5"/>
  <c r="S973" i="5"/>
  <c r="S961" i="5"/>
  <c r="S949" i="5"/>
  <c r="S937" i="5"/>
  <c r="S925" i="5"/>
  <c r="S913" i="5"/>
  <c r="S901" i="5"/>
  <c r="S889" i="5"/>
  <c r="S877" i="5"/>
  <c r="S865" i="5"/>
  <c r="S853" i="5"/>
  <c r="S841" i="5"/>
  <c r="S829" i="5"/>
  <c r="S817" i="5"/>
  <c r="S805" i="5"/>
  <c r="S793" i="5"/>
  <c r="S781" i="5"/>
  <c r="S768" i="5"/>
  <c r="S755" i="5"/>
  <c r="S741" i="5"/>
  <c r="S728" i="5"/>
  <c r="S715" i="5"/>
  <c r="S702" i="5"/>
  <c r="S689" i="5"/>
  <c r="S676" i="5"/>
  <c r="S663" i="5"/>
  <c r="S650" i="5"/>
  <c r="S637" i="5"/>
  <c r="S624" i="5"/>
  <c r="S611" i="5"/>
  <c r="S597" i="5"/>
  <c r="S584" i="5"/>
  <c r="S570" i="5"/>
  <c r="S556" i="5"/>
  <c r="S542" i="5"/>
  <c r="S527" i="5"/>
  <c r="S512" i="5"/>
  <c r="S498" i="5"/>
  <c r="S484" i="5"/>
  <c r="S470" i="5"/>
  <c r="S455" i="5"/>
  <c r="S438" i="5"/>
  <c r="S416" i="5"/>
  <c r="S398" i="5"/>
  <c r="S374" i="5"/>
  <c r="S349" i="5"/>
  <c r="S323" i="5"/>
  <c r="S301" i="5"/>
  <c r="S276" i="5"/>
  <c r="S250" i="5"/>
  <c r="S228" i="5"/>
  <c r="S199" i="5"/>
  <c r="S170" i="5"/>
  <c r="S142" i="5"/>
  <c r="S118" i="5"/>
  <c r="S89" i="5"/>
  <c r="S60" i="5"/>
  <c r="S36" i="5"/>
  <c r="O29" i="5"/>
  <c r="O611" i="5"/>
  <c r="O517" i="5"/>
  <c r="P406" i="5"/>
  <c r="P452" i="5"/>
  <c r="P310" i="5"/>
  <c r="P314" i="5"/>
  <c r="P998" i="5"/>
  <c r="P143" i="5"/>
  <c r="P155" i="5"/>
  <c r="O508" i="5"/>
  <c r="O999" i="5"/>
  <c r="O366" i="5"/>
  <c r="O992" i="5"/>
  <c r="O320" i="5"/>
  <c r="O308" i="5"/>
  <c r="O847" i="5"/>
  <c r="O221" i="5"/>
  <c r="O843" i="5"/>
  <c r="O183" i="5"/>
  <c r="P787" i="5"/>
  <c r="O772" i="5"/>
  <c r="P821" i="5"/>
  <c r="O892" i="5"/>
  <c r="O768" i="5"/>
  <c r="P43" i="5"/>
  <c r="P867" i="5"/>
  <c r="O653" i="5"/>
  <c r="P65" i="5"/>
  <c r="P898" i="5"/>
  <c r="O612" i="5"/>
  <c r="P66" i="5"/>
  <c r="O825" i="5"/>
  <c r="O594" i="5"/>
  <c r="O289" i="5"/>
  <c r="P74" i="5"/>
  <c r="P419" i="5"/>
  <c r="P874" i="5"/>
  <c r="O984" i="5"/>
  <c r="O767" i="5"/>
  <c r="O495" i="5"/>
  <c r="O173" i="5"/>
  <c r="P173" i="5"/>
  <c r="P454" i="5"/>
  <c r="O978" i="5"/>
  <c r="O749" i="5"/>
  <c r="O481" i="5"/>
  <c r="O159" i="5"/>
  <c r="P177" i="5"/>
  <c r="P563" i="5"/>
  <c r="O977" i="5"/>
  <c r="O732" i="5"/>
  <c r="O469" i="5"/>
  <c r="O145" i="5"/>
  <c r="P190" i="5"/>
  <c r="P586" i="5"/>
  <c r="O943" i="5"/>
  <c r="O725" i="5"/>
  <c r="O438" i="5"/>
  <c r="O115" i="5"/>
  <c r="P262" i="5"/>
  <c r="P634" i="5"/>
  <c r="O896" i="5"/>
  <c r="O657" i="5"/>
  <c r="O387" i="5"/>
  <c r="P266" i="5"/>
  <c r="P641" i="5"/>
  <c r="O894" i="5"/>
  <c r="O656" i="5"/>
  <c r="O372" i="5"/>
  <c r="P26" i="5"/>
  <c r="P305" i="5"/>
  <c r="P642" i="5"/>
  <c r="P79" i="5"/>
  <c r="P199" i="5"/>
  <c r="P322" i="5"/>
  <c r="P480" i="5"/>
  <c r="P674" i="5"/>
  <c r="P908" i="5"/>
  <c r="P93" i="5"/>
  <c r="P200" i="5"/>
  <c r="P323" i="5"/>
  <c r="P482" i="5"/>
  <c r="P679" i="5"/>
  <c r="P922" i="5"/>
  <c r="P18" i="5"/>
  <c r="P120" i="5"/>
  <c r="P237" i="5"/>
  <c r="P371" i="5"/>
  <c r="P524" i="5"/>
  <c r="P751" i="5"/>
  <c r="P203" i="5"/>
  <c r="P501" i="5"/>
  <c r="P979" i="5"/>
  <c r="P20" i="5"/>
  <c r="P121" i="5"/>
  <c r="P238" i="5"/>
  <c r="P372" i="5"/>
  <c r="P535" i="5"/>
  <c r="P759" i="5"/>
  <c r="P98" i="5"/>
  <c r="P344" i="5"/>
  <c r="P684" i="5"/>
  <c r="P21" i="5"/>
  <c r="P122" i="5"/>
  <c r="P241" i="5"/>
  <c r="P381" i="5"/>
  <c r="P554" i="5"/>
  <c r="P760" i="5"/>
  <c r="P25" i="5"/>
  <c r="P142" i="5"/>
  <c r="P258" i="5"/>
  <c r="P392" i="5"/>
  <c r="P561" i="5"/>
  <c r="P777" i="5"/>
  <c r="O983" i="5"/>
  <c r="O888" i="5"/>
  <c r="O757" i="5"/>
  <c r="O652" i="5"/>
  <c r="O485" i="5"/>
  <c r="O360" i="5"/>
  <c r="O168" i="5"/>
  <c r="P22" i="5"/>
  <c r="P77" i="5"/>
  <c r="P132" i="5"/>
  <c r="P194" i="5"/>
  <c r="P257" i="5"/>
  <c r="P320" i="5"/>
  <c r="P385" i="5"/>
  <c r="P468" i="5"/>
  <c r="P557" i="5"/>
  <c r="P653" i="5"/>
  <c r="P764" i="5"/>
  <c r="P907" i="5"/>
  <c r="O956" i="5"/>
  <c r="O836" i="5"/>
  <c r="O726" i="5"/>
  <c r="O597" i="5"/>
  <c r="O465" i="5"/>
  <c r="O293" i="5"/>
  <c r="O120" i="5"/>
  <c r="P29" i="5"/>
  <c r="P97" i="5"/>
  <c r="P151" i="5"/>
  <c r="P201" i="5"/>
  <c r="P265" i="5"/>
  <c r="P324" i="5"/>
  <c r="P416" i="5"/>
  <c r="P494" i="5"/>
  <c r="P578" i="5"/>
  <c r="P683" i="5"/>
  <c r="P820" i="5"/>
  <c r="P942" i="5"/>
  <c r="O933" i="5"/>
  <c r="O824" i="5"/>
  <c r="O689" i="5"/>
  <c r="O581" i="5"/>
  <c r="O417" i="5"/>
  <c r="O288" i="5"/>
  <c r="O64" i="5"/>
  <c r="P49" i="5"/>
  <c r="P101" i="5"/>
  <c r="P156" i="5"/>
  <c r="P213" i="5"/>
  <c r="P276" i="5"/>
  <c r="P350" i="5"/>
  <c r="P422" i="5"/>
  <c r="P510" i="5"/>
  <c r="P588" i="5"/>
  <c r="P690" i="5"/>
  <c r="P824" i="5"/>
  <c r="P993" i="5"/>
  <c r="O931" i="5"/>
  <c r="O822" i="5"/>
  <c r="O684" i="5"/>
  <c r="O563" i="5"/>
  <c r="O416" i="5"/>
  <c r="O283" i="5"/>
  <c r="O44" i="5"/>
  <c r="P56" i="5"/>
  <c r="P104" i="5"/>
  <c r="P157" i="5"/>
  <c r="P214" i="5"/>
  <c r="P285" i="5"/>
  <c r="P354" i="5"/>
  <c r="P430" i="5"/>
  <c r="P511" i="5"/>
  <c r="P593" i="5"/>
  <c r="P716" i="5"/>
  <c r="P838" i="5"/>
  <c r="P997" i="5"/>
  <c r="O929" i="5"/>
  <c r="O819" i="5"/>
  <c r="O681" i="5"/>
  <c r="O555" i="5"/>
  <c r="O412" i="5"/>
  <c r="O246" i="5"/>
  <c r="P57" i="5"/>
  <c r="P105" i="5"/>
  <c r="P162" i="5"/>
  <c r="P223" i="5"/>
  <c r="P289" i="5"/>
  <c r="P357" i="5"/>
  <c r="P444" i="5"/>
  <c r="P515" i="5"/>
  <c r="P602" i="5"/>
  <c r="P719" i="5"/>
  <c r="P839" i="5"/>
  <c r="O138" i="5"/>
  <c r="O32" i="5"/>
  <c r="O47" i="5"/>
  <c r="O911" i="5"/>
  <c r="O801" i="5"/>
  <c r="O667" i="5"/>
  <c r="O546" i="5"/>
  <c r="O388" i="5"/>
  <c r="O245" i="5"/>
  <c r="P935" i="5"/>
  <c r="P900" i="5"/>
  <c r="P794" i="5"/>
  <c r="P707" i="5"/>
  <c r="P630" i="5"/>
  <c r="P550" i="5"/>
  <c r="P477" i="5"/>
  <c r="P409" i="5"/>
  <c r="P347" i="5"/>
  <c r="P286" i="5"/>
  <c r="P236" i="5"/>
  <c r="P179" i="5"/>
  <c r="P133" i="5"/>
  <c r="P94" i="5"/>
  <c r="P46" i="5"/>
  <c r="P999" i="5"/>
  <c r="P892" i="5"/>
  <c r="P785" i="5"/>
  <c r="P689" i="5"/>
  <c r="P611" i="5"/>
  <c r="P530" i="5"/>
  <c r="P457" i="5"/>
  <c r="P405" i="5"/>
  <c r="P331" i="5"/>
  <c r="P282" i="5"/>
  <c r="P228" i="5"/>
  <c r="P176" i="5"/>
  <c r="P128" i="5"/>
  <c r="P84" i="5"/>
  <c r="P42" i="5"/>
  <c r="P936" i="5"/>
  <c r="P828" i="5"/>
  <c r="P742" i="5"/>
  <c r="P650" i="5"/>
  <c r="P60" i="5"/>
  <c r="P118" i="5"/>
  <c r="P170" i="5"/>
  <c r="P234" i="5"/>
  <c r="P294" i="5"/>
  <c r="P366" i="5"/>
  <c r="P449" i="5"/>
  <c r="P522" i="5"/>
  <c r="P614" i="5"/>
  <c r="P729" i="5"/>
  <c r="P865" i="5"/>
  <c r="O969" i="5"/>
  <c r="O893" i="5"/>
  <c r="O820" i="5"/>
  <c r="O727" i="5"/>
  <c r="O655" i="5"/>
  <c r="O561" i="5"/>
  <c r="O468" i="5"/>
  <c r="O368" i="5"/>
  <c r="O280" i="5"/>
  <c r="O24" i="5"/>
  <c r="O109" i="5"/>
  <c r="O225" i="5"/>
  <c r="O317" i="5"/>
  <c r="O393" i="5"/>
  <c r="O480" i="5"/>
  <c r="O556" i="5"/>
  <c r="O640" i="5"/>
  <c r="O711" i="5"/>
  <c r="O777" i="5"/>
  <c r="O859" i="5"/>
  <c r="O35" i="5"/>
  <c r="O152" i="5"/>
  <c r="O253" i="5"/>
  <c r="O354" i="5"/>
  <c r="O431" i="5"/>
  <c r="O510" i="5"/>
  <c r="O595" i="5"/>
  <c r="O941" i="5"/>
  <c r="O873" i="5"/>
  <c r="O789" i="5"/>
  <c r="O721" i="5"/>
  <c r="O618" i="5"/>
  <c r="O543" i="5"/>
  <c r="O436" i="5"/>
  <c r="O343" i="5"/>
  <c r="O231" i="5"/>
  <c r="O81" i="5"/>
  <c r="O1002" i="5"/>
  <c r="O940" i="5"/>
  <c r="O865" i="5"/>
  <c r="O779" i="5"/>
  <c r="O703" i="5"/>
  <c r="O617" i="5"/>
  <c r="O536" i="5"/>
  <c r="O433" i="5"/>
  <c r="O337" i="5"/>
  <c r="O229" i="5"/>
  <c r="O77" i="5"/>
  <c r="O1001" i="5"/>
  <c r="O935" i="5"/>
  <c r="O864" i="5"/>
  <c r="O773" i="5"/>
  <c r="O699" i="5"/>
  <c r="O615" i="5"/>
  <c r="O522" i="5"/>
  <c r="O429" i="5"/>
  <c r="O329" i="5"/>
  <c r="O224" i="5"/>
  <c r="O71" i="5"/>
  <c r="P35" i="5"/>
  <c r="P70" i="5"/>
  <c r="P103" i="5"/>
  <c r="P137" i="5"/>
  <c r="P175" i="5"/>
  <c r="P206" i="5"/>
  <c r="P245" i="5"/>
  <c r="P287" i="5"/>
  <c r="P329" i="5"/>
  <c r="P377" i="5"/>
  <c r="P426" i="5"/>
  <c r="P478" i="5"/>
  <c r="P526" i="5"/>
  <c r="P587" i="5"/>
  <c r="P646" i="5"/>
  <c r="P711" i="5"/>
  <c r="P781" i="5"/>
  <c r="P851" i="5"/>
  <c r="P949" i="5"/>
  <c r="P957" i="5"/>
  <c r="P937" i="5"/>
  <c r="P873" i="5"/>
  <c r="P815" i="5"/>
  <c r="P741" i="5"/>
  <c r="P682" i="5"/>
  <c r="P626" i="5"/>
  <c r="P562" i="5"/>
  <c r="P521" i="5"/>
  <c r="P475" i="5"/>
  <c r="P425" i="5"/>
  <c r="P380" i="5"/>
  <c r="P343" i="5"/>
  <c r="P299" i="5"/>
  <c r="P261" i="5"/>
  <c r="P1008" i="5"/>
  <c r="P930" i="5"/>
  <c r="P45" i="5"/>
  <c r="P78" i="5"/>
  <c r="P114" i="5"/>
  <c r="P146" i="5"/>
  <c r="P178" i="5"/>
  <c r="P217" i="5"/>
  <c r="P259" i="5"/>
  <c r="P300" i="5"/>
  <c r="P345" i="5"/>
  <c r="P391" i="5"/>
  <c r="P445" i="5"/>
  <c r="P489" i="5"/>
  <c r="P546" i="5"/>
  <c r="P594" i="5"/>
  <c r="P658" i="5"/>
  <c r="P724" i="5"/>
  <c r="P788" i="5"/>
  <c r="P868" i="5"/>
  <c r="P972" i="5"/>
  <c r="P19" i="5"/>
  <c r="P47" i="5"/>
  <c r="P80" i="5"/>
  <c r="P119" i="5"/>
  <c r="P152" i="5"/>
  <c r="P180" i="5"/>
  <c r="P224" i="5"/>
  <c r="P264" i="5"/>
  <c r="P309" i="5"/>
  <c r="P348" i="5"/>
  <c r="P396" i="5"/>
  <c r="P450" i="5"/>
  <c r="P497" i="5"/>
  <c r="P553" i="5"/>
  <c r="P610" i="5"/>
  <c r="P678" i="5"/>
  <c r="P733" i="5"/>
  <c r="P816" i="5"/>
  <c r="P879" i="5"/>
  <c r="P984" i="5"/>
  <c r="O973" i="5"/>
  <c r="O917" i="5"/>
  <c r="O863" i="5"/>
  <c r="O805" i="5"/>
  <c r="O755" i="5"/>
  <c r="O697" i="5"/>
  <c r="O641" i="5"/>
  <c r="O585" i="5"/>
  <c r="O519" i="5"/>
  <c r="O467" i="5"/>
  <c r="O407" i="5"/>
  <c r="O341" i="5"/>
  <c r="O282" i="5"/>
  <c r="O197" i="5"/>
  <c r="O114" i="5"/>
  <c r="P32" i="5"/>
  <c r="P59" i="5"/>
  <c r="P83" i="5"/>
  <c r="P107" i="5"/>
  <c r="P134" i="5"/>
  <c r="P161" i="5"/>
  <c r="P186" i="5"/>
  <c r="P215" i="5"/>
  <c r="P242" i="5"/>
  <c r="P272" i="5"/>
  <c r="P301" i="5"/>
  <c r="P330" i="5"/>
  <c r="P359" i="5"/>
  <c r="P394" i="5"/>
  <c r="P429" i="5"/>
  <c r="P463" i="5"/>
  <c r="P498" i="5"/>
  <c r="P533" i="5"/>
  <c r="P566" i="5"/>
  <c r="P613" i="5"/>
  <c r="P657" i="5"/>
  <c r="P698" i="5"/>
  <c r="P746" i="5"/>
  <c r="P793" i="5"/>
  <c r="P845" i="5"/>
  <c r="P899" i="5"/>
  <c r="O37" i="5"/>
  <c r="O65" i="5"/>
  <c r="O121" i="5"/>
  <c r="O188" i="5"/>
  <c r="O255" i="5"/>
  <c r="O309" i="5"/>
  <c r="O355" i="5"/>
  <c r="O395" i="5"/>
  <c r="O441" i="5"/>
  <c r="O487" i="5"/>
  <c r="O537" i="5"/>
  <c r="O582" i="5"/>
  <c r="O619" i="5"/>
  <c r="O663" i="5"/>
  <c r="O704" i="5"/>
  <c r="O750" i="5"/>
  <c r="O791" i="5"/>
  <c r="O827" i="5"/>
  <c r="O870" i="5"/>
  <c r="O912" i="5"/>
  <c r="O957" i="5"/>
  <c r="O993" i="5"/>
  <c r="O67" i="5"/>
  <c r="O135" i="5"/>
  <c r="O191" i="5"/>
  <c r="O259" i="5"/>
  <c r="O315" i="5"/>
  <c r="O359" i="5"/>
  <c r="O404" i="5"/>
  <c r="O444" i="5"/>
  <c r="O493" i="5"/>
  <c r="O541" i="5"/>
  <c r="O584" i="5"/>
  <c r="O628" i="5"/>
  <c r="O664" i="5"/>
  <c r="O709" i="5"/>
  <c r="O753" i="5"/>
  <c r="O793" i="5"/>
  <c r="O835" i="5"/>
  <c r="O871" i="5"/>
  <c r="O916" i="5"/>
  <c r="O959" i="5"/>
  <c r="O997" i="5"/>
  <c r="O72" i="5"/>
  <c r="O144" i="5"/>
  <c r="O217" i="5"/>
  <c r="O273" i="5"/>
  <c r="O318" i="5"/>
  <c r="O361" i="5"/>
  <c r="O411" i="5"/>
  <c r="O461" i="5"/>
  <c r="O504" i="5"/>
  <c r="O545" i="5"/>
  <c r="O588" i="5"/>
  <c r="O633" i="5"/>
  <c r="O680" i="5"/>
  <c r="O720" i="5"/>
  <c r="O756" i="5"/>
  <c r="O797" i="5"/>
  <c r="O841" i="5"/>
  <c r="O887" i="5"/>
  <c r="O928" i="5"/>
  <c r="O963" i="5"/>
  <c r="O1000" i="5"/>
  <c r="O964" i="5"/>
  <c r="O906" i="5"/>
  <c r="O858" i="5"/>
  <c r="O800" i="5"/>
  <c r="O736" i="5"/>
  <c r="O687" i="5"/>
  <c r="O635" i="5"/>
  <c r="O569" i="5"/>
  <c r="O512" i="5"/>
  <c r="O462" i="5"/>
  <c r="O392" i="5"/>
  <c r="O336" i="5"/>
  <c r="O275" i="5"/>
  <c r="O181" i="5"/>
  <c r="O108" i="5"/>
  <c r="P983" i="5"/>
  <c r="P978" i="5"/>
  <c r="P943" i="5"/>
  <c r="P915" i="5"/>
  <c r="P887" i="5"/>
  <c r="P863" i="5"/>
  <c r="P835" i="5"/>
  <c r="P811" i="5"/>
  <c r="P782" i="5"/>
  <c r="P991" i="5"/>
  <c r="P956" i="5"/>
  <c r="P921" i="5"/>
  <c r="P891" i="5"/>
  <c r="P864" i="5"/>
  <c r="P833" i="5"/>
  <c r="P803" i="5"/>
  <c r="P776" i="5"/>
  <c r="P749" i="5"/>
  <c r="P723" i="5"/>
  <c r="P697" i="5"/>
  <c r="P673" i="5"/>
  <c r="P649" i="5"/>
  <c r="P625" i="5"/>
  <c r="P601" i="5"/>
  <c r="P577" i="5"/>
  <c r="P989" i="5"/>
  <c r="P950" i="5"/>
  <c r="P918" i="5"/>
  <c r="P890" i="5"/>
  <c r="P859" i="5"/>
  <c r="P829" i="5"/>
  <c r="P802" i="5"/>
  <c r="P775" i="5"/>
  <c r="P747" i="5"/>
  <c r="P722" i="5"/>
  <c r="P695" i="5"/>
  <c r="P672" i="5"/>
  <c r="P647" i="5"/>
  <c r="P624" i="5"/>
  <c r="P599" i="5"/>
  <c r="P576" i="5"/>
  <c r="P551" i="5"/>
  <c r="P529" i="5"/>
  <c r="P506" i="5"/>
  <c r="P487" i="5"/>
  <c r="P464" i="5"/>
  <c r="P443" i="5"/>
  <c r="P420" i="5"/>
  <c r="P401" i="5"/>
  <c r="P378" i="5"/>
  <c r="P980" i="5"/>
  <c r="P948" i="5"/>
  <c r="P911" i="5"/>
  <c r="P881" i="5"/>
  <c r="P854" i="5"/>
  <c r="P827" i="5"/>
  <c r="P799" i="5"/>
  <c r="P769" i="5"/>
  <c r="P743" i="5"/>
  <c r="P717" i="5"/>
  <c r="P691" i="5"/>
  <c r="P667" i="5"/>
  <c r="P643" i="5"/>
  <c r="P619" i="5"/>
  <c r="P595" i="5"/>
  <c r="P571" i="5"/>
  <c r="P547" i="5"/>
  <c r="P525" i="5"/>
  <c r="P503" i="5"/>
  <c r="P481" i="5"/>
  <c r="P461" i="5"/>
  <c r="P439" i="5"/>
  <c r="P417" i="5"/>
  <c r="P395" i="5"/>
  <c r="P373" i="5"/>
  <c r="P353" i="5"/>
  <c r="P968" i="5"/>
  <c r="P927" i="5"/>
  <c r="P886" i="5"/>
  <c r="P848" i="5"/>
  <c r="P813" i="5"/>
  <c r="P771" i="5"/>
  <c r="P735" i="5"/>
  <c r="P706" i="5"/>
  <c r="P669" i="5"/>
  <c r="P636" i="5"/>
  <c r="P609" i="5"/>
  <c r="P573" i="5"/>
  <c r="P545" i="5"/>
  <c r="P517" i="5"/>
  <c r="P492" i="5"/>
  <c r="P467" i="5"/>
  <c r="P440" i="5"/>
  <c r="P415" i="5"/>
  <c r="P389" i="5"/>
  <c r="P362" i="5"/>
  <c r="P338" i="5"/>
  <c r="P319" i="5"/>
  <c r="P296" i="5"/>
  <c r="P275" i="5"/>
  <c r="P252" i="5"/>
  <c r="P233" i="5"/>
  <c r="P210" i="5"/>
  <c r="P189" i="5"/>
  <c r="P169" i="5"/>
  <c r="P150" i="5"/>
  <c r="P131" i="5"/>
  <c r="P113" i="5"/>
  <c r="P92" i="5"/>
  <c r="P73" i="5"/>
  <c r="P55" i="5"/>
  <c r="P34" i="5"/>
  <c r="P17" i="5"/>
  <c r="P967" i="5"/>
  <c r="P926" i="5"/>
  <c r="P880" i="5"/>
  <c r="P847" i="5"/>
  <c r="P812" i="5"/>
  <c r="P768" i="5"/>
  <c r="P734" i="5"/>
  <c r="P701" i="5"/>
  <c r="P666" i="5"/>
  <c r="P635" i="5"/>
  <c r="P605" i="5"/>
  <c r="P570" i="5"/>
  <c r="P540" i="5"/>
  <c r="P516" i="5"/>
  <c r="P491" i="5"/>
  <c r="P466" i="5"/>
  <c r="P438" i="5"/>
  <c r="P410" i="5"/>
  <c r="P386" i="5"/>
  <c r="P361" i="5"/>
  <c r="P337" i="5"/>
  <c r="P317" i="5"/>
  <c r="P295" i="5"/>
  <c r="P273" i="5"/>
  <c r="P251" i="5"/>
  <c r="P229" i="5"/>
  <c r="P209" i="5"/>
  <c r="P187" i="5"/>
  <c r="P166" i="5"/>
  <c r="P149" i="5"/>
  <c r="P129" i="5"/>
  <c r="P108" i="5"/>
  <c r="P91" i="5"/>
  <c r="P71" i="5"/>
  <c r="P50" i="5"/>
  <c r="P33" i="5"/>
  <c r="P13" i="5"/>
  <c r="P1009" i="5"/>
  <c r="P963" i="5"/>
  <c r="P917" i="5"/>
  <c r="P876" i="5"/>
  <c r="P840" i="5"/>
  <c r="P800" i="5"/>
  <c r="P763" i="5"/>
  <c r="P730" i="5"/>
  <c r="P694" i="5"/>
  <c r="P661" i="5"/>
  <c r="P631" i="5"/>
  <c r="P598" i="5"/>
  <c r="P565" i="5"/>
  <c r="P538" i="5"/>
  <c r="P512" i="5"/>
  <c r="P488" i="5"/>
  <c r="P458" i="5"/>
  <c r="P433" i="5"/>
  <c r="P408" i="5"/>
  <c r="P382" i="5"/>
  <c r="P358" i="5"/>
  <c r="P334" i="5"/>
  <c r="P313" i="5"/>
  <c r="P290" i="5"/>
  <c r="P271" i="5"/>
  <c r="P248" i="5"/>
  <c r="P227" i="5"/>
  <c r="P204" i="5"/>
  <c r="P185" i="5"/>
  <c r="P164" i="5"/>
  <c r="P145" i="5"/>
  <c r="P127" i="5"/>
  <c r="P106" i="5"/>
  <c r="P89" i="5"/>
  <c r="P69" i="5"/>
  <c r="P48" i="5"/>
  <c r="P31" i="5"/>
  <c r="P11" i="5"/>
  <c r="P36" i="5"/>
  <c r="P61" i="5"/>
  <c r="P85" i="5"/>
  <c r="P115" i="5"/>
  <c r="P138" i="5"/>
  <c r="P163" i="5"/>
  <c r="P192" i="5"/>
  <c r="P218" i="5"/>
  <c r="P247" i="5"/>
  <c r="P278" i="5"/>
  <c r="P306" i="5"/>
  <c r="P333" i="5"/>
  <c r="P367" i="5"/>
  <c r="P402" i="5"/>
  <c r="P431" i="5"/>
  <c r="P473" i="5"/>
  <c r="P502" i="5"/>
  <c r="P536" i="5"/>
  <c r="P582" i="5"/>
  <c r="P618" i="5"/>
  <c r="P659" i="5"/>
  <c r="P708" i="5"/>
  <c r="P754" i="5"/>
  <c r="P795" i="5"/>
  <c r="P852" i="5"/>
  <c r="P903" i="5"/>
  <c r="P959" i="5"/>
  <c r="O1003" i="5"/>
  <c r="O960" i="5"/>
  <c r="O905" i="5"/>
  <c r="O848" i="5"/>
  <c r="O796" i="5"/>
  <c r="O733" i="5"/>
  <c r="O685" i="5"/>
  <c r="O629" i="5"/>
  <c r="O568" i="5"/>
  <c r="O511" i="5"/>
  <c r="O447" i="5"/>
  <c r="O390" i="5"/>
  <c r="O330" i="5"/>
  <c r="O263" i="5"/>
  <c r="O180" i="5"/>
  <c r="O88" i="5"/>
  <c r="P12" i="5"/>
  <c r="P41" i="5"/>
  <c r="P62" i="5"/>
  <c r="P90" i="5"/>
  <c r="P117" i="5"/>
  <c r="P141" i="5"/>
  <c r="P165" i="5"/>
  <c r="P193" i="5"/>
  <c r="P222" i="5"/>
  <c r="P250" i="5"/>
  <c r="P281" i="5"/>
  <c r="P308" i="5"/>
  <c r="P336" i="5"/>
  <c r="P368" i="5"/>
  <c r="P403" i="5"/>
  <c r="P434" i="5"/>
  <c r="P474" i="5"/>
  <c r="P505" i="5"/>
  <c r="P539" i="5"/>
  <c r="P583" i="5"/>
  <c r="P621" i="5"/>
  <c r="P662" i="5"/>
  <c r="P710" i="5"/>
  <c r="P758" i="5"/>
  <c r="P806" i="5"/>
  <c r="P855" i="5"/>
  <c r="P904" i="5"/>
  <c r="P965" i="5"/>
  <c r="B4" i="5"/>
  <c r="Q131" i="5" s="1"/>
  <c r="P14" i="5"/>
  <c r="P30" i="5"/>
  <c r="P44" i="5"/>
  <c r="P58" i="5"/>
  <c r="P72" i="5"/>
  <c r="P86" i="5"/>
  <c r="P102" i="5"/>
  <c r="P116" i="5"/>
  <c r="P130" i="5"/>
  <c r="P144" i="5"/>
  <c r="P158" i="5"/>
  <c r="P174" i="5"/>
  <c r="P188" i="5"/>
  <c r="P202" i="5"/>
  <c r="P216" i="5"/>
  <c r="P230" i="5"/>
  <c r="P246" i="5"/>
  <c r="P260" i="5"/>
  <c r="P274" i="5"/>
  <c r="P288" i="5"/>
  <c r="P302" i="5"/>
  <c r="P318" i="5"/>
  <c r="P332" i="5"/>
  <c r="P346" i="5"/>
  <c r="P360" i="5"/>
  <c r="P374" i="5"/>
  <c r="P390" i="5"/>
  <c r="P404" i="5"/>
  <c r="P418" i="5"/>
  <c r="P432" i="5"/>
  <c r="P446" i="5"/>
  <c r="P462" i="5"/>
  <c r="P476" i="5"/>
  <c r="P490" i="5"/>
  <c r="P504" i="5"/>
  <c r="P518" i="5"/>
  <c r="P534" i="5"/>
  <c r="P549" i="5"/>
  <c r="P564" i="5"/>
  <c r="P581" i="5"/>
  <c r="P597" i="5"/>
  <c r="P612" i="5"/>
  <c r="P629" i="5"/>
  <c r="P645" i="5"/>
  <c r="P660" i="5"/>
  <c r="P677" i="5"/>
  <c r="P693" i="5"/>
  <c r="P709" i="5"/>
  <c r="P728" i="5"/>
  <c r="P745" i="5"/>
  <c r="P761" i="5"/>
  <c r="P780" i="5"/>
  <c r="P797" i="5"/>
  <c r="P814" i="5"/>
  <c r="P832" i="5"/>
  <c r="P850" i="5"/>
  <c r="P866" i="5"/>
  <c r="P885" i="5"/>
  <c r="P902" i="5"/>
  <c r="P920" i="5"/>
  <c r="P941" i="5"/>
  <c r="P962" i="5"/>
  <c r="P981" i="5"/>
  <c r="P1006" i="5"/>
  <c r="P191" i="5"/>
  <c r="P205" i="5"/>
  <c r="P221" i="5"/>
  <c r="P235" i="5"/>
  <c r="P249" i="5"/>
  <c r="P263" i="5"/>
  <c r="P277" i="5"/>
  <c r="P293" i="5"/>
  <c r="P307" i="5"/>
  <c r="P321" i="5"/>
  <c r="P335" i="5"/>
  <c r="P349" i="5"/>
  <c r="P365" i="5"/>
  <c r="P379" i="5"/>
  <c r="P393" i="5"/>
  <c r="P407" i="5"/>
  <c r="P421" i="5"/>
  <c r="P437" i="5"/>
  <c r="P451" i="5"/>
  <c r="P465" i="5"/>
  <c r="P479" i="5"/>
  <c r="P493" i="5"/>
  <c r="P509" i="5"/>
  <c r="P523" i="5"/>
  <c r="P537" i="5"/>
  <c r="P552" i="5"/>
  <c r="P569" i="5"/>
  <c r="P585" i="5"/>
  <c r="P600" i="5"/>
  <c r="P617" i="5"/>
  <c r="P633" i="5"/>
  <c r="P648" i="5"/>
  <c r="P665" i="5"/>
  <c r="P681" i="5"/>
  <c r="P696" i="5"/>
  <c r="P715" i="5"/>
  <c r="P732" i="5"/>
  <c r="P748" i="5"/>
  <c r="P767" i="5"/>
  <c r="P784" i="5"/>
  <c r="P801" i="5"/>
  <c r="P819" i="5"/>
  <c r="P837" i="5"/>
  <c r="P853" i="5"/>
  <c r="P872" i="5"/>
  <c r="P889" i="5"/>
  <c r="P905" i="5"/>
  <c r="P925" i="5"/>
  <c r="P945" i="5"/>
  <c r="P966" i="5"/>
  <c r="P987" i="5"/>
  <c r="P1000" i="5"/>
  <c r="P1001" i="5"/>
  <c r="P988" i="5"/>
  <c r="P976" i="5"/>
  <c r="P964" i="5"/>
  <c r="P952" i="5"/>
  <c r="P940" i="5"/>
  <c r="P928" i="5"/>
  <c r="P916" i="5"/>
  <c r="P1007" i="5"/>
  <c r="P994" i="5"/>
  <c r="P982" i="5"/>
  <c r="P970" i="5"/>
  <c r="P958" i="5"/>
  <c r="P946" i="5"/>
  <c r="P934" i="5"/>
  <c r="P1005" i="5"/>
  <c r="P990" i="5"/>
  <c r="P975" i="5"/>
  <c r="P961" i="5"/>
  <c r="P947" i="5"/>
  <c r="P932" i="5"/>
  <c r="P919" i="5"/>
  <c r="P906" i="5"/>
  <c r="P894" i="5"/>
  <c r="P882" i="5"/>
  <c r="P870" i="5"/>
  <c r="P858" i="5"/>
  <c r="P846" i="5"/>
  <c r="P834" i="5"/>
  <c r="P822" i="5"/>
  <c r="P810" i="5"/>
  <c r="P798" i="5"/>
  <c r="P786" i="5"/>
  <c r="P774" i="5"/>
  <c r="P762" i="5"/>
  <c r="P750" i="5"/>
  <c r="P738" i="5"/>
  <c r="P726" i="5"/>
  <c r="P714" i="5"/>
  <c r="P702" i="5"/>
  <c r="P1004" i="5"/>
  <c r="P1003" i="5"/>
  <c r="P986" i="5"/>
  <c r="P971" i="5"/>
  <c r="P955" i="5"/>
  <c r="P939" i="5"/>
  <c r="P924" i="5"/>
  <c r="P910" i="5"/>
  <c r="P897" i="5"/>
  <c r="P884" i="5"/>
  <c r="P871" i="5"/>
  <c r="P857" i="5"/>
  <c r="P844" i="5"/>
  <c r="P831" i="5"/>
  <c r="P818" i="5"/>
  <c r="P805" i="5"/>
  <c r="P792" i="5"/>
  <c r="P779" i="5"/>
  <c r="P766" i="5"/>
  <c r="P753" i="5"/>
  <c r="P740" i="5"/>
  <c r="P727" i="5"/>
  <c r="P713" i="5"/>
  <c r="P700" i="5"/>
  <c r="P688" i="5"/>
  <c r="P676" i="5"/>
  <c r="P664" i="5"/>
  <c r="P652" i="5"/>
  <c r="P640" i="5"/>
  <c r="P628" i="5"/>
  <c r="P616" i="5"/>
  <c r="P604" i="5"/>
  <c r="P592" i="5"/>
  <c r="P580" i="5"/>
  <c r="P568" i="5"/>
  <c r="P556" i="5"/>
  <c r="P544" i="5"/>
  <c r="P532" i="5"/>
  <c r="P520" i="5"/>
  <c r="P508" i="5"/>
  <c r="P496" i="5"/>
  <c r="P484" i="5"/>
  <c r="P472" i="5"/>
  <c r="P460" i="5"/>
  <c r="P448" i="5"/>
  <c r="P436" i="5"/>
  <c r="P424" i="5"/>
  <c r="P412" i="5"/>
  <c r="P400" i="5"/>
  <c r="P388" i="5"/>
  <c r="P376" i="5"/>
  <c r="P364" i="5"/>
  <c r="P352" i="5"/>
  <c r="P340" i="5"/>
  <c r="P328" i="5"/>
  <c r="P316" i="5"/>
  <c r="P304" i="5"/>
  <c r="P292" i="5"/>
  <c r="P280" i="5"/>
  <c r="P268" i="5"/>
  <c r="P256" i="5"/>
  <c r="P244" i="5"/>
  <c r="P232" i="5"/>
  <c r="P220" i="5"/>
  <c r="P208" i="5"/>
  <c r="P196" i="5"/>
  <c r="P184" i="5"/>
  <c r="P172" i="5"/>
  <c r="P160" i="5"/>
  <c r="P148" i="5"/>
  <c r="P136" i="5"/>
  <c r="P124" i="5"/>
  <c r="P112" i="5"/>
  <c r="P100" i="5"/>
  <c r="P88" i="5"/>
  <c r="P76" i="5"/>
  <c r="P64" i="5"/>
  <c r="P52" i="5"/>
  <c r="P40" i="5"/>
  <c r="P28" i="5"/>
  <c r="P16" i="5"/>
  <c r="P1002" i="5"/>
  <c r="P985" i="5"/>
  <c r="P969" i="5"/>
  <c r="P954" i="5"/>
  <c r="P938" i="5"/>
  <c r="P923" i="5"/>
  <c r="P909" i="5"/>
  <c r="P896" i="5"/>
  <c r="P883" i="5"/>
  <c r="P869" i="5"/>
  <c r="P856" i="5"/>
  <c r="P843" i="5"/>
  <c r="P830" i="5"/>
  <c r="P817" i="5"/>
  <c r="P804" i="5"/>
  <c r="P791" i="5"/>
  <c r="P778" i="5"/>
  <c r="P765" i="5"/>
  <c r="P752" i="5"/>
  <c r="P739" i="5"/>
  <c r="P725" i="5"/>
  <c r="P712" i="5"/>
  <c r="P699" i="5"/>
  <c r="P687" i="5"/>
  <c r="P675" i="5"/>
  <c r="P663" i="5"/>
  <c r="P651" i="5"/>
  <c r="P639" i="5"/>
  <c r="P627" i="5"/>
  <c r="P615" i="5"/>
  <c r="P603" i="5"/>
  <c r="P591" i="5"/>
  <c r="P579" i="5"/>
  <c r="P567" i="5"/>
  <c r="P555" i="5"/>
  <c r="P543" i="5"/>
  <c r="P531" i="5"/>
  <c r="P519" i="5"/>
  <c r="P507" i="5"/>
  <c r="P495" i="5"/>
  <c r="P483" i="5"/>
  <c r="P471" i="5"/>
  <c r="P459" i="5"/>
  <c r="P447" i="5"/>
  <c r="P435" i="5"/>
  <c r="P423" i="5"/>
  <c r="P411" i="5"/>
  <c r="P399" i="5"/>
  <c r="P387" i="5"/>
  <c r="P375" i="5"/>
  <c r="P363" i="5"/>
  <c r="P351" i="5"/>
  <c r="P339" i="5"/>
  <c r="P327" i="5"/>
  <c r="P315" i="5"/>
  <c r="P303" i="5"/>
  <c r="P291" i="5"/>
  <c r="P279" i="5"/>
  <c r="P267" i="5"/>
  <c r="P255" i="5"/>
  <c r="P243" i="5"/>
  <c r="P231" i="5"/>
  <c r="P219" i="5"/>
  <c r="P207" i="5"/>
  <c r="P195" i="5"/>
  <c r="P183" i="5"/>
  <c r="P171" i="5"/>
  <c r="P159" i="5"/>
  <c r="P147" i="5"/>
  <c r="P135" i="5"/>
  <c r="P123" i="5"/>
  <c r="P111" i="5"/>
  <c r="P99" i="5"/>
  <c r="P87" i="5"/>
  <c r="P75" i="5"/>
  <c r="P63" i="5"/>
  <c r="P51" i="5"/>
  <c r="P39" i="5"/>
  <c r="P27" i="5"/>
  <c r="P15" i="5"/>
  <c r="P992" i="5"/>
  <c r="P977" i="5"/>
  <c r="P960" i="5"/>
  <c r="P944" i="5"/>
  <c r="P929" i="5"/>
  <c r="P914" i="5"/>
  <c r="P901" i="5"/>
  <c r="P888" i="5"/>
  <c r="P875" i="5"/>
  <c r="P862" i="5"/>
  <c r="P849" i="5"/>
  <c r="P836" i="5"/>
  <c r="P823" i="5"/>
  <c r="P809" i="5"/>
  <c r="P796" i="5"/>
  <c r="P783" i="5"/>
  <c r="P770" i="5"/>
  <c r="P757" i="5"/>
  <c r="P744" i="5"/>
  <c r="P731" i="5"/>
  <c r="P718" i="5"/>
  <c r="P705" i="5"/>
  <c r="P692" i="5"/>
  <c r="P680" i="5"/>
  <c r="P668" i="5"/>
  <c r="P656" i="5"/>
  <c r="P644" i="5"/>
  <c r="P632" i="5"/>
  <c r="P620" i="5"/>
  <c r="P608" i="5"/>
  <c r="P596" i="5"/>
  <c r="P584" i="5"/>
  <c r="P572" i="5"/>
  <c r="P560" i="5"/>
  <c r="P548" i="5"/>
  <c r="P23" i="5"/>
  <c r="P37" i="5"/>
  <c r="P53" i="5"/>
  <c r="P67" i="5"/>
  <c r="P81" i="5"/>
  <c r="P95" i="5"/>
  <c r="P109" i="5"/>
  <c r="P125" i="5"/>
  <c r="P139" i="5"/>
  <c r="P153" i="5"/>
  <c r="P167" i="5"/>
  <c r="P181" i="5"/>
  <c r="P197" i="5"/>
  <c r="P211" i="5"/>
  <c r="P225" i="5"/>
  <c r="P239" i="5"/>
  <c r="P253" i="5"/>
  <c r="P269" i="5"/>
  <c r="P283" i="5"/>
  <c r="P297" i="5"/>
  <c r="P311" i="5"/>
  <c r="P325" i="5"/>
  <c r="P341" i="5"/>
  <c r="P355" i="5"/>
  <c r="P369" i="5"/>
  <c r="P383" i="5"/>
  <c r="P397" i="5"/>
  <c r="P413" i="5"/>
  <c r="P427" i="5"/>
  <c r="P441" i="5"/>
  <c r="P455" i="5"/>
  <c r="P469" i="5"/>
  <c r="P485" i="5"/>
  <c r="P499" i="5"/>
  <c r="P513" i="5"/>
  <c r="P527" i="5"/>
  <c r="P541" i="5"/>
  <c r="P558" i="5"/>
  <c r="P574" i="5"/>
  <c r="P589" i="5"/>
  <c r="P606" i="5"/>
  <c r="P622" i="5"/>
  <c r="P637" i="5"/>
  <c r="P654" i="5"/>
  <c r="P670" i="5"/>
  <c r="P685" i="5"/>
  <c r="P703" i="5"/>
  <c r="P720" i="5"/>
  <c r="P736" i="5"/>
  <c r="P755" i="5"/>
  <c r="P772" i="5"/>
  <c r="P789" i="5"/>
  <c r="P807" i="5"/>
  <c r="P825" i="5"/>
  <c r="P841" i="5"/>
  <c r="P860" i="5"/>
  <c r="P877" i="5"/>
  <c r="P893" i="5"/>
  <c r="P912" i="5"/>
  <c r="P931" i="5"/>
  <c r="P951" i="5"/>
  <c r="P973" i="5"/>
  <c r="P995" i="5"/>
  <c r="P10" i="5"/>
  <c r="P24" i="5"/>
  <c r="P38" i="5"/>
  <c r="P54" i="5"/>
  <c r="P68" i="5"/>
  <c r="P82" i="5"/>
  <c r="P96" i="5"/>
  <c r="P110" i="5"/>
  <c r="P126" i="5"/>
  <c r="P140" i="5"/>
  <c r="P154" i="5"/>
  <c r="P168" i="5"/>
  <c r="P182" i="5"/>
  <c r="P198" i="5"/>
  <c r="P212" i="5"/>
  <c r="P226" i="5"/>
  <c r="P240" i="5"/>
  <c r="P254" i="5"/>
  <c r="P270" i="5"/>
  <c r="P284" i="5"/>
  <c r="P298" i="5"/>
  <c r="P312" i="5"/>
  <c r="P326" i="5"/>
  <c r="P342" i="5"/>
  <c r="P356" i="5"/>
  <c r="P370" i="5"/>
  <c r="P384" i="5"/>
  <c r="P398" i="5"/>
  <c r="P414" i="5"/>
  <c r="P428" i="5"/>
  <c r="P442" i="5"/>
  <c r="P456" i="5"/>
  <c r="P470" i="5"/>
  <c r="P486" i="5"/>
  <c r="P500" i="5"/>
  <c r="P514" i="5"/>
  <c r="P528" i="5"/>
  <c r="P542" i="5"/>
  <c r="P559" i="5"/>
  <c r="P575" i="5"/>
  <c r="P590" i="5"/>
  <c r="P607" i="5"/>
  <c r="P623" i="5"/>
  <c r="P638" i="5"/>
  <c r="P655" i="5"/>
  <c r="P671" i="5"/>
  <c r="P686" i="5"/>
  <c r="P704" i="5"/>
  <c r="P721" i="5"/>
  <c r="P737" i="5"/>
  <c r="P756" i="5"/>
  <c r="P773" i="5"/>
  <c r="P790" i="5"/>
  <c r="P808" i="5"/>
  <c r="P826" i="5"/>
  <c r="P842" i="5"/>
  <c r="P861" i="5"/>
  <c r="P878" i="5"/>
  <c r="P895" i="5"/>
  <c r="P913" i="5"/>
  <c r="P933" i="5"/>
  <c r="P953" i="5"/>
  <c r="P974" i="5"/>
  <c r="P996" i="5"/>
  <c r="O980" i="5"/>
  <c r="O951" i="5"/>
  <c r="O915" i="5"/>
  <c r="O882" i="5"/>
  <c r="O845" i="5"/>
  <c r="O812" i="5"/>
  <c r="O776" i="5"/>
  <c r="O743" i="5"/>
  <c r="O707" i="5"/>
  <c r="O675" i="5"/>
  <c r="O639" i="5"/>
  <c r="O605" i="5"/>
  <c r="O567" i="5"/>
  <c r="O531" i="5"/>
  <c r="O491" i="5"/>
  <c r="O455" i="5"/>
  <c r="O415" i="5"/>
  <c r="O379" i="5"/>
  <c r="O340" i="5"/>
  <c r="O303" i="5"/>
  <c r="O258" i="5"/>
  <c r="O208" i="5"/>
  <c r="O150" i="5"/>
  <c r="O95" i="5"/>
  <c r="O43" i="5"/>
  <c r="O979" i="5"/>
  <c r="O949" i="5"/>
  <c r="O913" i="5"/>
  <c r="O880" i="5"/>
  <c r="O844" i="5"/>
  <c r="O811" i="5"/>
  <c r="O775" i="5"/>
  <c r="O741" i="5"/>
  <c r="O705" i="5"/>
  <c r="O672" i="5"/>
  <c r="O637" i="5"/>
  <c r="O604" i="5"/>
  <c r="O565" i="5"/>
  <c r="O528" i="5"/>
  <c r="O489" i="5"/>
  <c r="O452" i="5"/>
  <c r="O413" i="5"/>
  <c r="O378" i="5"/>
  <c r="O339" i="5"/>
  <c r="O301" i="5"/>
  <c r="O257" i="5"/>
  <c r="O207" i="5"/>
  <c r="O148" i="5"/>
  <c r="O93" i="5"/>
  <c r="O995" i="5"/>
  <c r="O975" i="5"/>
  <c r="O952" i="5"/>
  <c r="O930" i="5"/>
  <c r="O908" i="5"/>
  <c r="O883" i="5"/>
  <c r="O861" i="5"/>
  <c r="O840" i="5"/>
  <c r="O813" i="5"/>
  <c r="O792" i="5"/>
  <c r="O771" i="5"/>
  <c r="O744" i="5"/>
  <c r="O724" i="5"/>
  <c r="O701" i="5"/>
  <c r="O676" i="5"/>
  <c r="O654" i="5"/>
  <c r="O632" i="5"/>
  <c r="O606" i="5"/>
  <c r="O583" i="5"/>
  <c r="O560" i="5"/>
  <c r="O532" i="5"/>
  <c r="O509" i="5"/>
  <c r="O484" i="5"/>
  <c r="O456" i="5"/>
  <c r="O432" i="5"/>
  <c r="O409" i="5"/>
  <c r="O380" i="5"/>
  <c r="O357" i="5"/>
  <c r="O335" i="5"/>
  <c r="O304" i="5"/>
  <c r="O277" i="5"/>
  <c r="O252" i="5"/>
  <c r="O209" i="5"/>
  <c r="O179" i="5"/>
  <c r="O143" i="5"/>
  <c r="O101" i="5"/>
  <c r="O66" i="5"/>
  <c r="O30" i="5"/>
  <c r="O19" i="5"/>
  <c r="O39" i="5"/>
  <c r="O59" i="5"/>
  <c r="O78" i="5"/>
  <c r="O96" i="5"/>
  <c r="O116" i="5"/>
  <c r="O136" i="5"/>
  <c r="O153" i="5"/>
  <c r="O174" i="5"/>
  <c r="O193" i="5"/>
  <c r="O211" i="5"/>
  <c r="O232" i="5"/>
  <c r="O249" i="5"/>
  <c r="O20" i="5"/>
  <c r="O42" i="5"/>
  <c r="O61" i="5"/>
  <c r="O79" i="5"/>
  <c r="O100" i="5"/>
  <c r="O119" i="5"/>
  <c r="O137" i="5"/>
  <c r="O157" i="5"/>
  <c r="O176" i="5"/>
  <c r="O195" i="5"/>
  <c r="O215" i="5"/>
  <c r="O234" i="5"/>
  <c r="O251" i="5"/>
  <c r="O33" i="5"/>
  <c r="O56" i="5"/>
  <c r="O80" i="5"/>
  <c r="O104" i="5"/>
  <c r="O125" i="5"/>
  <c r="O149" i="5"/>
  <c r="O172" i="5"/>
  <c r="O196" i="5"/>
  <c r="O220" i="5"/>
  <c r="O240" i="5"/>
  <c r="O260" i="5"/>
  <c r="O279" i="5"/>
  <c r="O295" i="5"/>
  <c r="O312" i="5"/>
  <c r="O12" i="5"/>
  <c r="O36" i="5"/>
  <c r="O63" i="5"/>
  <c r="O85" i="5"/>
  <c r="O107" i="5"/>
  <c r="O129" i="5"/>
  <c r="O151" i="5"/>
  <c r="O177" i="5"/>
  <c r="O200" i="5"/>
  <c r="O222" i="5"/>
  <c r="O244" i="5"/>
  <c r="O264" i="5"/>
  <c r="O281" i="5"/>
  <c r="O297" i="5"/>
  <c r="O316" i="5"/>
  <c r="O332" i="5"/>
  <c r="O351" i="5"/>
  <c r="O367" i="5"/>
  <c r="O384" i="5"/>
  <c r="O402" i="5"/>
  <c r="O419" i="5"/>
  <c r="O437" i="5"/>
  <c r="O453" i="5"/>
  <c r="O471" i="5"/>
  <c r="O488" i="5"/>
  <c r="O505" i="5"/>
  <c r="O523" i="5"/>
  <c r="O540" i="5"/>
  <c r="O557" i="5"/>
  <c r="O575" i="5"/>
  <c r="O592" i="5"/>
  <c r="O18" i="5"/>
  <c r="O48" i="5"/>
  <c r="O73" i="5"/>
  <c r="O102" i="5"/>
  <c r="O131" i="5"/>
  <c r="O160" i="5"/>
  <c r="O186" i="5"/>
  <c r="O210" i="5"/>
  <c r="O239" i="5"/>
  <c r="O265" i="5"/>
  <c r="O285" i="5"/>
  <c r="O306" i="5"/>
  <c r="O325" i="5"/>
  <c r="O344" i="5"/>
  <c r="O364" i="5"/>
  <c r="O381" i="5"/>
  <c r="O401" i="5"/>
  <c r="O421" i="5"/>
  <c r="O439" i="5"/>
  <c r="O459" i="5"/>
  <c r="O476" i="5"/>
  <c r="O496" i="5"/>
  <c r="O513" i="5"/>
  <c r="O533" i="5"/>
  <c r="O552" i="5"/>
  <c r="O570" i="5"/>
  <c r="O589" i="5"/>
  <c r="O608" i="5"/>
  <c r="O625" i="5"/>
  <c r="O642" i="5"/>
  <c r="O660" i="5"/>
  <c r="O677" i="5"/>
  <c r="O695" i="5"/>
  <c r="O712" i="5"/>
  <c r="O728" i="5"/>
  <c r="O747" i="5"/>
  <c r="O763" i="5"/>
  <c r="O781" i="5"/>
  <c r="O798" i="5"/>
  <c r="O815" i="5"/>
  <c r="O833" i="5"/>
  <c r="O849" i="5"/>
  <c r="O868" i="5"/>
  <c r="O884" i="5"/>
  <c r="O901" i="5"/>
  <c r="O919" i="5"/>
  <c r="O936" i="5"/>
  <c r="O954" i="5"/>
  <c r="O971" i="5"/>
  <c r="O988" i="5"/>
  <c r="O1005" i="5"/>
  <c r="O21" i="5"/>
  <c r="O49" i="5"/>
  <c r="O76" i="5"/>
  <c r="O105" i="5"/>
  <c r="O133" i="5"/>
  <c r="O162" i="5"/>
  <c r="O187" i="5"/>
  <c r="O216" i="5"/>
  <c r="O243" i="5"/>
  <c r="O267" i="5"/>
  <c r="O287" i="5"/>
  <c r="O307" i="5"/>
  <c r="O327" i="5"/>
  <c r="O345" i="5"/>
  <c r="O365" i="5"/>
  <c r="O383" i="5"/>
  <c r="O403" i="5"/>
  <c r="O423" i="5"/>
  <c r="O440" i="5"/>
  <c r="O460" i="5"/>
  <c r="O479" i="5"/>
  <c r="O497" i="5"/>
  <c r="O516" i="5"/>
  <c r="O534" i="5"/>
  <c r="O553" i="5"/>
  <c r="O571" i="5"/>
  <c r="O591" i="5"/>
  <c r="O609" i="5"/>
  <c r="O627" i="5"/>
  <c r="O643" i="5"/>
  <c r="O661" i="5"/>
  <c r="O678" i="5"/>
  <c r="O696" i="5"/>
  <c r="O713" i="5"/>
  <c r="O729" i="5"/>
  <c r="O748" i="5"/>
  <c r="O764" i="5"/>
  <c r="O783" i="5"/>
  <c r="O799" i="5"/>
  <c r="O816" i="5"/>
  <c r="O834" i="5"/>
  <c r="O851" i="5"/>
  <c r="O869" i="5"/>
  <c r="O885" i="5"/>
  <c r="O903" i="5"/>
  <c r="O920" i="5"/>
  <c r="O937" i="5"/>
  <c r="O955" i="5"/>
  <c r="O972" i="5"/>
  <c r="O989" i="5"/>
  <c r="O1007" i="5"/>
  <c r="O28" i="5"/>
  <c r="O53" i="5"/>
  <c r="O87" i="5"/>
  <c r="O111" i="5"/>
  <c r="O139" i="5"/>
  <c r="O165" i="5"/>
  <c r="O192" i="5"/>
  <c r="O223" i="5"/>
  <c r="O248" i="5"/>
  <c r="O271" i="5"/>
  <c r="O292" i="5"/>
  <c r="O311" i="5"/>
  <c r="O331" i="5"/>
  <c r="O352" i="5"/>
  <c r="O369" i="5"/>
  <c r="O389" i="5"/>
  <c r="O408" i="5"/>
  <c r="O426" i="5"/>
  <c r="O445" i="5"/>
  <c r="O464" i="5"/>
  <c r="O483" i="5"/>
  <c r="O501" i="5"/>
  <c r="O520" i="5"/>
  <c r="O539" i="5"/>
  <c r="O559" i="5"/>
  <c r="O577" i="5"/>
  <c r="O596" i="5"/>
  <c r="O613" i="5"/>
  <c r="O631" i="5"/>
  <c r="O648" i="5"/>
  <c r="O666" i="5"/>
  <c r="O683" i="5"/>
  <c r="O700" i="5"/>
  <c r="O717" i="5"/>
  <c r="O735" i="5"/>
  <c r="O752" i="5"/>
  <c r="O769" i="5"/>
  <c r="O786" i="5"/>
  <c r="O804" i="5"/>
  <c r="O821" i="5"/>
  <c r="O839" i="5"/>
  <c r="O856" i="5"/>
  <c r="O872" i="5"/>
  <c r="O891" i="5"/>
  <c r="O907" i="5"/>
  <c r="O925" i="5"/>
  <c r="O942" i="5"/>
  <c r="O991" i="5"/>
  <c r="O968" i="5"/>
  <c r="O948" i="5"/>
  <c r="O927" i="5"/>
  <c r="O900" i="5"/>
  <c r="O879" i="5"/>
  <c r="O857" i="5"/>
  <c r="O831" i="5"/>
  <c r="O810" i="5"/>
  <c r="O787" i="5"/>
  <c r="O762" i="5"/>
  <c r="O740" i="5"/>
  <c r="O719" i="5"/>
  <c r="O692" i="5"/>
  <c r="O671" i="5"/>
  <c r="O649" i="5"/>
  <c r="O624" i="5"/>
  <c r="O603" i="5"/>
  <c r="O580" i="5"/>
  <c r="O551" i="5"/>
  <c r="O527" i="5"/>
  <c r="O503" i="5"/>
  <c r="O475" i="5"/>
  <c r="O451" i="5"/>
  <c r="O427" i="5"/>
  <c r="O399" i="5"/>
  <c r="O376" i="5"/>
  <c r="O353" i="5"/>
  <c r="O324" i="5"/>
  <c r="O300" i="5"/>
  <c r="O272" i="5"/>
  <c r="O237" i="5"/>
  <c r="O205" i="5"/>
  <c r="O167" i="5"/>
  <c r="O128" i="5"/>
  <c r="O92" i="5"/>
  <c r="O57" i="5"/>
  <c r="O16" i="5"/>
  <c r="O1009" i="5"/>
  <c r="O987" i="5"/>
  <c r="O966" i="5"/>
  <c r="O945" i="5"/>
  <c r="O923" i="5"/>
  <c r="O899" i="5"/>
  <c r="O877" i="5"/>
  <c r="O855" i="5"/>
  <c r="O829" i="5"/>
  <c r="O808" i="5"/>
  <c r="O785" i="5"/>
  <c r="O761" i="5"/>
  <c r="O739" i="5"/>
  <c r="O715" i="5"/>
  <c r="O691" i="5"/>
  <c r="O669" i="5"/>
  <c r="O647" i="5"/>
  <c r="O623" i="5"/>
  <c r="O600" i="5"/>
  <c r="O576" i="5"/>
  <c r="O548" i="5"/>
  <c r="O525" i="5"/>
  <c r="O499" i="5"/>
  <c r="O474" i="5"/>
  <c r="O450" i="5"/>
  <c r="O425" i="5"/>
  <c r="O397" i="5"/>
  <c r="O375" i="5"/>
  <c r="O349" i="5"/>
  <c r="O323" i="5"/>
  <c r="O296" i="5"/>
  <c r="O269" i="5"/>
  <c r="O236" i="5"/>
  <c r="O203" i="5"/>
  <c r="O164" i="5"/>
  <c r="O124" i="5"/>
  <c r="O91" i="5"/>
  <c r="O52" i="5"/>
  <c r="O13" i="5"/>
  <c r="O1008" i="5"/>
  <c r="O985" i="5"/>
  <c r="O965" i="5"/>
  <c r="O944" i="5"/>
  <c r="O921" i="5"/>
  <c r="O897" i="5"/>
  <c r="O876" i="5"/>
  <c r="O853" i="5"/>
  <c r="O828" i="5"/>
  <c r="O807" i="5"/>
  <c r="O784" i="5"/>
  <c r="O759" i="5"/>
  <c r="O738" i="5"/>
  <c r="O714" i="5"/>
  <c r="O690" i="5"/>
  <c r="O668" i="5"/>
  <c r="O645" i="5"/>
  <c r="O620" i="5"/>
  <c r="O599" i="5"/>
  <c r="O573" i="5"/>
  <c r="O547" i="5"/>
  <c r="O524" i="5"/>
  <c r="O498" i="5"/>
  <c r="O473" i="5"/>
  <c r="O448" i="5"/>
  <c r="O424" i="5"/>
  <c r="O396" i="5"/>
  <c r="O373" i="5"/>
  <c r="O347" i="5"/>
  <c r="O321" i="5"/>
  <c r="O294" i="5"/>
  <c r="O268" i="5"/>
  <c r="O235" i="5"/>
  <c r="O201" i="5"/>
  <c r="O163" i="5"/>
  <c r="O123" i="5"/>
  <c r="O90" i="5"/>
  <c r="O51" i="5"/>
  <c r="O22" i="5"/>
  <c r="O34" i="5"/>
  <c r="O46" i="5"/>
  <c r="O58" i="5"/>
  <c r="O70" i="5"/>
  <c r="O82" i="5"/>
  <c r="O94" i="5"/>
  <c r="O106" i="5"/>
  <c r="O118" i="5"/>
  <c r="O130" i="5"/>
  <c r="O142" i="5"/>
  <c r="O154" i="5"/>
  <c r="O166" i="5"/>
  <c r="O178" i="5"/>
  <c r="O190" i="5"/>
  <c r="O202" i="5"/>
  <c r="O214" i="5"/>
  <c r="O226" i="5"/>
  <c r="O238" i="5"/>
  <c r="O250" i="5"/>
  <c r="O262" i="5"/>
  <c r="O274" i="5"/>
  <c r="O286" i="5"/>
  <c r="O298" i="5"/>
  <c r="O310" i="5"/>
  <c r="O322" i="5"/>
  <c r="O334" i="5"/>
  <c r="O346" i="5"/>
  <c r="O358" i="5"/>
  <c r="O370" i="5"/>
  <c r="O382" i="5"/>
  <c r="O394" i="5"/>
  <c r="O406" i="5"/>
  <c r="O418" i="5"/>
  <c r="O430" i="5"/>
  <c r="O442" i="5"/>
  <c r="O454" i="5"/>
  <c r="O466" i="5"/>
  <c r="O478" i="5"/>
  <c r="O490" i="5"/>
  <c r="O502" i="5"/>
  <c r="O514" i="5"/>
  <c r="O526" i="5"/>
  <c r="O538" i="5"/>
  <c r="O550" i="5"/>
  <c r="O562" i="5"/>
  <c r="O574" i="5"/>
  <c r="O586" i="5"/>
  <c r="O598" i="5"/>
  <c r="O610" i="5"/>
  <c r="O622" i="5"/>
  <c r="O634" i="5"/>
  <c r="O646" i="5"/>
  <c r="O658" i="5"/>
  <c r="O670" i="5"/>
  <c r="O682" i="5"/>
  <c r="O694" i="5"/>
  <c r="O706" i="5"/>
  <c r="O718" i="5"/>
  <c r="O730" i="5"/>
  <c r="O742" i="5"/>
  <c r="O754" i="5"/>
  <c r="O766" i="5"/>
  <c r="O778" i="5"/>
  <c r="O790" i="5"/>
  <c r="O802" i="5"/>
  <c r="O814" i="5"/>
  <c r="O826" i="5"/>
  <c r="O838" i="5"/>
  <c r="O850" i="5"/>
  <c r="O862" i="5"/>
  <c r="O874" i="5"/>
  <c r="O886" i="5"/>
  <c r="O898" i="5"/>
  <c r="O910" i="5"/>
  <c r="O922" i="5"/>
  <c r="O934" i="5"/>
  <c r="O946" i="5"/>
  <c r="O958" i="5"/>
  <c r="O970" i="5"/>
  <c r="O982" i="5"/>
  <c r="O994" i="5"/>
  <c r="O1006" i="5"/>
  <c r="O14" i="5"/>
  <c r="O26" i="5"/>
  <c r="O38" i="5"/>
  <c r="O50" i="5"/>
  <c r="O62" i="5"/>
  <c r="O74" i="5"/>
  <c r="O86" i="5"/>
  <c r="O98" i="5"/>
  <c r="O110" i="5"/>
  <c r="O122" i="5"/>
  <c r="O134" i="5"/>
  <c r="O146" i="5"/>
  <c r="O158" i="5"/>
  <c r="O170" i="5"/>
  <c r="O182" i="5"/>
  <c r="O194" i="5"/>
  <c r="O206" i="5"/>
  <c r="O218" i="5"/>
  <c r="O230" i="5"/>
  <c r="O242" i="5"/>
  <c r="O254" i="5"/>
  <c r="O266" i="5"/>
  <c r="O278" i="5"/>
  <c r="O290" i="5"/>
  <c r="O302" i="5"/>
  <c r="O314" i="5"/>
  <c r="O326" i="5"/>
  <c r="O338" i="5"/>
  <c r="O350" i="5"/>
  <c r="O362" i="5"/>
  <c r="O374" i="5"/>
  <c r="O386" i="5"/>
  <c r="O398" i="5"/>
  <c r="O410" i="5"/>
  <c r="O422" i="5"/>
  <c r="O434" i="5"/>
  <c r="O446" i="5"/>
  <c r="O458" i="5"/>
  <c r="O470" i="5"/>
  <c r="O482" i="5"/>
  <c r="O494" i="5"/>
  <c r="O506" i="5"/>
  <c r="O518" i="5"/>
  <c r="O530" i="5"/>
  <c r="O542" i="5"/>
  <c r="O554" i="5"/>
  <c r="O566" i="5"/>
  <c r="O578" i="5"/>
  <c r="O590" i="5"/>
  <c r="O602" i="5"/>
  <c r="O614" i="5"/>
  <c r="O626" i="5"/>
  <c r="O638" i="5"/>
  <c r="O650" i="5"/>
  <c r="O662" i="5"/>
  <c r="O674" i="5"/>
  <c r="O686" i="5"/>
  <c r="O698" i="5"/>
  <c r="O710" i="5"/>
  <c r="O722" i="5"/>
  <c r="O734" i="5"/>
  <c r="O746" i="5"/>
  <c r="O758" i="5"/>
  <c r="O770" i="5"/>
  <c r="O782" i="5"/>
  <c r="O794" i="5"/>
  <c r="O806" i="5"/>
  <c r="O818" i="5"/>
  <c r="O830" i="5"/>
  <c r="O842" i="5"/>
  <c r="O854" i="5"/>
  <c r="O866" i="5"/>
  <c r="O878" i="5"/>
  <c r="O890" i="5"/>
  <c r="O902" i="5"/>
  <c r="O914" i="5"/>
  <c r="O926" i="5"/>
  <c r="O938" i="5"/>
  <c r="O950" i="5"/>
  <c r="O962" i="5"/>
  <c r="O974" i="5"/>
  <c r="O986" i="5"/>
  <c r="O998" i="5"/>
  <c r="O10" i="5"/>
  <c r="O15" i="5"/>
  <c r="O996" i="5"/>
  <c r="O981" i="5"/>
  <c r="O967" i="5"/>
  <c r="O953" i="5"/>
  <c r="O939" i="5"/>
  <c r="O924" i="5"/>
  <c r="O909" i="5"/>
  <c r="O895" i="5"/>
  <c r="O881" i="5"/>
  <c r="O867" i="5"/>
  <c r="O852" i="5"/>
  <c r="O837" i="5"/>
  <c r="O823" i="5"/>
  <c r="O809" i="5"/>
  <c r="O795" i="5"/>
  <c r="O780" i="5"/>
  <c r="O765" i="5"/>
  <c r="O751" i="5"/>
  <c r="O737" i="5"/>
  <c r="O723" i="5"/>
  <c r="O708" i="5"/>
  <c r="O693" i="5"/>
  <c r="O679" i="5"/>
  <c r="O665" i="5"/>
  <c r="O651" i="5"/>
  <c r="O636" i="5"/>
  <c r="O621" i="5"/>
  <c r="O607" i="5"/>
  <c r="O593" i="5"/>
  <c r="O579" i="5"/>
  <c r="O564" i="5"/>
  <c r="O549" i="5"/>
  <c r="O535" i="5"/>
  <c r="O521" i="5"/>
  <c r="O507" i="5"/>
  <c r="O492" i="5"/>
  <c r="O477" i="5"/>
  <c r="O463" i="5"/>
  <c r="O449" i="5"/>
  <c r="O435" i="5"/>
  <c r="O420" i="5"/>
  <c r="O405" i="5"/>
  <c r="O391" i="5"/>
  <c r="O377" i="5"/>
  <c r="O363" i="5"/>
  <c r="O348" i="5"/>
  <c r="O333" i="5"/>
  <c r="O319" i="5"/>
  <c r="O305" i="5"/>
  <c r="O291" i="5"/>
  <c r="O276" i="5"/>
  <c r="O261" i="5"/>
  <c r="O247" i="5"/>
  <c r="O233" i="5"/>
  <c r="O219" i="5"/>
  <c r="O204" i="5"/>
  <c r="O189" i="5"/>
  <c r="O175" i="5"/>
  <c r="O161" i="5"/>
  <c r="O147" i="5"/>
  <c r="O132" i="5"/>
  <c r="O117" i="5"/>
  <c r="O103" i="5"/>
  <c r="O89" i="5"/>
  <c r="O75" i="5"/>
  <c r="O60" i="5"/>
  <c r="O45" i="5"/>
  <c r="O31" i="5"/>
  <c r="O17" i="5"/>
  <c r="O228" i="5"/>
  <c r="O213" i="5"/>
  <c r="O199" i="5"/>
  <c r="O185" i="5"/>
  <c r="O171" i="5"/>
  <c r="O156" i="5"/>
  <c r="O141" i="5"/>
  <c r="O127" i="5"/>
  <c r="O113" i="5"/>
  <c r="O99" i="5"/>
  <c r="O84" i="5"/>
  <c r="O69" i="5"/>
  <c r="O55" i="5"/>
  <c r="O41" i="5"/>
  <c r="O27" i="5"/>
  <c r="O11" i="5"/>
  <c r="O1004" i="5"/>
  <c r="O990" i="5"/>
  <c r="O976" i="5"/>
  <c r="O961" i="5"/>
  <c r="O947" i="5"/>
  <c r="O932" i="5"/>
  <c r="O918" i="5"/>
  <c r="O904" i="5"/>
  <c r="O889" i="5"/>
  <c r="O875" i="5"/>
  <c r="O860" i="5"/>
  <c r="O846" i="5"/>
  <c r="O832" i="5"/>
  <c r="O817" i="5"/>
  <c r="O803" i="5"/>
  <c r="O788" i="5"/>
  <c r="O774" i="5"/>
  <c r="O760" i="5"/>
  <c r="O745" i="5"/>
  <c r="O731" i="5"/>
  <c r="O716" i="5"/>
  <c r="O702" i="5"/>
  <c r="O688" i="5"/>
  <c r="O673" i="5"/>
  <c r="O659" i="5"/>
  <c r="O644" i="5"/>
  <c r="O630" i="5"/>
  <c r="O616" i="5"/>
  <c r="O601" i="5"/>
  <c r="O587" i="5"/>
  <c r="O572" i="5"/>
  <c r="O558" i="5"/>
  <c r="O544" i="5"/>
  <c r="O529" i="5"/>
  <c r="O515" i="5"/>
  <c r="O500" i="5"/>
  <c r="O486" i="5"/>
  <c r="O472" i="5"/>
  <c r="O457" i="5"/>
  <c r="O443" i="5"/>
  <c r="O428" i="5"/>
  <c r="O414" i="5"/>
  <c r="O400" i="5"/>
  <c r="O385" i="5"/>
  <c r="O371" i="5"/>
  <c r="O356" i="5"/>
  <c r="O342" i="5"/>
  <c r="O328" i="5"/>
  <c r="O313" i="5"/>
  <c r="O299" i="5"/>
  <c r="O284" i="5"/>
  <c r="O270" i="5"/>
  <c r="O256" i="5"/>
  <c r="O241" i="5"/>
  <c r="O227" i="5"/>
  <c r="O212" i="5"/>
  <c r="O198" i="5"/>
  <c r="O184" i="5"/>
  <c r="O169" i="5"/>
  <c r="O155" i="5"/>
  <c r="O140" i="5"/>
  <c r="O126" i="5"/>
  <c r="O112" i="5"/>
  <c r="O97" i="5"/>
  <c r="O83" i="5"/>
  <c r="O68" i="5"/>
  <c r="O54" i="5"/>
  <c r="O40" i="5"/>
  <c r="O25" i="5"/>
  <c r="I3" i="4"/>
  <c r="E7" i="12" s="1"/>
  <c r="E5" i="4"/>
  <c r="C5" i="4"/>
  <c r="G2" i="3"/>
  <c r="B6" i="12" s="1"/>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6" i="3"/>
  <c r="S3" i="1"/>
  <c r="F7" i="3" s="1" a="1"/>
  <c r="F7" i="3" s="1"/>
  <c r="S4" i="1"/>
  <c r="F8" i="3" s="1" a="1"/>
  <c r="F8" i="3" s="1"/>
  <c r="S5" i="1"/>
  <c r="F9" i="3" s="1" a="1"/>
  <c r="F9" i="3" s="1"/>
  <c r="S6" i="1"/>
  <c r="F10" i="3" s="1" a="1"/>
  <c r="F10" i="3" s="1"/>
  <c r="S7" i="1"/>
  <c r="F11" i="3" s="1" a="1"/>
  <c r="F11" i="3" s="1"/>
  <c r="S8" i="1"/>
  <c r="F12" i="3" s="1" a="1"/>
  <c r="F12" i="3" s="1"/>
  <c r="S9" i="1"/>
  <c r="F13" i="3" s="1" a="1"/>
  <c r="F13" i="3" s="1"/>
  <c r="S10" i="1"/>
  <c r="F14" i="3" s="1" a="1"/>
  <c r="F14" i="3" s="1"/>
  <c r="S11" i="1"/>
  <c r="F15" i="3" s="1" a="1"/>
  <c r="F15" i="3" s="1"/>
  <c r="S12" i="1"/>
  <c r="F16" i="3" s="1" a="1"/>
  <c r="F16" i="3" s="1"/>
  <c r="S13" i="1"/>
  <c r="F17" i="3" s="1" a="1"/>
  <c r="F17" i="3" s="1"/>
  <c r="S14" i="1"/>
  <c r="F18" i="3" s="1" a="1"/>
  <c r="F18" i="3" s="1"/>
  <c r="S15" i="1"/>
  <c r="F19" i="3" s="1" a="1"/>
  <c r="F19" i="3" s="1"/>
  <c r="S16" i="1"/>
  <c r="F20" i="3" s="1" a="1"/>
  <c r="F20" i="3" s="1"/>
  <c r="S17" i="1"/>
  <c r="F21" i="3" s="1" a="1"/>
  <c r="F21" i="3" s="1"/>
  <c r="S18" i="1"/>
  <c r="F22" i="3" s="1" a="1"/>
  <c r="F22" i="3" s="1"/>
  <c r="S19" i="1"/>
  <c r="F23" i="3" s="1" a="1"/>
  <c r="F23" i="3" s="1"/>
  <c r="S20" i="1"/>
  <c r="F24" i="3" s="1" a="1"/>
  <c r="F24" i="3" s="1"/>
  <c r="S21" i="1"/>
  <c r="F25" i="3" s="1" a="1"/>
  <c r="F25" i="3" s="1"/>
  <c r="S22" i="1"/>
  <c r="F26" i="3" s="1" a="1"/>
  <c r="F26" i="3" s="1"/>
  <c r="S23" i="1"/>
  <c r="F27" i="3" s="1" a="1"/>
  <c r="F27" i="3" s="1"/>
  <c r="S24" i="1"/>
  <c r="F28" i="3" s="1" a="1"/>
  <c r="F28" i="3" s="1"/>
  <c r="S25" i="1"/>
  <c r="F29" i="3" s="1" a="1"/>
  <c r="F29" i="3" s="1"/>
  <c r="S26" i="1"/>
  <c r="F30" i="3" s="1" a="1"/>
  <c r="F30" i="3" s="1"/>
  <c r="S27" i="1"/>
  <c r="F31" i="3" s="1" a="1"/>
  <c r="F31" i="3" s="1"/>
  <c r="S28" i="1"/>
  <c r="F32" i="3" s="1" a="1"/>
  <c r="F32" i="3" s="1"/>
  <c r="S29" i="1"/>
  <c r="F33" i="3" s="1" a="1"/>
  <c r="F33" i="3" s="1"/>
  <c r="S30" i="1"/>
  <c r="F34" i="3" s="1" a="1"/>
  <c r="F34" i="3" s="1"/>
  <c r="S31" i="1"/>
  <c r="F35" i="3" s="1" a="1"/>
  <c r="F35" i="3" s="1"/>
  <c r="S32" i="1"/>
  <c r="F36" i="3" s="1" a="1"/>
  <c r="F36" i="3" s="1"/>
  <c r="S33" i="1"/>
  <c r="F37" i="3" s="1" a="1"/>
  <c r="F37" i="3" s="1"/>
  <c r="S34" i="1"/>
  <c r="F38" i="3" s="1" a="1"/>
  <c r="F38" i="3" s="1"/>
  <c r="S35" i="1"/>
  <c r="F39" i="3" s="1" a="1"/>
  <c r="F39" i="3" s="1"/>
  <c r="S36" i="1"/>
  <c r="F40" i="3" s="1" a="1"/>
  <c r="F40" i="3" s="1"/>
  <c r="S37" i="1"/>
  <c r="F41" i="3" s="1" a="1"/>
  <c r="F41" i="3" s="1"/>
  <c r="S38" i="1"/>
  <c r="F42" i="3" s="1" a="1"/>
  <c r="F42" i="3" s="1"/>
  <c r="S39" i="1"/>
  <c r="F43" i="3" s="1" a="1"/>
  <c r="F43" i="3" s="1"/>
  <c r="S40" i="1"/>
  <c r="F44" i="3" s="1" a="1"/>
  <c r="F44" i="3" s="1"/>
  <c r="S41" i="1"/>
  <c r="F45" i="3" s="1" a="1"/>
  <c r="F45" i="3" s="1"/>
  <c r="S42" i="1"/>
  <c r="F46" i="3" s="1" a="1"/>
  <c r="F46" i="3" s="1"/>
  <c r="S43" i="1"/>
  <c r="F47" i="3" s="1" a="1"/>
  <c r="F47" i="3" s="1"/>
  <c r="S44" i="1"/>
  <c r="F48" i="3" s="1" a="1"/>
  <c r="F48" i="3" s="1"/>
  <c r="S45" i="1"/>
  <c r="F49" i="3" s="1" a="1"/>
  <c r="F49" i="3" s="1"/>
  <c r="S46" i="1"/>
  <c r="F50" i="3" s="1" a="1"/>
  <c r="F50" i="3" s="1"/>
  <c r="S47" i="1"/>
  <c r="F51" i="3" s="1" a="1"/>
  <c r="F51" i="3" s="1"/>
  <c r="S48" i="1"/>
  <c r="F52" i="3" s="1" a="1"/>
  <c r="F52" i="3" s="1"/>
  <c r="S49" i="1"/>
  <c r="F53" i="3" s="1" a="1"/>
  <c r="F53" i="3" s="1"/>
  <c r="S50" i="1"/>
  <c r="F54" i="3" s="1" a="1"/>
  <c r="F54" i="3" s="1"/>
  <c r="S51" i="1"/>
  <c r="F55" i="3" s="1" a="1"/>
  <c r="F55" i="3" s="1"/>
  <c r="S52" i="1"/>
  <c r="F56" i="3" s="1" a="1"/>
  <c r="F56" i="3" s="1"/>
  <c r="S53" i="1"/>
  <c r="F57" i="3" s="1" a="1"/>
  <c r="F57" i="3" s="1"/>
  <c r="S54" i="1"/>
  <c r="F58" i="3" s="1" a="1"/>
  <c r="F58" i="3" s="1"/>
  <c r="S55" i="1"/>
  <c r="F59" i="3" s="1" a="1"/>
  <c r="F59" i="3" s="1"/>
  <c r="S56" i="1"/>
  <c r="F60" i="3" s="1" a="1"/>
  <c r="F60" i="3" s="1"/>
  <c r="S57" i="1"/>
  <c r="F61" i="3" s="1" a="1"/>
  <c r="F61" i="3" s="1"/>
  <c r="S58" i="1"/>
  <c r="F62" i="3" s="1" a="1"/>
  <c r="F62" i="3" s="1"/>
  <c r="S59" i="1"/>
  <c r="F63" i="3" s="1" a="1"/>
  <c r="F63" i="3" s="1"/>
  <c r="S60" i="1"/>
  <c r="F64" i="3" s="1" a="1"/>
  <c r="F64" i="3" s="1"/>
  <c r="S61" i="1"/>
  <c r="F65" i="3" s="1" a="1"/>
  <c r="F65" i="3" s="1"/>
  <c r="S62" i="1"/>
  <c r="F66" i="3" s="1" a="1"/>
  <c r="F66" i="3" s="1"/>
  <c r="S63" i="1"/>
  <c r="F67" i="3" s="1" a="1"/>
  <c r="F67" i="3" s="1"/>
  <c r="S64" i="1"/>
  <c r="F68" i="3" s="1" a="1"/>
  <c r="F68" i="3" s="1"/>
  <c r="S65" i="1"/>
  <c r="F69" i="3" s="1" a="1"/>
  <c r="F69" i="3" s="1"/>
  <c r="S66" i="1"/>
  <c r="F70" i="3" s="1" a="1"/>
  <c r="F70" i="3" s="1"/>
  <c r="S67" i="1"/>
  <c r="F71" i="3" s="1" a="1"/>
  <c r="F71" i="3" s="1"/>
  <c r="S68" i="1"/>
  <c r="F72" i="3" s="1" a="1"/>
  <c r="F72" i="3" s="1"/>
  <c r="S69" i="1"/>
  <c r="F73" i="3" s="1" a="1"/>
  <c r="F73" i="3" s="1"/>
  <c r="S70" i="1"/>
  <c r="F74" i="3" s="1" a="1"/>
  <c r="F74" i="3" s="1"/>
  <c r="S71" i="1"/>
  <c r="F75" i="3" s="1" a="1"/>
  <c r="F75" i="3" s="1"/>
  <c r="S72" i="1"/>
  <c r="F76" i="3" s="1" a="1"/>
  <c r="F76" i="3" s="1"/>
  <c r="S73" i="1"/>
  <c r="F77" i="3" s="1" a="1"/>
  <c r="F77" i="3" s="1"/>
  <c r="S74" i="1"/>
  <c r="F78" i="3" s="1" a="1"/>
  <c r="F78" i="3" s="1"/>
  <c r="S75" i="1"/>
  <c r="F79" i="3" s="1" a="1"/>
  <c r="F79" i="3" s="1"/>
  <c r="S76" i="1"/>
  <c r="F80" i="3" s="1" a="1"/>
  <c r="F80" i="3" s="1"/>
  <c r="S77" i="1"/>
  <c r="F81" i="3" s="1" a="1"/>
  <c r="F81" i="3" s="1"/>
  <c r="S78" i="1"/>
  <c r="F82" i="3" s="1" a="1"/>
  <c r="F82" i="3" s="1"/>
  <c r="S79" i="1"/>
  <c r="F83" i="3" s="1" a="1"/>
  <c r="F83" i="3" s="1"/>
  <c r="S80" i="1"/>
  <c r="F84" i="3" s="1" a="1"/>
  <c r="F84" i="3" s="1"/>
  <c r="S81" i="1"/>
  <c r="F85" i="3" s="1" a="1"/>
  <c r="F85" i="3" s="1"/>
  <c r="S82" i="1"/>
  <c r="F86" i="3" s="1" a="1"/>
  <c r="F86" i="3" s="1"/>
  <c r="S83" i="1"/>
  <c r="F87" i="3" s="1" a="1"/>
  <c r="F87" i="3" s="1"/>
  <c r="S84" i="1"/>
  <c r="F88" i="3" s="1" a="1"/>
  <c r="F88" i="3" s="1"/>
  <c r="S85" i="1"/>
  <c r="F89" i="3" s="1" a="1"/>
  <c r="F89" i="3" s="1"/>
  <c r="S86" i="1"/>
  <c r="F90" i="3" s="1" a="1"/>
  <c r="F90" i="3" s="1"/>
  <c r="S87" i="1"/>
  <c r="F91" i="3" s="1" a="1"/>
  <c r="F91" i="3" s="1"/>
  <c r="S88" i="1"/>
  <c r="F92" i="3" s="1" a="1"/>
  <c r="F92" i="3" s="1"/>
  <c r="S89" i="1"/>
  <c r="F93" i="3" s="1" a="1"/>
  <c r="F93" i="3" s="1"/>
  <c r="S90" i="1"/>
  <c r="F94" i="3" s="1" a="1"/>
  <c r="F94" i="3" s="1"/>
  <c r="S91" i="1"/>
  <c r="F95" i="3" s="1" a="1"/>
  <c r="F95" i="3" s="1"/>
  <c r="S92" i="1"/>
  <c r="F96" i="3" s="1" a="1"/>
  <c r="F96" i="3" s="1"/>
  <c r="S93" i="1"/>
  <c r="F97" i="3" s="1" a="1"/>
  <c r="F97" i="3" s="1"/>
  <c r="S94" i="1"/>
  <c r="F98" i="3" s="1" a="1"/>
  <c r="F98" i="3" s="1"/>
  <c r="S95" i="1"/>
  <c r="F99" i="3" s="1" a="1"/>
  <c r="F99" i="3" s="1"/>
  <c r="S96" i="1"/>
  <c r="F100" i="3" s="1" a="1"/>
  <c r="F100" i="3" s="1"/>
  <c r="S97" i="1"/>
  <c r="F101" i="3" s="1" a="1"/>
  <c r="F101" i="3" s="1"/>
  <c r="S98" i="1"/>
  <c r="F102" i="3" s="1" a="1"/>
  <c r="F102" i="3" s="1"/>
  <c r="S99" i="1"/>
  <c r="F103" i="3" s="1" a="1"/>
  <c r="F103" i="3" s="1"/>
  <c r="S100" i="1"/>
  <c r="F104" i="3" s="1" a="1"/>
  <c r="F104" i="3" s="1"/>
  <c r="S101" i="1"/>
  <c r="F105" i="3" s="1" a="1"/>
  <c r="F105" i="3" s="1"/>
  <c r="S102" i="1"/>
  <c r="F106" i="3" s="1" a="1"/>
  <c r="F106" i="3" s="1"/>
  <c r="S103" i="1"/>
  <c r="F107" i="3" s="1" a="1"/>
  <c r="F107" i="3" s="1"/>
  <c r="S104" i="1"/>
  <c r="F108" i="3" s="1" a="1"/>
  <c r="F108" i="3" s="1"/>
  <c r="S105" i="1"/>
  <c r="F109" i="3" s="1" a="1"/>
  <c r="F109" i="3" s="1"/>
  <c r="S106" i="1"/>
  <c r="F110" i="3" s="1" a="1"/>
  <c r="F110" i="3" s="1"/>
  <c r="S107" i="1"/>
  <c r="F111" i="3" s="1" a="1"/>
  <c r="F111" i="3" s="1"/>
  <c r="S108" i="1"/>
  <c r="F112" i="3" s="1" a="1"/>
  <c r="F112" i="3" s="1"/>
  <c r="S109" i="1"/>
  <c r="F113" i="3" s="1" a="1"/>
  <c r="F113" i="3" s="1"/>
  <c r="S110" i="1"/>
  <c r="F114" i="3" s="1" a="1"/>
  <c r="F114" i="3" s="1"/>
  <c r="S111" i="1"/>
  <c r="F115" i="3" s="1" a="1"/>
  <c r="F115" i="3" s="1"/>
  <c r="S112" i="1"/>
  <c r="F116" i="3" s="1" a="1"/>
  <c r="F116" i="3" s="1"/>
  <c r="S113" i="1"/>
  <c r="F117" i="3" s="1" a="1"/>
  <c r="F117" i="3" s="1"/>
  <c r="S114" i="1"/>
  <c r="F118" i="3" s="1" a="1"/>
  <c r="F118" i="3" s="1"/>
  <c r="S115" i="1"/>
  <c r="F119" i="3" s="1" a="1"/>
  <c r="F119" i="3" s="1"/>
  <c r="S116" i="1"/>
  <c r="F120" i="3" s="1" a="1"/>
  <c r="F120" i="3" s="1"/>
  <c r="S117" i="1"/>
  <c r="F121" i="3" s="1" a="1"/>
  <c r="F121" i="3" s="1"/>
  <c r="S118" i="1"/>
  <c r="F122" i="3" s="1" a="1"/>
  <c r="F122" i="3" s="1"/>
  <c r="S119" i="1"/>
  <c r="F123" i="3" s="1" a="1"/>
  <c r="F123" i="3" s="1"/>
  <c r="S120" i="1"/>
  <c r="F124" i="3" s="1" a="1"/>
  <c r="F124" i="3" s="1"/>
  <c r="S121" i="1"/>
  <c r="F125" i="3" s="1" a="1"/>
  <c r="F125" i="3" s="1"/>
  <c r="S122" i="1"/>
  <c r="F126" i="3" s="1" a="1"/>
  <c r="F126" i="3" s="1"/>
  <c r="S123" i="1"/>
  <c r="F127" i="3" s="1" a="1"/>
  <c r="F127" i="3" s="1"/>
  <c r="S124" i="1"/>
  <c r="F128" i="3" s="1" a="1"/>
  <c r="F128" i="3" s="1"/>
  <c r="S125" i="1"/>
  <c r="F129" i="3" s="1" a="1"/>
  <c r="F129" i="3" s="1"/>
  <c r="S126" i="1"/>
  <c r="F130" i="3" s="1" a="1"/>
  <c r="F130" i="3" s="1"/>
  <c r="S127" i="1"/>
  <c r="F131" i="3" s="1" a="1"/>
  <c r="F131" i="3" s="1"/>
  <c r="S128" i="1"/>
  <c r="F132" i="3" s="1" a="1"/>
  <c r="F132" i="3" s="1"/>
  <c r="S129" i="1"/>
  <c r="F133" i="3" s="1" a="1"/>
  <c r="F133" i="3" s="1"/>
  <c r="S130" i="1"/>
  <c r="F134" i="3" s="1" a="1"/>
  <c r="F134" i="3" s="1"/>
  <c r="S131" i="1"/>
  <c r="F135" i="3" s="1" a="1"/>
  <c r="F135" i="3" s="1"/>
  <c r="S132" i="1"/>
  <c r="F136" i="3" s="1" a="1"/>
  <c r="F136" i="3" s="1"/>
  <c r="S133" i="1"/>
  <c r="F137" i="3" s="1" a="1"/>
  <c r="F137" i="3" s="1"/>
  <c r="S134" i="1"/>
  <c r="F138" i="3" s="1" a="1"/>
  <c r="F138" i="3" s="1"/>
  <c r="S135" i="1"/>
  <c r="F139" i="3" s="1" a="1"/>
  <c r="F139" i="3" s="1"/>
  <c r="S136" i="1"/>
  <c r="F140" i="3" s="1" a="1"/>
  <c r="F140" i="3" s="1"/>
  <c r="S137" i="1"/>
  <c r="F141" i="3" s="1" a="1"/>
  <c r="F141" i="3" s="1"/>
  <c r="S138" i="1"/>
  <c r="F142" i="3" s="1" a="1"/>
  <c r="F142" i="3" s="1"/>
  <c r="S139" i="1"/>
  <c r="F143" i="3" s="1" a="1"/>
  <c r="F143" i="3" s="1"/>
  <c r="S140" i="1"/>
  <c r="F144" i="3" s="1" a="1"/>
  <c r="F144" i="3" s="1"/>
  <c r="S141" i="1"/>
  <c r="F145" i="3" s="1" a="1"/>
  <c r="F145" i="3" s="1"/>
  <c r="S142" i="1"/>
  <c r="F146" i="3" s="1" a="1"/>
  <c r="F146" i="3" s="1"/>
  <c r="S143" i="1"/>
  <c r="F147" i="3" s="1" a="1"/>
  <c r="F147" i="3" s="1"/>
  <c r="S144" i="1"/>
  <c r="F148" i="3" s="1" a="1"/>
  <c r="F148" i="3" s="1"/>
  <c r="S145" i="1"/>
  <c r="F149" i="3" s="1" a="1"/>
  <c r="F149" i="3" s="1"/>
  <c r="S146" i="1"/>
  <c r="F150" i="3" s="1" a="1"/>
  <c r="F150" i="3" s="1"/>
  <c r="S147" i="1"/>
  <c r="F151" i="3" s="1" a="1"/>
  <c r="F151" i="3" s="1"/>
  <c r="S148" i="1"/>
  <c r="F152" i="3" s="1" a="1"/>
  <c r="F152" i="3" s="1"/>
  <c r="S149" i="1"/>
  <c r="F153" i="3" s="1" a="1"/>
  <c r="F153" i="3" s="1"/>
  <c r="S150" i="1"/>
  <c r="F154" i="3" s="1" a="1"/>
  <c r="F154" i="3" s="1"/>
  <c r="S151" i="1"/>
  <c r="F155" i="3" s="1" a="1"/>
  <c r="F155" i="3" s="1"/>
  <c r="S152" i="1"/>
  <c r="F156" i="3" s="1" a="1"/>
  <c r="F156" i="3" s="1"/>
  <c r="S153" i="1"/>
  <c r="F157" i="3" s="1" a="1"/>
  <c r="F157" i="3" s="1"/>
  <c r="S154" i="1"/>
  <c r="F158" i="3" s="1" a="1"/>
  <c r="F158" i="3" s="1"/>
  <c r="S155" i="1"/>
  <c r="F159" i="3" s="1" a="1"/>
  <c r="F159" i="3" s="1"/>
  <c r="S156" i="1"/>
  <c r="F160" i="3" s="1" a="1"/>
  <c r="F160" i="3" s="1"/>
  <c r="S157" i="1"/>
  <c r="F161" i="3" s="1" a="1"/>
  <c r="F161" i="3" s="1"/>
  <c r="S158" i="1"/>
  <c r="F162" i="3" s="1" a="1"/>
  <c r="F162" i="3" s="1"/>
  <c r="S159" i="1"/>
  <c r="F163" i="3" s="1" a="1"/>
  <c r="F163" i="3" s="1"/>
  <c r="S160" i="1"/>
  <c r="F164" i="3" s="1" a="1"/>
  <c r="F164" i="3" s="1"/>
  <c r="S161" i="1"/>
  <c r="F165" i="3" s="1" a="1"/>
  <c r="F165" i="3" s="1"/>
  <c r="S162" i="1"/>
  <c r="F166" i="3" s="1" a="1"/>
  <c r="F166" i="3" s="1"/>
  <c r="S163" i="1"/>
  <c r="F167" i="3" s="1" a="1"/>
  <c r="F167" i="3" s="1"/>
  <c r="S164" i="1"/>
  <c r="F168" i="3" s="1" a="1"/>
  <c r="F168" i="3" s="1"/>
  <c r="S165" i="1"/>
  <c r="F169" i="3" s="1" a="1"/>
  <c r="F169" i="3" s="1"/>
  <c r="S166" i="1"/>
  <c r="F170" i="3" s="1" a="1"/>
  <c r="F170" i="3" s="1"/>
  <c r="S167" i="1"/>
  <c r="F171" i="3" s="1" a="1"/>
  <c r="F171" i="3" s="1"/>
  <c r="S168" i="1"/>
  <c r="F172" i="3" s="1" a="1"/>
  <c r="F172" i="3" s="1"/>
  <c r="S169" i="1"/>
  <c r="F173" i="3" s="1" a="1"/>
  <c r="F173" i="3" s="1"/>
  <c r="S170" i="1"/>
  <c r="F174" i="3" s="1" a="1"/>
  <c r="F174" i="3" s="1"/>
  <c r="S171" i="1"/>
  <c r="F175" i="3" s="1" a="1"/>
  <c r="F175" i="3" s="1"/>
  <c r="S172" i="1"/>
  <c r="F176" i="3" s="1" a="1"/>
  <c r="F176" i="3" s="1"/>
  <c r="S173" i="1"/>
  <c r="F177" i="3" s="1" a="1"/>
  <c r="F177" i="3" s="1"/>
  <c r="S174" i="1"/>
  <c r="F178" i="3" s="1" a="1"/>
  <c r="F178" i="3" s="1"/>
  <c r="S175" i="1"/>
  <c r="F179" i="3" s="1" a="1"/>
  <c r="F179" i="3" s="1"/>
  <c r="S176" i="1"/>
  <c r="F180" i="3" s="1" a="1"/>
  <c r="F180" i="3" s="1"/>
  <c r="S177" i="1"/>
  <c r="F181" i="3" s="1" a="1"/>
  <c r="F181" i="3" s="1"/>
  <c r="S178" i="1"/>
  <c r="F182" i="3" s="1" a="1"/>
  <c r="F182" i="3" s="1"/>
  <c r="S179" i="1"/>
  <c r="F183" i="3" s="1" a="1"/>
  <c r="F183" i="3" s="1"/>
  <c r="S180" i="1"/>
  <c r="F184" i="3" s="1" a="1"/>
  <c r="F184" i="3" s="1"/>
  <c r="S181" i="1"/>
  <c r="F185" i="3" s="1" a="1"/>
  <c r="F185" i="3" s="1"/>
  <c r="S182" i="1"/>
  <c r="F186" i="3" s="1" a="1"/>
  <c r="F186" i="3" s="1"/>
  <c r="S183" i="1"/>
  <c r="F187" i="3" s="1" a="1"/>
  <c r="F187" i="3" s="1"/>
  <c r="S184" i="1"/>
  <c r="F188" i="3" s="1" a="1"/>
  <c r="F188" i="3" s="1"/>
  <c r="S185" i="1"/>
  <c r="F189" i="3" s="1" a="1"/>
  <c r="F189" i="3" s="1"/>
  <c r="S186" i="1"/>
  <c r="F190" i="3" s="1" a="1"/>
  <c r="F190" i="3" s="1"/>
  <c r="S187" i="1"/>
  <c r="F191" i="3" s="1" a="1"/>
  <c r="F191" i="3" s="1"/>
  <c r="S188" i="1"/>
  <c r="F192" i="3" s="1" a="1"/>
  <c r="F192" i="3" s="1"/>
  <c r="S189" i="1"/>
  <c r="F193" i="3" s="1" a="1"/>
  <c r="F193" i="3" s="1"/>
  <c r="S190" i="1"/>
  <c r="F194" i="3" s="1" a="1"/>
  <c r="F194" i="3" s="1"/>
  <c r="S191" i="1"/>
  <c r="F195" i="3" s="1" a="1"/>
  <c r="F195" i="3" s="1"/>
  <c r="S192" i="1"/>
  <c r="F196" i="3" s="1" a="1"/>
  <c r="F196" i="3" s="1"/>
  <c r="S193" i="1"/>
  <c r="F197" i="3" s="1" a="1"/>
  <c r="F197" i="3" s="1"/>
  <c r="S194" i="1"/>
  <c r="F198" i="3" s="1" a="1"/>
  <c r="F198" i="3" s="1"/>
  <c r="S195" i="1"/>
  <c r="F199" i="3" s="1" a="1"/>
  <c r="F199" i="3" s="1"/>
  <c r="S196" i="1"/>
  <c r="F200" i="3" s="1" a="1"/>
  <c r="F200" i="3" s="1"/>
  <c r="S197" i="1"/>
  <c r="F201" i="3" s="1" a="1"/>
  <c r="F201" i="3" s="1"/>
  <c r="S198" i="1"/>
  <c r="F202" i="3" s="1" a="1"/>
  <c r="F202" i="3" s="1"/>
  <c r="S199" i="1"/>
  <c r="F203" i="3" s="1" a="1"/>
  <c r="F203" i="3" s="1"/>
  <c r="S200" i="1"/>
  <c r="F204" i="3" s="1" a="1"/>
  <c r="F204" i="3" s="1"/>
  <c r="S201" i="1"/>
  <c r="F205" i="3" s="1" a="1"/>
  <c r="F205" i="3" s="1"/>
  <c r="S202" i="1"/>
  <c r="F206" i="3" s="1" a="1"/>
  <c r="F206" i="3" s="1"/>
  <c r="S203" i="1"/>
  <c r="F207" i="3" s="1" a="1"/>
  <c r="F207" i="3" s="1"/>
  <c r="S204" i="1"/>
  <c r="F208" i="3" s="1" a="1"/>
  <c r="F208" i="3" s="1"/>
  <c r="S205" i="1"/>
  <c r="F209" i="3" s="1" a="1"/>
  <c r="F209" i="3" s="1"/>
  <c r="S206" i="1"/>
  <c r="F210" i="3" s="1" a="1"/>
  <c r="F210" i="3" s="1"/>
  <c r="S207" i="1"/>
  <c r="F211" i="3" s="1" a="1"/>
  <c r="F211" i="3" s="1"/>
  <c r="S208" i="1"/>
  <c r="F212" i="3" s="1" a="1"/>
  <c r="F212" i="3" s="1"/>
  <c r="S209" i="1"/>
  <c r="F213" i="3" s="1" a="1"/>
  <c r="F213" i="3" s="1"/>
  <c r="S210" i="1"/>
  <c r="F214" i="3" s="1" a="1"/>
  <c r="F214" i="3" s="1"/>
  <c r="S211" i="1"/>
  <c r="F215" i="3" s="1" a="1"/>
  <c r="F215" i="3" s="1"/>
  <c r="S212" i="1"/>
  <c r="F216" i="3" s="1" a="1"/>
  <c r="F216" i="3" s="1"/>
  <c r="S213" i="1"/>
  <c r="F217" i="3" s="1" a="1"/>
  <c r="F217" i="3" s="1"/>
  <c r="S214" i="1"/>
  <c r="F218" i="3" s="1" a="1"/>
  <c r="F218" i="3" s="1"/>
  <c r="S215" i="1"/>
  <c r="F219" i="3" s="1" a="1"/>
  <c r="F219" i="3" s="1"/>
  <c r="S216" i="1"/>
  <c r="F220" i="3" s="1" a="1"/>
  <c r="F220" i="3" s="1"/>
  <c r="S217" i="1"/>
  <c r="F221" i="3" s="1" a="1"/>
  <c r="F221" i="3" s="1"/>
  <c r="S218" i="1"/>
  <c r="F222" i="3" s="1" a="1"/>
  <c r="F222" i="3" s="1"/>
  <c r="S219" i="1"/>
  <c r="F223" i="3" s="1" a="1"/>
  <c r="F223" i="3" s="1"/>
  <c r="S220" i="1"/>
  <c r="F224" i="3" s="1" a="1"/>
  <c r="F224" i="3" s="1"/>
  <c r="S221" i="1"/>
  <c r="F225" i="3" s="1" a="1"/>
  <c r="F225" i="3" s="1"/>
  <c r="S222" i="1"/>
  <c r="F226" i="3" s="1" a="1"/>
  <c r="F226" i="3" s="1"/>
  <c r="S223" i="1"/>
  <c r="F227" i="3" s="1" a="1"/>
  <c r="F227" i="3" s="1"/>
  <c r="S224" i="1"/>
  <c r="F228" i="3" s="1" a="1"/>
  <c r="F228" i="3" s="1"/>
  <c r="S225" i="1"/>
  <c r="F229" i="3" s="1" a="1"/>
  <c r="F229" i="3" s="1"/>
  <c r="S226" i="1"/>
  <c r="F230" i="3" s="1" a="1"/>
  <c r="F230" i="3" s="1"/>
  <c r="S227" i="1"/>
  <c r="F231" i="3" s="1" a="1"/>
  <c r="F231" i="3" s="1"/>
  <c r="S228" i="1"/>
  <c r="F232" i="3" s="1" a="1"/>
  <c r="F232" i="3" s="1"/>
  <c r="S229" i="1"/>
  <c r="F233" i="3" s="1" a="1"/>
  <c r="F233" i="3" s="1"/>
  <c r="S230" i="1"/>
  <c r="F234" i="3" s="1" a="1"/>
  <c r="F234" i="3" s="1"/>
  <c r="S231" i="1"/>
  <c r="F235" i="3" s="1" a="1"/>
  <c r="F235" i="3" s="1"/>
  <c r="S232" i="1"/>
  <c r="F236" i="3" s="1" a="1"/>
  <c r="F236" i="3" s="1"/>
  <c r="S233" i="1"/>
  <c r="F237" i="3" s="1" a="1"/>
  <c r="F237" i="3" s="1"/>
  <c r="S234" i="1"/>
  <c r="F238" i="3" s="1" a="1"/>
  <c r="F238" i="3" s="1"/>
  <c r="S235" i="1"/>
  <c r="F239" i="3" s="1" a="1"/>
  <c r="F239" i="3" s="1"/>
  <c r="S236" i="1"/>
  <c r="F240" i="3" s="1" a="1"/>
  <c r="F240" i="3" s="1"/>
  <c r="S237" i="1"/>
  <c r="F241" i="3" s="1" a="1"/>
  <c r="F241" i="3" s="1"/>
  <c r="S238" i="1"/>
  <c r="F242" i="3" s="1" a="1"/>
  <c r="F242" i="3" s="1"/>
  <c r="S239" i="1"/>
  <c r="F243" i="3" s="1" a="1"/>
  <c r="F243" i="3" s="1"/>
  <c r="S240" i="1"/>
  <c r="F244" i="3" s="1" a="1"/>
  <c r="F244" i="3" s="1"/>
  <c r="S241" i="1"/>
  <c r="F245" i="3" s="1" a="1"/>
  <c r="F245" i="3" s="1"/>
  <c r="S242" i="1"/>
  <c r="F246" i="3" s="1" a="1"/>
  <c r="F246" i="3" s="1"/>
  <c r="S243" i="1"/>
  <c r="F247" i="3" s="1" a="1"/>
  <c r="F247" i="3" s="1"/>
  <c r="S244" i="1"/>
  <c r="F248" i="3" s="1" a="1"/>
  <c r="F248" i="3" s="1"/>
  <c r="S245" i="1"/>
  <c r="F249" i="3" s="1" a="1"/>
  <c r="F249" i="3" s="1"/>
  <c r="S246" i="1"/>
  <c r="F250" i="3" s="1" a="1"/>
  <c r="F250" i="3" s="1"/>
  <c r="S247" i="1"/>
  <c r="F251" i="3" s="1" a="1"/>
  <c r="F251" i="3" s="1"/>
  <c r="S248" i="1"/>
  <c r="F252" i="3" s="1" a="1"/>
  <c r="F252" i="3" s="1"/>
  <c r="S249" i="1"/>
  <c r="F253" i="3" s="1" a="1"/>
  <c r="F253" i="3" s="1"/>
  <c r="S250" i="1"/>
  <c r="F254" i="3" s="1" a="1"/>
  <c r="F254" i="3" s="1"/>
  <c r="S251" i="1"/>
  <c r="F255" i="3" s="1" a="1"/>
  <c r="F255" i="3" s="1"/>
  <c r="S252" i="1"/>
  <c r="F256" i="3" s="1" a="1"/>
  <c r="F256" i="3" s="1"/>
  <c r="S253" i="1"/>
  <c r="F257" i="3" s="1" a="1"/>
  <c r="F257" i="3" s="1"/>
  <c r="S254" i="1"/>
  <c r="F258" i="3" s="1" a="1"/>
  <c r="F258" i="3" s="1"/>
  <c r="S255" i="1"/>
  <c r="F259" i="3" s="1" a="1"/>
  <c r="F259" i="3" s="1"/>
  <c r="S256" i="1"/>
  <c r="F260" i="3" s="1" a="1"/>
  <c r="F260" i="3" s="1"/>
  <c r="S257" i="1"/>
  <c r="F261" i="3" s="1" a="1"/>
  <c r="F261" i="3" s="1"/>
  <c r="S258" i="1"/>
  <c r="F262" i="3" s="1" a="1"/>
  <c r="F262" i="3" s="1"/>
  <c r="S259" i="1"/>
  <c r="F263" i="3" s="1" a="1"/>
  <c r="F263" i="3" s="1"/>
  <c r="S260" i="1"/>
  <c r="F264" i="3" s="1" a="1"/>
  <c r="F264" i="3" s="1"/>
  <c r="S261" i="1"/>
  <c r="F265" i="3" s="1" a="1"/>
  <c r="F265" i="3" s="1"/>
  <c r="S262" i="1"/>
  <c r="F266" i="3" s="1" a="1"/>
  <c r="F266" i="3" s="1"/>
  <c r="S263" i="1"/>
  <c r="F267" i="3" s="1" a="1"/>
  <c r="F267" i="3" s="1"/>
  <c r="S264" i="1"/>
  <c r="F268" i="3" s="1" a="1"/>
  <c r="F268" i="3" s="1"/>
  <c r="S265" i="1"/>
  <c r="F269" i="3" s="1" a="1"/>
  <c r="F269" i="3" s="1"/>
  <c r="S266" i="1"/>
  <c r="F270" i="3" s="1" a="1"/>
  <c r="F270" i="3" s="1"/>
  <c r="S267" i="1"/>
  <c r="F271" i="3" s="1" a="1"/>
  <c r="F271" i="3" s="1"/>
  <c r="S268" i="1"/>
  <c r="F272" i="3" s="1" a="1"/>
  <c r="F272" i="3" s="1"/>
  <c r="S269" i="1"/>
  <c r="F273" i="3" s="1" a="1"/>
  <c r="F273" i="3" s="1"/>
  <c r="S270" i="1"/>
  <c r="F274" i="3" s="1" a="1"/>
  <c r="F274" i="3" s="1"/>
  <c r="S271" i="1"/>
  <c r="F275" i="3" s="1" a="1"/>
  <c r="F275" i="3" s="1"/>
  <c r="S272" i="1"/>
  <c r="F276" i="3" s="1" a="1"/>
  <c r="F276" i="3" s="1"/>
  <c r="S273" i="1"/>
  <c r="F277" i="3" s="1" a="1"/>
  <c r="F277" i="3" s="1"/>
  <c r="S274" i="1"/>
  <c r="F278" i="3" s="1" a="1"/>
  <c r="F278" i="3" s="1"/>
  <c r="S275" i="1"/>
  <c r="F279" i="3" s="1" a="1"/>
  <c r="F279" i="3" s="1"/>
  <c r="S276" i="1"/>
  <c r="F280" i="3" s="1" a="1"/>
  <c r="F280" i="3" s="1"/>
  <c r="S277" i="1"/>
  <c r="F281" i="3" s="1" a="1"/>
  <c r="F281" i="3" s="1"/>
  <c r="S278" i="1"/>
  <c r="F282" i="3" s="1" a="1"/>
  <c r="F282" i="3" s="1"/>
  <c r="S279" i="1"/>
  <c r="F283" i="3" s="1" a="1"/>
  <c r="F283" i="3" s="1"/>
  <c r="S280" i="1"/>
  <c r="F284" i="3" s="1" a="1"/>
  <c r="F284" i="3" s="1"/>
  <c r="S281" i="1"/>
  <c r="F285" i="3" s="1" a="1"/>
  <c r="F285" i="3" s="1"/>
  <c r="S282" i="1"/>
  <c r="F286" i="3" s="1" a="1"/>
  <c r="F286" i="3" s="1"/>
  <c r="S283" i="1"/>
  <c r="F287" i="3" s="1" a="1"/>
  <c r="F287" i="3" s="1"/>
  <c r="S284" i="1"/>
  <c r="F288" i="3" s="1" a="1"/>
  <c r="F288" i="3" s="1"/>
  <c r="S285" i="1"/>
  <c r="F289" i="3" s="1" a="1"/>
  <c r="F289" i="3" s="1"/>
  <c r="S286" i="1"/>
  <c r="F290" i="3" s="1" a="1"/>
  <c r="F290" i="3" s="1"/>
  <c r="S287" i="1"/>
  <c r="F291" i="3" s="1" a="1"/>
  <c r="F291" i="3" s="1"/>
  <c r="S288" i="1"/>
  <c r="F292" i="3" s="1" a="1"/>
  <c r="F292" i="3" s="1"/>
  <c r="S289" i="1"/>
  <c r="F293" i="3" s="1" a="1"/>
  <c r="F293" i="3" s="1"/>
  <c r="S290" i="1"/>
  <c r="F294" i="3" s="1" a="1"/>
  <c r="F294" i="3" s="1"/>
  <c r="S291" i="1"/>
  <c r="F295" i="3" s="1" a="1"/>
  <c r="F295" i="3" s="1"/>
  <c r="S292" i="1"/>
  <c r="F296" i="3" s="1" a="1"/>
  <c r="F296" i="3" s="1"/>
  <c r="S293" i="1"/>
  <c r="F297" i="3" s="1" a="1"/>
  <c r="F297" i="3" s="1"/>
  <c r="S294" i="1"/>
  <c r="F298" i="3" s="1" a="1"/>
  <c r="F298" i="3" s="1"/>
  <c r="S295" i="1"/>
  <c r="F299" i="3" s="1" a="1"/>
  <c r="F299" i="3" s="1"/>
  <c r="S296" i="1"/>
  <c r="F300" i="3" s="1" a="1"/>
  <c r="F300" i="3" s="1"/>
  <c r="S297" i="1"/>
  <c r="F301" i="3" s="1" a="1"/>
  <c r="F301" i="3" s="1"/>
  <c r="S298" i="1"/>
  <c r="F302" i="3" s="1" a="1"/>
  <c r="F302" i="3" s="1"/>
  <c r="S299" i="1"/>
  <c r="F303" i="3" s="1" a="1"/>
  <c r="F303" i="3" s="1"/>
  <c r="S300" i="1"/>
  <c r="F304" i="3" s="1" a="1"/>
  <c r="F304" i="3" s="1"/>
  <c r="S301" i="1"/>
  <c r="F305" i="3" s="1" a="1"/>
  <c r="F305" i="3" s="1"/>
  <c r="S302" i="1"/>
  <c r="F306" i="3" s="1" a="1"/>
  <c r="F306" i="3" s="1"/>
  <c r="S303" i="1"/>
  <c r="F307" i="3" s="1" a="1"/>
  <c r="F307" i="3" s="1"/>
  <c r="S304" i="1"/>
  <c r="F308" i="3" s="1" a="1"/>
  <c r="F308" i="3" s="1"/>
  <c r="S305" i="1"/>
  <c r="F309" i="3" s="1" a="1"/>
  <c r="F309" i="3" s="1"/>
  <c r="S306" i="1"/>
  <c r="F310" i="3" s="1" a="1"/>
  <c r="F310" i="3" s="1"/>
  <c r="S307" i="1"/>
  <c r="F311" i="3" s="1" a="1"/>
  <c r="F311" i="3" s="1"/>
  <c r="S308" i="1"/>
  <c r="F312" i="3" s="1" a="1"/>
  <c r="F312" i="3" s="1"/>
  <c r="S309" i="1"/>
  <c r="F313" i="3" s="1" a="1"/>
  <c r="F313" i="3" s="1"/>
  <c r="S310" i="1"/>
  <c r="F314" i="3" s="1" a="1"/>
  <c r="F314" i="3" s="1"/>
  <c r="S311" i="1"/>
  <c r="F315" i="3" s="1" a="1"/>
  <c r="F315" i="3" s="1"/>
  <c r="S312" i="1"/>
  <c r="F316" i="3" s="1" a="1"/>
  <c r="F316" i="3" s="1"/>
  <c r="S313" i="1"/>
  <c r="F317" i="3" s="1" a="1"/>
  <c r="F317" i="3" s="1"/>
  <c r="S314" i="1"/>
  <c r="F318" i="3" s="1" a="1"/>
  <c r="F318" i="3" s="1"/>
  <c r="S315" i="1"/>
  <c r="F319" i="3" s="1" a="1"/>
  <c r="F319" i="3" s="1"/>
  <c r="S316" i="1"/>
  <c r="F320" i="3" s="1" a="1"/>
  <c r="F320" i="3" s="1"/>
  <c r="S317" i="1"/>
  <c r="F321" i="3" s="1" a="1"/>
  <c r="F321" i="3" s="1"/>
  <c r="S318" i="1"/>
  <c r="F322" i="3" s="1" a="1"/>
  <c r="F322" i="3" s="1"/>
  <c r="S319" i="1"/>
  <c r="F323" i="3" s="1" a="1"/>
  <c r="F323" i="3" s="1"/>
  <c r="S320" i="1"/>
  <c r="F324" i="3" s="1" a="1"/>
  <c r="F324" i="3" s="1"/>
  <c r="S321" i="1"/>
  <c r="F325" i="3" s="1" a="1"/>
  <c r="F325" i="3" s="1"/>
  <c r="S322" i="1"/>
  <c r="F326" i="3" s="1" a="1"/>
  <c r="F326" i="3" s="1"/>
  <c r="S323" i="1"/>
  <c r="F327" i="3" s="1" a="1"/>
  <c r="F327" i="3" s="1"/>
  <c r="S324" i="1"/>
  <c r="F328" i="3" s="1" a="1"/>
  <c r="F328" i="3" s="1"/>
  <c r="S325" i="1"/>
  <c r="F329" i="3" s="1" a="1"/>
  <c r="F329" i="3" s="1"/>
  <c r="S326" i="1"/>
  <c r="F330" i="3" s="1" a="1"/>
  <c r="F330" i="3" s="1"/>
  <c r="S327" i="1"/>
  <c r="F331" i="3" s="1" a="1"/>
  <c r="F331" i="3" s="1"/>
  <c r="S328" i="1"/>
  <c r="F332" i="3" s="1" a="1"/>
  <c r="F332" i="3" s="1"/>
  <c r="S329" i="1"/>
  <c r="F333" i="3" s="1" a="1"/>
  <c r="F333" i="3" s="1"/>
  <c r="S330" i="1"/>
  <c r="F334" i="3" s="1" a="1"/>
  <c r="F334" i="3" s="1"/>
  <c r="S331" i="1"/>
  <c r="F335" i="3" s="1" a="1"/>
  <c r="F335" i="3" s="1"/>
  <c r="S332" i="1"/>
  <c r="F336" i="3" s="1" a="1"/>
  <c r="F336" i="3" s="1"/>
  <c r="S333" i="1"/>
  <c r="F337" i="3" s="1" a="1"/>
  <c r="F337" i="3" s="1"/>
  <c r="S334" i="1"/>
  <c r="F338" i="3" s="1" a="1"/>
  <c r="F338" i="3" s="1"/>
  <c r="S335" i="1"/>
  <c r="F339" i="3" s="1" a="1"/>
  <c r="F339" i="3" s="1"/>
  <c r="S336" i="1"/>
  <c r="F340" i="3" s="1" a="1"/>
  <c r="F340" i="3" s="1"/>
  <c r="S337" i="1"/>
  <c r="F341" i="3" s="1" a="1"/>
  <c r="F341" i="3" s="1"/>
  <c r="S338" i="1"/>
  <c r="F342" i="3" s="1" a="1"/>
  <c r="F342" i="3" s="1"/>
  <c r="S339" i="1"/>
  <c r="F343" i="3" s="1" a="1"/>
  <c r="F343" i="3" s="1"/>
  <c r="S340" i="1"/>
  <c r="F344" i="3" s="1" a="1"/>
  <c r="F344" i="3" s="1"/>
  <c r="S341" i="1"/>
  <c r="F345" i="3" s="1" a="1"/>
  <c r="F345" i="3" s="1"/>
  <c r="S342" i="1"/>
  <c r="F346" i="3" s="1" a="1"/>
  <c r="F346" i="3" s="1"/>
  <c r="S343" i="1"/>
  <c r="F347" i="3" s="1" a="1"/>
  <c r="F347" i="3" s="1"/>
  <c r="S344" i="1"/>
  <c r="F348" i="3" s="1" a="1"/>
  <c r="F348" i="3" s="1"/>
  <c r="S345" i="1"/>
  <c r="F349" i="3" s="1" a="1"/>
  <c r="F349" i="3" s="1"/>
  <c r="S346" i="1"/>
  <c r="F350" i="3" s="1" a="1"/>
  <c r="F350" i="3" s="1"/>
  <c r="S347" i="1"/>
  <c r="F351" i="3" s="1" a="1"/>
  <c r="F351" i="3" s="1"/>
  <c r="S348" i="1"/>
  <c r="F352" i="3" s="1" a="1"/>
  <c r="F352" i="3" s="1"/>
  <c r="S349" i="1"/>
  <c r="F353" i="3" s="1" a="1"/>
  <c r="F353" i="3" s="1"/>
  <c r="S350" i="1"/>
  <c r="F354" i="3" s="1" a="1"/>
  <c r="F354" i="3" s="1"/>
  <c r="S351" i="1"/>
  <c r="F355" i="3" s="1" a="1"/>
  <c r="F355" i="3" s="1"/>
  <c r="S352" i="1"/>
  <c r="F356" i="3" s="1" a="1"/>
  <c r="F356" i="3" s="1"/>
  <c r="S353" i="1"/>
  <c r="F357" i="3" s="1" a="1"/>
  <c r="F357" i="3" s="1"/>
  <c r="S354" i="1"/>
  <c r="F358" i="3" s="1" a="1"/>
  <c r="F358" i="3" s="1"/>
  <c r="S355" i="1"/>
  <c r="F359" i="3" s="1" a="1"/>
  <c r="F359" i="3" s="1"/>
  <c r="S356" i="1"/>
  <c r="F360" i="3" s="1" a="1"/>
  <c r="F360" i="3" s="1"/>
  <c r="S357" i="1"/>
  <c r="F361" i="3" s="1" a="1"/>
  <c r="F361" i="3" s="1"/>
  <c r="S358" i="1"/>
  <c r="F362" i="3" s="1" a="1"/>
  <c r="F362" i="3" s="1"/>
  <c r="S359" i="1"/>
  <c r="F363" i="3" s="1" a="1"/>
  <c r="F363" i="3" s="1"/>
  <c r="S360" i="1"/>
  <c r="F364" i="3" s="1" a="1"/>
  <c r="F364" i="3" s="1"/>
  <c r="S361" i="1"/>
  <c r="F365" i="3" s="1" a="1"/>
  <c r="F365" i="3" s="1"/>
  <c r="S362" i="1"/>
  <c r="F366" i="3" s="1" a="1"/>
  <c r="F366" i="3" s="1"/>
  <c r="S363" i="1"/>
  <c r="F367" i="3" s="1" a="1"/>
  <c r="F367" i="3" s="1"/>
  <c r="S364" i="1"/>
  <c r="F368" i="3" s="1" a="1"/>
  <c r="F368" i="3" s="1"/>
  <c r="S365" i="1"/>
  <c r="F369" i="3" s="1" a="1"/>
  <c r="F369" i="3" s="1"/>
  <c r="S366" i="1"/>
  <c r="F370" i="3" s="1" a="1"/>
  <c r="F370" i="3" s="1"/>
  <c r="S367" i="1"/>
  <c r="F371" i="3" s="1" a="1"/>
  <c r="F371" i="3" s="1"/>
  <c r="S368" i="1"/>
  <c r="F372" i="3" s="1" a="1"/>
  <c r="F372" i="3" s="1"/>
  <c r="S369" i="1"/>
  <c r="F373" i="3" s="1" a="1"/>
  <c r="F373" i="3" s="1"/>
  <c r="S370" i="1"/>
  <c r="F374" i="3" s="1" a="1"/>
  <c r="F374" i="3" s="1"/>
  <c r="S371" i="1"/>
  <c r="F375" i="3" s="1" a="1"/>
  <c r="F375" i="3" s="1"/>
  <c r="S372" i="1"/>
  <c r="F376" i="3" s="1" a="1"/>
  <c r="F376" i="3" s="1"/>
  <c r="S373" i="1"/>
  <c r="F377" i="3" s="1" a="1"/>
  <c r="F377" i="3" s="1"/>
  <c r="S374" i="1"/>
  <c r="F378" i="3" s="1" a="1"/>
  <c r="F378" i="3" s="1"/>
  <c r="S375" i="1"/>
  <c r="F379" i="3" s="1" a="1"/>
  <c r="F379" i="3" s="1"/>
  <c r="S376" i="1"/>
  <c r="F380" i="3" s="1" a="1"/>
  <c r="F380" i="3" s="1"/>
  <c r="S377" i="1"/>
  <c r="F381" i="3" s="1" a="1"/>
  <c r="F381" i="3" s="1"/>
  <c r="S378" i="1"/>
  <c r="F382" i="3" s="1" a="1"/>
  <c r="F382" i="3" s="1"/>
  <c r="S379" i="1"/>
  <c r="F383" i="3" s="1" a="1"/>
  <c r="F383" i="3" s="1"/>
  <c r="S380" i="1"/>
  <c r="F384" i="3" s="1" a="1"/>
  <c r="F384" i="3" s="1"/>
  <c r="S381" i="1"/>
  <c r="F385" i="3" s="1" a="1"/>
  <c r="F385" i="3" s="1"/>
  <c r="S382" i="1"/>
  <c r="F386" i="3" s="1" a="1"/>
  <c r="F386" i="3" s="1"/>
  <c r="S383" i="1"/>
  <c r="F387" i="3" s="1" a="1"/>
  <c r="F387" i="3" s="1"/>
  <c r="S384" i="1"/>
  <c r="F388" i="3" s="1" a="1"/>
  <c r="F388" i="3" s="1"/>
  <c r="S385" i="1"/>
  <c r="F389" i="3" s="1" a="1"/>
  <c r="F389" i="3" s="1"/>
  <c r="S386" i="1"/>
  <c r="F390" i="3" s="1" a="1"/>
  <c r="F390" i="3" s="1"/>
  <c r="S387" i="1"/>
  <c r="F391" i="3" s="1" a="1"/>
  <c r="F391" i="3" s="1"/>
  <c r="S388" i="1"/>
  <c r="F392" i="3" s="1" a="1"/>
  <c r="F392" i="3" s="1"/>
  <c r="S389" i="1"/>
  <c r="F393" i="3" s="1" a="1"/>
  <c r="F393" i="3" s="1"/>
  <c r="S390" i="1"/>
  <c r="F394" i="3" s="1" a="1"/>
  <c r="F394" i="3" s="1"/>
  <c r="S391" i="1"/>
  <c r="F395" i="3" s="1" a="1"/>
  <c r="F395" i="3" s="1"/>
  <c r="S392" i="1"/>
  <c r="F396" i="3" s="1" a="1"/>
  <c r="F396" i="3" s="1"/>
  <c r="S393" i="1"/>
  <c r="F397" i="3" s="1" a="1"/>
  <c r="F397" i="3" s="1"/>
  <c r="S394" i="1"/>
  <c r="F398" i="3" s="1" a="1"/>
  <c r="F398" i="3" s="1"/>
  <c r="S395" i="1"/>
  <c r="F399" i="3" s="1" a="1"/>
  <c r="F399" i="3" s="1"/>
  <c r="S396" i="1"/>
  <c r="F400" i="3" s="1" a="1"/>
  <c r="F400" i="3" s="1"/>
  <c r="S397" i="1"/>
  <c r="F401" i="3" s="1" a="1"/>
  <c r="F401" i="3" s="1"/>
  <c r="S398" i="1"/>
  <c r="F402" i="3" s="1" a="1"/>
  <c r="F402" i="3" s="1"/>
  <c r="S399" i="1"/>
  <c r="F403" i="3" s="1" a="1"/>
  <c r="F403" i="3" s="1"/>
  <c r="S400" i="1"/>
  <c r="F404" i="3" s="1" a="1"/>
  <c r="F404" i="3" s="1"/>
  <c r="S401" i="1"/>
  <c r="F405" i="3" s="1" a="1"/>
  <c r="F405" i="3" s="1"/>
  <c r="S402" i="1"/>
  <c r="F406" i="3" s="1" a="1"/>
  <c r="F406" i="3" s="1"/>
  <c r="S403" i="1"/>
  <c r="F407" i="3" s="1" a="1"/>
  <c r="F407" i="3" s="1"/>
  <c r="S404" i="1"/>
  <c r="F408" i="3" s="1" a="1"/>
  <c r="F408" i="3" s="1"/>
  <c r="S405" i="1"/>
  <c r="F409" i="3" s="1" a="1"/>
  <c r="F409" i="3" s="1"/>
  <c r="S406" i="1"/>
  <c r="F410" i="3" s="1" a="1"/>
  <c r="F410" i="3" s="1"/>
  <c r="S407" i="1"/>
  <c r="F411" i="3" s="1" a="1"/>
  <c r="F411" i="3" s="1"/>
  <c r="S408" i="1"/>
  <c r="F412" i="3" s="1" a="1"/>
  <c r="F412" i="3" s="1"/>
  <c r="S409" i="1"/>
  <c r="F413" i="3" s="1" a="1"/>
  <c r="F413" i="3" s="1"/>
  <c r="S410" i="1"/>
  <c r="F414" i="3" s="1" a="1"/>
  <c r="F414" i="3" s="1"/>
  <c r="S411" i="1"/>
  <c r="F415" i="3" s="1" a="1"/>
  <c r="F415" i="3" s="1"/>
  <c r="S412" i="1"/>
  <c r="F416" i="3" s="1" a="1"/>
  <c r="F416" i="3" s="1"/>
  <c r="S413" i="1"/>
  <c r="F417" i="3" s="1" a="1"/>
  <c r="F417" i="3" s="1"/>
  <c r="S414" i="1"/>
  <c r="F418" i="3" s="1" a="1"/>
  <c r="F418" i="3" s="1"/>
  <c r="S415" i="1"/>
  <c r="F419" i="3" s="1" a="1"/>
  <c r="F419" i="3" s="1"/>
  <c r="S416" i="1"/>
  <c r="F420" i="3" s="1" a="1"/>
  <c r="F420" i="3" s="1"/>
  <c r="S417" i="1"/>
  <c r="F421" i="3" s="1" a="1"/>
  <c r="F421" i="3" s="1"/>
  <c r="S418" i="1"/>
  <c r="F422" i="3" s="1" a="1"/>
  <c r="F422" i="3" s="1"/>
  <c r="S419" i="1"/>
  <c r="F423" i="3" s="1" a="1"/>
  <c r="F423" i="3" s="1"/>
  <c r="S420" i="1"/>
  <c r="F424" i="3" s="1" a="1"/>
  <c r="F424" i="3" s="1"/>
  <c r="S421" i="1"/>
  <c r="F425" i="3" s="1" a="1"/>
  <c r="F425" i="3" s="1"/>
  <c r="S422" i="1"/>
  <c r="F426" i="3" s="1" a="1"/>
  <c r="F426" i="3" s="1"/>
  <c r="S423" i="1"/>
  <c r="F427" i="3" s="1" a="1"/>
  <c r="F427" i="3" s="1"/>
  <c r="S424" i="1"/>
  <c r="F428" i="3" s="1" a="1"/>
  <c r="F428" i="3" s="1"/>
  <c r="S425" i="1"/>
  <c r="F429" i="3" s="1" a="1"/>
  <c r="F429" i="3" s="1"/>
  <c r="S426" i="1"/>
  <c r="F430" i="3" s="1" a="1"/>
  <c r="F430" i="3" s="1"/>
  <c r="S427" i="1"/>
  <c r="F431" i="3" s="1" a="1"/>
  <c r="F431" i="3" s="1"/>
  <c r="S428" i="1"/>
  <c r="F432" i="3" s="1" a="1"/>
  <c r="F432" i="3" s="1"/>
  <c r="S429" i="1"/>
  <c r="F433" i="3" s="1" a="1"/>
  <c r="F433" i="3" s="1"/>
  <c r="S430" i="1"/>
  <c r="F434" i="3" s="1" a="1"/>
  <c r="F434" i="3" s="1"/>
  <c r="S431" i="1"/>
  <c r="F435" i="3" s="1" a="1"/>
  <c r="F435" i="3" s="1"/>
  <c r="S432" i="1"/>
  <c r="F436" i="3" s="1" a="1"/>
  <c r="F436" i="3" s="1"/>
  <c r="S433" i="1"/>
  <c r="F437" i="3" s="1" a="1"/>
  <c r="F437" i="3" s="1"/>
  <c r="S434" i="1"/>
  <c r="F438" i="3" s="1" a="1"/>
  <c r="F438" i="3" s="1"/>
  <c r="S435" i="1"/>
  <c r="F439" i="3" s="1" a="1"/>
  <c r="F439" i="3" s="1"/>
  <c r="S436" i="1"/>
  <c r="F440" i="3" s="1" a="1"/>
  <c r="F440" i="3" s="1"/>
  <c r="S437" i="1"/>
  <c r="F441" i="3" s="1" a="1"/>
  <c r="F441" i="3" s="1"/>
  <c r="S438" i="1"/>
  <c r="F442" i="3" s="1" a="1"/>
  <c r="F442" i="3" s="1"/>
  <c r="S439" i="1"/>
  <c r="F443" i="3" s="1" a="1"/>
  <c r="F443" i="3" s="1"/>
  <c r="S440" i="1"/>
  <c r="F444" i="3" s="1" a="1"/>
  <c r="F444" i="3" s="1"/>
  <c r="S441" i="1"/>
  <c r="F445" i="3" s="1" a="1"/>
  <c r="F445" i="3" s="1"/>
  <c r="S442" i="1"/>
  <c r="F446" i="3" s="1" a="1"/>
  <c r="F446" i="3" s="1"/>
  <c r="S443" i="1"/>
  <c r="F447" i="3" s="1" a="1"/>
  <c r="F447" i="3" s="1"/>
  <c r="S444" i="1"/>
  <c r="F448" i="3" s="1" a="1"/>
  <c r="F448" i="3" s="1"/>
  <c r="S445" i="1"/>
  <c r="F449" i="3" s="1" a="1"/>
  <c r="F449" i="3" s="1"/>
  <c r="S446" i="1"/>
  <c r="F450" i="3" s="1" a="1"/>
  <c r="F450" i="3" s="1"/>
  <c r="S447" i="1"/>
  <c r="F451" i="3" s="1" a="1"/>
  <c r="F451" i="3" s="1"/>
  <c r="S448" i="1"/>
  <c r="F452" i="3" s="1" a="1"/>
  <c r="F452" i="3" s="1"/>
  <c r="S449" i="1"/>
  <c r="F453" i="3" s="1" a="1"/>
  <c r="F453" i="3" s="1"/>
  <c r="S450" i="1"/>
  <c r="F454" i="3" s="1" a="1"/>
  <c r="F454" i="3" s="1"/>
  <c r="S451" i="1"/>
  <c r="F455" i="3" s="1" a="1"/>
  <c r="F455" i="3" s="1"/>
  <c r="S452" i="1"/>
  <c r="F456" i="3" s="1" a="1"/>
  <c r="F456" i="3" s="1"/>
  <c r="S453" i="1"/>
  <c r="F457" i="3" s="1" a="1"/>
  <c r="F457" i="3" s="1"/>
  <c r="S454" i="1"/>
  <c r="F458" i="3" s="1" a="1"/>
  <c r="F458" i="3" s="1"/>
  <c r="S455" i="1"/>
  <c r="F459" i="3" s="1" a="1"/>
  <c r="F459" i="3" s="1"/>
  <c r="S456" i="1"/>
  <c r="F460" i="3" s="1" a="1"/>
  <c r="F460" i="3" s="1"/>
  <c r="S457" i="1"/>
  <c r="F461" i="3" s="1" a="1"/>
  <c r="F461" i="3" s="1"/>
  <c r="S458" i="1"/>
  <c r="F462" i="3" s="1" a="1"/>
  <c r="F462" i="3" s="1"/>
  <c r="S459" i="1"/>
  <c r="F463" i="3" s="1" a="1"/>
  <c r="F463" i="3" s="1"/>
  <c r="S460" i="1"/>
  <c r="F464" i="3" s="1" a="1"/>
  <c r="F464" i="3" s="1"/>
  <c r="S461" i="1"/>
  <c r="F465" i="3" s="1" a="1"/>
  <c r="F465" i="3" s="1"/>
  <c r="S462" i="1"/>
  <c r="F466" i="3" s="1" a="1"/>
  <c r="F466" i="3" s="1"/>
  <c r="S463" i="1"/>
  <c r="F467" i="3" s="1" a="1"/>
  <c r="F467" i="3" s="1"/>
  <c r="S464" i="1"/>
  <c r="F468" i="3" s="1" a="1"/>
  <c r="F468" i="3" s="1"/>
  <c r="S465" i="1"/>
  <c r="F469" i="3" s="1" a="1"/>
  <c r="F469" i="3" s="1"/>
  <c r="S466" i="1"/>
  <c r="F470" i="3" s="1" a="1"/>
  <c r="F470" i="3" s="1"/>
  <c r="S467" i="1"/>
  <c r="F471" i="3" s="1" a="1"/>
  <c r="F471" i="3" s="1"/>
  <c r="S468" i="1"/>
  <c r="F472" i="3" s="1" a="1"/>
  <c r="F472" i="3" s="1"/>
  <c r="S469" i="1"/>
  <c r="F473" i="3" s="1" a="1"/>
  <c r="F473" i="3" s="1"/>
  <c r="S470" i="1"/>
  <c r="F474" i="3" s="1" a="1"/>
  <c r="F474" i="3" s="1"/>
  <c r="S471" i="1"/>
  <c r="F475" i="3" s="1" a="1"/>
  <c r="F475" i="3" s="1"/>
  <c r="S472" i="1"/>
  <c r="F476" i="3" s="1" a="1"/>
  <c r="F476" i="3" s="1"/>
  <c r="S473" i="1"/>
  <c r="F477" i="3" s="1" a="1"/>
  <c r="F477" i="3" s="1"/>
  <c r="S474" i="1"/>
  <c r="F478" i="3" s="1" a="1"/>
  <c r="F478" i="3" s="1"/>
  <c r="S475" i="1"/>
  <c r="F479" i="3" s="1" a="1"/>
  <c r="F479" i="3" s="1"/>
  <c r="S476" i="1"/>
  <c r="F480" i="3" s="1" a="1"/>
  <c r="F480" i="3" s="1"/>
  <c r="S477" i="1"/>
  <c r="F481" i="3" s="1" a="1"/>
  <c r="F481" i="3" s="1"/>
  <c r="S478" i="1"/>
  <c r="F482" i="3" s="1" a="1"/>
  <c r="F482" i="3" s="1"/>
  <c r="S479" i="1"/>
  <c r="F483" i="3" s="1" a="1"/>
  <c r="F483" i="3" s="1"/>
  <c r="S480" i="1"/>
  <c r="F484" i="3" s="1" a="1"/>
  <c r="F484" i="3" s="1"/>
  <c r="S481" i="1"/>
  <c r="F485" i="3" s="1" a="1"/>
  <c r="F485" i="3" s="1"/>
  <c r="S482" i="1"/>
  <c r="F486" i="3" s="1" a="1"/>
  <c r="F486" i="3" s="1"/>
  <c r="S483" i="1"/>
  <c r="F487" i="3" s="1" a="1"/>
  <c r="F487" i="3" s="1"/>
  <c r="S484" i="1"/>
  <c r="F488" i="3" s="1" a="1"/>
  <c r="F488" i="3" s="1"/>
  <c r="S485" i="1"/>
  <c r="F489" i="3" s="1" a="1"/>
  <c r="F489" i="3" s="1"/>
  <c r="S486" i="1"/>
  <c r="F490" i="3" s="1" a="1"/>
  <c r="F490" i="3" s="1"/>
  <c r="S487" i="1"/>
  <c r="F491" i="3" s="1" a="1"/>
  <c r="F491" i="3" s="1"/>
  <c r="S488" i="1"/>
  <c r="F492" i="3" s="1" a="1"/>
  <c r="F492" i="3" s="1"/>
  <c r="S489" i="1"/>
  <c r="F493" i="3" s="1" a="1"/>
  <c r="F493" i="3" s="1"/>
  <c r="S490" i="1"/>
  <c r="F494" i="3" s="1" a="1"/>
  <c r="F494" i="3" s="1"/>
  <c r="S491" i="1"/>
  <c r="F495" i="3" s="1" a="1"/>
  <c r="F495" i="3" s="1"/>
  <c r="S492" i="1"/>
  <c r="F496" i="3" s="1" a="1"/>
  <c r="F496" i="3" s="1"/>
  <c r="S493" i="1"/>
  <c r="F497" i="3" s="1" a="1"/>
  <c r="F497" i="3" s="1"/>
  <c r="S494" i="1"/>
  <c r="F498" i="3" s="1" a="1"/>
  <c r="F498" i="3" s="1"/>
  <c r="S495" i="1"/>
  <c r="F499" i="3" s="1" a="1"/>
  <c r="F499" i="3" s="1"/>
  <c r="S496" i="1"/>
  <c r="F500" i="3" s="1" a="1"/>
  <c r="F500" i="3" s="1"/>
  <c r="S497" i="1"/>
  <c r="F501" i="3" s="1" a="1"/>
  <c r="F501" i="3" s="1"/>
  <c r="S498" i="1"/>
  <c r="F502" i="3" s="1" a="1"/>
  <c r="F502" i="3" s="1"/>
  <c r="S499" i="1"/>
  <c r="F503" i="3" s="1" a="1"/>
  <c r="F503" i="3" s="1"/>
  <c r="S500" i="1"/>
  <c r="F504" i="3" s="1" a="1"/>
  <c r="F504" i="3" s="1"/>
  <c r="S501" i="1"/>
  <c r="F505" i="3" s="1" a="1"/>
  <c r="F505" i="3" s="1"/>
  <c r="S502" i="1"/>
  <c r="F506" i="3" s="1" a="1"/>
  <c r="F506" i="3" s="1"/>
  <c r="S503" i="1"/>
  <c r="F507" i="3" s="1" a="1"/>
  <c r="F507" i="3" s="1"/>
  <c r="S504" i="1"/>
  <c r="F508" i="3" s="1" a="1"/>
  <c r="F508" i="3" s="1"/>
  <c r="S505" i="1"/>
  <c r="F509" i="3" s="1" a="1"/>
  <c r="F509" i="3" s="1"/>
  <c r="S506" i="1"/>
  <c r="F510" i="3" s="1" a="1"/>
  <c r="F510" i="3" s="1"/>
  <c r="S507" i="1"/>
  <c r="F511" i="3" s="1" a="1"/>
  <c r="F511" i="3" s="1"/>
  <c r="S508" i="1"/>
  <c r="F512" i="3" s="1" a="1"/>
  <c r="F512" i="3" s="1"/>
  <c r="S509" i="1"/>
  <c r="F513" i="3" s="1" a="1"/>
  <c r="F513" i="3" s="1"/>
  <c r="S510" i="1"/>
  <c r="F514" i="3" s="1" a="1"/>
  <c r="F514" i="3" s="1"/>
  <c r="S511" i="1"/>
  <c r="F515" i="3" s="1" a="1"/>
  <c r="F515" i="3" s="1"/>
  <c r="S512" i="1"/>
  <c r="F516" i="3" s="1" a="1"/>
  <c r="F516" i="3" s="1"/>
  <c r="S513" i="1"/>
  <c r="F517" i="3" s="1" a="1"/>
  <c r="F517" i="3" s="1"/>
  <c r="S514" i="1"/>
  <c r="F518" i="3" s="1" a="1"/>
  <c r="F518" i="3" s="1"/>
  <c r="S515" i="1"/>
  <c r="F519" i="3" s="1" a="1"/>
  <c r="F519" i="3" s="1"/>
  <c r="S516" i="1"/>
  <c r="F520" i="3" s="1" a="1"/>
  <c r="F520" i="3" s="1"/>
  <c r="S517" i="1"/>
  <c r="F521" i="3" s="1" a="1"/>
  <c r="F521" i="3" s="1"/>
  <c r="S518" i="1"/>
  <c r="F522" i="3" s="1" a="1"/>
  <c r="F522" i="3" s="1"/>
  <c r="S519" i="1"/>
  <c r="F523" i="3" s="1" a="1"/>
  <c r="F523" i="3" s="1"/>
  <c r="S520" i="1"/>
  <c r="F524" i="3" s="1" a="1"/>
  <c r="F524" i="3" s="1"/>
  <c r="S521" i="1"/>
  <c r="F525" i="3" s="1" a="1"/>
  <c r="F525" i="3" s="1"/>
  <c r="S522" i="1"/>
  <c r="F526" i="3" s="1" a="1"/>
  <c r="F526" i="3" s="1"/>
  <c r="S523" i="1"/>
  <c r="F527" i="3" s="1" a="1"/>
  <c r="F527" i="3" s="1"/>
  <c r="S524" i="1"/>
  <c r="F528" i="3" s="1" a="1"/>
  <c r="F528" i="3" s="1"/>
  <c r="S525" i="1"/>
  <c r="F529" i="3" s="1" a="1"/>
  <c r="F529" i="3" s="1"/>
  <c r="S526" i="1"/>
  <c r="F530" i="3" s="1" a="1"/>
  <c r="F530" i="3" s="1"/>
  <c r="S527" i="1"/>
  <c r="F531" i="3" s="1" a="1"/>
  <c r="F531" i="3" s="1"/>
  <c r="S528" i="1"/>
  <c r="F532" i="3" s="1" a="1"/>
  <c r="F532" i="3" s="1"/>
  <c r="S529" i="1"/>
  <c r="F533" i="3" s="1" a="1"/>
  <c r="F533" i="3" s="1"/>
  <c r="S530" i="1"/>
  <c r="F534" i="3" s="1" a="1"/>
  <c r="F534" i="3" s="1"/>
  <c r="S531" i="1"/>
  <c r="F535" i="3" s="1" a="1"/>
  <c r="F535" i="3" s="1"/>
  <c r="S532" i="1"/>
  <c r="F536" i="3" s="1" a="1"/>
  <c r="F536" i="3" s="1"/>
  <c r="S533" i="1"/>
  <c r="F537" i="3" s="1" a="1"/>
  <c r="F537" i="3" s="1"/>
  <c r="S534" i="1"/>
  <c r="F538" i="3" s="1" a="1"/>
  <c r="F538" i="3" s="1"/>
  <c r="S535" i="1"/>
  <c r="F539" i="3" s="1" a="1"/>
  <c r="F539" i="3" s="1"/>
  <c r="S536" i="1"/>
  <c r="F540" i="3" s="1" a="1"/>
  <c r="F540" i="3" s="1"/>
  <c r="S537" i="1"/>
  <c r="F541" i="3" s="1" a="1"/>
  <c r="F541" i="3" s="1"/>
  <c r="S538" i="1"/>
  <c r="F542" i="3" s="1" a="1"/>
  <c r="F542" i="3" s="1"/>
  <c r="S539" i="1"/>
  <c r="F543" i="3" s="1" a="1"/>
  <c r="F543" i="3" s="1"/>
  <c r="S540" i="1"/>
  <c r="F544" i="3" s="1" a="1"/>
  <c r="F544" i="3" s="1"/>
  <c r="S541" i="1"/>
  <c r="F545" i="3" s="1" a="1"/>
  <c r="F545" i="3" s="1"/>
  <c r="S542" i="1"/>
  <c r="F546" i="3" s="1" a="1"/>
  <c r="F546" i="3" s="1"/>
  <c r="S543" i="1"/>
  <c r="F547" i="3" s="1" a="1"/>
  <c r="F547" i="3" s="1"/>
  <c r="S544" i="1"/>
  <c r="F548" i="3" s="1" a="1"/>
  <c r="F548" i="3" s="1"/>
  <c r="S545" i="1"/>
  <c r="F549" i="3" s="1" a="1"/>
  <c r="F549" i="3" s="1"/>
  <c r="S546" i="1"/>
  <c r="F550" i="3" s="1" a="1"/>
  <c r="F550" i="3" s="1"/>
  <c r="S547" i="1"/>
  <c r="F551" i="3" s="1" a="1"/>
  <c r="F551" i="3" s="1"/>
  <c r="S548" i="1"/>
  <c r="F552" i="3" s="1" a="1"/>
  <c r="F552" i="3" s="1"/>
  <c r="S549" i="1"/>
  <c r="F553" i="3" s="1" a="1"/>
  <c r="F553" i="3" s="1"/>
  <c r="S550" i="1"/>
  <c r="F554" i="3" s="1" a="1"/>
  <c r="F554" i="3" s="1"/>
  <c r="S551" i="1"/>
  <c r="F555" i="3" s="1" a="1"/>
  <c r="F555" i="3" s="1"/>
  <c r="S552" i="1"/>
  <c r="F556" i="3" s="1" a="1"/>
  <c r="F556" i="3" s="1"/>
  <c r="S553" i="1"/>
  <c r="F557" i="3" s="1" a="1"/>
  <c r="F557" i="3" s="1"/>
  <c r="S554" i="1"/>
  <c r="F558" i="3" s="1" a="1"/>
  <c r="F558" i="3" s="1"/>
  <c r="S555" i="1"/>
  <c r="F559" i="3" s="1" a="1"/>
  <c r="F559" i="3" s="1"/>
  <c r="S556" i="1"/>
  <c r="F560" i="3" s="1" a="1"/>
  <c r="F560" i="3" s="1"/>
  <c r="S557" i="1"/>
  <c r="F561" i="3" s="1" a="1"/>
  <c r="F561" i="3" s="1"/>
  <c r="S558" i="1"/>
  <c r="F562" i="3" s="1" a="1"/>
  <c r="F562" i="3" s="1"/>
  <c r="S559" i="1"/>
  <c r="F563" i="3" s="1" a="1"/>
  <c r="F563" i="3" s="1"/>
  <c r="S560" i="1"/>
  <c r="F564" i="3" s="1" a="1"/>
  <c r="F564" i="3" s="1"/>
  <c r="S561" i="1"/>
  <c r="F565" i="3" s="1" a="1"/>
  <c r="F565" i="3" s="1"/>
  <c r="S562" i="1"/>
  <c r="F566" i="3" s="1" a="1"/>
  <c r="F566" i="3" s="1"/>
  <c r="S563" i="1"/>
  <c r="F567" i="3" s="1" a="1"/>
  <c r="F567" i="3" s="1"/>
  <c r="S564" i="1"/>
  <c r="F568" i="3" s="1" a="1"/>
  <c r="F568" i="3" s="1"/>
  <c r="S565" i="1"/>
  <c r="F569" i="3" s="1" a="1"/>
  <c r="F569" i="3" s="1"/>
  <c r="S566" i="1"/>
  <c r="F570" i="3" s="1" a="1"/>
  <c r="F570" i="3" s="1"/>
  <c r="S567" i="1"/>
  <c r="F571" i="3" s="1" a="1"/>
  <c r="F571" i="3" s="1"/>
  <c r="S568" i="1"/>
  <c r="F572" i="3" s="1" a="1"/>
  <c r="F572" i="3" s="1"/>
  <c r="S569" i="1"/>
  <c r="F573" i="3" s="1" a="1"/>
  <c r="F573" i="3" s="1"/>
  <c r="S570" i="1"/>
  <c r="F574" i="3" s="1" a="1"/>
  <c r="F574" i="3" s="1"/>
  <c r="S571" i="1"/>
  <c r="F575" i="3" s="1" a="1"/>
  <c r="F575" i="3" s="1"/>
  <c r="S572" i="1"/>
  <c r="F576" i="3" s="1" a="1"/>
  <c r="F576" i="3" s="1"/>
  <c r="S573" i="1"/>
  <c r="F577" i="3" s="1" a="1"/>
  <c r="F577" i="3" s="1"/>
  <c r="S574" i="1"/>
  <c r="F578" i="3" s="1" a="1"/>
  <c r="F578" i="3" s="1"/>
  <c r="S575" i="1"/>
  <c r="F579" i="3" s="1" a="1"/>
  <c r="F579" i="3" s="1"/>
  <c r="S576" i="1"/>
  <c r="F580" i="3" s="1" a="1"/>
  <c r="F580" i="3" s="1"/>
  <c r="S577" i="1"/>
  <c r="F581" i="3" s="1" a="1"/>
  <c r="F581" i="3" s="1"/>
  <c r="S578" i="1"/>
  <c r="F582" i="3" s="1" a="1"/>
  <c r="F582" i="3" s="1"/>
  <c r="S579" i="1"/>
  <c r="F583" i="3" s="1" a="1"/>
  <c r="F583" i="3" s="1"/>
  <c r="S580" i="1"/>
  <c r="F584" i="3" s="1" a="1"/>
  <c r="F584" i="3" s="1"/>
  <c r="S581" i="1"/>
  <c r="F585" i="3" s="1" a="1"/>
  <c r="F585" i="3" s="1"/>
  <c r="S582" i="1"/>
  <c r="F586" i="3" s="1" a="1"/>
  <c r="F586" i="3" s="1"/>
  <c r="S583" i="1"/>
  <c r="F587" i="3" s="1" a="1"/>
  <c r="F587" i="3" s="1"/>
  <c r="S584" i="1"/>
  <c r="F588" i="3" s="1" a="1"/>
  <c r="F588" i="3" s="1"/>
  <c r="S585" i="1"/>
  <c r="F589" i="3" s="1" a="1"/>
  <c r="F589" i="3" s="1"/>
  <c r="S586" i="1"/>
  <c r="F590" i="3" s="1" a="1"/>
  <c r="F590" i="3" s="1"/>
  <c r="S587" i="1"/>
  <c r="F591" i="3" s="1" a="1"/>
  <c r="F591" i="3" s="1"/>
  <c r="S588" i="1"/>
  <c r="F592" i="3" s="1" a="1"/>
  <c r="F592" i="3" s="1"/>
  <c r="S589" i="1"/>
  <c r="F593" i="3" s="1" a="1"/>
  <c r="F593" i="3" s="1"/>
  <c r="S590" i="1"/>
  <c r="F594" i="3" s="1" a="1"/>
  <c r="F594" i="3" s="1"/>
  <c r="S591" i="1"/>
  <c r="F595" i="3" s="1" a="1"/>
  <c r="F595" i="3" s="1"/>
  <c r="S592" i="1"/>
  <c r="F596" i="3" s="1" a="1"/>
  <c r="F596" i="3" s="1"/>
  <c r="S593" i="1"/>
  <c r="F597" i="3" s="1" a="1"/>
  <c r="F597" i="3" s="1"/>
  <c r="S594" i="1"/>
  <c r="F598" i="3" s="1" a="1"/>
  <c r="F598" i="3" s="1"/>
  <c r="S595" i="1"/>
  <c r="F599" i="3" s="1" a="1"/>
  <c r="F599" i="3" s="1"/>
  <c r="S596" i="1"/>
  <c r="F600" i="3" s="1" a="1"/>
  <c r="F600" i="3" s="1"/>
  <c r="S597" i="1"/>
  <c r="F601" i="3" s="1" a="1"/>
  <c r="F601" i="3" s="1"/>
  <c r="S598" i="1"/>
  <c r="F602" i="3" s="1" a="1"/>
  <c r="F602" i="3" s="1"/>
  <c r="S599" i="1"/>
  <c r="F603" i="3" s="1" a="1"/>
  <c r="F603" i="3" s="1"/>
  <c r="S600" i="1"/>
  <c r="F604" i="3" s="1" a="1"/>
  <c r="F604" i="3" s="1"/>
  <c r="S601" i="1"/>
  <c r="F605" i="3" s="1" a="1"/>
  <c r="F605" i="3" s="1"/>
  <c r="S602" i="1"/>
  <c r="F606" i="3" s="1" a="1"/>
  <c r="F606" i="3" s="1"/>
  <c r="S603" i="1"/>
  <c r="F607" i="3" s="1" a="1"/>
  <c r="F607" i="3" s="1"/>
  <c r="S604" i="1"/>
  <c r="F608" i="3" s="1" a="1"/>
  <c r="F608" i="3" s="1"/>
  <c r="S605" i="1"/>
  <c r="F609" i="3" s="1" a="1"/>
  <c r="F609" i="3" s="1"/>
  <c r="S606" i="1"/>
  <c r="F610" i="3" s="1" a="1"/>
  <c r="F610" i="3" s="1"/>
  <c r="S607" i="1"/>
  <c r="F611" i="3" s="1" a="1"/>
  <c r="F611" i="3" s="1"/>
  <c r="S608" i="1"/>
  <c r="F612" i="3" s="1" a="1"/>
  <c r="F612" i="3" s="1"/>
  <c r="S609" i="1"/>
  <c r="F613" i="3" s="1" a="1"/>
  <c r="F613" i="3" s="1"/>
  <c r="S610" i="1"/>
  <c r="F614" i="3" s="1" a="1"/>
  <c r="F614" i="3" s="1"/>
  <c r="S611" i="1"/>
  <c r="F615" i="3" s="1" a="1"/>
  <c r="F615" i="3" s="1"/>
  <c r="S612" i="1"/>
  <c r="F616" i="3" s="1" a="1"/>
  <c r="F616" i="3" s="1"/>
  <c r="S613" i="1"/>
  <c r="F617" i="3" s="1" a="1"/>
  <c r="F617" i="3" s="1"/>
  <c r="S614" i="1"/>
  <c r="F618" i="3" s="1" a="1"/>
  <c r="F618" i="3" s="1"/>
  <c r="S615" i="1"/>
  <c r="F619" i="3" s="1" a="1"/>
  <c r="F619" i="3" s="1"/>
  <c r="S616" i="1"/>
  <c r="F620" i="3" s="1" a="1"/>
  <c r="F620" i="3" s="1"/>
  <c r="S617" i="1"/>
  <c r="F621" i="3" s="1" a="1"/>
  <c r="F621" i="3" s="1"/>
  <c r="S618" i="1"/>
  <c r="F622" i="3" s="1" a="1"/>
  <c r="F622" i="3" s="1"/>
  <c r="S619" i="1"/>
  <c r="F623" i="3" s="1" a="1"/>
  <c r="F623" i="3" s="1"/>
  <c r="S620" i="1"/>
  <c r="F624" i="3" s="1" a="1"/>
  <c r="F624" i="3" s="1"/>
  <c r="S621" i="1"/>
  <c r="F625" i="3" s="1" a="1"/>
  <c r="F625" i="3" s="1"/>
  <c r="S622" i="1"/>
  <c r="F626" i="3" s="1" a="1"/>
  <c r="F626" i="3" s="1"/>
  <c r="S623" i="1"/>
  <c r="F627" i="3" s="1" a="1"/>
  <c r="F627" i="3" s="1"/>
  <c r="S624" i="1"/>
  <c r="F628" i="3" s="1" a="1"/>
  <c r="F628" i="3" s="1"/>
  <c r="S625" i="1"/>
  <c r="F629" i="3" s="1" a="1"/>
  <c r="F629" i="3" s="1"/>
  <c r="S626" i="1"/>
  <c r="F630" i="3" s="1" a="1"/>
  <c r="F630" i="3" s="1"/>
  <c r="S627" i="1"/>
  <c r="F631" i="3" s="1" a="1"/>
  <c r="F631" i="3" s="1"/>
  <c r="S628" i="1"/>
  <c r="F632" i="3" s="1" a="1"/>
  <c r="F632" i="3" s="1"/>
  <c r="S629" i="1"/>
  <c r="F633" i="3" s="1" a="1"/>
  <c r="F633" i="3" s="1"/>
  <c r="S630" i="1"/>
  <c r="F634" i="3" s="1" a="1"/>
  <c r="F634" i="3" s="1"/>
  <c r="S631" i="1"/>
  <c r="F635" i="3" s="1" a="1"/>
  <c r="F635" i="3" s="1"/>
  <c r="S632" i="1"/>
  <c r="F636" i="3" s="1" a="1"/>
  <c r="F636" i="3" s="1"/>
  <c r="S633" i="1"/>
  <c r="F637" i="3" s="1" a="1"/>
  <c r="F637" i="3" s="1"/>
  <c r="S634" i="1"/>
  <c r="F638" i="3" s="1" a="1"/>
  <c r="F638" i="3" s="1"/>
  <c r="S635" i="1"/>
  <c r="F639" i="3" s="1" a="1"/>
  <c r="F639" i="3" s="1"/>
  <c r="S636" i="1"/>
  <c r="F640" i="3" s="1" a="1"/>
  <c r="F640" i="3" s="1"/>
  <c r="S637" i="1"/>
  <c r="F641" i="3" s="1" a="1"/>
  <c r="F641" i="3" s="1"/>
  <c r="S638" i="1"/>
  <c r="F642" i="3" s="1" a="1"/>
  <c r="F642" i="3" s="1"/>
  <c r="S639" i="1"/>
  <c r="F643" i="3" s="1" a="1"/>
  <c r="F643" i="3" s="1"/>
  <c r="S640" i="1"/>
  <c r="F644" i="3" s="1" a="1"/>
  <c r="F644" i="3" s="1"/>
  <c r="S641" i="1"/>
  <c r="F645" i="3" s="1" a="1"/>
  <c r="F645" i="3" s="1"/>
  <c r="S642" i="1"/>
  <c r="F646" i="3" s="1" a="1"/>
  <c r="F646" i="3" s="1"/>
  <c r="S643" i="1"/>
  <c r="F647" i="3" s="1" a="1"/>
  <c r="F647" i="3" s="1"/>
  <c r="S644" i="1"/>
  <c r="F648" i="3" s="1" a="1"/>
  <c r="F648" i="3" s="1"/>
  <c r="S645" i="1"/>
  <c r="F649" i="3" s="1" a="1"/>
  <c r="F649" i="3" s="1"/>
  <c r="S646" i="1"/>
  <c r="F650" i="3" s="1" a="1"/>
  <c r="F650" i="3" s="1"/>
  <c r="S647" i="1"/>
  <c r="F651" i="3" s="1" a="1"/>
  <c r="F651" i="3" s="1"/>
  <c r="S648" i="1"/>
  <c r="F652" i="3" s="1" a="1"/>
  <c r="F652" i="3" s="1"/>
  <c r="S649" i="1"/>
  <c r="F653" i="3" s="1" a="1"/>
  <c r="F653" i="3" s="1"/>
  <c r="S650" i="1"/>
  <c r="F654" i="3" s="1" a="1"/>
  <c r="F654" i="3" s="1"/>
  <c r="S651" i="1"/>
  <c r="F655" i="3" s="1" a="1"/>
  <c r="F655" i="3" s="1"/>
  <c r="S652" i="1"/>
  <c r="F656" i="3" s="1" a="1"/>
  <c r="F656" i="3" s="1"/>
  <c r="S653" i="1"/>
  <c r="F657" i="3" s="1" a="1"/>
  <c r="F657" i="3" s="1"/>
  <c r="S654" i="1"/>
  <c r="F658" i="3" s="1" a="1"/>
  <c r="F658" i="3" s="1"/>
  <c r="S655" i="1"/>
  <c r="F659" i="3" s="1" a="1"/>
  <c r="F659" i="3" s="1"/>
  <c r="S656" i="1"/>
  <c r="F660" i="3" s="1" a="1"/>
  <c r="F660" i="3" s="1"/>
  <c r="S657" i="1"/>
  <c r="F661" i="3" s="1" a="1"/>
  <c r="F661" i="3" s="1"/>
  <c r="S658" i="1"/>
  <c r="F662" i="3" s="1" a="1"/>
  <c r="F662" i="3" s="1"/>
  <c r="S659" i="1"/>
  <c r="F663" i="3" s="1" a="1"/>
  <c r="F663" i="3" s="1"/>
  <c r="S660" i="1"/>
  <c r="F664" i="3" s="1" a="1"/>
  <c r="F664" i="3" s="1"/>
  <c r="S661" i="1"/>
  <c r="F665" i="3" s="1" a="1"/>
  <c r="F665" i="3" s="1"/>
  <c r="S662" i="1"/>
  <c r="F666" i="3" s="1" a="1"/>
  <c r="F666" i="3" s="1"/>
  <c r="S663" i="1"/>
  <c r="F667" i="3" s="1" a="1"/>
  <c r="F667" i="3" s="1"/>
  <c r="S664" i="1"/>
  <c r="F668" i="3" s="1" a="1"/>
  <c r="F668" i="3" s="1"/>
  <c r="S665" i="1"/>
  <c r="F669" i="3" s="1" a="1"/>
  <c r="F669" i="3" s="1"/>
  <c r="S666" i="1"/>
  <c r="F670" i="3" s="1" a="1"/>
  <c r="F670" i="3" s="1"/>
  <c r="S667" i="1"/>
  <c r="F671" i="3" s="1" a="1"/>
  <c r="F671" i="3" s="1"/>
  <c r="S668" i="1"/>
  <c r="F672" i="3" s="1" a="1"/>
  <c r="F672" i="3" s="1"/>
  <c r="S669" i="1"/>
  <c r="F673" i="3" s="1" a="1"/>
  <c r="F673" i="3" s="1"/>
  <c r="S670" i="1"/>
  <c r="F674" i="3" s="1" a="1"/>
  <c r="F674" i="3" s="1"/>
  <c r="S671" i="1"/>
  <c r="F675" i="3" s="1" a="1"/>
  <c r="F675" i="3" s="1"/>
  <c r="S672" i="1"/>
  <c r="F676" i="3" s="1" a="1"/>
  <c r="F676" i="3" s="1"/>
  <c r="S673" i="1"/>
  <c r="F677" i="3" s="1" a="1"/>
  <c r="F677" i="3" s="1"/>
  <c r="S674" i="1"/>
  <c r="F678" i="3" s="1" a="1"/>
  <c r="F678" i="3" s="1"/>
  <c r="S675" i="1"/>
  <c r="F679" i="3" s="1" a="1"/>
  <c r="F679" i="3" s="1"/>
  <c r="S676" i="1"/>
  <c r="F680" i="3" s="1" a="1"/>
  <c r="F680" i="3" s="1"/>
  <c r="S677" i="1"/>
  <c r="F681" i="3" s="1" a="1"/>
  <c r="F681" i="3" s="1"/>
  <c r="S678" i="1"/>
  <c r="F682" i="3" s="1" a="1"/>
  <c r="F682" i="3" s="1"/>
  <c r="S679" i="1"/>
  <c r="F683" i="3" s="1" a="1"/>
  <c r="F683" i="3" s="1"/>
  <c r="S680" i="1"/>
  <c r="F684" i="3" s="1" a="1"/>
  <c r="F684" i="3" s="1"/>
  <c r="S681" i="1"/>
  <c r="F685" i="3" s="1" a="1"/>
  <c r="F685" i="3" s="1"/>
  <c r="S682" i="1"/>
  <c r="F686" i="3" s="1" a="1"/>
  <c r="F686" i="3" s="1"/>
  <c r="S683" i="1"/>
  <c r="F687" i="3" s="1" a="1"/>
  <c r="F687" i="3" s="1"/>
  <c r="S684" i="1"/>
  <c r="F688" i="3" s="1" a="1"/>
  <c r="F688" i="3" s="1"/>
  <c r="S685" i="1"/>
  <c r="F689" i="3" s="1" a="1"/>
  <c r="F689" i="3" s="1"/>
  <c r="S686" i="1"/>
  <c r="F690" i="3" s="1" a="1"/>
  <c r="F690" i="3" s="1"/>
  <c r="S687" i="1"/>
  <c r="F691" i="3" s="1" a="1"/>
  <c r="F691" i="3" s="1"/>
  <c r="S688" i="1"/>
  <c r="F692" i="3" s="1" a="1"/>
  <c r="F692" i="3" s="1"/>
  <c r="S689" i="1"/>
  <c r="F693" i="3" s="1" a="1"/>
  <c r="F693" i="3" s="1"/>
  <c r="S690" i="1"/>
  <c r="F694" i="3" s="1" a="1"/>
  <c r="F694" i="3" s="1"/>
  <c r="S691" i="1"/>
  <c r="F695" i="3" s="1" a="1"/>
  <c r="F695" i="3" s="1"/>
  <c r="S692" i="1"/>
  <c r="F696" i="3" s="1" a="1"/>
  <c r="F696" i="3" s="1"/>
  <c r="S693" i="1"/>
  <c r="F697" i="3" s="1" a="1"/>
  <c r="F697" i="3" s="1"/>
  <c r="S694" i="1"/>
  <c r="F698" i="3" s="1" a="1"/>
  <c r="F698" i="3" s="1"/>
  <c r="S695" i="1"/>
  <c r="F699" i="3" s="1" a="1"/>
  <c r="F699" i="3" s="1"/>
  <c r="S696" i="1"/>
  <c r="F700" i="3" s="1" a="1"/>
  <c r="F700" i="3" s="1"/>
  <c r="S697" i="1"/>
  <c r="F701" i="3" s="1" a="1"/>
  <c r="F701" i="3" s="1"/>
  <c r="S698" i="1"/>
  <c r="F702" i="3" s="1" a="1"/>
  <c r="F702" i="3" s="1"/>
  <c r="S699" i="1"/>
  <c r="F703" i="3" s="1" a="1"/>
  <c r="F703" i="3" s="1"/>
  <c r="S700" i="1"/>
  <c r="F704" i="3" s="1" a="1"/>
  <c r="F704" i="3" s="1"/>
  <c r="S701" i="1"/>
  <c r="F705" i="3" s="1" a="1"/>
  <c r="F705" i="3" s="1"/>
  <c r="S702" i="1"/>
  <c r="F706" i="3" s="1" a="1"/>
  <c r="F706" i="3" s="1"/>
  <c r="S703" i="1"/>
  <c r="F707" i="3" s="1" a="1"/>
  <c r="F707" i="3" s="1"/>
  <c r="S704" i="1"/>
  <c r="F708" i="3" s="1" a="1"/>
  <c r="F708" i="3" s="1"/>
  <c r="S705" i="1"/>
  <c r="F709" i="3" s="1" a="1"/>
  <c r="F709" i="3" s="1"/>
  <c r="S706" i="1"/>
  <c r="F710" i="3" s="1" a="1"/>
  <c r="F710" i="3" s="1"/>
  <c r="S707" i="1"/>
  <c r="F711" i="3" s="1" a="1"/>
  <c r="F711" i="3" s="1"/>
  <c r="S708" i="1"/>
  <c r="F712" i="3" s="1" a="1"/>
  <c r="F712" i="3" s="1"/>
  <c r="S709" i="1"/>
  <c r="F713" i="3" s="1" a="1"/>
  <c r="F713" i="3" s="1"/>
  <c r="S710" i="1"/>
  <c r="F714" i="3" s="1" a="1"/>
  <c r="F714" i="3" s="1"/>
  <c r="S711" i="1"/>
  <c r="F715" i="3" s="1" a="1"/>
  <c r="F715" i="3" s="1"/>
  <c r="S712" i="1"/>
  <c r="F716" i="3" s="1" a="1"/>
  <c r="F716" i="3" s="1"/>
  <c r="S713" i="1"/>
  <c r="F717" i="3" s="1" a="1"/>
  <c r="F717" i="3" s="1"/>
  <c r="S714" i="1"/>
  <c r="F718" i="3" s="1" a="1"/>
  <c r="F718" i="3" s="1"/>
  <c r="S715" i="1"/>
  <c r="F719" i="3" s="1" a="1"/>
  <c r="F719" i="3" s="1"/>
  <c r="S716" i="1"/>
  <c r="F720" i="3" s="1" a="1"/>
  <c r="F720" i="3" s="1"/>
  <c r="S717" i="1"/>
  <c r="F721" i="3" s="1" a="1"/>
  <c r="F721" i="3" s="1"/>
  <c r="S718" i="1"/>
  <c r="F722" i="3" s="1" a="1"/>
  <c r="F722" i="3" s="1"/>
  <c r="S719" i="1"/>
  <c r="F723" i="3" s="1" a="1"/>
  <c r="F723" i="3" s="1"/>
  <c r="S720" i="1"/>
  <c r="F724" i="3" s="1" a="1"/>
  <c r="F724" i="3" s="1"/>
  <c r="S721" i="1"/>
  <c r="F725" i="3" s="1" a="1"/>
  <c r="F725" i="3" s="1"/>
  <c r="S722" i="1"/>
  <c r="F726" i="3" s="1" a="1"/>
  <c r="F726" i="3" s="1"/>
  <c r="S723" i="1"/>
  <c r="F727" i="3" s="1" a="1"/>
  <c r="F727" i="3" s="1"/>
  <c r="S724" i="1"/>
  <c r="F728" i="3" s="1" a="1"/>
  <c r="F728" i="3" s="1"/>
  <c r="S725" i="1"/>
  <c r="F729" i="3" s="1" a="1"/>
  <c r="F729" i="3" s="1"/>
  <c r="S726" i="1"/>
  <c r="F730" i="3" s="1" a="1"/>
  <c r="F730" i="3" s="1"/>
  <c r="S727" i="1"/>
  <c r="F731" i="3" s="1" a="1"/>
  <c r="F731" i="3" s="1"/>
  <c r="S728" i="1"/>
  <c r="F732" i="3" s="1" a="1"/>
  <c r="F732" i="3" s="1"/>
  <c r="S729" i="1"/>
  <c r="F733" i="3" s="1" a="1"/>
  <c r="F733" i="3" s="1"/>
  <c r="S730" i="1"/>
  <c r="F734" i="3" s="1" a="1"/>
  <c r="F734" i="3" s="1"/>
  <c r="S731" i="1"/>
  <c r="F735" i="3" s="1" a="1"/>
  <c r="F735" i="3" s="1"/>
  <c r="S732" i="1"/>
  <c r="F736" i="3" s="1" a="1"/>
  <c r="F736" i="3" s="1"/>
  <c r="S733" i="1"/>
  <c r="F737" i="3" s="1" a="1"/>
  <c r="F737" i="3" s="1"/>
  <c r="S734" i="1"/>
  <c r="F738" i="3" s="1" a="1"/>
  <c r="F738" i="3" s="1"/>
  <c r="S735" i="1"/>
  <c r="F739" i="3" s="1" a="1"/>
  <c r="F739" i="3" s="1"/>
  <c r="S736" i="1"/>
  <c r="F740" i="3" s="1" a="1"/>
  <c r="F740" i="3" s="1"/>
  <c r="S737" i="1"/>
  <c r="F741" i="3" s="1" a="1"/>
  <c r="F741" i="3" s="1"/>
  <c r="S738" i="1"/>
  <c r="F742" i="3" s="1" a="1"/>
  <c r="F742" i="3" s="1"/>
  <c r="S739" i="1"/>
  <c r="F743" i="3" s="1" a="1"/>
  <c r="F743" i="3" s="1"/>
  <c r="S740" i="1"/>
  <c r="F744" i="3" s="1" a="1"/>
  <c r="F744" i="3" s="1"/>
  <c r="S741" i="1"/>
  <c r="F745" i="3" s="1" a="1"/>
  <c r="F745" i="3" s="1"/>
  <c r="S742" i="1"/>
  <c r="F746" i="3" s="1" a="1"/>
  <c r="F746" i="3" s="1"/>
  <c r="S743" i="1"/>
  <c r="F747" i="3" s="1" a="1"/>
  <c r="F747" i="3" s="1"/>
  <c r="S744" i="1"/>
  <c r="F748" i="3" s="1" a="1"/>
  <c r="F748" i="3" s="1"/>
  <c r="S745" i="1"/>
  <c r="F749" i="3" s="1" a="1"/>
  <c r="F749" i="3" s="1"/>
  <c r="S746" i="1"/>
  <c r="F750" i="3" s="1" a="1"/>
  <c r="F750" i="3" s="1"/>
  <c r="S747" i="1"/>
  <c r="F751" i="3" s="1" a="1"/>
  <c r="F751" i="3" s="1"/>
  <c r="S748" i="1"/>
  <c r="F752" i="3" s="1" a="1"/>
  <c r="F752" i="3" s="1"/>
  <c r="S749" i="1"/>
  <c r="F753" i="3" s="1" a="1"/>
  <c r="F753" i="3" s="1"/>
  <c r="S750" i="1"/>
  <c r="F754" i="3" s="1" a="1"/>
  <c r="F754" i="3" s="1"/>
  <c r="S751" i="1"/>
  <c r="F755" i="3" s="1" a="1"/>
  <c r="F755" i="3" s="1"/>
  <c r="S752" i="1"/>
  <c r="F756" i="3" s="1" a="1"/>
  <c r="F756" i="3" s="1"/>
  <c r="S753" i="1"/>
  <c r="F757" i="3" s="1" a="1"/>
  <c r="F757" i="3" s="1"/>
  <c r="S754" i="1"/>
  <c r="F758" i="3" s="1" a="1"/>
  <c r="F758" i="3" s="1"/>
  <c r="S755" i="1"/>
  <c r="F759" i="3" s="1" a="1"/>
  <c r="F759" i="3" s="1"/>
  <c r="S756" i="1"/>
  <c r="F760" i="3" s="1" a="1"/>
  <c r="F760" i="3" s="1"/>
  <c r="S757" i="1"/>
  <c r="F761" i="3" s="1" a="1"/>
  <c r="F761" i="3" s="1"/>
  <c r="S758" i="1"/>
  <c r="F762" i="3" s="1" a="1"/>
  <c r="F762" i="3" s="1"/>
  <c r="S759" i="1"/>
  <c r="F763" i="3" s="1" a="1"/>
  <c r="F763" i="3" s="1"/>
  <c r="S760" i="1"/>
  <c r="F764" i="3" s="1" a="1"/>
  <c r="F764" i="3" s="1"/>
  <c r="S761" i="1"/>
  <c r="F765" i="3" s="1" a="1"/>
  <c r="F765" i="3" s="1"/>
  <c r="S762" i="1"/>
  <c r="F766" i="3" s="1" a="1"/>
  <c r="F766" i="3" s="1"/>
  <c r="S763" i="1"/>
  <c r="F767" i="3" s="1" a="1"/>
  <c r="F767" i="3" s="1"/>
  <c r="S764" i="1"/>
  <c r="F768" i="3" s="1" a="1"/>
  <c r="F768" i="3" s="1"/>
  <c r="S765" i="1"/>
  <c r="F769" i="3" s="1" a="1"/>
  <c r="F769" i="3" s="1"/>
  <c r="S766" i="1"/>
  <c r="F770" i="3" s="1" a="1"/>
  <c r="F770" i="3" s="1"/>
  <c r="S767" i="1"/>
  <c r="F771" i="3" s="1" a="1"/>
  <c r="F771" i="3" s="1"/>
  <c r="S768" i="1"/>
  <c r="F772" i="3" s="1" a="1"/>
  <c r="F772" i="3" s="1"/>
  <c r="S769" i="1"/>
  <c r="F773" i="3" s="1" a="1"/>
  <c r="F773" i="3" s="1"/>
  <c r="S770" i="1"/>
  <c r="F774" i="3" s="1" a="1"/>
  <c r="F774" i="3" s="1"/>
  <c r="S771" i="1"/>
  <c r="F775" i="3" s="1" a="1"/>
  <c r="F775" i="3" s="1"/>
  <c r="S772" i="1"/>
  <c r="F776" i="3" s="1" a="1"/>
  <c r="F776" i="3" s="1"/>
  <c r="S773" i="1"/>
  <c r="F777" i="3" s="1" a="1"/>
  <c r="F777" i="3" s="1"/>
  <c r="S774" i="1"/>
  <c r="F778" i="3" s="1" a="1"/>
  <c r="F778" i="3" s="1"/>
  <c r="S775" i="1"/>
  <c r="F779" i="3" s="1" a="1"/>
  <c r="F779" i="3" s="1"/>
  <c r="S776" i="1"/>
  <c r="F780" i="3" s="1" a="1"/>
  <c r="F780" i="3" s="1"/>
  <c r="S777" i="1"/>
  <c r="F781" i="3" s="1" a="1"/>
  <c r="F781" i="3" s="1"/>
  <c r="S778" i="1"/>
  <c r="F782" i="3" s="1" a="1"/>
  <c r="F782" i="3" s="1"/>
  <c r="S779" i="1"/>
  <c r="F783" i="3" s="1" a="1"/>
  <c r="F783" i="3" s="1"/>
  <c r="S780" i="1"/>
  <c r="F784" i="3" s="1" a="1"/>
  <c r="F784" i="3" s="1"/>
  <c r="S781" i="1"/>
  <c r="F785" i="3" s="1" a="1"/>
  <c r="F785" i="3" s="1"/>
  <c r="S782" i="1"/>
  <c r="F786" i="3" s="1" a="1"/>
  <c r="F786" i="3" s="1"/>
  <c r="S783" i="1"/>
  <c r="F787" i="3" s="1" a="1"/>
  <c r="F787" i="3" s="1"/>
  <c r="S784" i="1"/>
  <c r="F788" i="3" s="1" a="1"/>
  <c r="F788" i="3" s="1"/>
  <c r="S785" i="1"/>
  <c r="F789" i="3" s="1" a="1"/>
  <c r="F789" i="3" s="1"/>
  <c r="S786" i="1"/>
  <c r="F790" i="3" s="1" a="1"/>
  <c r="F790" i="3" s="1"/>
  <c r="S787" i="1"/>
  <c r="F791" i="3" s="1" a="1"/>
  <c r="F791" i="3" s="1"/>
  <c r="S788" i="1"/>
  <c r="F792" i="3" s="1" a="1"/>
  <c r="F792" i="3" s="1"/>
  <c r="S789" i="1"/>
  <c r="F793" i="3" s="1" a="1"/>
  <c r="F793" i="3" s="1"/>
  <c r="S790" i="1"/>
  <c r="F794" i="3" s="1" a="1"/>
  <c r="F794" i="3" s="1"/>
  <c r="S791" i="1"/>
  <c r="F795" i="3" s="1" a="1"/>
  <c r="F795" i="3" s="1"/>
  <c r="S792" i="1"/>
  <c r="F796" i="3" s="1" a="1"/>
  <c r="F796" i="3" s="1"/>
  <c r="S793" i="1"/>
  <c r="F797" i="3" s="1" a="1"/>
  <c r="F797" i="3" s="1"/>
  <c r="S794" i="1"/>
  <c r="F798" i="3" s="1" a="1"/>
  <c r="F798" i="3" s="1"/>
  <c r="S795" i="1"/>
  <c r="F799" i="3" s="1" a="1"/>
  <c r="F799" i="3" s="1"/>
  <c r="S796" i="1"/>
  <c r="F800" i="3" s="1" a="1"/>
  <c r="F800" i="3" s="1"/>
  <c r="S797" i="1"/>
  <c r="F801" i="3" s="1" a="1"/>
  <c r="F801" i="3" s="1"/>
  <c r="S798" i="1"/>
  <c r="F802" i="3" s="1" a="1"/>
  <c r="F802" i="3" s="1"/>
  <c r="S799" i="1"/>
  <c r="F803" i="3" s="1" a="1"/>
  <c r="F803" i="3" s="1"/>
  <c r="S800" i="1"/>
  <c r="F804" i="3" s="1" a="1"/>
  <c r="F804" i="3" s="1"/>
  <c r="S801" i="1"/>
  <c r="F805" i="3" s="1" a="1"/>
  <c r="F805" i="3" s="1"/>
  <c r="S802" i="1"/>
  <c r="F806" i="3" s="1" a="1"/>
  <c r="F806" i="3" s="1"/>
  <c r="S803" i="1"/>
  <c r="F807" i="3" s="1" a="1"/>
  <c r="F807" i="3" s="1"/>
  <c r="S804" i="1"/>
  <c r="F808" i="3" s="1" a="1"/>
  <c r="F808" i="3" s="1"/>
  <c r="S805" i="1"/>
  <c r="F809" i="3" s="1" a="1"/>
  <c r="F809" i="3" s="1"/>
  <c r="S806" i="1"/>
  <c r="F810" i="3" s="1" a="1"/>
  <c r="F810" i="3" s="1"/>
  <c r="S807" i="1"/>
  <c r="F811" i="3" s="1" a="1"/>
  <c r="F811" i="3" s="1"/>
  <c r="S808" i="1"/>
  <c r="F812" i="3" s="1" a="1"/>
  <c r="F812" i="3" s="1"/>
  <c r="S809" i="1"/>
  <c r="F813" i="3" s="1" a="1"/>
  <c r="F813" i="3" s="1"/>
  <c r="S810" i="1"/>
  <c r="F814" i="3" s="1" a="1"/>
  <c r="F814" i="3" s="1"/>
  <c r="S811" i="1"/>
  <c r="F815" i="3" s="1" a="1"/>
  <c r="F815" i="3" s="1"/>
  <c r="S812" i="1"/>
  <c r="F816" i="3" s="1" a="1"/>
  <c r="F816" i="3" s="1"/>
  <c r="S813" i="1"/>
  <c r="F817" i="3" s="1" a="1"/>
  <c r="F817" i="3" s="1"/>
  <c r="S814" i="1"/>
  <c r="F818" i="3" s="1" a="1"/>
  <c r="F818" i="3" s="1"/>
  <c r="S815" i="1"/>
  <c r="F819" i="3" s="1" a="1"/>
  <c r="F819" i="3" s="1"/>
  <c r="S816" i="1"/>
  <c r="F820" i="3" s="1" a="1"/>
  <c r="F820" i="3" s="1"/>
  <c r="S817" i="1"/>
  <c r="F821" i="3" s="1" a="1"/>
  <c r="F821" i="3" s="1"/>
  <c r="S818" i="1"/>
  <c r="F822" i="3" s="1" a="1"/>
  <c r="F822" i="3" s="1"/>
  <c r="S819" i="1"/>
  <c r="F823" i="3" s="1" a="1"/>
  <c r="F823" i="3" s="1"/>
  <c r="S820" i="1"/>
  <c r="F824" i="3" s="1" a="1"/>
  <c r="F824" i="3" s="1"/>
  <c r="S821" i="1"/>
  <c r="F825" i="3" s="1" a="1"/>
  <c r="F825" i="3" s="1"/>
  <c r="S822" i="1"/>
  <c r="F826" i="3" s="1" a="1"/>
  <c r="F826" i="3" s="1"/>
  <c r="S823" i="1"/>
  <c r="F827" i="3" s="1" a="1"/>
  <c r="F827" i="3" s="1"/>
  <c r="S824" i="1"/>
  <c r="F828" i="3" s="1" a="1"/>
  <c r="F828" i="3" s="1"/>
  <c r="S825" i="1"/>
  <c r="F829" i="3" s="1" a="1"/>
  <c r="F829" i="3" s="1"/>
  <c r="S826" i="1"/>
  <c r="F830" i="3" s="1" a="1"/>
  <c r="F830" i="3" s="1"/>
  <c r="S827" i="1"/>
  <c r="F831" i="3" s="1" a="1"/>
  <c r="F831" i="3" s="1"/>
  <c r="S828" i="1"/>
  <c r="F832" i="3" s="1" a="1"/>
  <c r="F832" i="3" s="1"/>
  <c r="S829" i="1"/>
  <c r="F833" i="3" s="1" a="1"/>
  <c r="F833" i="3" s="1"/>
  <c r="S830" i="1"/>
  <c r="F834" i="3" s="1" a="1"/>
  <c r="F834" i="3" s="1"/>
  <c r="S831" i="1"/>
  <c r="F835" i="3" s="1" a="1"/>
  <c r="F835" i="3" s="1"/>
  <c r="S832" i="1"/>
  <c r="F836" i="3" s="1" a="1"/>
  <c r="F836" i="3" s="1"/>
  <c r="S833" i="1"/>
  <c r="F837" i="3" s="1" a="1"/>
  <c r="F837" i="3" s="1"/>
  <c r="S834" i="1"/>
  <c r="F838" i="3" s="1" a="1"/>
  <c r="F838" i="3" s="1"/>
  <c r="S835" i="1"/>
  <c r="F839" i="3" s="1" a="1"/>
  <c r="F839" i="3" s="1"/>
  <c r="S836" i="1"/>
  <c r="F840" i="3" s="1" a="1"/>
  <c r="F840" i="3" s="1"/>
  <c r="S837" i="1"/>
  <c r="F841" i="3" s="1" a="1"/>
  <c r="F841" i="3" s="1"/>
  <c r="S838" i="1"/>
  <c r="F842" i="3" s="1" a="1"/>
  <c r="F842" i="3" s="1"/>
  <c r="S839" i="1"/>
  <c r="F843" i="3" s="1" a="1"/>
  <c r="F843" i="3" s="1"/>
  <c r="S840" i="1"/>
  <c r="F844" i="3" s="1" a="1"/>
  <c r="F844" i="3" s="1"/>
  <c r="S841" i="1"/>
  <c r="F845" i="3" s="1" a="1"/>
  <c r="F845" i="3" s="1"/>
  <c r="S842" i="1"/>
  <c r="F846" i="3" s="1" a="1"/>
  <c r="F846" i="3" s="1"/>
  <c r="S843" i="1"/>
  <c r="F847" i="3" s="1" a="1"/>
  <c r="F847" i="3" s="1"/>
  <c r="S844" i="1"/>
  <c r="F848" i="3" s="1" a="1"/>
  <c r="F848" i="3" s="1"/>
  <c r="S845" i="1"/>
  <c r="F849" i="3" s="1" a="1"/>
  <c r="F849" i="3" s="1"/>
  <c r="S846" i="1"/>
  <c r="F850" i="3" s="1" a="1"/>
  <c r="F850" i="3" s="1"/>
  <c r="S847" i="1"/>
  <c r="F851" i="3" s="1" a="1"/>
  <c r="F851" i="3" s="1"/>
  <c r="S848" i="1"/>
  <c r="F852" i="3" s="1" a="1"/>
  <c r="F852" i="3" s="1"/>
  <c r="S849" i="1"/>
  <c r="F853" i="3" s="1" a="1"/>
  <c r="F853" i="3" s="1"/>
  <c r="S850" i="1"/>
  <c r="F854" i="3" s="1" a="1"/>
  <c r="F854" i="3" s="1"/>
  <c r="S851" i="1"/>
  <c r="F855" i="3" s="1" a="1"/>
  <c r="F855" i="3" s="1"/>
  <c r="S852" i="1"/>
  <c r="F856" i="3" s="1" a="1"/>
  <c r="F856" i="3" s="1"/>
  <c r="S853" i="1"/>
  <c r="F857" i="3" s="1" a="1"/>
  <c r="F857" i="3" s="1"/>
  <c r="S854" i="1"/>
  <c r="F858" i="3" s="1" a="1"/>
  <c r="F858" i="3" s="1"/>
  <c r="S855" i="1"/>
  <c r="F859" i="3" s="1" a="1"/>
  <c r="F859" i="3" s="1"/>
  <c r="S856" i="1"/>
  <c r="F860" i="3" s="1" a="1"/>
  <c r="F860" i="3" s="1"/>
  <c r="S857" i="1"/>
  <c r="F861" i="3" s="1" a="1"/>
  <c r="F861" i="3" s="1"/>
  <c r="S858" i="1"/>
  <c r="F862" i="3" s="1" a="1"/>
  <c r="F862" i="3" s="1"/>
  <c r="S859" i="1"/>
  <c r="F863" i="3" s="1" a="1"/>
  <c r="F863" i="3" s="1"/>
  <c r="S860" i="1"/>
  <c r="F864" i="3" s="1" a="1"/>
  <c r="F864" i="3" s="1"/>
  <c r="S861" i="1"/>
  <c r="F865" i="3" s="1" a="1"/>
  <c r="F865" i="3" s="1"/>
  <c r="S862" i="1"/>
  <c r="F866" i="3" s="1" a="1"/>
  <c r="F866" i="3" s="1"/>
  <c r="S863" i="1"/>
  <c r="F867" i="3" s="1" a="1"/>
  <c r="F867" i="3" s="1"/>
  <c r="S864" i="1"/>
  <c r="F868" i="3" s="1" a="1"/>
  <c r="F868" i="3" s="1"/>
  <c r="S865" i="1"/>
  <c r="F869" i="3" s="1" a="1"/>
  <c r="F869" i="3" s="1"/>
  <c r="S866" i="1"/>
  <c r="F870" i="3" s="1" a="1"/>
  <c r="F870" i="3" s="1"/>
  <c r="S867" i="1"/>
  <c r="F871" i="3" s="1" a="1"/>
  <c r="F871" i="3" s="1"/>
  <c r="S868" i="1"/>
  <c r="F872" i="3" s="1" a="1"/>
  <c r="F872" i="3" s="1"/>
  <c r="S869" i="1"/>
  <c r="F873" i="3" s="1" a="1"/>
  <c r="F873" i="3" s="1"/>
  <c r="S870" i="1"/>
  <c r="F874" i="3" s="1" a="1"/>
  <c r="F874" i="3" s="1"/>
  <c r="S871" i="1"/>
  <c r="F875" i="3" s="1" a="1"/>
  <c r="F875" i="3" s="1"/>
  <c r="S872" i="1"/>
  <c r="F876" i="3" s="1" a="1"/>
  <c r="F876" i="3" s="1"/>
  <c r="S873" i="1"/>
  <c r="F877" i="3" s="1" a="1"/>
  <c r="F877" i="3" s="1"/>
  <c r="S874" i="1"/>
  <c r="F878" i="3" s="1" a="1"/>
  <c r="F878" i="3" s="1"/>
  <c r="S875" i="1"/>
  <c r="F879" i="3" s="1" a="1"/>
  <c r="F879" i="3" s="1"/>
  <c r="S876" i="1"/>
  <c r="F880" i="3" s="1" a="1"/>
  <c r="F880" i="3" s="1"/>
  <c r="S877" i="1"/>
  <c r="F881" i="3" s="1" a="1"/>
  <c r="F881" i="3" s="1"/>
  <c r="S878" i="1"/>
  <c r="F882" i="3" s="1" a="1"/>
  <c r="F882" i="3" s="1"/>
  <c r="S879" i="1"/>
  <c r="F883" i="3" s="1" a="1"/>
  <c r="F883" i="3" s="1"/>
  <c r="S880" i="1"/>
  <c r="F884" i="3" s="1" a="1"/>
  <c r="F884" i="3" s="1"/>
  <c r="S881" i="1"/>
  <c r="F885" i="3" s="1" a="1"/>
  <c r="F885" i="3" s="1"/>
  <c r="S882" i="1"/>
  <c r="F886" i="3" s="1" a="1"/>
  <c r="F886" i="3" s="1"/>
  <c r="S883" i="1"/>
  <c r="F887" i="3" s="1" a="1"/>
  <c r="F887" i="3" s="1"/>
  <c r="S884" i="1"/>
  <c r="F888" i="3" s="1" a="1"/>
  <c r="F888" i="3" s="1"/>
  <c r="S885" i="1"/>
  <c r="F889" i="3" s="1" a="1"/>
  <c r="F889" i="3" s="1"/>
  <c r="S886" i="1"/>
  <c r="F890" i="3" s="1" a="1"/>
  <c r="F890" i="3" s="1"/>
  <c r="S887" i="1"/>
  <c r="F891" i="3" s="1" a="1"/>
  <c r="F891" i="3" s="1"/>
  <c r="S888" i="1"/>
  <c r="F892" i="3" s="1" a="1"/>
  <c r="F892" i="3" s="1"/>
  <c r="S889" i="1"/>
  <c r="F893" i="3" s="1" a="1"/>
  <c r="F893" i="3" s="1"/>
  <c r="S890" i="1"/>
  <c r="F894" i="3" s="1" a="1"/>
  <c r="F894" i="3" s="1"/>
  <c r="S891" i="1"/>
  <c r="F895" i="3" s="1" a="1"/>
  <c r="F895" i="3" s="1"/>
  <c r="S892" i="1"/>
  <c r="F896" i="3" s="1" a="1"/>
  <c r="F896" i="3" s="1"/>
  <c r="S893" i="1"/>
  <c r="F897" i="3" s="1" a="1"/>
  <c r="F897" i="3" s="1"/>
  <c r="S894" i="1"/>
  <c r="F898" i="3" s="1" a="1"/>
  <c r="F898" i="3" s="1"/>
  <c r="S895" i="1"/>
  <c r="F899" i="3" s="1" a="1"/>
  <c r="F899" i="3" s="1"/>
  <c r="S896" i="1"/>
  <c r="F900" i="3" s="1" a="1"/>
  <c r="F900" i="3" s="1"/>
  <c r="S897" i="1"/>
  <c r="F901" i="3" s="1" a="1"/>
  <c r="F901" i="3" s="1"/>
  <c r="S898" i="1"/>
  <c r="F902" i="3" s="1" a="1"/>
  <c r="F902" i="3" s="1"/>
  <c r="S899" i="1"/>
  <c r="F903" i="3" s="1" a="1"/>
  <c r="F903" i="3" s="1"/>
  <c r="S900" i="1"/>
  <c r="F904" i="3" s="1" a="1"/>
  <c r="F904" i="3" s="1"/>
  <c r="S901" i="1"/>
  <c r="F905" i="3" s="1" a="1"/>
  <c r="F905" i="3" s="1"/>
  <c r="S902" i="1"/>
  <c r="F906" i="3" s="1" a="1"/>
  <c r="F906" i="3" s="1"/>
  <c r="S903" i="1"/>
  <c r="F907" i="3" s="1" a="1"/>
  <c r="F907" i="3" s="1"/>
  <c r="S904" i="1"/>
  <c r="F908" i="3" s="1" a="1"/>
  <c r="F908" i="3" s="1"/>
  <c r="S905" i="1"/>
  <c r="F909" i="3" s="1" a="1"/>
  <c r="F909" i="3" s="1"/>
  <c r="S906" i="1"/>
  <c r="F910" i="3" s="1" a="1"/>
  <c r="F910" i="3" s="1"/>
  <c r="S907" i="1"/>
  <c r="F911" i="3" s="1" a="1"/>
  <c r="F911" i="3" s="1"/>
  <c r="S908" i="1"/>
  <c r="F912" i="3" s="1" a="1"/>
  <c r="F912" i="3" s="1"/>
  <c r="S909" i="1"/>
  <c r="F913" i="3" s="1" a="1"/>
  <c r="F913" i="3" s="1"/>
  <c r="S910" i="1"/>
  <c r="F914" i="3" s="1" a="1"/>
  <c r="F914" i="3" s="1"/>
  <c r="S911" i="1"/>
  <c r="F915" i="3" s="1" a="1"/>
  <c r="F915" i="3" s="1"/>
  <c r="S912" i="1"/>
  <c r="F916" i="3" s="1" a="1"/>
  <c r="F916" i="3" s="1"/>
  <c r="S913" i="1"/>
  <c r="F917" i="3" s="1" a="1"/>
  <c r="F917" i="3" s="1"/>
  <c r="S914" i="1"/>
  <c r="F918" i="3" s="1" a="1"/>
  <c r="F918" i="3" s="1"/>
  <c r="S915" i="1"/>
  <c r="F919" i="3" s="1" a="1"/>
  <c r="F919" i="3" s="1"/>
  <c r="S916" i="1"/>
  <c r="F920" i="3" s="1" a="1"/>
  <c r="F920" i="3" s="1"/>
  <c r="S917" i="1"/>
  <c r="F921" i="3" s="1" a="1"/>
  <c r="F921" i="3" s="1"/>
  <c r="S918" i="1"/>
  <c r="F922" i="3" s="1" a="1"/>
  <c r="F922" i="3" s="1"/>
  <c r="S919" i="1"/>
  <c r="F923" i="3" s="1" a="1"/>
  <c r="F923" i="3" s="1"/>
  <c r="S920" i="1"/>
  <c r="F924" i="3" s="1" a="1"/>
  <c r="F924" i="3" s="1"/>
  <c r="S921" i="1"/>
  <c r="F925" i="3" s="1" a="1"/>
  <c r="F925" i="3" s="1"/>
  <c r="S922" i="1"/>
  <c r="F926" i="3" s="1" a="1"/>
  <c r="F926" i="3" s="1"/>
  <c r="S923" i="1"/>
  <c r="F927" i="3" s="1" a="1"/>
  <c r="F927" i="3" s="1"/>
  <c r="S924" i="1"/>
  <c r="F928" i="3" s="1" a="1"/>
  <c r="F928" i="3" s="1"/>
  <c r="S925" i="1"/>
  <c r="F929" i="3" s="1" a="1"/>
  <c r="F929" i="3" s="1"/>
  <c r="S926" i="1"/>
  <c r="F930" i="3" s="1" a="1"/>
  <c r="F930" i="3" s="1"/>
  <c r="S927" i="1"/>
  <c r="F931" i="3" s="1" a="1"/>
  <c r="F931" i="3" s="1"/>
  <c r="S928" i="1"/>
  <c r="F932" i="3" s="1" a="1"/>
  <c r="F932" i="3" s="1"/>
  <c r="S929" i="1"/>
  <c r="F933" i="3" s="1" a="1"/>
  <c r="F933" i="3" s="1"/>
  <c r="S930" i="1"/>
  <c r="F934" i="3" s="1" a="1"/>
  <c r="F934" i="3" s="1"/>
  <c r="S931" i="1"/>
  <c r="F935" i="3" s="1" a="1"/>
  <c r="F935" i="3" s="1"/>
  <c r="S932" i="1"/>
  <c r="F936" i="3" s="1" a="1"/>
  <c r="F936" i="3" s="1"/>
  <c r="S933" i="1"/>
  <c r="F937" i="3" s="1" a="1"/>
  <c r="F937" i="3" s="1"/>
  <c r="S934" i="1"/>
  <c r="F938" i="3" s="1" a="1"/>
  <c r="F938" i="3" s="1"/>
  <c r="S935" i="1"/>
  <c r="F939" i="3" s="1" a="1"/>
  <c r="F939" i="3" s="1"/>
  <c r="S936" i="1"/>
  <c r="F940" i="3" s="1" a="1"/>
  <c r="F940" i="3" s="1"/>
  <c r="S937" i="1"/>
  <c r="F941" i="3" s="1" a="1"/>
  <c r="F941" i="3" s="1"/>
  <c r="S938" i="1"/>
  <c r="F942" i="3" s="1" a="1"/>
  <c r="F942" i="3" s="1"/>
  <c r="S939" i="1"/>
  <c r="F943" i="3" s="1" a="1"/>
  <c r="F943" i="3" s="1"/>
  <c r="S940" i="1"/>
  <c r="F944" i="3" s="1" a="1"/>
  <c r="F944" i="3" s="1"/>
  <c r="S941" i="1"/>
  <c r="F945" i="3" s="1" a="1"/>
  <c r="F945" i="3" s="1"/>
  <c r="S942" i="1"/>
  <c r="F946" i="3" s="1" a="1"/>
  <c r="F946" i="3" s="1"/>
  <c r="S943" i="1"/>
  <c r="F947" i="3" s="1" a="1"/>
  <c r="F947" i="3" s="1"/>
  <c r="S944" i="1"/>
  <c r="F948" i="3" s="1" a="1"/>
  <c r="F948" i="3" s="1"/>
  <c r="S945" i="1"/>
  <c r="F949" i="3" s="1" a="1"/>
  <c r="F949" i="3" s="1"/>
  <c r="S946" i="1"/>
  <c r="F950" i="3" s="1" a="1"/>
  <c r="F950" i="3" s="1"/>
  <c r="S947" i="1"/>
  <c r="F951" i="3" s="1" a="1"/>
  <c r="F951" i="3" s="1"/>
  <c r="S948" i="1"/>
  <c r="F952" i="3" s="1" a="1"/>
  <c r="F952" i="3" s="1"/>
  <c r="S949" i="1"/>
  <c r="F953" i="3" s="1" a="1"/>
  <c r="F953" i="3" s="1"/>
  <c r="S950" i="1"/>
  <c r="F954" i="3" s="1" a="1"/>
  <c r="F954" i="3" s="1"/>
  <c r="S951" i="1"/>
  <c r="F955" i="3" s="1" a="1"/>
  <c r="F955" i="3" s="1"/>
  <c r="S952" i="1"/>
  <c r="F956" i="3" s="1" a="1"/>
  <c r="F956" i="3" s="1"/>
  <c r="S953" i="1"/>
  <c r="F957" i="3" s="1" a="1"/>
  <c r="F957" i="3" s="1"/>
  <c r="S954" i="1"/>
  <c r="F958" i="3" s="1" a="1"/>
  <c r="F958" i="3" s="1"/>
  <c r="S955" i="1"/>
  <c r="F959" i="3" s="1" a="1"/>
  <c r="F959" i="3" s="1"/>
  <c r="S956" i="1"/>
  <c r="F960" i="3" s="1" a="1"/>
  <c r="F960" i="3" s="1"/>
  <c r="S957" i="1"/>
  <c r="F961" i="3" s="1" a="1"/>
  <c r="F961" i="3" s="1"/>
  <c r="S958" i="1"/>
  <c r="F962" i="3" s="1" a="1"/>
  <c r="F962" i="3" s="1"/>
  <c r="S959" i="1"/>
  <c r="F963" i="3" s="1" a="1"/>
  <c r="F963" i="3" s="1"/>
  <c r="S960" i="1"/>
  <c r="F964" i="3" s="1" a="1"/>
  <c r="F964" i="3" s="1"/>
  <c r="S961" i="1"/>
  <c r="F965" i="3" s="1" a="1"/>
  <c r="F965" i="3" s="1"/>
  <c r="S962" i="1"/>
  <c r="F966" i="3" s="1" a="1"/>
  <c r="F966" i="3" s="1"/>
  <c r="S963" i="1"/>
  <c r="F967" i="3" s="1" a="1"/>
  <c r="F967" i="3" s="1"/>
  <c r="S964" i="1"/>
  <c r="F968" i="3" s="1" a="1"/>
  <c r="F968" i="3" s="1"/>
  <c r="S965" i="1"/>
  <c r="F969" i="3" s="1" a="1"/>
  <c r="F969" i="3" s="1"/>
  <c r="S966" i="1"/>
  <c r="F970" i="3" s="1" a="1"/>
  <c r="F970" i="3" s="1"/>
  <c r="S967" i="1"/>
  <c r="F971" i="3" s="1" a="1"/>
  <c r="F971" i="3" s="1"/>
  <c r="S968" i="1"/>
  <c r="F972" i="3" s="1" a="1"/>
  <c r="F972" i="3" s="1"/>
  <c r="S969" i="1"/>
  <c r="F973" i="3" s="1" a="1"/>
  <c r="F973" i="3" s="1"/>
  <c r="S970" i="1"/>
  <c r="F974" i="3" s="1" a="1"/>
  <c r="F974" i="3" s="1"/>
  <c r="S971" i="1"/>
  <c r="F975" i="3" s="1" a="1"/>
  <c r="F975" i="3" s="1"/>
  <c r="S972" i="1"/>
  <c r="F976" i="3" s="1" a="1"/>
  <c r="F976" i="3" s="1"/>
  <c r="S973" i="1"/>
  <c r="F977" i="3" s="1" a="1"/>
  <c r="F977" i="3" s="1"/>
  <c r="S974" i="1"/>
  <c r="F978" i="3" s="1" a="1"/>
  <c r="F978" i="3" s="1"/>
  <c r="S975" i="1"/>
  <c r="F979" i="3" s="1" a="1"/>
  <c r="F979" i="3" s="1"/>
  <c r="S976" i="1"/>
  <c r="F980" i="3" s="1" a="1"/>
  <c r="F980" i="3" s="1"/>
  <c r="S977" i="1"/>
  <c r="F981" i="3" s="1" a="1"/>
  <c r="F981" i="3" s="1"/>
  <c r="S978" i="1"/>
  <c r="F982" i="3" s="1" a="1"/>
  <c r="F982" i="3" s="1"/>
  <c r="S979" i="1"/>
  <c r="F983" i="3" s="1" a="1"/>
  <c r="F983" i="3" s="1"/>
  <c r="S980" i="1"/>
  <c r="F984" i="3" s="1" a="1"/>
  <c r="F984" i="3" s="1"/>
  <c r="S981" i="1"/>
  <c r="F985" i="3" s="1" a="1"/>
  <c r="F985" i="3" s="1"/>
  <c r="S982" i="1"/>
  <c r="F986" i="3" s="1" a="1"/>
  <c r="F986" i="3" s="1"/>
  <c r="S983" i="1"/>
  <c r="F987" i="3" s="1" a="1"/>
  <c r="F987" i="3" s="1"/>
  <c r="S984" i="1"/>
  <c r="F988" i="3" s="1" a="1"/>
  <c r="F988" i="3" s="1"/>
  <c r="S985" i="1"/>
  <c r="F989" i="3" s="1" a="1"/>
  <c r="F989" i="3" s="1"/>
  <c r="S986" i="1"/>
  <c r="F990" i="3" s="1" a="1"/>
  <c r="F990" i="3" s="1"/>
  <c r="S987" i="1"/>
  <c r="F991" i="3" s="1" a="1"/>
  <c r="F991" i="3" s="1"/>
  <c r="S988" i="1"/>
  <c r="F992" i="3" s="1" a="1"/>
  <c r="F992" i="3" s="1"/>
  <c r="S989" i="1"/>
  <c r="F993" i="3" s="1" a="1"/>
  <c r="F993" i="3" s="1"/>
  <c r="S990" i="1"/>
  <c r="F994" i="3" s="1" a="1"/>
  <c r="F994" i="3" s="1"/>
  <c r="S991" i="1"/>
  <c r="F995" i="3" s="1" a="1"/>
  <c r="F995" i="3" s="1"/>
  <c r="S992" i="1"/>
  <c r="F996" i="3" s="1" a="1"/>
  <c r="F996" i="3" s="1"/>
  <c r="S993" i="1"/>
  <c r="F997" i="3" s="1" a="1"/>
  <c r="F997" i="3" s="1"/>
  <c r="S994" i="1"/>
  <c r="F998" i="3" s="1" a="1"/>
  <c r="F998" i="3" s="1"/>
  <c r="S995" i="1"/>
  <c r="F999" i="3" s="1" a="1"/>
  <c r="F999" i="3" s="1"/>
  <c r="S996" i="1"/>
  <c r="F1000" i="3" s="1" a="1"/>
  <c r="F1000" i="3" s="1"/>
  <c r="S997" i="1"/>
  <c r="F1001" i="3" s="1" a="1"/>
  <c r="F1001" i="3" s="1"/>
  <c r="S998" i="1"/>
  <c r="F1002" i="3" s="1" a="1"/>
  <c r="F1002" i="3" s="1"/>
  <c r="S999" i="1"/>
  <c r="F1003" i="3" s="1" a="1"/>
  <c r="F1003" i="3" s="1"/>
  <c r="S1000" i="1"/>
  <c r="F1004" i="3" s="1" a="1"/>
  <c r="F1004" i="3" s="1"/>
  <c r="S1001" i="1"/>
  <c r="F1005" i="3" s="1" a="1"/>
  <c r="F1005" i="3" s="1"/>
  <c r="S2" i="1"/>
  <c r="F6" i="3" s="1" a="1"/>
  <c r="F6" i="3" s="1"/>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N107" i="3" s="1"/>
  <c r="AA109" i="4" s="1"/>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N359" i="3" s="1"/>
  <c r="AA361" i="4" s="1"/>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N587" i="3" s="1"/>
  <c r="AA589" i="4" s="1"/>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N683" i="3" s="1"/>
  <c r="AA685" i="4" s="1"/>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N791" i="3" s="1"/>
  <c r="AA793" i="4" s="1"/>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6" i="3"/>
  <c r="N969" i="3" l="1"/>
  <c r="AA971" i="4" s="1"/>
  <c r="N957" i="3"/>
  <c r="AA959" i="4" s="1"/>
  <c r="N996" i="3"/>
  <c r="AA998" i="4" s="1"/>
  <c r="N984" i="3"/>
  <c r="AA986" i="4" s="1"/>
  <c r="N972" i="3"/>
  <c r="AA974" i="4" s="1"/>
  <c r="N994" i="3"/>
  <c r="AA996" i="4" s="1"/>
  <c r="N982" i="3"/>
  <c r="AA984" i="4" s="1"/>
  <c r="N958" i="3"/>
  <c r="AA960" i="4" s="1"/>
  <c r="N946" i="3"/>
  <c r="AA948" i="4" s="1"/>
  <c r="N934" i="3"/>
  <c r="AA936" i="4" s="1"/>
  <c r="N922" i="3"/>
  <c r="AA924" i="4" s="1"/>
  <c r="N910" i="3"/>
  <c r="AA912" i="4" s="1"/>
  <c r="N898" i="3"/>
  <c r="AA900" i="4" s="1"/>
  <c r="N886" i="3"/>
  <c r="AA888" i="4" s="1"/>
  <c r="N874" i="3"/>
  <c r="AA876" i="4" s="1"/>
  <c r="N862" i="3"/>
  <c r="AA864" i="4" s="1"/>
  <c r="N850" i="3"/>
  <c r="AA852" i="4" s="1"/>
  <c r="N838" i="3"/>
  <c r="AA840" i="4" s="1"/>
  <c r="N826" i="3"/>
  <c r="AA828" i="4" s="1"/>
  <c r="N814" i="3"/>
  <c r="AA816" i="4" s="1"/>
  <c r="N802" i="3"/>
  <c r="AA804" i="4" s="1"/>
  <c r="N790" i="3"/>
  <c r="AA792" i="4" s="1"/>
  <c r="N778" i="3"/>
  <c r="AA780" i="4" s="1"/>
  <c r="N766" i="3"/>
  <c r="AA768" i="4" s="1"/>
  <c r="N754" i="3"/>
  <c r="AA756" i="4" s="1"/>
  <c r="N742" i="3"/>
  <c r="AA744" i="4" s="1"/>
  <c r="N730" i="3"/>
  <c r="AA732" i="4" s="1"/>
  <c r="N718" i="3"/>
  <c r="AA720" i="4" s="1"/>
  <c r="N706" i="3"/>
  <c r="AA708" i="4" s="1"/>
  <c r="N694" i="3"/>
  <c r="AA696" i="4" s="1"/>
  <c r="N682" i="3"/>
  <c r="AA684" i="4" s="1"/>
  <c r="N670" i="3"/>
  <c r="AA672" i="4" s="1"/>
  <c r="N658" i="3"/>
  <c r="AA660" i="4" s="1"/>
  <c r="N646" i="3"/>
  <c r="AA648" i="4" s="1"/>
  <c r="N634" i="3"/>
  <c r="AA636" i="4" s="1"/>
  <c r="N622" i="3"/>
  <c r="AA624" i="4" s="1"/>
  <c r="N610" i="3"/>
  <c r="AA612" i="4" s="1"/>
  <c r="N598" i="3"/>
  <c r="AA600" i="4" s="1"/>
  <c r="N586" i="3"/>
  <c r="AA588" i="4" s="1"/>
  <c r="N574" i="3"/>
  <c r="AA576" i="4" s="1"/>
  <c r="N562" i="3"/>
  <c r="AA564" i="4" s="1"/>
  <c r="N550" i="3"/>
  <c r="AA552" i="4" s="1"/>
  <c r="N538" i="3"/>
  <c r="AA540" i="4" s="1"/>
  <c r="N526" i="3"/>
  <c r="AA528" i="4" s="1"/>
  <c r="N514" i="3"/>
  <c r="AA516" i="4" s="1"/>
  <c r="N502" i="3"/>
  <c r="AA504" i="4" s="1"/>
  <c r="N490" i="3"/>
  <c r="AA492" i="4" s="1"/>
  <c r="N478" i="3"/>
  <c r="AA480" i="4" s="1"/>
  <c r="N466" i="3"/>
  <c r="AA468" i="4" s="1"/>
  <c r="N454" i="3"/>
  <c r="AA456" i="4" s="1"/>
  <c r="N442" i="3"/>
  <c r="AA444" i="4" s="1"/>
  <c r="N430" i="3"/>
  <c r="AA432" i="4" s="1"/>
  <c r="N418" i="3"/>
  <c r="AA420" i="4" s="1"/>
  <c r="N406" i="3"/>
  <c r="AA408" i="4" s="1"/>
  <c r="N394" i="3"/>
  <c r="AA396" i="4" s="1"/>
  <c r="N382" i="3"/>
  <c r="AA384" i="4" s="1"/>
  <c r="N370" i="3"/>
  <c r="AA372" i="4" s="1"/>
  <c r="N358" i="3"/>
  <c r="AA360" i="4" s="1"/>
  <c r="N346" i="3"/>
  <c r="AA348" i="4" s="1"/>
  <c r="N334" i="3"/>
  <c r="AA336" i="4" s="1"/>
  <c r="N322" i="3"/>
  <c r="AA324" i="4" s="1"/>
  <c r="N310" i="3"/>
  <c r="AA312" i="4" s="1"/>
  <c r="N298" i="3"/>
  <c r="AA300" i="4" s="1"/>
  <c r="N286" i="3"/>
  <c r="AA288" i="4" s="1"/>
  <c r="N274" i="3"/>
  <c r="AA276" i="4" s="1"/>
  <c r="N262" i="3"/>
  <c r="AA264" i="4" s="1"/>
  <c r="N238" i="3"/>
  <c r="AA240" i="4" s="1"/>
  <c r="N226" i="3"/>
  <c r="AA228" i="4" s="1"/>
  <c r="N214" i="3"/>
  <c r="AA216" i="4" s="1"/>
  <c r="N202" i="3"/>
  <c r="AA204" i="4" s="1"/>
  <c r="N190" i="3"/>
  <c r="AA192" i="4" s="1"/>
  <c r="N178" i="3"/>
  <c r="AA180" i="4" s="1"/>
  <c r="N166" i="3"/>
  <c r="AA168" i="4" s="1"/>
  <c r="N154" i="3"/>
  <c r="AA156" i="4" s="1"/>
  <c r="N142" i="3"/>
  <c r="AA144" i="4" s="1"/>
  <c r="N130" i="3"/>
  <c r="AA132" i="4" s="1"/>
  <c r="N118" i="3"/>
  <c r="AA120" i="4" s="1"/>
  <c r="N94" i="3"/>
  <c r="AA96" i="4" s="1"/>
  <c r="N82" i="3"/>
  <c r="AA84" i="4" s="1"/>
  <c r="N70" i="3"/>
  <c r="AA72" i="4" s="1"/>
  <c r="N58" i="3"/>
  <c r="AA60" i="4" s="1"/>
  <c r="N46" i="3"/>
  <c r="AA48" i="4" s="1"/>
  <c r="N34" i="3"/>
  <c r="AA36" i="4" s="1"/>
  <c r="N22" i="3"/>
  <c r="AA24" i="4" s="1"/>
  <c r="N10" i="3"/>
  <c r="AA12" i="4" s="1"/>
  <c r="N999" i="3"/>
  <c r="AA1001" i="4" s="1"/>
  <c r="N987" i="3"/>
  <c r="AA989" i="4" s="1"/>
  <c r="N975" i="3"/>
  <c r="AA977" i="4" s="1"/>
  <c r="N963" i="3"/>
  <c r="AA965" i="4" s="1"/>
  <c r="N951" i="3"/>
  <c r="AA953" i="4" s="1"/>
  <c r="N939" i="3"/>
  <c r="AA941" i="4" s="1"/>
  <c r="N927" i="3"/>
  <c r="AA929" i="4" s="1"/>
  <c r="N915" i="3"/>
  <c r="AA917" i="4" s="1"/>
  <c r="N903" i="3"/>
  <c r="AA905" i="4" s="1"/>
  <c r="N891" i="3"/>
  <c r="AA893" i="4" s="1"/>
  <c r="N879" i="3"/>
  <c r="AA881" i="4" s="1"/>
  <c r="N867" i="3"/>
  <c r="AA869" i="4" s="1"/>
  <c r="N855" i="3"/>
  <c r="AA857" i="4" s="1"/>
  <c r="N843" i="3"/>
  <c r="AA845" i="4" s="1"/>
  <c r="N831" i="3"/>
  <c r="AA833" i="4" s="1"/>
  <c r="N819" i="3"/>
  <c r="AA821" i="4" s="1"/>
  <c r="N807" i="3"/>
  <c r="AA809" i="4" s="1"/>
  <c r="N795" i="3"/>
  <c r="AA797" i="4" s="1"/>
  <c r="N783" i="3"/>
  <c r="AA785" i="4" s="1"/>
  <c r="N771" i="3"/>
  <c r="AA773" i="4" s="1"/>
  <c r="N759" i="3"/>
  <c r="AA761" i="4" s="1"/>
  <c r="N747" i="3"/>
  <c r="AA749" i="4" s="1"/>
  <c r="N735" i="3"/>
  <c r="AA737" i="4" s="1"/>
  <c r="N723" i="3"/>
  <c r="AA725" i="4" s="1"/>
  <c r="N711" i="3"/>
  <c r="AA713" i="4" s="1"/>
  <c r="N699" i="3"/>
  <c r="AA701" i="4" s="1"/>
  <c r="N687" i="3"/>
  <c r="AA689" i="4" s="1"/>
  <c r="N675" i="3"/>
  <c r="AA677" i="4" s="1"/>
  <c r="N663" i="3"/>
  <c r="AA665" i="4" s="1"/>
  <c r="N651" i="3"/>
  <c r="AA653" i="4" s="1"/>
  <c r="N639" i="3"/>
  <c r="AA641" i="4" s="1"/>
  <c r="N627" i="3"/>
  <c r="AA629" i="4" s="1"/>
  <c r="N615" i="3"/>
  <c r="AA617" i="4" s="1"/>
  <c r="N603" i="3"/>
  <c r="AA605" i="4" s="1"/>
  <c r="N591" i="3"/>
  <c r="AA593" i="4" s="1"/>
  <c r="N579" i="3"/>
  <c r="AA581" i="4" s="1"/>
  <c r="N567" i="3"/>
  <c r="AA569" i="4" s="1"/>
  <c r="N555" i="3"/>
  <c r="AA557" i="4" s="1"/>
  <c r="N543" i="3"/>
  <c r="AA545" i="4" s="1"/>
  <c r="N531" i="3"/>
  <c r="AA533" i="4" s="1"/>
  <c r="N519" i="3"/>
  <c r="AA521" i="4" s="1"/>
  <c r="N507" i="3"/>
  <c r="AA509" i="4" s="1"/>
  <c r="N495" i="3"/>
  <c r="AA497" i="4" s="1"/>
  <c r="N483" i="3"/>
  <c r="AA485" i="4" s="1"/>
  <c r="N471" i="3"/>
  <c r="AA473" i="4" s="1"/>
  <c r="N459" i="3"/>
  <c r="AA461" i="4" s="1"/>
  <c r="N447" i="3"/>
  <c r="AA449" i="4" s="1"/>
  <c r="N435" i="3"/>
  <c r="AA437" i="4" s="1"/>
  <c r="N423" i="3"/>
  <c r="AA425" i="4" s="1"/>
  <c r="N411" i="3"/>
  <c r="AA413" i="4" s="1"/>
  <c r="N399" i="3"/>
  <c r="AA401" i="4" s="1"/>
  <c r="N387" i="3"/>
  <c r="AA389" i="4" s="1"/>
  <c r="N375" i="3"/>
  <c r="AA377" i="4" s="1"/>
  <c r="N363" i="3"/>
  <c r="AA365" i="4" s="1"/>
  <c r="N351" i="3"/>
  <c r="AA353" i="4" s="1"/>
  <c r="N339" i="3"/>
  <c r="AA341" i="4" s="1"/>
  <c r="N327" i="3"/>
  <c r="AA329" i="4" s="1"/>
  <c r="N315" i="3"/>
  <c r="AA317" i="4" s="1"/>
  <c r="N303" i="3"/>
  <c r="AA305" i="4" s="1"/>
  <c r="N291" i="3"/>
  <c r="AA293" i="4" s="1"/>
  <c r="N279" i="3"/>
  <c r="AA281" i="4" s="1"/>
  <c r="N267" i="3"/>
  <c r="AA269" i="4" s="1"/>
  <c r="N255" i="3"/>
  <c r="AA257" i="4" s="1"/>
  <c r="N243" i="3"/>
  <c r="AA245" i="4" s="1"/>
  <c r="N231" i="3"/>
  <c r="AA233" i="4" s="1"/>
  <c r="N219" i="3"/>
  <c r="AA221" i="4" s="1"/>
  <c r="N207" i="3"/>
  <c r="AA209" i="4" s="1"/>
  <c r="N195" i="3"/>
  <c r="AA197" i="4" s="1"/>
  <c r="N183" i="3"/>
  <c r="AA185" i="4" s="1"/>
  <c r="N171" i="3"/>
  <c r="AA173" i="4" s="1"/>
  <c r="N159" i="3"/>
  <c r="AA161" i="4" s="1"/>
  <c r="N147" i="3"/>
  <c r="AA149" i="4" s="1"/>
  <c r="N135" i="3"/>
  <c r="AA137" i="4" s="1"/>
  <c r="N123" i="3"/>
  <c r="AA125" i="4" s="1"/>
  <c r="N111" i="3"/>
  <c r="AA113" i="4" s="1"/>
  <c r="N99" i="3"/>
  <c r="AA101" i="4" s="1"/>
  <c r="N87" i="3"/>
  <c r="AA89" i="4" s="1"/>
  <c r="N75" i="3"/>
  <c r="AA77" i="4" s="1"/>
  <c r="N63" i="3"/>
  <c r="AA65" i="4" s="1"/>
  <c r="N51" i="3"/>
  <c r="AA53" i="4" s="1"/>
  <c r="N39" i="3"/>
  <c r="AA41" i="4" s="1"/>
  <c r="N27" i="3"/>
  <c r="AA29" i="4" s="1"/>
  <c r="N15" i="3"/>
  <c r="AA17" i="4" s="1"/>
  <c r="N998" i="3"/>
  <c r="AA1000" i="4" s="1"/>
  <c r="N986" i="3"/>
  <c r="AA988" i="4" s="1"/>
  <c r="N974" i="3"/>
  <c r="AA976" i="4" s="1"/>
  <c r="N962" i="3"/>
  <c r="AA964" i="4" s="1"/>
  <c r="N950" i="3"/>
  <c r="AA952" i="4" s="1"/>
  <c r="N938" i="3"/>
  <c r="AA940" i="4" s="1"/>
  <c r="N926" i="3"/>
  <c r="AA928" i="4" s="1"/>
  <c r="N914" i="3"/>
  <c r="AA916" i="4" s="1"/>
  <c r="N902" i="3"/>
  <c r="AA904" i="4" s="1"/>
  <c r="N890" i="3"/>
  <c r="AA892" i="4" s="1"/>
  <c r="N878" i="3"/>
  <c r="AA880" i="4" s="1"/>
  <c r="N866" i="3"/>
  <c r="AA868" i="4" s="1"/>
  <c r="N854" i="3"/>
  <c r="AA856" i="4" s="1"/>
  <c r="N842" i="3"/>
  <c r="AA844" i="4" s="1"/>
  <c r="N830" i="3"/>
  <c r="AA832" i="4" s="1"/>
  <c r="N818" i="3"/>
  <c r="AA820" i="4" s="1"/>
  <c r="N806" i="3"/>
  <c r="AA808" i="4" s="1"/>
  <c r="N794" i="3"/>
  <c r="AA796" i="4" s="1"/>
  <c r="N782" i="3"/>
  <c r="AA784" i="4" s="1"/>
  <c r="N770" i="3"/>
  <c r="AA772" i="4" s="1"/>
  <c r="N758" i="3"/>
  <c r="AA760" i="4" s="1"/>
  <c r="N746" i="3"/>
  <c r="AA748" i="4" s="1"/>
  <c r="N734" i="3"/>
  <c r="AA736" i="4" s="1"/>
  <c r="N722" i="3"/>
  <c r="AA724" i="4" s="1"/>
  <c r="N710" i="3"/>
  <c r="AA712" i="4" s="1"/>
  <c r="N698" i="3"/>
  <c r="AA700" i="4" s="1"/>
  <c r="N686" i="3"/>
  <c r="AA688" i="4" s="1"/>
  <c r="N674" i="3"/>
  <c r="AA676" i="4" s="1"/>
  <c r="N662" i="3"/>
  <c r="AA664" i="4" s="1"/>
  <c r="N650" i="3"/>
  <c r="AA652" i="4" s="1"/>
  <c r="N638" i="3"/>
  <c r="AA640" i="4" s="1"/>
  <c r="N626" i="3"/>
  <c r="AA628" i="4" s="1"/>
  <c r="N614" i="3"/>
  <c r="AA616" i="4" s="1"/>
  <c r="N602" i="3"/>
  <c r="AA604" i="4" s="1"/>
  <c r="N590" i="3"/>
  <c r="AA592" i="4" s="1"/>
  <c r="N578" i="3"/>
  <c r="AA580" i="4" s="1"/>
  <c r="N566" i="3"/>
  <c r="AA568" i="4" s="1"/>
  <c r="N554" i="3"/>
  <c r="AA556" i="4" s="1"/>
  <c r="N542" i="3"/>
  <c r="AA544" i="4" s="1"/>
  <c r="N530" i="3"/>
  <c r="AA532" i="4" s="1"/>
  <c r="N518" i="3"/>
  <c r="AA520" i="4" s="1"/>
  <c r="N506" i="3"/>
  <c r="AA508" i="4" s="1"/>
  <c r="N494" i="3"/>
  <c r="AA496" i="4" s="1"/>
  <c r="N482" i="3"/>
  <c r="AA484" i="4" s="1"/>
  <c r="N470" i="3"/>
  <c r="AA472" i="4" s="1"/>
  <c r="N458" i="3"/>
  <c r="AA460" i="4" s="1"/>
  <c r="N446" i="3"/>
  <c r="AA448" i="4" s="1"/>
  <c r="N434" i="3"/>
  <c r="AA436" i="4" s="1"/>
  <c r="N422" i="3"/>
  <c r="AA424" i="4" s="1"/>
  <c r="N410" i="3"/>
  <c r="AA412" i="4" s="1"/>
  <c r="N398" i="3"/>
  <c r="AA400" i="4" s="1"/>
  <c r="N386" i="3"/>
  <c r="AA388" i="4" s="1"/>
  <c r="N374" i="3"/>
  <c r="AA376" i="4" s="1"/>
  <c r="N362" i="3"/>
  <c r="AA364" i="4" s="1"/>
  <c r="N350" i="3"/>
  <c r="AA352" i="4" s="1"/>
  <c r="N338" i="3"/>
  <c r="AA340" i="4" s="1"/>
  <c r="N326" i="3"/>
  <c r="AA328" i="4" s="1"/>
  <c r="N314" i="3"/>
  <c r="AA316" i="4" s="1"/>
  <c r="N302" i="3"/>
  <c r="AA304" i="4" s="1"/>
  <c r="N290" i="3"/>
  <c r="AA292" i="4" s="1"/>
  <c r="N278" i="3"/>
  <c r="AA280" i="4" s="1"/>
  <c r="N266" i="3"/>
  <c r="AA268" i="4" s="1"/>
  <c r="N254" i="3"/>
  <c r="AA256" i="4" s="1"/>
  <c r="N242" i="3"/>
  <c r="AA244" i="4" s="1"/>
  <c r="N230" i="3"/>
  <c r="AA232" i="4" s="1"/>
  <c r="N218" i="3"/>
  <c r="AA220" i="4" s="1"/>
  <c r="N206" i="3"/>
  <c r="AA208" i="4" s="1"/>
  <c r="N194" i="3"/>
  <c r="AA196" i="4" s="1"/>
  <c r="N182" i="3"/>
  <c r="AA184" i="4" s="1"/>
  <c r="N170" i="3"/>
  <c r="AA172" i="4" s="1"/>
  <c r="N158" i="3"/>
  <c r="AA160" i="4" s="1"/>
  <c r="N146" i="3"/>
  <c r="AA148" i="4" s="1"/>
  <c r="N134" i="3"/>
  <c r="AA136" i="4" s="1"/>
  <c r="N122" i="3"/>
  <c r="AA124" i="4" s="1"/>
  <c r="N110" i="3"/>
  <c r="AA112" i="4" s="1"/>
  <c r="N98" i="3"/>
  <c r="AA100" i="4" s="1"/>
  <c r="N86" i="3"/>
  <c r="AA88" i="4" s="1"/>
  <c r="N74" i="3"/>
  <c r="AA76" i="4" s="1"/>
  <c r="N62" i="3"/>
  <c r="AA64" i="4" s="1"/>
  <c r="N50" i="3"/>
  <c r="AA52" i="4" s="1"/>
  <c r="N38" i="3"/>
  <c r="AA40" i="4" s="1"/>
  <c r="N26" i="3"/>
  <c r="AA28" i="4" s="1"/>
  <c r="N14" i="3"/>
  <c r="AA16" i="4" s="1"/>
  <c r="N1002" i="3"/>
  <c r="AA1004" i="4" s="1"/>
  <c r="N990" i="3"/>
  <c r="AA992" i="4" s="1"/>
  <c r="N978" i="3"/>
  <c r="AA980" i="4" s="1"/>
  <c r="N966" i="3"/>
  <c r="AA968" i="4" s="1"/>
  <c r="N954" i="3"/>
  <c r="AA956" i="4" s="1"/>
  <c r="N942" i="3"/>
  <c r="AA944" i="4" s="1"/>
  <c r="N930" i="3"/>
  <c r="AA932" i="4" s="1"/>
  <c r="N918" i="3"/>
  <c r="AA920" i="4" s="1"/>
  <c r="N906" i="3"/>
  <c r="AA908" i="4" s="1"/>
  <c r="N894" i="3"/>
  <c r="AA896" i="4" s="1"/>
  <c r="N882" i="3"/>
  <c r="AA884" i="4" s="1"/>
  <c r="N870" i="3"/>
  <c r="AA872" i="4" s="1"/>
  <c r="N858" i="3"/>
  <c r="AA860" i="4" s="1"/>
  <c r="N846" i="3"/>
  <c r="AA848" i="4" s="1"/>
  <c r="N834" i="3"/>
  <c r="AA836" i="4" s="1"/>
  <c r="N822" i="3"/>
  <c r="AA824" i="4" s="1"/>
  <c r="N810" i="3"/>
  <c r="AA812" i="4" s="1"/>
  <c r="N798" i="3"/>
  <c r="AA800" i="4" s="1"/>
  <c r="N786" i="3"/>
  <c r="AA788" i="4" s="1"/>
  <c r="N774" i="3"/>
  <c r="AA776" i="4" s="1"/>
  <c r="N762" i="3"/>
  <c r="AA764" i="4" s="1"/>
  <c r="N750" i="3"/>
  <c r="AA752" i="4" s="1"/>
  <c r="N738" i="3"/>
  <c r="AA740" i="4" s="1"/>
  <c r="N726" i="3"/>
  <c r="AA728" i="4" s="1"/>
  <c r="N714" i="3"/>
  <c r="AA716" i="4" s="1"/>
  <c r="N702" i="3"/>
  <c r="AA704" i="4" s="1"/>
  <c r="N690" i="3"/>
  <c r="AA692" i="4" s="1"/>
  <c r="N678" i="3"/>
  <c r="AA680" i="4" s="1"/>
  <c r="N666" i="3"/>
  <c r="AA668" i="4" s="1"/>
  <c r="N654" i="3"/>
  <c r="AA656" i="4" s="1"/>
  <c r="N642" i="3"/>
  <c r="AA644" i="4" s="1"/>
  <c r="N630" i="3"/>
  <c r="AA632" i="4" s="1"/>
  <c r="N618" i="3"/>
  <c r="AA620" i="4" s="1"/>
  <c r="N606" i="3"/>
  <c r="AA608" i="4" s="1"/>
  <c r="N594" i="3"/>
  <c r="AA596" i="4" s="1"/>
  <c r="N582" i="3"/>
  <c r="AA584" i="4" s="1"/>
  <c r="N570" i="3"/>
  <c r="AA572" i="4" s="1"/>
  <c r="N558" i="3"/>
  <c r="AA560" i="4" s="1"/>
  <c r="N546" i="3"/>
  <c r="AA548" i="4" s="1"/>
  <c r="N534" i="3"/>
  <c r="AA536" i="4" s="1"/>
  <c r="N522" i="3"/>
  <c r="AA524" i="4" s="1"/>
  <c r="N510" i="3"/>
  <c r="AA512" i="4" s="1"/>
  <c r="N498" i="3"/>
  <c r="AA500" i="4" s="1"/>
  <c r="N486" i="3"/>
  <c r="AA488" i="4" s="1"/>
  <c r="N474" i="3"/>
  <c r="AA476" i="4" s="1"/>
  <c r="N462" i="3"/>
  <c r="AA464" i="4" s="1"/>
  <c r="N450" i="3"/>
  <c r="AA452" i="4" s="1"/>
  <c r="N438" i="3"/>
  <c r="AA440" i="4" s="1"/>
  <c r="N426" i="3"/>
  <c r="AA428" i="4" s="1"/>
  <c r="N414" i="3"/>
  <c r="AA416" i="4" s="1"/>
  <c r="N402" i="3"/>
  <c r="AA404" i="4" s="1"/>
  <c r="N390" i="3"/>
  <c r="AA392" i="4" s="1"/>
  <c r="N378" i="3"/>
  <c r="AA380" i="4" s="1"/>
  <c r="N366" i="3"/>
  <c r="AA368" i="4" s="1"/>
  <c r="N354" i="3"/>
  <c r="AA356" i="4" s="1"/>
  <c r="N342" i="3"/>
  <c r="AA344" i="4" s="1"/>
  <c r="N330" i="3"/>
  <c r="AA332" i="4" s="1"/>
  <c r="N318" i="3"/>
  <c r="AA320" i="4" s="1"/>
  <c r="N306" i="3"/>
  <c r="AA308" i="4" s="1"/>
  <c r="N294" i="3"/>
  <c r="AA296" i="4" s="1"/>
  <c r="N282" i="3"/>
  <c r="AA284" i="4" s="1"/>
  <c r="N270" i="3"/>
  <c r="AA272" i="4" s="1"/>
  <c r="N258" i="3"/>
  <c r="AA260" i="4" s="1"/>
  <c r="N246" i="3"/>
  <c r="AA248" i="4" s="1"/>
  <c r="N234" i="3"/>
  <c r="AA236" i="4" s="1"/>
  <c r="N222" i="3"/>
  <c r="AA224" i="4" s="1"/>
  <c r="N210" i="3"/>
  <c r="AA212" i="4" s="1"/>
  <c r="N198" i="3"/>
  <c r="AA200" i="4" s="1"/>
  <c r="N186" i="3"/>
  <c r="AA188" i="4" s="1"/>
  <c r="N174" i="3"/>
  <c r="AA176" i="4" s="1"/>
  <c r="N162" i="3"/>
  <c r="AA164" i="4" s="1"/>
  <c r="N150" i="3"/>
  <c r="AA152" i="4" s="1"/>
  <c r="N138" i="3"/>
  <c r="AA140" i="4" s="1"/>
  <c r="N126" i="3"/>
  <c r="AA128" i="4" s="1"/>
  <c r="N114" i="3"/>
  <c r="AA116" i="4" s="1"/>
  <c r="N102" i="3"/>
  <c r="AA104" i="4" s="1"/>
  <c r="N90" i="3"/>
  <c r="AA92" i="4" s="1"/>
  <c r="N78" i="3"/>
  <c r="AA80" i="4" s="1"/>
  <c r="N66" i="3"/>
  <c r="AA68" i="4" s="1"/>
  <c r="N54" i="3"/>
  <c r="AA56" i="4" s="1"/>
  <c r="N42" i="3"/>
  <c r="AA44" i="4" s="1"/>
  <c r="N30" i="3"/>
  <c r="AA32" i="4" s="1"/>
  <c r="N18" i="3"/>
  <c r="AA20" i="4" s="1"/>
  <c r="N825" i="3"/>
  <c r="AA827" i="4" s="1"/>
  <c r="N513" i="3"/>
  <c r="AA515" i="4" s="1"/>
  <c r="N381" i="3"/>
  <c r="AA383" i="4" s="1"/>
  <c r="N824" i="3"/>
  <c r="AA826" i="4" s="1"/>
  <c r="N620" i="3"/>
  <c r="AA622" i="4" s="1"/>
  <c r="N536" i="3"/>
  <c r="AA538" i="4" s="1"/>
  <c r="N488" i="3"/>
  <c r="AA490" i="4" s="1"/>
  <c r="N248" i="3"/>
  <c r="AA250" i="4" s="1"/>
  <c r="N525" i="3"/>
  <c r="AA527" i="4" s="1"/>
  <c r="N369" i="3"/>
  <c r="AA371" i="4" s="1"/>
  <c r="N813" i="3"/>
  <c r="AA815" i="4" s="1"/>
  <c r="N1005" i="3"/>
  <c r="AA1007" i="4" s="1"/>
  <c r="N993" i="3"/>
  <c r="AA995" i="4" s="1"/>
  <c r="N981" i="3"/>
  <c r="AA983" i="4" s="1"/>
  <c r="N945" i="3"/>
  <c r="AA947" i="4" s="1"/>
  <c r="N933" i="3"/>
  <c r="AA935" i="4" s="1"/>
  <c r="N921" i="3"/>
  <c r="AA923" i="4" s="1"/>
  <c r="N909" i="3"/>
  <c r="AA911" i="4" s="1"/>
  <c r="N897" i="3"/>
  <c r="AA899" i="4" s="1"/>
  <c r="N885" i="3"/>
  <c r="AA887" i="4" s="1"/>
  <c r="N873" i="3"/>
  <c r="AA875" i="4" s="1"/>
  <c r="N861" i="3"/>
  <c r="AA863" i="4" s="1"/>
  <c r="N849" i="3"/>
  <c r="AA851" i="4" s="1"/>
  <c r="N837" i="3"/>
  <c r="AA839" i="4" s="1"/>
  <c r="N801" i="3"/>
  <c r="AA803" i="4" s="1"/>
  <c r="N789" i="3"/>
  <c r="AA791" i="4" s="1"/>
  <c r="N777" i="3"/>
  <c r="AA779" i="4" s="1"/>
  <c r="N753" i="3"/>
  <c r="AA755" i="4" s="1"/>
  <c r="N741" i="3"/>
  <c r="AA743" i="4" s="1"/>
  <c r="N729" i="3"/>
  <c r="AA731" i="4" s="1"/>
  <c r="N717" i="3"/>
  <c r="AA719" i="4" s="1"/>
  <c r="N705" i="3"/>
  <c r="AA707" i="4" s="1"/>
  <c r="N693" i="3"/>
  <c r="AA695" i="4" s="1"/>
  <c r="N681" i="3"/>
  <c r="AA683" i="4" s="1"/>
  <c r="N669" i="3"/>
  <c r="AA671" i="4" s="1"/>
  <c r="N657" i="3"/>
  <c r="AA659" i="4" s="1"/>
  <c r="N645" i="3"/>
  <c r="AA647" i="4" s="1"/>
  <c r="N633" i="3"/>
  <c r="AA635" i="4" s="1"/>
  <c r="N621" i="3"/>
  <c r="AA623" i="4" s="1"/>
  <c r="N609" i="3"/>
  <c r="AA611" i="4" s="1"/>
  <c r="N597" i="3"/>
  <c r="AA599" i="4" s="1"/>
  <c r="N585" i="3"/>
  <c r="AA587" i="4" s="1"/>
  <c r="N573" i="3"/>
  <c r="AA575" i="4" s="1"/>
  <c r="N561" i="3"/>
  <c r="AA563" i="4" s="1"/>
  <c r="N549" i="3"/>
  <c r="AA551" i="4" s="1"/>
  <c r="N537" i="3"/>
  <c r="AA539" i="4" s="1"/>
  <c r="N501" i="3"/>
  <c r="AA503" i="4" s="1"/>
  <c r="N489" i="3"/>
  <c r="AA491" i="4" s="1"/>
  <c r="N477" i="3"/>
  <c r="AA479" i="4" s="1"/>
  <c r="N465" i="3"/>
  <c r="AA467" i="4" s="1"/>
  <c r="N453" i="3"/>
  <c r="AA455" i="4" s="1"/>
  <c r="N441" i="3"/>
  <c r="AA443" i="4" s="1"/>
  <c r="N429" i="3"/>
  <c r="AA431" i="4" s="1"/>
  <c r="N417" i="3"/>
  <c r="AA419" i="4" s="1"/>
  <c r="N405" i="3"/>
  <c r="AA407" i="4" s="1"/>
  <c r="N393" i="3"/>
  <c r="AA395" i="4" s="1"/>
  <c r="N357" i="3"/>
  <c r="AA359" i="4" s="1"/>
  <c r="N345" i="3"/>
  <c r="AA347" i="4" s="1"/>
  <c r="N321" i="3"/>
  <c r="AA323" i="4" s="1"/>
  <c r="N309" i="3"/>
  <c r="AA311" i="4" s="1"/>
  <c r="N297" i="3"/>
  <c r="AA299" i="4" s="1"/>
  <c r="N285" i="3"/>
  <c r="AA287" i="4" s="1"/>
  <c r="N273" i="3"/>
  <c r="AA275" i="4" s="1"/>
  <c r="N261" i="3"/>
  <c r="AA263" i="4" s="1"/>
  <c r="N249" i="3"/>
  <c r="AA251" i="4" s="1"/>
  <c r="N225" i="3"/>
  <c r="AA227" i="4" s="1"/>
  <c r="N213" i="3"/>
  <c r="AA215" i="4" s="1"/>
  <c r="N201" i="3"/>
  <c r="AA203" i="4" s="1"/>
  <c r="N189" i="3"/>
  <c r="AA191" i="4" s="1"/>
  <c r="N177" i="3"/>
  <c r="AA179" i="4" s="1"/>
  <c r="N165" i="3"/>
  <c r="AA167" i="4" s="1"/>
  <c r="N153" i="3"/>
  <c r="AA155" i="4" s="1"/>
  <c r="N129" i="3"/>
  <c r="AA131" i="4" s="1"/>
  <c r="N117" i="3"/>
  <c r="AA119" i="4" s="1"/>
  <c r="N93" i="3"/>
  <c r="AA95" i="4" s="1"/>
  <c r="N81" i="3"/>
  <c r="AA83" i="4" s="1"/>
  <c r="N69" i="3"/>
  <c r="AA71" i="4" s="1"/>
  <c r="N57" i="3"/>
  <c r="AA59" i="4" s="1"/>
  <c r="N45" i="3"/>
  <c r="AA47" i="4" s="1"/>
  <c r="N33" i="3"/>
  <c r="AA35" i="4" s="1"/>
  <c r="N21" i="3"/>
  <c r="AA23" i="4" s="1"/>
  <c r="N9" i="3"/>
  <c r="AA11" i="4" s="1"/>
  <c r="N691" i="3"/>
  <c r="AA693" i="4" s="1"/>
  <c r="N127" i="3"/>
  <c r="AA129" i="4" s="1"/>
  <c r="N67" i="3"/>
  <c r="AA69" i="4" s="1"/>
  <c r="N19" i="3"/>
  <c r="AA21" i="4" s="1"/>
  <c r="N1001" i="3"/>
  <c r="AA1003" i="4" s="1"/>
  <c r="N989" i="3"/>
  <c r="AA991" i="4" s="1"/>
  <c r="N977" i="3"/>
  <c r="AA979" i="4" s="1"/>
  <c r="N965" i="3"/>
  <c r="AA967" i="4" s="1"/>
  <c r="N953" i="3"/>
  <c r="AA955" i="4" s="1"/>
  <c r="N941" i="3"/>
  <c r="AA943" i="4" s="1"/>
  <c r="N929" i="3"/>
  <c r="AA931" i="4" s="1"/>
  <c r="N917" i="3"/>
  <c r="AA919" i="4" s="1"/>
  <c r="N905" i="3"/>
  <c r="AA907" i="4" s="1"/>
  <c r="N893" i="3"/>
  <c r="AA895" i="4" s="1"/>
  <c r="N881" i="3"/>
  <c r="AA883" i="4" s="1"/>
  <c r="N869" i="3"/>
  <c r="AA871" i="4" s="1"/>
  <c r="N857" i="3"/>
  <c r="AA859" i="4" s="1"/>
  <c r="N845" i="3"/>
  <c r="AA847" i="4" s="1"/>
  <c r="N833" i="3"/>
  <c r="AA835" i="4" s="1"/>
  <c r="N821" i="3"/>
  <c r="AA823" i="4" s="1"/>
  <c r="N809" i="3"/>
  <c r="AA811" i="4" s="1"/>
  <c r="N797" i="3"/>
  <c r="AA799" i="4" s="1"/>
  <c r="N785" i="3"/>
  <c r="AA787" i="4" s="1"/>
  <c r="N773" i="3"/>
  <c r="AA775" i="4" s="1"/>
  <c r="N761" i="3"/>
  <c r="AA763" i="4" s="1"/>
  <c r="N749" i="3"/>
  <c r="AA751" i="4" s="1"/>
  <c r="N737" i="3"/>
  <c r="AA739" i="4" s="1"/>
  <c r="N725" i="3"/>
  <c r="AA727" i="4" s="1"/>
  <c r="N713" i="3"/>
  <c r="AA715" i="4" s="1"/>
  <c r="N701" i="3"/>
  <c r="AA703" i="4" s="1"/>
  <c r="N689" i="3"/>
  <c r="AA691" i="4" s="1"/>
  <c r="N677" i="3"/>
  <c r="AA679" i="4" s="1"/>
  <c r="N665" i="3"/>
  <c r="AA667" i="4" s="1"/>
  <c r="N653" i="3"/>
  <c r="AA655" i="4" s="1"/>
  <c r="N641" i="3"/>
  <c r="AA643" i="4" s="1"/>
  <c r="N629" i="3"/>
  <c r="AA631" i="4" s="1"/>
  <c r="N617" i="3"/>
  <c r="AA619" i="4" s="1"/>
  <c r="N605" i="3"/>
  <c r="AA607" i="4" s="1"/>
  <c r="N593" i="3"/>
  <c r="AA595" i="4" s="1"/>
  <c r="N581" i="3"/>
  <c r="AA583" i="4" s="1"/>
  <c r="N569" i="3"/>
  <c r="AA571" i="4" s="1"/>
  <c r="N557" i="3"/>
  <c r="AA559" i="4" s="1"/>
  <c r="N545" i="3"/>
  <c r="AA547" i="4" s="1"/>
  <c r="N533" i="3"/>
  <c r="AA535" i="4" s="1"/>
  <c r="N521" i="3"/>
  <c r="AA523" i="4" s="1"/>
  <c r="N509" i="3"/>
  <c r="AA511" i="4" s="1"/>
  <c r="N497" i="3"/>
  <c r="AA499" i="4" s="1"/>
  <c r="N485" i="3"/>
  <c r="AA487" i="4" s="1"/>
  <c r="N473" i="3"/>
  <c r="AA475" i="4" s="1"/>
  <c r="N461" i="3"/>
  <c r="AA463" i="4" s="1"/>
  <c r="N449" i="3"/>
  <c r="AA451" i="4" s="1"/>
  <c r="N437" i="3"/>
  <c r="AA439" i="4" s="1"/>
  <c r="N425" i="3"/>
  <c r="AA427" i="4" s="1"/>
  <c r="N413" i="3"/>
  <c r="AA415" i="4" s="1"/>
  <c r="N401" i="3"/>
  <c r="AA403" i="4" s="1"/>
  <c r="N389" i="3"/>
  <c r="AA391" i="4" s="1"/>
  <c r="N377" i="3"/>
  <c r="AA379" i="4" s="1"/>
  <c r="N365" i="3"/>
  <c r="AA367" i="4" s="1"/>
  <c r="N353" i="3"/>
  <c r="AA355" i="4" s="1"/>
  <c r="N341" i="3"/>
  <c r="AA343" i="4" s="1"/>
  <c r="N329" i="3"/>
  <c r="AA331" i="4" s="1"/>
  <c r="N317" i="3"/>
  <c r="AA319" i="4" s="1"/>
  <c r="N305" i="3"/>
  <c r="AA307" i="4" s="1"/>
  <c r="N293" i="3"/>
  <c r="AA295" i="4" s="1"/>
  <c r="N281" i="3"/>
  <c r="AA283" i="4" s="1"/>
  <c r="N269" i="3"/>
  <c r="AA271" i="4" s="1"/>
  <c r="N257" i="3"/>
  <c r="AA259" i="4" s="1"/>
  <c r="N245" i="3"/>
  <c r="AA247" i="4" s="1"/>
  <c r="N233" i="3"/>
  <c r="AA235" i="4" s="1"/>
  <c r="N221" i="3"/>
  <c r="AA223" i="4" s="1"/>
  <c r="N209" i="3"/>
  <c r="AA211" i="4" s="1"/>
  <c r="N197" i="3"/>
  <c r="AA199" i="4" s="1"/>
  <c r="N185" i="3"/>
  <c r="AA187" i="4" s="1"/>
  <c r="N173" i="3"/>
  <c r="AA175" i="4" s="1"/>
  <c r="N161" i="3"/>
  <c r="AA163" i="4" s="1"/>
  <c r="N149" i="3"/>
  <c r="AA151" i="4" s="1"/>
  <c r="N137" i="3"/>
  <c r="AA139" i="4" s="1"/>
  <c r="N125" i="3"/>
  <c r="AA127" i="4" s="1"/>
  <c r="N113" i="3"/>
  <c r="AA115" i="4" s="1"/>
  <c r="N101" i="3"/>
  <c r="AA103" i="4" s="1"/>
  <c r="N89" i="3"/>
  <c r="AA91" i="4" s="1"/>
  <c r="N77" i="3"/>
  <c r="AA79" i="4" s="1"/>
  <c r="N65" i="3"/>
  <c r="AA67" i="4" s="1"/>
  <c r="N53" i="3"/>
  <c r="AA55" i="4" s="1"/>
  <c r="N41" i="3"/>
  <c r="AA43" i="4" s="1"/>
  <c r="N29" i="3"/>
  <c r="AA31" i="4" s="1"/>
  <c r="N17" i="3"/>
  <c r="AA19" i="4" s="1"/>
  <c r="N964" i="3"/>
  <c r="AA966" i="4" s="1"/>
  <c r="N916" i="3"/>
  <c r="AA918" i="4" s="1"/>
  <c r="N880" i="3"/>
  <c r="AA882" i="4" s="1"/>
  <c r="N832" i="3"/>
  <c r="AA834" i="4" s="1"/>
  <c r="N772" i="3"/>
  <c r="AA774" i="4" s="1"/>
  <c r="N736" i="3"/>
  <c r="AA738" i="4" s="1"/>
  <c r="N688" i="3"/>
  <c r="AA690" i="4" s="1"/>
  <c r="N652" i="3"/>
  <c r="AA654" i="4" s="1"/>
  <c r="N592" i="3"/>
  <c r="AA594" i="4" s="1"/>
  <c r="N544" i="3"/>
  <c r="AA546" i="4" s="1"/>
  <c r="N496" i="3"/>
  <c r="AA498" i="4" s="1"/>
  <c r="N448" i="3"/>
  <c r="AA450" i="4" s="1"/>
  <c r="N400" i="3"/>
  <c r="AA402" i="4" s="1"/>
  <c r="N352" i="3"/>
  <c r="AA354" i="4" s="1"/>
  <c r="N304" i="3"/>
  <c r="AA306" i="4" s="1"/>
  <c r="N280" i="3"/>
  <c r="AA282" i="4" s="1"/>
  <c r="N256" i="3"/>
  <c r="AA258" i="4" s="1"/>
  <c r="N208" i="3"/>
  <c r="AA210" i="4" s="1"/>
  <c r="N172" i="3"/>
  <c r="AA174" i="4" s="1"/>
  <c r="N136" i="3"/>
  <c r="AA138" i="4" s="1"/>
  <c r="N100" i="3"/>
  <c r="AA102" i="4" s="1"/>
  <c r="N76" i="3"/>
  <c r="AA78" i="4" s="1"/>
  <c r="N40" i="3"/>
  <c r="AA42" i="4" s="1"/>
  <c r="N28" i="3"/>
  <c r="AA30" i="4" s="1"/>
  <c r="N976" i="3"/>
  <c r="AA978" i="4" s="1"/>
  <c r="N928" i="3"/>
  <c r="AA930" i="4" s="1"/>
  <c r="N856" i="3"/>
  <c r="AA858" i="4" s="1"/>
  <c r="N796" i="3"/>
  <c r="AA798" i="4" s="1"/>
  <c r="N748" i="3"/>
  <c r="AA750" i="4" s="1"/>
  <c r="N700" i="3"/>
  <c r="AA702" i="4" s="1"/>
  <c r="N640" i="3"/>
  <c r="AA642" i="4" s="1"/>
  <c r="N580" i="3"/>
  <c r="AA582" i="4" s="1"/>
  <c r="N520" i="3"/>
  <c r="AA522" i="4" s="1"/>
  <c r="N472" i="3"/>
  <c r="AA474" i="4" s="1"/>
  <c r="N424" i="3"/>
  <c r="AA426" i="4" s="1"/>
  <c r="N340" i="3"/>
  <c r="AA342" i="4" s="1"/>
  <c r="N232" i="3"/>
  <c r="AA234" i="4" s="1"/>
  <c r="N16" i="3"/>
  <c r="AA18" i="4" s="1"/>
  <c r="N988" i="3"/>
  <c r="AA990" i="4" s="1"/>
  <c r="N952" i="3"/>
  <c r="AA954" i="4" s="1"/>
  <c r="N904" i="3"/>
  <c r="AA906" i="4" s="1"/>
  <c r="N868" i="3"/>
  <c r="AA870" i="4" s="1"/>
  <c r="N820" i="3"/>
  <c r="AA822" i="4" s="1"/>
  <c r="N784" i="3"/>
  <c r="AA786" i="4" s="1"/>
  <c r="N724" i="3"/>
  <c r="AA726" i="4" s="1"/>
  <c r="N676" i="3"/>
  <c r="AA678" i="4" s="1"/>
  <c r="N616" i="3"/>
  <c r="AA618" i="4" s="1"/>
  <c r="N568" i="3"/>
  <c r="AA570" i="4" s="1"/>
  <c r="N532" i="3"/>
  <c r="AA534" i="4" s="1"/>
  <c r="N484" i="3"/>
  <c r="AA486" i="4" s="1"/>
  <c r="N436" i="3"/>
  <c r="AA438" i="4" s="1"/>
  <c r="N388" i="3"/>
  <c r="AA390" i="4" s="1"/>
  <c r="N364" i="3"/>
  <c r="AA366" i="4" s="1"/>
  <c r="N316" i="3"/>
  <c r="AA318" i="4" s="1"/>
  <c r="N268" i="3"/>
  <c r="AA270" i="4" s="1"/>
  <c r="N220" i="3"/>
  <c r="AA222" i="4" s="1"/>
  <c r="N184" i="3"/>
  <c r="AA186" i="4" s="1"/>
  <c r="N148" i="3"/>
  <c r="AA150" i="4" s="1"/>
  <c r="N112" i="3"/>
  <c r="AA114" i="4" s="1"/>
  <c r="N64" i="3"/>
  <c r="AA66" i="4" s="1"/>
  <c r="N1000" i="3"/>
  <c r="AA1002" i="4" s="1"/>
  <c r="N940" i="3"/>
  <c r="AA942" i="4" s="1"/>
  <c r="N892" i="3"/>
  <c r="AA894" i="4" s="1"/>
  <c r="N844" i="3"/>
  <c r="AA846" i="4" s="1"/>
  <c r="N808" i="3"/>
  <c r="AA810" i="4" s="1"/>
  <c r="N760" i="3"/>
  <c r="AA762" i="4" s="1"/>
  <c r="N712" i="3"/>
  <c r="AA714" i="4" s="1"/>
  <c r="N664" i="3"/>
  <c r="AA666" i="4" s="1"/>
  <c r="N628" i="3"/>
  <c r="AA630" i="4" s="1"/>
  <c r="N604" i="3"/>
  <c r="AA606" i="4" s="1"/>
  <c r="N556" i="3"/>
  <c r="AA558" i="4" s="1"/>
  <c r="N508" i="3"/>
  <c r="AA510" i="4" s="1"/>
  <c r="N460" i="3"/>
  <c r="AA462" i="4" s="1"/>
  <c r="N412" i="3"/>
  <c r="AA414" i="4" s="1"/>
  <c r="N376" i="3"/>
  <c r="AA378" i="4" s="1"/>
  <c r="N328" i="3"/>
  <c r="AA330" i="4" s="1"/>
  <c r="N292" i="3"/>
  <c r="AA294" i="4" s="1"/>
  <c r="N244" i="3"/>
  <c r="AA246" i="4" s="1"/>
  <c r="N196" i="3"/>
  <c r="AA198" i="4" s="1"/>
  <c r="N160" i="3"/>
  <c r="AA162" i="4" s="1"/>
  <c r="N124" i="3"/>
  <c r="AA126" i="4" s="1"/>
  <c r="N88" i="3"/>
  <c r="AA90" i="4" s="1"/>
  <c r="N52" i="3"/>
  <c r="AA54" i="4" s="1"/>
  <c r="N997" i="3"/>
  <c r="AA999" i="4" s="1"/>
  <c r="N985" i="3"/>
  <c r="AA987" i="4" s="1"/>
  <c r="N973" i="3"/>
  <c r="AA975" i="4" s="1"/>
  <c r="N695" i="3"/>
  <c r="AA697" i="4" s="1"/>
  <c r="N961" i="3"/>
  <c r="AA963" i="4" s="1"/>
  <c r="N949" i="3"/>
  <c r="AA951" i="4" s="1"/>
  <c r="N937" i="3"/>
  <c r="AA939" i="4" s="1"/>
  <c r="N925" i="3"/>
  <c r="AA927" i="4" s="1"/>
  <c r="N913" i="3"/>
  <c r="AA915" i="4" s="1"/>
  <c r="N901" i="3"/>
  <c r="AA903" i="4" s="1"/>
  <c r="N889" i="3"/>
  <c r="AA891" i="4" s="1"/>
  <c r="N877" i="3"/>
  <c r="AA879" i="4" s="1"/>
  <c r="N865" i="3"/>
  <c r="AA867" i="4" s="1"/>
  <c r="N853" i="3"/>
  <c r="AA855" i="4" s="1"/>
  <c r="N841" i="3"/>
  <c r="AA843" i="4" s="1"/>
  <c r="N829" i="3"/>
  <c r="AA831" i="4" s="1"/>
  <c r="N817" i="3"/>
  <c r="AA819" i="4" s="1"/>
  <c r="N805" i="3"/>
  <c r="AA807" i="4" s="1"/>
  <c r="N793" i="3"/>
  <c r="AA795" i="4" s="1"/>
  <c r="N781" i="3"/>
  <c r="AA783" i="4" s="1"/>
  <c r="N769" i="3"/>
  <c r="AA771" i="4" s="1"/>
  <c r="N757" i="3"/>
  <c r="AA759" i="4" s="1"/>
  <c r="N745" i="3"/>
  <c r="AA747" i="4" s="1"/>
  <c r="N733" i="3"/>
  <c r="AA735" i="4" s="1"/>
  <c r="N721" i="3"/>
  <c r="AA723" i="4" s="1"/>
  <c r="N709" i="3"/>
  <c r="AA711" i="4" s="1"/>
  <c r="N697" i="3"/>
  <c r="AA699" i="4" s="1"/>
  <c r="N685" i="3"/>
  <c r="AA687" i="4" s="1"/>
  <c r="N673" i="3"/>
  <c r="AA675" i="4" s="1"/>
  <c r="N661" i="3"/>
  <c r="AA663" i="4" s="1"/>
  <c r="N649" i="3"/>
  <c r="AA651" i="4" s="1"/>
  <c r="N637" i="3"/>
  <c r="AA639" i="4" s="1"/>
  <c r="N625" i="3"/>
  <c r="AA627" i="4" s="1"/>
  <c r="N613" i="3"/>
  <c r="AA615" i="4" s="1"/>
  <c r="N601" i="3"/>
  <c r="AA603" i="4" s="1"/>
  <c r="N589" i="3"/>
  <c r="AA591" i="4" s="1"/>
  <c r="N577" i="3"/>
  <c r="AA579" i="4" s="1"/>
  <c r="N565" i="3"/>
  <c r="AA567" i="4" s="1"/>
  <c r="N553" i="3"/>
  <c r="AA555" i="4" s="1"/>
  <c r="N541" i="3"/>
  <c r="AA543" i="4" s="1"/>
  <c r="N529" i="3"/>
  <c r="AA531" i="4" s="1"/>
  <c r="N517" i="3"/>
  <c r="AA519" i="4" s="1"/>
  <c r="N505" i="3"/>
  <c r="AA507" i="4" s="1"/>
  <c r="N493" i="3"/>
  <c r="AA495" i="4" s="1"/>
  <c r="N481" i="3"/>
  <c r="AA483" i="4" s="1"/>
  <c r="N469" i="3"/>
  <c r="AA471" i="4" s="1"/>
  <c r="N457" i="3"/>
  <c r="AA459" i="4" s="1"/>
  <c r="N445" i="3"/>
  <c r="AA447" i="4" s="1"/>
  <c r="N433" i="3"/>
  <c r="AA435" i="4" s="1"/>
  <c r="N421" i="3"/>
  <c r="AA423" i="4" s="1"/>
  <c r="N409" i="3"/>
  <c r="AA411" i="4" s="1"/>
  <c r="N397" i="3"/>
  <c r="AA399" i="4" s="1"/>
  <c r="N385" i="3"/>
  <c r="AA387" i="4" s="1"/>
  <c r="N373" i="3"/>
  <c r="AA375" i="4" s="1"/>
  <c r="N361" i="3"/>
  <c r="AA363" i="4" s="1"/>
  <c r="N349" i="3"/>
  <c r="AA351" i="4" s="1"/>
  <c r="N337" i="3"/>
  <c r="AA339" i="4" s="1"/>
  <c r="N325" i="3"/>
  <c r="AA327" i="4" s="1"/>
  <c r="N313" i="3"/>
  <c r="AA315" i="4" s="1"/>
  <c r="N301" i="3"/>
  <c r="AA303" i="4" s="1"/>
  <c r="N289" i="3"/>
  <c r="AA291" i="4" s="1"/>
  <c r="N277" i="3"/>
  <c r="AA279" i="4" s="1"/>
  <c r="N265" i="3"/>
  <c r="AA267" i="4" s="1"/>
  <c r="N253" i="3"/>
  <c r="AA255" i="4" s="1"/>
  <c r="N241" i="3"/>
  <c r="AA243" i="4" s="1"/>
  <c r="N229" i="3"/>
  <c r="AA231" i="4" s="1"/>
  <c r="N217" i="3"/>
  <c r="AA219" i="4" s="1"/>
  <c r="N205" i="3"/>
  <c r="AA207" i="4" s="1"/>
  <c r="N193" i="3"/>
  <c r="AA195" i="4" s="1"/>
  <c r="N181" i="3"/>
  <c r="AA183" i="4" s="1"/>
  <c r="N169" i="3"/>
  <c r="AA171" i="4" s="1"/>
  <c r="N157" i="3"/>
  <c r="AA159" i="4" s="1"/>
  <c r="N145" i="3"/>
  <c r="AA147" i="4" s="1"/>
  <c r="N133" i="3"/>
  <c r="AA135" i="4" s="1"/>
  <c r="N121" i="3"/>
  <c r="AA123" i="4" s="1"/>
  <c r="N109" i="3"/>
  <c r="AA111" i="4" s="1"/>
  <c r="N97" i="3"/>
  <c r="AA99" i="4" s="1"/>
  <c r="N85" i="3"/>
  <c r="AA87" i="4" s="1"/>
  <c r="N73" i="3"/>
  <c r="AA75" i="4" s="1"/>
  <c r="N61" i="3"/>
  <c r="AA63" i="4" s="1"/>
  <c r="N49" i="3"/>
  <c r="AA51" i="4" s="1"/>
  <c r="N37" i="3"/>
  <c r="AA39" i="4" s="1"/>
  <c r="N25" i="3"/>
  <c r="AA27" i="4" s="1"/>
  <c r="N13" i="3"/>
  <c r="AA15" i="4" s="1"/>
  <c r="N960" i="3"/>
  <c r="AA962" i="4" s="1"/>
  <c r="N948" i="3"/>
  <c r="AA950" i="4" s="1"/>
  <c r="N936" i="3"/>
  <c r="AA938" i="4" s="1"/>
  <c r="N924" i="3"/>
  <c r="AA926" i="4" s="1"/>
  <c r="N912" i="3"/>
  <c r="AA914" i="4" s="1"/>
  <c r="N900" i="3"/>
  <c r="AA902" i="4" s="1"/>
  <c r="N888" i="3"/>
  <c r="AA890" i="4" s="1"/>
  <c r="N876" i="3"/>
  <c r="AA878" i="4" s="1"/>
  <c r="N864" i="3"/>
  <c r="AA866" i="4" s="1"/>
  <c r="N852" i="3"/>
  <c r="AA854" i="4" s="1"/>
  <c r="N840" i="3"/>
  <c r="AA842" i="4" s="1"/>
  <c r="N828" i="3"/>
  <c r="AA830" i="4" s="1"/>
  <c r="N816" i="3"/>
  <c r="AA818" i="4" s="1"/>
  <c r="N804" i="3"/>
  <c r="AA806" i="4" s="1"/>
  <c r="N792" i="3"/>
  <c r="AA794" i="4" s="1"/>
  <c r="N780" i="3"/>
  <c r="AA782" i="4" s="1"/>
  <c r="N768" i="3"/>
  <c r="AA770" i="4" s="1"/>
  <c r="N756" i="3"/>
  <c r="AA758" i="4" s="1"/>
  <c r="N744" i="3"/>
  <c r="AA746" i="4" s="1"/>
  <c r="N732" i="3"/>
  <c r="AA734" i="4" s="1"/>
  <c r="N720" i="3"/>
  <c r="AA722" i="4" s="1"/>
  <c r="N708" i="3"/>
  <c r="AA710" i="4" s="1"/>
  <c r="N696" i="3"/>
  <c r="AA698" i="4" s="1"/>
  <c r="N684" i="3"/>
  <c r="AA686" i="4" s="1"/>
  <c r="N672" i="3"/>
  <c r="AA674" i="4" s="1"/>
  <c r="N660" i="3"/>
  <c r="AA662" i="4" s="1"/>
  <c r="N648" i="3"/>
  <c r="AA650" i="4" s="1"/>
  <c r="N636" i="3"/>
  <c r="AA638" i="4" s="1"/>
  <c r="N624" i="3"/>
  <c r="AA626" i="4" s="1"/>
  <c r="N612" i="3"/>
  <c r="AA614" i="4" s="1"/>
  <c r="N600" i="3"/>
  <c r="AA602" i="4" s="1"/>
  <c r="N588" i="3"/>
  <c r="AA590" i="4" s="1"/>
  <c r="N576" i="3"/>
  <c r="AA578" i="4" s="1"/>
  <c r="N564" i="3"/>
  <c r="AA566" i="4" s="1"/>
  <c r="N552" i="3"/>
  <c r="AA554" i="4" s="1"/>
  <c r="N540" i="3"/>
  <c r="AA542" i="4" s="1"/>
  <c r="N528" i="3"/>
  <c r="AA530" i="4" s="1"/>
  <c r="N516" i="3"/>
  <c r="AA518" i="4" s="1"/>
  <c r="N504" i="3"/>
  <c r="AA506" i="4" s="1"/>
  <c r="N492" i="3"/>
  <c r="AA494" i="4" s="1"/>
  <c r="N480" i="3"/>
  <c r="AA482" i="4" s="1"/>
  <c r="N468" i="3"/>
  <c r="AA470" i="4" s="1"/>
  <c r="N456" i="3"/>
  <c r="AA458" i="4" s="1"/>
  <c r="N444" i="3"/>
  <c r="AA446" i="4" s="1"/>
  <c r="N432" i="3"/>
  <c r="AA434" i="4" s="1"/>
  <c r="N420" i="3"/>
  <c r="AA422" i="4" s="1"/>
  <c r="N408" i="3"/>
  <c r="AA410" i="4" s="1"/>
  <c r="N396" i="3"/>
  <c r="AA398" i="4" s="1"/>
  <c r="N384" i="3"/>
  <c r="AA386" i="4" s="1"/>
  <c r="N372" i="3"/>
  <c r="AA374" i="4" s="1"/>
  <c r="N360" i="3"/>
  <c r="AA362" i="4" s="1"/>
  <c r="N348" i="3"/>
  <c r="AA350" i="4" s="1"/>
  <c r="N336" i="3"/>
  <c r="AA338" i="4" s="1"/>
  <c r="N324" i="3"/>
  <c r="AA326" i="4" s="1"/>
  <c r="N312" i="3"/>
  <c r="AA314" i="4" s="1"/>
  <c r="N300" i="3"/>
  <c r="AA302" i="4" s="1"/>
  <c r="N288" i="3"/>
  <c r="AA290" i="4" s="1"/>
  <c r="N276" i="3"/>
  <c r="AA278" i="4" s="1"/>
  <c r="N264" i="3"/>
  <c r="AA266" i="4" s="1"/>
  <c r="N252" i="3"/>
  <c r="AA254" i="4" s="1"/>
  <c r="N240" i="3"/>
  <c r="AA242" i="4" s="1"/>
  <c r="N228" i="3"/>
  <c r="AA230" i="4" s="1"/>
  <c r="N216" i="3"/>
  <c r="AA218" i="4" s="1"/>
  <c r="N204" i="3"/>
  <c r="AA206" i="4" s="1"/>
  <c r="N192" i="3"/>
  <c r="AA194" i="4" s="1"/>
  <c r="N180" i="3"/>
  <c r="AA182" i="4" s="1"/>
  <c r="N168" i="3"/>
  <c r="AA170" i="4" s="1"/>
  <c r="N156" i="3"/>
  <c r="AA158" i="4" s="1"/>
  <c r="N144" i="3"/>
  <c r="AA146" i="4" s="1"/>
  <c r="N132" i="3"/>
  <c r="AA134" i="4" s="1"/>
  <c r="N120" i="3"/>
  <c r="AA122" i="4" s="1"/>
  <c r="N108" i="3"/>
  <c r="AA110" i="4" s="1"/>
  <c r="N96" i="3"/>
  <c r="AA98" i="4" s="1"/>
  <c r="N84" i="3"/>
  <c r="AA86" i="4" s="1"/>
  <c r="N72" i="3"/>
  <c r="AA74" i="4" s="1"/>
  <c r="N60" i="3"/>
  <c r="AA62" i="4" s="1"/>
  <c r="N48" i="3"/>
  <c r="AA50" i="4" s="1"/>
  <c r="N36" i="3"/>
  <c r="AA38" i="4" s="1"/>
  <c r="N24" i="3"/>
  <c r="AA26" i="4" s="1"/>
  <c r="N12" i="3"/>
  <c r="AA14" i="4" s="1"/>
  <c r="N983" i="3"/>
  <c r="AA985" i="4" s="1"/>
  <c r="N947" i="3"/>
  <c r="AA949" i="4" s="1"/>
  <c r="N911" i="3"/>
  <c r="AA913" i="4" s="1"/>
  <c r="N863" i="3"/>
  <c r="AA865" i="4" s="1"/>
  <c r="N815" i="3"/>
  <c r="AA817" i="4" s="1"/>
  <c r="N779" i="3"/>
  <c r="AA781" i="4" s="1"/>
  <c r="N755" i="3"/>
  <c r="AA757" i="4" s="1"/>
  <c r="N731" i="3"/>
  <c r="AA733" i="4" s="1"/>
  <c r="N671" i="3"/>
  <c r="AA673" i="4" s="1"/>
  <c r="N635" i="3"/>
  <c r="AA637" i="4" s="1"/>
  <c r="N611" i="3"/>
  <c r="AA613" i="4" s="1"/>
  <c r="N575" i="3"/>
  <c r="AA577" i="4" s="1"/>
  <c r="N539" i="3"/>
  <c r="AA541" i="4" s="1"/>
  <c r="N491" i="3"/>
  <c r="AA493" i="4" s="1"/>
  <c r="N467" i="3"/>
  <c r="AA469" i="4" s="1"/>
  <c r="N431" i="3"/>
  <c r="AA433" i="4" s="1"/>
  <c r="N383" i="3"/>
  <c r="AA385" i="4" s="1"/>
  <c r="N347" i="3"/>
  <c r="AA349" i="4" s="1"/>
  <c r="N311" i="3"/>
  <c r="AA313" i="4" s="1"/>
  <c r="N263" i="3"/>
  <c r="AA265" i="4" s="1"/>
  <c r="N227" i="3"/>
  <c r="AA229" i="4" s="1"/>
  <c r="N191" i="3"/>
  <c r="AA193" i="4" s="1"/>
  <c r="N155" i="3"/>
  <c r="AA157" i="4" s="1"/>
  <c r="N131" i="3"/>
  <c r="AA133" i="4" s="1"/>
  <c r="N83" i="3"/>
  <c r="AA85" i="4" s="1"/>
  <c r="N59" i="3"/>
  <c r="AA61" i="4" s="1"/>
  <c r="N47" i="3"/>
  <c r="AA49" i="4" s="1"/>
  <c r="N35" i="3"/>
  <c r="AA37" i="4" s="1"/>
  <c r="N23" i="3"/>
  <c r="AA25" i="4" s="1"/>
  <c r="N11" i="3"/>
  <c r="AA13" i="4" s="1"/>
  <c r="N839" i="3"/>
  <c r="AA841" i="4" s="1"/>
  <c r="N995" i="3"/>
  <c r="AA997" i="4" s="1"/>
  <c r="N959" i="3"/>
  <c r="AA961" i="4" s="1"/>
  <c r="N923" i="3"/>
  <c r="AA925" i="4" s="1"/>
  <c r="N899" i="3"/>
  <c r="AA901" i="4" s="1"/>
  <c r="N875" i="3"/>
  <c r="AA877" i="4" s="1"/>
  <c r="N827" i="3"/>
  <c r="AA829" i="4" s="1"/>
  <c r="N743" i="3"/>
  <c r="AA745" i="4" s="1"/>
  <c r="N719" i="3"/>
  <c r="AA721" i="4" s="1"/>
  <c r="N647" i="3"/>
  <c r="AA649" i="4" s="1"/>
  <c r="N599" i="3"/>
  <c r="AA601" i="4" s="1"/>
  <c r="N551" i="3"/>
  <c r="AA553" i="4" s="1"/>
  <c r="N515" i="3"/>
  <c r="AA517" i="4" s="1"/>
  <c r="N479" i="3"/>
  <c r="AA481" i="4" s="1"/>
  <c r="N419" i="3"/>
  <c r="AA421" i="4" s="1"/>
  <c r="N371" i="3"/>
  <c r="AA373" i="4" s="1"/>
  <c r="N323" i="3"/>
  <c r="AA325" i="4" s="1"/>
  <c r="N299" i="3"/>
  <c r="AA301" i="4" s="1"/>
  <c r="N251" i="3"/>
  <c r="AA253" i="4" s="1"/>
  <c r="N203" i="3"/>
  <c r="AA205" i="4" s="1"/>
  <c r="N119" i="3"/>
  <c r="AA121" i="4" s="1"/>
  <c r="N527" i="3"/>
  <c r="AA529" i="4" s="1"/>
  <c r="N443" i="3"/>
  <c r="AA445" i="4" s="1"/>
  <c r="N395" i="3"/>
  <c r="AA397" i="4" s="1"/>
  <c r="N287" i="3"/>
  <c r="AA289" i="4" s="1"/>
  <c r="N239" i="3"/>
  <c r="AA241" i="4" s="1"/>
  <c r="N179" i="3"/>
  <c r="AA181" i="4" s="1"/>
  <c r="N143" i="3"/>
  <c r="AA145" i="4" s="1"/>
  <c r="N71" i="3"/>
  <c r="AA73" i="4" s="1"/>
  <c r="N1004" i="3"/>
  <c r="AA1006" i="4" s="1"/>
  <c r="N980" i="3"/>
  <c r="AA982" i="4" s="1"/>
  <c r="N956" i="3"/>
  <c r="AA958" i="4" s="1"/>
  <c r="N932" i="3"/>
  <c r="AA934" i="4" s="1"/>
  <c r="N908" i="3"/>
  <c r="AA910" i="4" s="1"/>
  <c r="N872" i="3"/>
  <c r="AA874" i="4" s="1"/>
  <c r="N848" i="3"/>
  <c r="AA850" i="4" s="1"/>
  <c r="N812" i="3"/>
  <c r="AA814" i="4" s="1"/>
  <c r="N788" i="3"/>
  <c r="AA790" i="4" s="1"/>
  <c r="N764" i="3"/>
  <c r="AA766" i="4" s="1"/>
  <c r="N740" i="3"/>
  <c r="AA742" i="4" s="1"/>
  <c r="N716" i="3"/>
  <c r="AA718" i="4" s="1"/>
  <c r="N692" i="3"/>
  <c r="AA694" i="4" s="1"/>
  <c r="N668" i="3"/>
  <c r="AA670" i="4" s="1"/>
  <c r="N644" i="3"/>
  <c r="AA646" i="4" s="1"/>
  <c r="N608" i="3"/>
  <c r="AA610" i="4" s="1"/>
  <c r="N584" i="3"/>
  <c r="AA586" i="4" s="1"/>
  <c r="N560" i="3"/>
  <c r="AA562" i="4" s="1"/>
  <c r="N512" i="3"/>
  <c r="AA514" i="4" s="1"/>
  <c r="N476" i="3"/>
  <c r="AA478" i="4" s="1"/>
  <c r="N452" i="3"/>
  <c r="AA454" i="4" s="1"/>
  <c r="N428" i="3"/>
  <c r="AA430" i="4" s="1"/>
  <c r="N404" i="3"/>
  <c r="AA406" i="4" s="1"/>
  <c r="N368" i="3"/>
  <c r="AA370" i="4" s="1"/>
  <c r="N344" i="3"/>
  <c r="AA346" i="4" s="1"/>
  <c r="N320" i="3"/>
  <c r="AA322" i="4" s="1"/>
  <c r="N296" i="3"/>
  <c r="AA298" i="4" s="1"/>
  <c r="N272" i="3"/>
  <c r="AA274" i="4" s="1"/>
  <c r="N212" i="3"/>
  <c r="AA214" i="4" s="1"/>
  <c r="N188" i="3"/>
  <c r="AA190" i="4" s="1"/>
  <c r="N164" i="3"/>
  <c r="AA166" i="4" s="1"/>
  <c r="N140" i="3"/>
  <c r="AA142" i="4" s="1"/>
  <c r="N104" i="3"/>
  <c r="AA106" i="4" s="1"/>
  <c r="N68" i="3"/>
  <c r="AA70" i="4" s="1"/>
  <c r="N20" i="3"/>
  <c r="AA22" i="4" s="1"/>
  <c r="N971" i="3"/>
  <c r="AA973" i="4" s="1"/>
  <c r="N935" i="3"/>
  <c r="AA937" i="4" s="1"/>
  <c r="N887" i="3"/>
  <c r="AA889" i="4" s="1"/>
  <c r="N851" i="3"/>
  <c r="AA853" i="4" s="1"/>
  <c r="N803" i="3"/>
  <c r="AA805" i="4" s="1"/>
  <c r="N767" i="3"/>
  <c r="AA769" i="4" s="1"/>
  <c r="N707" i="3"/>
  <c r="AA709" i="4" s="1"/>
  <c r="N659" i="3"/>
  <c r="AA661" i="4" s="1"/>
  <c r="N623" i="3"/>
  <c r="AA625" i="4" s="1"/>
  <c r="N563" i="3"/>
  <c r="AA565" i="4" s="1"/>
  <c r="N503" i="3"/>
  <c r="AA505" i="4" s="1"/>
  <c r="N455" i="3"/>
  <c r="AA457" i="4" s="1"/>
  <c r="N407" i="3"/>
  <c r="AA409" i="4" s="1"/>
  <c r="N335" i="3"/>
  <c r="AA337" i="4" s="1"/>
  <c r="N275" i="3"/>
  <c r="AA277" i="4" s="1"/>
  <c r="N215" i="3"/>
  <c r="AA217" i="4" s="1"/>
  <c r="N167" i="3"/>
  <c r="AA169" i="4" s="1"/>
  <c r="N95" i="3"/>
  <c r="AA97" i="4" s="1"/>
  <c r="N992" i="3"/>
  <c r="AA994" i="4" s="1"/>
  <c r="N968" i="3"/>
  <c r="AA970" i="4" s="1"/>
  <c r="N944" i="3"/>
  <c r="AA946" i="4" s="1"/>
  <c r="N920" i="3"/>
  <c r="AA922" i="4" s="1"/>
  <c r="N896" i="3"/>
  <c r="AA898" i="4" s="1"/>
  <c r="N884" i="3"/>
  <c r="AA886" i="4" s="1"/>
  <c r="N860" i="3"/>
  <c r="AA862" i="4" s="1"/>
  <c r="N836" i="3"/>
  <c r="AA838" i="4" s="1"/>
  <c r="N800" i="3"/>
  <c r="AA802" i="4" s="1"/>
  <c r="N776" i="3"/>
  <c r="AA778" i="4" s="1"/>
  <c r="N752" i="3"/>
  <c r="AA754" i="4" s="1"/>
  <c r="N728" i="3"/>
  <c r="AA730" i="4" s="1"/>
  <c r="N704" i="3"/>
  <c r="AA706" i="4" s="1"/>
  <c r="N680" i="3"/>
  <c r="AA682" i="4" s="1"/>
  <c r="N656" i="3"/>
  <c r="AA658" i="4" s="1"/>
  <c r="N632" i="3"/>
  <c r="AA634" i="4" s="1"/>
  <c r="N596" i="3"/>
  <c r="AA598" i="4" s="1"/>
  <c r="N572" i="3"/>
  <c r="AA574" i="4" s="1"/>
  <c r="N548" i="3"/>
  <c r="AA550" i="4" s="1"/>
  <c r="N524" i="3"/>
  <c r="AA526" i="4" s="1"/>
  <c r="N500" i="3"/>
  <c r="AA502" i="4" s="1"/>
  <c r="N464" i="3"/>
  <c r="AA466" i="4" s="1"/>
  <c r="N440" i="3"/>
  <c r="AA442" i="4" s="1"/>
  <c r="N416" i="3"/>
  <c r="AA418" i="4" s="1"/>
  <c r="N392" i="3"/>
  <c r="AA394" i="4" s="1"/>
  <c r="N380" i="3"/>
  <c r="AA382" i="4" s="1"/>
  <c r="N356" i="3"/>
  <c r="AA358" i="4" s="1"/>
  <c r="N332" i="3"/>
  <c r="AA334" i="4" s="1"/>
  <c r="N308" i="3"/>
  <c r="AA310" i="4" s="1"/>
  <c r="N284" i="3"/>
  <c r="AA286" i="4" s="1"/>
  <c r="N260" i="3"/>
  <c r="AA262" i="4" s="1"/>
  <c r="N236" i="3"/>
  <c r="AA238" i="4" s="1"/>
  <c r="N224" i="3"/>
  <c r="AA226" i="4" s="1"/>
  <c r="N200" i="3"/>
  <c r="AA202" i="4" s="1"/>
  <c r="N176" i="3"/>
  <c r="AA178" i="4" s="1"/>
  <c r="N152" i="3"/>
  <c r="AA154" i="4" s="1"/>
  <c r="N128" i="3"/>
  <c r="AA130" i="4" s="1"/>
  <c r="N116" i="3"/>
  <c r="AA118" i="4" s="1"/>
  <c r="N92" i="3"/>
  <c r="AA94" i="4" s="1"/>
  <c r="N80" i="3"/>
  <c r="AA82" i="4" s="1"/>
  <c r="N56" i="3"/>
  <c r="AA58" i="4" s="1"/>
  <c r="N44" i="3"/>
  <c r="AA46" i="4" s="1"/>
  <c r="N32" i="3"/>
  <c r="AA34" i="4" s="1"/>
  <c r="N8" i="3"/>
  <c r="AA10" i="4" s="1"/>
  <c r="N1003" i="3"/>
  <c r="AA1005" i="4" s="1"/>
  <c r="N991" i="3"/>
  <c r="AA993" i="4" s="1"/>
  <c r="N979" i="3"/>
  <c r="AA981" i="4" s="1"/>
  <c r="N787" i="3"/>
  <c r="AA789" i="4" s="1"/>
  <c r="N679" i="3"/>
  <c r="AA681" i="4" s="1"/>
  <c r="N427" i="3"/>
  <c r="AA429" i="4" s="1"/>
  <c r="N319" i="3"/>
  <c r="AA321" i="4" s="1"/>
  <c r="N307" i="3"/>
  <c r="AA309" i="4" s="1"/>
  <c r="N967" i="3"/>
  <c r="AA969" i="4" s="1"/>
  <c r="N955" i="3"/>
  <c r="AA957" i="4" s="1"/>
  <c r="N943" i="3"/>
  <c r="AA945" i="4" s="1"/>
  <c r="N931" i="3"/>
  <c r="AA933" i="4" s="1"/>
  <c r="N919" i="3"/>
  <c r="AA921" i="4" s="1"/>
  <c r="N907" i="3"/>
  <c r="AA909" i="4" s="1"/>
  <c r="N895" i="3"/>
  <c r="AA897" i="4" s="1"/>
  <c r="N883" i="3"/>
  <c r="AA885" i="4" s="1"/>
  <c r="N871" i="3"/>
  <c r="AA873" i="4" s="1"/>
  <c r="N859" i="3"/>
  <c r="AA861" i="4" s="1"/>
  <c r="N847" i="3"/>
  <c r="AA849" i="4" s="1"/>
  <c r="N835" i="3"/>
  <c r="AA837" i="4" s="1"/>
  <c r="N823" i="3"/>
  <c r="AA825" i="4" s="1"/>
  <c r="N811" i="3"/>
  <c r="AA813" i="4" s="1"/>
  <c r="N799" i="3"/>
  <c r="AA801" i="4" s="1"/>
  <c r="N775" i="3"/>
  <c r="AA777" i="4" s="1"/>
  <c r="N763" i="3"/>
  <c r="AA765" i="4" s="1"/>
  <c r="N751" i="3"/>
  <c r="AA753" i="4" s="1"/>
  <c r="N739" i="3"/>
  <c r="AA741" i="4" s="1"/>
  <c r="N727" i="3"/>
  <c r="AA729" i="4" s="1"/>
  <c r="N715" i="3"/>
  <c r="AA717" i="4" s="1"/>
  <c r="N703" i="3"/>
  <c r="AA705" i="4" s="1"/>
  <c r="N667" i="3"/>
  <c r="AA669" i="4" s="1"/>
  <c r="N655" i="3"/>
  <c r="AA657" i="4" s="1"/>
  <c r="N643" i="3"/>
  <c r="AA645" i="4" s="1"/>
  <c r="N631" i="3"/>
  <c r="AA633" i="4" s="1"/>
  <c r="N619" i="3"/>
  <c r="AA621" i="4" s="1"/>
  <c r="N607" i="3"/>
  <c r="AA609" i="4" s="1"/>
  <c r="N595" i="3"/>
  <c r="AA597" i="4" s="1"/>
  <c r="N583" i="3"/>
  <c r="AA585" i="4" s="1"/>
  <c r="N571" i="3"/>
  <c r="AA573" i="4" s="1"/>
  <c r="N559" i="3"/>
  <c r="AA561" i="4" s="1"/>
  <c r="N547" i="3"/>
  <c r="AA549" i="4" s="1"/>
  <c r="N535" i="3"/>
  <c r="AA537" i="4" s="1"/>
  <c r="N523" i="3"/>
  <c r="AA525" i="4" s="1"/>
  <c r="N511" i="3"/>
  <c r="AA513" i="4" s="1"/>
  <c r="N499" i="3"/>
  <c r="AA501" i="4" s="1"/>
  <c r="N487" i="3"/>
  <c r="AA489" i="4" s="1"/>
  <c r="N475" i="3"/>
  <c r="AA477" i="4" s="1"/>
  <c r="N463" i="3"/>
  <c r="AA465" i="4" s="1"/>
  <c r="N451" i="3"/>
  <c r="AA453" i="4" s="1"/>
  <c r="N439" i="3"/>
  <c r="AA441" i="4" s="1"/>
  <c r="N415" i="3"/>
  <c r="AA417" i="4" s="1"/>
  <c r="N403" i="3"/>
  <c r="AA405" i="4" s="1"/>
  <c r="N391" i="3"/>
  <c r="AA393" i="4" s="1"/>
  <c r="N379" i="3"/>
  <c r="AA381" i="4" s="1"/>
  <c r="N367" i="3"/>
  <c r="AA369" i="4" s="1"/>
  <c r="N355" i="3"/>
  <c r="AA357" i="4" s="1"/>
  <c r="N343" i="3"/>
  <c r="AA345" i="4" s="1"/>
  <c r="N331" i="3"/>
  <c r="AA333" i="4" s="1"/>
  <c r="N295" i="3"/>
  <c r="AA297" i="4" s="1"/>
  <c r="N283" i="3"/>
  <c r="AA285" i="4" s="1"/>
  <c r="N271" i="3"/>
  <c r="AA273" i="4" s="1"/>
  <c r="N259" i="3"/>
  <c r="AA261" i="4" s="1"/>
  <c r="N247" i="3"/>
  <c r="AA249" i="4" s="1"/>
  <c r="N235" i="3"/>
  <c r="AA237" i="4" s="1"/>
  <c r="N223" i="3"/>
  <c r="AA225" i="4" s="1"/>
  <c r="N211" i="3"/>
  <c r="AA213" i="4" s="1"/>
  <c r="N199" i="3"/>
  <c r="AA201" i="4" s="1"/>
  <c r="N187" i="3"/>
  <c r="AA189" i="4" s="1"/>
  <c r="N175" i="3"/>
  <c r="AA177" i="4" s="1"/>
  <c r="N163" i="3"/>
  <c r="AA165" i="4" s="1"/>
  <c r="N151" i="3"/>
  <c r="AA153" i="4" s="1"/>
  <c r="N139" i="3"/>
  <c r="AA141" i="4" s="1"/>
  <c r="N115" i="3"/>
  <c r="AA117" i="4" s="1"/>
  <c r="N103" i="3"/>
  <c r="AA105" i="4" s="1"/>
  <c r="N91" i="3"/>
  <c r="AA93" i="4" s="1"/>
  <c r="N79" i="3"/>
  <c r="AA81" i="4" s="1"/>
  <c r="N55" i="3"/>
  <c r="AA57" i="4" s="1"/>
  <c r="N43" i="3"/>
  <c r="AA45" i="4" s="1"/>
  <c r="N31" i="3"/>
  <c r="AA33" i="4" s="1"/>
  <c r="N7" i="3"/>
  <c r="AA9" i="4" s="1"/>
  <c r="N6" i="3"/>
  <c r="AA8" i="4" s="1"/>
  <c r="N970" i="3"/>
  <c r="AA972" i="4" s="1"/>
  <c r="N250" i="3"/>
  <c r="AA252" i="4" s="1"/>
  <c r="N106" i="3"/>
  <c r="AA108" i="4" s="1"/>
  <c r="N765" i="3"/>
  <c r="AA767" i="4" s="1"/>
  <c r="N333" i="3"/>
  <c r="AA335" i="4" s="1"/>
  <c r="N237" i="3"/>
  <c r="AA239" i="4" s="1"/>
  <c r="N141" i="3"/>
  <c r="AA143" i="4" s="1"/>
  <c r="N105" i="3"/>
  <c r="AA107" i="4" s="1"/>
  <c r="E4" i="5"/>
  <c r="G2" i="5"/>
  <c r="E2" i="5"/>
  <c r="Q877" i="5"/>
  <c r="Q991" i="5"/>
  <c r="Q860" i="5"/>
  <c r="Q16" i="5"/>
  <c r="Q12" i="5"/>
  <c r="Q918" i="5"/>
  <c r="Q857" i="5"/>
  <c r="Q834" i="5"/>
  <c r="Q531" i="5"/>
  <c r="Q365" i="5"/>
  <c r="Q362" i="5"/>
  <c r="Q513" i="5"/>
  <c r="Q782" i="5"/>
  <c r="Q592" i="5"/>
  <c r="Q287" i="5"/>
  <c r="Q722" i="5"/>
  <c r="Q676" i="5"/>
  <c r="Q603" i="5"/>
  <c r="Q289" i="5"/>
  <c r="Q357" i="5"/>
  <c r="Q644" i="5"/>
  <c r="Q99" i="5"/>
  <c r="Q134" i="5"/>
  <c r="Q610" i="5"/>
  <c r="Q826" i="5"/>
  <c r="Q698" i="5"/>
  <c r="Q212" i="5"/>
  <c r="Q460" i="5"/>
  <c r="Q283" i="5"/>
  <c r="Q348" i="5"/>
  <c r="Q635" i="5"/>
  <c r="Q57" i="5"/>
  <c r="Q104" i="5"/>
  <c r="Q682" i="5"/>
  <c r="Q606" i="5"/>
  <c r="Q391" i="5"/>
  <c r="Q198" i="5"/>
  <c r="Q448" i="5"/>
  <c r="Q217" i="5"/>
  <c r="Q992" i="5"/>
  <c r="Q563" i="5"/>
  <c r="Q75" i="5"/>
  <c r="Q56" i="5"/>
  <c r="Q279" i="5"/>
  <c r="Q717" i="5"/>
  <c r="Q276" i="5"/>
  <c r="Q471" i="5"/>
  <c r="Q468" i="5"/>
  <c r="Q214" i="5"/>
  <c r="Q989" i="5"/>
  <c r="Q560" i="5"/>
  <c r="Q72" i="5"/>
  <c r="Q53" i="5"/>
  <c r="Q828" i="5"/>
  <c r="Q627" i="5"/>
  <c r="Q832" i="5"/>
  <c r="Q779" i="5"/>
  <c r="Q201" i="5"/>
  <c r="Q121" i="5"/>
  <c r="Q932" i="5"/>
  <c r="Q482" i="5"/>
  <c r="Q539" i="5"/>
  <c r="Q290" i="5"/>
  <c r="Q534" i="5"/>
  <c r="Q708" i="5"/>
  <c r="Q394" i="5"/>
  <c r="Q215" i="5"/>
  <c r="Q921" i="5"/>
  <c r="Q118" i="5"/>
  <c r="Q929" i="5"/>
  <c r="Q476" i="5"/>
  <c r="Q443" i="5"/>
  <c r="Q805" i="5"/>
  <c r="Q607" i="5"/>
  <c r="Q792" i="5"/>
  <c r="Q600" i="5"/>
  <c r="Q871" i="5"/>
  <c r="Q382" i="5"/>
  <c r="Q190" i="5"/>
  <c r="Q981" i="5"/>
  <c r="Q462" i="5"/>
  <c r="Q911" i="5"/>
  <c r="Q776" i="5"/>
  <c r="Q632" i="5"/>
  <c r="Q473" i="5"/>
  <c r="Q501" i="5"/>
  <c r="Q36" i="5"/>
  <c r="Q69" i="5"/>
  <c r="Q437" i="5"/>
  <c r="Q359" i="5"/>
  <c r="Q284" i="5"/>
  <c r="Q209" i="5"/>
  <c r="Q281" i="5"/>
  <c r="Q1006" i="5"/>
  <c r="Q790" i="5"/>
  <c r="Q589" i="5"/>
  <c r="Q900" i="5"/>
  <c r="Q780" i="5"/>
  <c r="Q588" i="5"/>
  <c r="Q820" i="5"/>
  <c r="Q376" i="5"/>
  <c r="Q271" i="5"/>
  <c r="Q76" i="5"/>
  <c r="Q930" i="5"/>
  <c r="Q432" i="5"/>
  <c r="Q336" i="5"/>
  <c r="Q905" i="5"/>
  <c r="Q827" i="5"/>
  <c r="Q689" i="5"/>
  <c r="Q551" i="5"/>
  <c r="Q122" i="5"/>
  <c r="Q961" i="5"/>
  <c r="Q787" i="5"/>
  <c r="Q574" i="5"/>
  <c r="Q987" i="5"/>
  <c r="Q777" i="5"/>
  <c r="Q585" i="5"/>
  <c r="Q472" i="5"/>
  <c r="Q349" i="5"/>
  <c r="Q268" i="5"/>
  <c r="Q73" i="5"/>
  <c r="Q906" i="5"/>
  <c r="Q519" i="5"/>
  <c r="Q312" i="5"/>
  <c r="Q971" i="5"/>
  <c r="Q902" i="5"/>
  <c r="Q824" i="5"/>
  <c r="Q761" i="5"/>
  <c r="Q605" i="5"/>
  <c r="Q527" i="5"/>
  <c r="Q461" i="5"/>
  <c r="Q465" i="5"/>
  <c r="Q258" i="5"/>
  <c r="Q186" i="5"/>
  <c r="Q13" i="5"/>
  <c r="Q60" i="5"/>
  <c r="Q428" i="5"/>
  <c r="Q350" i="5"/>
  <c r="Q119" i="5"/>
  <c r="Q946" i="5"/>
  <c r="Q778" i="5"/>
  <c r="Q565" i="5"/>
  <c r="Q984" i="5"/>
  <c r="Q891" i="5"/>
  <c r="Q774" i="5"/>
  <c r="Q663" i="5"/>
  <c r="Q549" i="5"/>
  <c r="Q799" i="5"/>
  <c r="Q457" i="5"/>
  <c r="Q346" i="5"/>
  <c r="Q265" i="5"/>
  <c r="Q172" i="5"/>
  <c r="Q67" i="5"/>
  <c r="Q771" i="5"/>
  <c r="Q516" i="5"/>
  <c r="Q420" i="5"/>
  <c r="Q306" i="5"/>
  <c r="Q968" i="5"/>
  <c r="Q899" i="5"/>
  <c r="Q821" i="5"/>
  <c r="Q740" i="5"/>
  <c r="Q683" i="5"/>
  <c r="Q599" i="5"/>
  <c r="Q524" i="5"/>
  <c r="Q424" i="5"/>
  <c r="Q384" i="5"/>
  <c r="Q237" i="5"/>
  <c r="Q165" i="5"/>
  <c r="Q114" i="5"/>
  <c r="Q33" i="5"/>
  <c r="Q404" i="5"/>
  <c r="Q329" i="5"/>
  <c r="Q20" i="5"/>
  <c r="Q931" i="5"/>
  <c r="Q721" i="5"/>
  <c r="Q547" i="5"/>
  <c r="Q978" i="5"/>
  <c r="Q855" i="5"/>
  <c r="Q768" i="5"/>
  <c r="Q660" i="5"/>
  <c r="Q796" i="5"/>
  <c r="Q454" i="5"/>
  <c r="Q343" i="5"/>
  <c r="Q235" i="5"/>
  <c r="Q169" i="5"/>
  <c r="Q64" i="5"/>
  <c r="Q753" i="5"/>
  <c r="Q510" i="5"/>
  <c r="Q417" i="5"/>
  <c r="Q950" i="5"/>
  <c r="Q818" i="5"/>
  <c r="Q737" i="5"/>
  <c r="Q677" i="5"/>
  <c r="Q596" i="5"/>
  <c r="Q521" i="5"/>
  <c r="Q412" i="5"/>
  <c r="Q381" i="5"/>
  <c r="Q234" i="5"/>
  <c r="Q162" i="5"/>
  <c r="Q111" i="5"/>
  <c r="Q30" i="5"/>
  <c r="Q401" i="5"/>
  <c r="Q326" i="5"/>
  <c r="Q251" i="5"/>
  <c r="Q170" i="5"/>
  <c r="Q89" i="5"/>
  <c r="Q17" i="5"/>
  <c r="Q919" i="5"/>
  <c r="Q718" i="5"/>
  <c r="Q538" i="5"/>
  <c r="Q975" i="5"/>
  <c r="Q852" i="5"/>
  <c r="Q762" i="5"/>
  <c r="Q648" i="5"/>
  <c r="Q667" i="5"/>
  <c r="Q439" i="5"/>
  <c r="Q340" i="5"/>
  <c r="Q232" i="5"/>
  <c r="Q163" i="5"/>
  <c r="Q61" i="5"/>
  <c r="Q726" i="5"/>
  <c r="Q486" i="5"/>
  <c r="Q414" i="5"/>
  <c r="Q300" i="5"/>
  <c r="Q947" i="5"/>
  <c r="Q893" i="5"/>
  <c r="Q815" i="5"/>
  <c r="Q734" i="5"/>
  <c r="Q656" i="5"/>
  <c r="Q593" i="5"/>
  <c r="Q518" i="5"/>
  <c r="Q310" i="5"/>
  <c r="Q378" i="5"/>
  <c r="Q231" i="5"/>
  <c r="Q159" i="5"/>
  <c r="Q108" i="5"/>
  <c r="Q27" i="5"/>
  <c r="Q398" i="5"/>
  <c r="Q323" i="5"/>
  <c r="Q248" i="5"/>
  <c r="Q167" i="5"/>
  <c r="Q86" i="5"/>
  <c r="Q14" i="5"/>
  <c r="Q436" i="5"/>
  <c r="Q912" i="5"/>
  <c r="Q277" i="5"/>
  <c r="Q528" i="5"/>
  <c r="Q986" i="5"/>
  <c r="Q695" i="5"/>
  <c r="Q267" i="5"/>
  <c r="Q50" i="5"/>
  <c r="Q11" i="5"/>
  <c r="Q604" i="5"/>
  <c r="Q789" i="5"/>
  <c r="Q838" i="5"/>
  <c r="Q274" i="5"/>
  <c r="Q954" i="5"/>
  <c r="Q435" i="5"/>
  <c r="Q908" i="5"/>
  <c r="Q692" i="5"/>
  <c r="Q498" i="5"/>
  <c r="Q192" i="5"/>
  <c r="Q66" i="5"/>
  <c r="Q356" i="5"/>
  <c r="Q125" i="5"/>
  <c r="Q278" i="5"/>
  <c r="Q194" i="5"/>
  <c r="Q254" i="5"/>
  <c r="Q896" i="5"/>
  <c r="Q907" i="5"/>
  <c r="Q709" i="5"/>
  <c r="Q490" i="5"/>
  <c r="Q972" i="5"/>
  <c r="Q849" i="5"/>
  <c r="Q732" i="5"/>
  <c r="Q642" i="5"/>
  <c r="Q649" i="5"/>
  <c r="Q433" i="5"/>
  <c r="Q325" i="5"/>
  <c r="Q229" i="5"/>
  <c r="Q133" i="5"/>
  <c r="Q52" i="5"/>
  <c r="Q702" i="5"/>
  <c r="Q480" i="5"/>
  <c r="Q408" i="5"/>
  <c r="Q294" i="5"/>
  <c r="Q944" i="5"/>
  <c r="Q869" i="5"/>
  <c r="Q806" i="5"/>
  <c r="Q731" i="5"/>
  <c r="Q653" i="5"/>
  <c r="Q590" i="5"/>
  <c r="Q515" i="5"/>
  <c r="Q280" i="5"/>
  <c r="Q375" i="5"/>
  <c r="Q228" i="5"/>
  <c r="Q156" i="5"/>
  <c r="Q105" i="5"/>
  <c r="Q21" i="5"/>
  <c r="Q395" i="5"/>
  <c r="Q320" i="5"/>
  <c r="Q245" i="5"/>
  <c r="Q164" i="5"/>
  <c r="Q83" i="5"/>
  <c r="Q442" i="5"/>
  <c r="Q520" i="5"/>
  <c r="Q697" i="5"/>
  <c r="Q724" i="5"/>
  <c r="Q925" i="5"/>
  <c r="Q952" i="5"/>
  <c r="Q1000" i="5"/>
  <c r="Q469" i="5"/>
  <c r="Q544" i="5"/>
  <c r="Q622" i="5"/>
  <c r="Q673" i="5"/>
  <c r="Q751" i="5"/>
  <c r="Q772" i="5"/>
  <c r="Q850" i="5"/>
  <c r="Q880" i="5"/>
  <c r="Q901" i="5"/>
  <c r="Q979" i="5"/>
  <c r="Q553" i="5"/>
  <c r="Q577" i="5"/>
  <c r="Q781" i="5"/>
  <c r="Q829" i="5"/>
  <c r="Q856" i="5"/>
  <c r="Q1009" i="5"/>
  <c r="Q445" i="5"/>
  <c r="Q582" i="5"/>
  <c r="Q652" i="5"/>
  <c r="Q685" i="5"/>
  <c r="Q714" i="5"/>
  <c r="Q817" i="5"/>
  <c r="Q885" i="5"/>
  <c r="Q955" i="5"/>
  <c r="Q988" i="5"/>
  <c r="Q253" i="5"/>
  <c r="Q313" i="5"/>
  <c r="Q385" i="5"/>
  <c r="Q517" i="5"/>
  <c r="Q556" i="5"/>
  <c r="Q616" i="5"/>
  <c r="Q688" i="5"/>
  <c r="Q823" i="5"/>
  <c r="Q859" i="5"/>
  <c r="Q994" i="5"/>
  <c r="Q151" i="5"/>
  <c r="Q451" i="5"/>
  <c r="Q555" i="5"/>
  <c r="Q583" i="5"/>
  <c r="Q615" i="5"/>
  <c r="Q654" i="5"/>
  <c r="Q687" i="5"/>
  <c r="Q715" i="5"/>
  <c r="Q754" i="5"/>
  <c r="Q786" i="5"/>
  <c r="Q822" i="5"/>
  <c r="Q858" i="5"/>
  <c r="Q886" i="5"/>
  <c r="Q922" i="5"/>
  <c r="Q958" i="5"/>
  <c r="Q993" i="5"/>
  <c r="Q352" i="5"/>
  <c r="Q484" i="5"/>
  <c r="Q655" i="5"/>
  <c r="Q115" i="5"/>
  <c r="Q523" i="5"/>
  <c r="Q657" i="5"/>
  <c r="Q691" i="5"/>
  <c r="Q727" i="5"/>
  <c r="Q759" i="5"/>
  <c r="Q862" i="5"/>
  <c r="Q895" i="5"/>
  <c r="Q927" i="5"/>
  <c r="Q963" i="5"/>
  <c r="Q112" i="5"/>
  <c r="Q148" i="5"/>
  <c r="Q178" i="5"/>
  <c r="Q286" i="5"/>
  <c r="Q487" i="5"/>
  <c r="Q526" i="5"/>
  <c r="Q558" i="5"/>
  <c r="Q594" i="5"/>
  <c r="Q658" i="5"/>
  <c r="Q693" i="5"/>
  <c r="Q729" i="5"/>
  <c r="Q765" i="5"/>
  <c r="Q865" i="5"/>
  <c r="Q897" i="5"/>
  <c r="Q937" i="5"/>
  <c r="Q70" i="5"/>
  <c r="Q223" i="5"/>
  <c r="Q256" i="5"/>
  <c r="Q388" i="5"/>
  <c r="Q427" i="5"/>
  <c r="Q559" i="5"/>
  <c r="Q595" i="5"/>
  <c r="Q631" i="5"/>
  <c r="Q694" i="5"/>
  <c r="Q730" i="5"/>
  <c r="Q766" i="5"/>
  <c r="Q795" i="5"/>
  <c r="Q831" i="5"/>
  <c r="Q867" i="5"/>
  <c r="Q898" i="5"/>
  <c r="Q966" i="5"/>
  <c r="Q999" i="5"/>
  <c r="Q295" i="5"/>
  <c r="Q328" i="5"/>
  <c r="Q463" i="5"/>
  <c r="Q562" i="5"/>
  <c r="Q598" i="5"/>
  <c r="Q634" i="5"/>
  <c r="Q666" i="5"/>
  <c r="Q699" i="5"/>
  <c r="Q802" i="5"/>
  <c r="Q837" i="5"/>
  <c r="Q868" i="5"/>
  <c r="Q939" i="5"/>
  <c r="Q969" i="5"/>
  <c r="Q1002" i="5"/>
  <c r="Q85" i="5"/>
  <c r="Q601" i="5"/>
  <c r="Q637" i="5"/>
  <c r="Q769" i="5"/>
  <c r="Q808" i="5"/>
  <c r="Q841" i="5"/>
  <c r="Q940" i="5"/>
  <c r="Q973" i="5"/>
  <c r="Q34" i="5"/>
  <c r="Q43" i="5"/>
  <c r="Q88" i="5"/>
  <c r="Q55" i="5"/>
  <c r="Q331" i="5"/>
  <c r="Q430" i="5"/>
  <c r="Q537" i="5"/>
  <c r="Q738" i="5"/>
  <c r="Q334" i="5"/>
  <c r="Q438" i="5"/>
  <c r="Q639" i="5"/>
  <c r="Q741" i="5"/>
  <c r="Q843" i="5"/>
  <c r="Q942" i="5"/>
  <c r="Q238" i="5"/>
  <c r="Q441" i="5"/>
  <c r="Q745" i="5"/>
  <c r="Q945" i="5"/>
  <c r="Q127" i="5"/>
  <c r="Q405" i="5"/>
  <c r="Q541" i="5"/>
  <c r="Q679" i="5"/>
  <c r="Q810" i="5"/>
  <c r="Q943" i="5"/>
  <c r="Q409" i="5"/>
  <c r="Q567" i="5"/>
  <c r="Q680" i="5"/>
  <c r="Q811" i="5"/>
  <c r="Q974" i="5"/>
  <c r="Q466" i="5"/>
  <c r="Q581" i="5"/>
  <c r="Q712" i="5"/>
  <c r="Q870" i="5"/>
  <c r="Q985" i="5"/>
  <c r="Q196" i="5"/>
  <c r="Q309" i="5"/>
  <c r="Q470" i="5"/>
  <c r="Q602" i="5"/>
  <c r="Q713" i="5"/>
  <c r="Q881" i="5"/>
  <c r="Q370" i="5"/>
  <c r="Q573" i="5"/>
  <c r="Q773" i="5"/>
  <c r="Q980" i="5"/>
  <c r="Q199" i="5"/>
  <c r="Q710" i="5"/>
  <c r="Q913" i="5"/>
  <c r="Q770" i="5"/>
  <c r="Q166" i="5"/>
  <c r="Q373" i="5"/>
  <c r="Q580" i="5"/>
  <c r="Q783" i="5"/>
  <c r="Q982" i="5"/>
  <c r="Q609" i="5"/>
  <c r="Q784" i="5"/>
  <c r="Q402" i="5"/>
  <c r="Q909" i="5"/>
  <c r="Q743" i="5"/>
  <c r="Q809" i="5"/>
  <c r="Q611" i="5"/>
  <c r="Q613" i="5"/>
  <c r="Q812" i="5"/>
  <c r="Q640" i="5"/>
  <c r="Q844" i="5"/>
  <c r="Q259" i="5"/>
  <c r="Q479" i="5"/>
  <c r="Q670" i="5"/>
  <c r="Q883" i="5"/>
  <c r="Q481" i="5"/>
  <c r="Q884" i="5"/>
  <c r="Q502" i="5"/>
  <c r="Q506" i="5"/>
  <c r="Q508" i="5"/>
  <c r="Q509" i="5"/>
  <c r="Q674" i="5"/>
  <c r="Q711" i="5"/>
  <c r="Q915" i="5"/>
  <c r="Q916" i="5"/>
  <c r="Q270" i="5"/>
  <c r="Q298" i="5"/>
  <c r="Q302" i="5"/>
  <c r="Q337" i="5"/>
  <c r="Q366" i="5"/>
  <c r="Q161" i="5"/>
  <c r="Q23" i="5"/>
  <c r="Q59" i="5"/>
  <c r="Q95" i="5"/>
  <c r="Q137" i="5"/>
  <c r="Q176" i="5"/>
  <c r="Q218" i="5"/>
  <c r="Q257" i="5"/>
  <c r="Q293" i="5"/>
  <c r="Q332" i="5"/>
  <c r="Q368" i="5"/>
  <c r="Q407" i="5"/>
  <c r="Q542" i="5"/>
  <c r="Q39" i="5"/>
  <c r="Q78" i="5"/>
  <c r="Q117" i="5"/>
  <c r="Q132" i="5"/>
  <c r="Q168" i="5"/>
  <c r="Q204" i="5"/>
  <c r="Q240" i="5"/>
  <c r="Q282" i="5"/>
  <c r="Q387" i="5"/>
  <c r="Q22" i="5"/>
  <c r="Q446" i="5"/>
  <c r="Q488" i="5"/>
  <c r="Q530" i="5"/>
  <c r="Q572" i="5"/>
  <c r="Q617" i="5"/>
  <c r="Q659" i="5"/>
  <c r="Q701" i="5"/>
  <c r="Q746" i="5"/>
  <c r="Q788" i="5"/>
  <c r="Q830" i="5"/>
  <c r="Q872" i="5"/>
  <c r="Q914" i="5"/>
  <c r="Q953" i="5"/>
  <c r="Q995" i="5"/>
  <c r="Q315" i="5"/>
  <c r="Q369" i="5"/>
  <c r="Q444" i="5"/>
  <c r="Q489" i="5"/>
  <c r="Q540" i="5"/>
  <c r="Q798" i="5"/>
  <c r="Q25" i="5"/>
  <c r="Q79" i="5"/>
  <c r="Q139" i="5"/>
  <c r="Q193" i="5"/>
  <c r="Q241" i="5"/>
  <c r="Q292" i="5"/>
  <c r="Q355" i="5"/>
  <c r="Q403" i="5"/>
  <c r="Q514" i="5"/>
  <c r="Q700" i="5"/>
  <c r="Q910" i="5"/>
  <c r="Q552" i="5"/>
  <c r="Q618" i="5"/>
  <c r="Q675" i="5"/>
  <c r="Q735" i="5"/>
  <c r="Q804" i="5"/>
  <c r="Q861" i="5"/>
  <c r="Q924" i="5"/>
  <c r="Q990" i="5"/>
  <c r="Q493" i="5"/>
  <c r="Q619" i="5"/>
  <c r="Q733" i="5"/>
  <c r="Q835" i="5"/>
  <c r="Q964" i="5"/>
  <c r="Q113" i="5"/>
  <c r="Q129" i="5"/>
  <c r="Q429" i="5"/>
  <c r="Q548" i="5"/>
  <c r="Q719" i="5"/>
  <c r="Q890" i="5"/>
  <c r="Q399" i="5"/>
  <c r="Q46" i="5"/>
  <c r="Q316" i="5"/>
  <c r="Q967" i="5"/>
  <c r="Q633" i="5"/>
  <c r="Q74" i="5"/>
  <c r="Q152" i="5"/>
  <c r="Q272" i="5"/>
  <c r="Q425" i="5"/>
  <c r="Q93" i="5"/>
  <c r="Q183" i="5"/>
  <c r="Q345" i="5"/>
  <c r="Q503" i="5"/>
  <c r="Q197" i="5"/>
  <c r="Q26" i="5"/>
  <c r="Q62" i="5"/>
  <c r="Q98" i="5"/>
  <c r="Q140" i="5"/>
  <c r="Q179" i="5"/>
  <c r="Q221" i="5"/>
  <c r="Q260" i="5"/>
  <c r="Q296" i="5"/>
  <c r="Q335" i="5"/>
  <c r="Q371" i="5"/>
  <c r="Q413" i="5"/>
  <c r="Q638" i="5"/>
  <c r="Q42" i="5"/>
  <c r="Q81" i="5"/>
  <c r="Q120" i="5"/>
  <c r="Q135" i="5"/>
  <c r="Q171" i="5"/>
  <c r="Q207" i="5"/>
  <c r="Q243" i="5"/>
  <c r="Q285" i="5"/>
  <c r="Q390" i="5"/>
  <c r="Q31" i="5"/>
  <c r="Q449" i="5"/>
  <c r="Q491" i="5"/>
  <c r="Q533" i="5"/>
  <c r="Q575" i="5"/>
  <c r="Q620" i="5"/>
  <c r="Q662" i="5"/>
  <c r="Q704" i="5"/>
  <c r="Q749" i="5"/>
  <c r="Q791" i="5"/>
  <c r="Q833" i="5"/>
  <c r="Q875" i="5"/>
  <c r="Q917" i="5"/>
  <c r="Q956" i="5"/>
  <c r="Q998" i="5"/>
  <c r="Q318" i="5"/>
  <c r="Q372" i="5"/>
  <c r="Q447" i="5"/>
  <c r="Q492" i="5"/>
  <c r="Q543" i="5"/>
  <c r="Q801" i="5"/>
  <c r="Q28" i="5"/>
  <c r="Q82" i="5"/>
  <c r="Q142" i="5"/>
  <c r="Q202" i="5"/>
  <c r="Q244" i="5"/>
  <c r="Q301" i="5"/>
  <c r="Q358" i="5"/>
  <c r="Q406" i="5"/>
  <c r="Q529" i="5"/>
  <c r="Q739" i="5"/>
  <c r="Q928" i="5"/>
  <c r="Q561" i="5"/>
  <c r="Q621" i="5"/>
  <c r="Q678" i="5"/>
  <c r="Q744" i="5"/>
  <c r="Q807" i="5"/>
  <c r="Q864" i="5"/>
  <c r="Q933" i="5"/>
  <c r="Q996" i="5"/>
  <c r="Q499" i="5"/>
  <c r="Q643" i="5"/>
  <c r="Q736" i="5"/>
  <c r="Q847" i="5"/>
  <c r="Q970" i="5"/>
  <c r="Q71" i="5"/>
  <c r="Q252" i="5"/>
  <c r="Q671" i="5"/>
  <c r="Q1007" i="5"/>
  <c r="Q597" i="5"/>
  <c r="Q262" i="5"/>
  <c r="Q951" i="5"/>
  <c r="Q775" i="5"/>
  <c r="Q410" i="5"/>
  <c r="Q233" i="5"/>
  <c r="Q347" i="5"/>
  <c r="Q941" i="5"/>
  <c r="Q273" i="5"/>
  <c r="Q219" i="5"/>
  <c r="Q459" i="5"/>
  <c r="Q200" i="5"/>
  <c r="Q29" i="5"/>
  <c r="Q65" i="5"/>
  <c r="Q101" i="5"/>
  <c r="Q143" i="5"/>
  <c r="Q182" i="5"/>
  <c r="Q224" i="5"/>
  <c r="Q263" i="5"/>
  <c r="Q299" i="5"/>
  <c r="Q338" i="5"/>
  <c r="Q377" i="5"/>
  <c r="Q416" i="5"/>
  <c r="Q641" i="5"/>
  <c r="Q45" i="5"/>
  <c r="Q84" i="5"/>
  <c r="Q123" i="5"/>
  <c r="Q138" i="5"/>
  <c r="Q174" i="5"/>
  <c r="Q210" i="5"/>
  <c r="Q246" i="5"/>
  <c r="Q297" i="5"/>
  <c r="Q411" i="5"/>
  <c r="Q58" i="5"/>
  <c r="Q452" i="5"/>
  <c r="Q494" i="5"/>
  <c r="Q536" i="5"/>
  <c r="Q578" i="5"/>
  <c r="Q623" i="5"/>
  <c r="Q665" i="5"/>
  <c r="Q707" i="5"/>
  <c r="Q752" i="5"/>
  <c r="Q794" i="5"/>
  <c r="Q836" i="5"/>
  <c r="Q878" i="5"/>
  <c r="Q920" i="5"/>
  <c r="Q959" i="5"/>
  <c r="Q1001" i="5"/>
  <c r="Q321" i="5"/>
  <c r="Q393" i="5"/>
  <c r="Q450" i="5"/>
  <c r="Q495" i="5"/>
  <c r="Q546" i="5"/>
  <c r="Q825" i="5"/>
  <c r="Q37" i="5"/>
  <c r="Q91" i="5"/>
  <c r="Q154" i="5"/>
  <c r="Q205" i="5"/>
  <c r="Q247" i="5"/>
  <c r="Q304" i="5"/>
  <c r="Q361" i="5"/>
  <c r="Q415" i="5"/>
  <c r="Q550" i="5"/>
  <c r="Q742" i="5"/>
  <c r="Q934" i="5"/>
  <c r="Q564" i="5"/>
  <c r="Q624" i="5"/>
  <c r="Q681" i="5"/>
  <c r="Q747" i="5"/>
  <c r="Q813" i="5"/>
  <c r="Q876" i="5"/>
  <c r="Q936" i="5"/>
  <c r="Q1005" i="5"/>
  <c r="Q505" i="5"/>
  <c r="Q646" i="5"/>
  <c r="Q748" i="5"/>
  <c r="Q853" i="5"/>
  <c r="Q976" i="5"/>
  <c r="Q35" i="5"/>
  <c r="Q90" i="5"/>
  <c r="Q330" i="5"/>
  <c r="Q500" i="5"/>
  <c r="Q800" i="5"/>
  <c r="Q965" i="5"/>
  <c r="Q507" i="5"/>
  <c r="Q160" i="5"/>
  <c r="Q571" i="5"/>
  <c r="Q819" i="5"/>
  <c r="Q535" i="5"/>
  <c r="Q38" i="5"/>
  <c r="Q191" i="5"/>
  <c r="Q311" i="5"/>
  <c r="Q386" i="5"/>
  <c r="Q54" i="5"/>
  <c r="Q147" i="5"/>
  <c r="Q255" i="5"/>
  <c r="Q236" i="5"/>
  <c r="Q32" i="5"/>
  <c r="Q68" i="5"/>
  <c r="Q110" i="5"/>
  <c r="Q146" i="5"/>
  <c r="Q185" i="5"/>
  <c r="Q227" i="5"/>
  <c r="Q266" i="5"/>
  <c r="Q305" i="5"/>
  <c r="Q341" i="5"/>
  <c r="Q380" i="5"/>
  <c r="Q419" i="5"/>
  <c r="Q842" i="5"/>
  <c r="Q48" i="5"/>
  <c r="Q87" i="5"/>
  <c r="Q126" i="5"/>
  <c r="Q141" i="5"/>
  <c r="Q177" i="5"/>
  <c r="Q213" i="5"/>
  <c r="Q249" i="5"/>
  <c r="Q327" i="5"/>
  <c r="Q426" i="5"/>
  <c r="Q94" i="5"/>
  <c r="Q455" i="5"/>
  <c r="Q497" i="5"/>
  <c r="Q545" i="5"/>
  <c r="Q584" i="5"/>
  <c r="Q626" i="5"/>
  <c r="Q668" i="5"/>
  <c r="Q716" i="5"/>
  <c r="Q755" i="5"/>
  <c r="Q797" i="5"/>
  <c r="Q839" i="5"/>
  <c r="Q887" i="5"/>
  <c r="Q923" i="5"/>
  <c r="Q962" i="5"/>
  <c r="Q1004" i="5"/>
  <c r="Q324" i="5"/>
  <c r="Q396" i="5"/>
  <c r="Q453" i="5"/>
  <c r="Q504" i="5"/>
  <c r="Q570" i="5"/>
  <c r="Q873" i="5"/>
  <c r="Q40" i="5"/>
  <c r="Q100" i="5"/>
  <c r="Q157" i="5"/>
  <c r="Q208" i="5"/>
  <c r="Q250" i="5"/>
  <c r="Q307" i="5"/>
  <c r="Q364" i="5"/>
  <c r="Q418" i="5"/>
  <c r="Q568" i="5"/>
  <c r="Q757" i="5"/>
  <c r="Q949" i="5"/>
  <c r="Q576" i="5"/>
  <c r="Q630" i="5"/>
  <c r="Q684" i="5"/>
  <c r="Q750" i="5"/>
  <c r="Q816" i="5"/>
  <c r="Q879" i="5"/>
  <c r="Q948" i="5"/>
  <c r="Q1008" i="5"/>
  <c r="Q532" i="5"/>
  <c r="Q661" i="5"/>
  <c r="Q760" i="5"/>
  <c r="Q874" i="5"/>
  <c r="Q997" i="5"/>
  <c r="Q374" i="5"/>
  <c r="Q149" i="5"/>
  <c r="Q188" i="5"/>
  <c r="Q230" i="5"/>
  <c r="Q269" i="5"/>
  <c r="Q308" i="5"/>
  <c r="Q344" i="5"/>
  <c r="Q383" i="5"/>
  <c r="Q422" i="5"/>
  <c r="Q845" i="5"/>
  <c r="Q51" i="5"/>
  <c r="Q144" i="5"/>
  <c r="Q180" i="5"/>
  <c r="Q216" i="5"/>
  <c r="Q97" i="5"/>
  <c r="Q458" i="5"/>
  <c r="Q587" i="5"/>
  <c r="Q629" i="5"/>
  <c r="Q758" i="5"/>
  <c r="Q848" i="5"/>
  <c r="Q926" i="5"/>
  <c r="Q333" i="5"/>
  <c r="Q456" i="5"/>
  <c r="Q882" i="5"/>
  <c r="Q103" i="5"/>
  <c r="Q211" i="5"/>
  <c r="Q367" i="5"/>
  <c r="Q421" i="5"/>
  <c r="Q763" i="5"/>
  <c r="Q579" i="5"/>
  <c r="Q690" i="5"/>
  <c r="Q756" i="5"/>
  <c r="Q888" i="5"/>
  <c r="Q664" i="5"/>
  <c r="Q889" i="5"/>
  <c r="Q1003" i="5"/>
  <c r="Q116" i="5"/>
  <c r="Q136" i="5"/>
  <c r="Q705" i="5"/>
  <c r="Q586" i="5"/>
  <c r="Q109" i="5"/>
  <c r="Q342" i="5"/>
  <c r="Q854" i="5"/>
  <c r="Q557" i="5"/>
  <c r="Q195" i="5"/>
  <c r="Q128" i="5"/>
  <c r="Q793" i="5"/>
  <c r="Q903" i="5"/>
  <c r="Q591" i="5"/>
  <c r="Q511" i="5"/>
  <c r="Q187" i="5"/>
  <c r="Q525" i="5"/>
  <c r="Q983" i="5"/>
  <c r="Q851" i="5"/>
  <c r="Q614" i="5"/>
  <c r="Q554" i="5"/>
  <c r="Q264" i="5"/>
  <c r="Q24" i="5"/>
  <c r="Q434" i="5"/>
  <c r="Q206" i="5"/>
  <c r="Q203" i="5"/>
  <c r="Q275" i="5"/>
  <c r="Q173" i="5"/>
  <c r="Q303" i="5"/>
  <c r="Q904" i="5"/>
  <c r="Q706" i="5"/>
  <c r="Q478" i="5"/>
  <c r="Q960" i="5"/>
  <c r="Q846" i="5"/>
  <c r="Q723" i="5"/>
  <c r="Q636" i="5"/>
  <c r="Q628" i="5"/>
  <c r="Q400" i="5"/>
  <c r="Q322" i="5"/>
  <c r="Q226" i="5"/>
  <c r="Q130" i="5"/>
  <c r="Q49" i="5"/>
  <c r="Q651" i="5"/>
  <c r="Q477" i="5"/>
  <c r="Q363" i="5"/>
  <c r="Q291" i="5"/>
  <c r="Q938" i="5"/>
  <c r="Q866" i="5"/>
  <c r="Q803" i="5"/>
  <c r="Q728" i="5"/>
  <c r="Q650" i="5"/>
  <c r="Q569" i="5"/>
  <c r="Q512" i="5"/>
  <c r="Q175" i="5"/>
  <c r="Q354" i="5"/>
  <c r="Q225" i="5"/>
  <c r="Q153" i="5"/>
  <c r="Q102" i="5"/>
  <c r="Q18" i="5"/>
  <c r="Q392" i="5"/>
  <c r="Q317" i="5"/>
  <c r="Q242" i="5"/>
  <c r="Q158" i="5"/>
  <c r="Q80" i="5"/>
  <c r="Q107" i="5"/>
  <c r="Q696" i="5"/>
  <c r="Q379" i="5"/>
  <c r="Q106" i="5"/>
  <c r="Q339" i="5"/>
  <c r="Q767" i="5"/>
  <c r="Q467" i="5"/>
  <c r="Q47" i="5"/>
  <c r="Q672" i="5"/>
  <c r="Q496" i="5"/>
  <c r="Q184" i="5"/>
  <c r="Q522" i="5"/>
  <c r="Q977" i="5"/>
  <c r="Q764" i="5"/>
  <c r="Q608" i="5"/>
  <c r="Q464" i="5"/>
  <c r="Q483" i="5"/>
  <c r="Q261" i="5"/>
  <c r="Q189" i="5"/>
  <c r="Q15" i="5"/>
  <c r="Q63" i="5"/>
  <c r="Q431" i="5"/>
  <c r="Q353" i="5"/>
  <c r="Q44" i="5"/>
  <c r="Q894" i="5"/>
  <c r="Q669" i="5"/>
  <c r="Q814" i="5"/>
  <c r="Q181" i="5"/>
  <c r="Q423" i="5"/>
  <c r="Q686" i="5"/>
  <c r="Q41" i="5"/>
  <c r="Q92" i="5"/>
  <c r="Q892" i="5"/>
  <c r="Q703" i="5"/>
  <c r="Q475" i="5"/>
  <c r="Q957" i="5"/>
  <c r="Q840" i="5"/>
  <c r="Q720" i="5"/>
  <c r="Q612" i="5"/>
  <c r="Q625" i="5"/>
  <c r="Q397" i="5"/>
  <c r="Q319" i="5"/>
  <c r="Q220" i="5"/>
  <c r="Q124" i="5"/>
  <c r="Q19" i="5"/>
  <c r="Q645" i="5"/>
  <c r="Q474" i="5"/>
  <c r="Q360" i="5"/>
  <c r="Q288" i="5"/>
  <c r="Q935" i="5"/>
  <c r="Q863" i="5"/>
  <c r="Q785" i="5"/>
  <c r="Q725" i="5"/>
  <c r="Q647" i="5"/>
  <c r="Q566" i="5"/>
  <c r="Q485" i="5"/>
  <c r="Q145" i="5"/>
  <c r="Q351" i="5"/>
  <c r="Q222" i="5"/>
  <c r="Q150" i="5"/>
  <c r="Q96" i="5"/>
  <c r="Q10" i="5"/>
  <c r="Q389" i="5"/>
  <c r="Q314" i="5"/>
  <c r="Q239" i="5"/>
  <c r="Q155" i="5"/>
  <c r="Q77" i="5"/>
  <c r="Q440" i="5"/>
  <c r="C3" i="3"/>
  <c r="B5" i="12" s="1"/>
  <c r="E3" i="5" l="1"/>
  <c r="E2" i="3"/>
  <c r="B3" i="12" s="1"/>
  <c r="G3" i="3" l="1"/>
  <c r="B7" i="12" s="1"/>
  <c r="E3" i="3"/>
  <c r="B4" i="1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<sst xmlns="http://schemas.openxmlformats.org/spreadsheetml/2006/main" count="22922" uniqueCount="415">
  <si>
    <t>Campaign_ID</t>
  </si>
  <si>
    <t>Region</t>
  </si>
  <si>
    <t>Country</t>
  </si>
  <si>
    <t>Product</t>
  </si>
  <si>
    <t>Channel</t>
  </si>
  <si>
    <t>Currency</t>
  </si>
  <si>
    <t>Start_Date</t>
  </si>
  <si>
    <t>End_Date</t>
  </si>
  <si>
    <t>LC_Spend</t>
  </si>
  <si>
    <t>FX_Rate</t>
  </si>
  <si>
    <t>USD_Spend</t>
  </si>
  <si>
    <t>Impressions</t>
  </si>
  <si>
    <t>Clicks</t>
  </si>
  <si>
    <t>Sales</t>
  </si>
  <si>
    <t>Year</t>
  </si>
  <si>
    <t>Month</t>
  </si>
  <si>
    <t>Quarter</t>
  </si>
  <si>
    <t>Format</t>
  </si>
  <si>
    <t>CMP_044</t>
  </si>
  <si>
    <t>North</t>
  </si>
  <si>
    <t>Singapore</t>
  </si>
  <si>
    <t>Foundation</t>
  </si>
  <si>
    <t>Retail</t>
  </si>
  <si>
    <t>USD</t>
  </si>
  <si>
    <t>October</t>
  </si>
  <si>
    <t>Q4</t>
  </si>
  <si>
    <t>Australia | ABC | BCD</t>
  </si>
  <si>
    <t>CMP_035</t>
  </si>
  <si>
    <t>West</t>
  </si>
  <si>
    <t>Australia</t>
  </si>
  <si>
    <t>Wholesale</t>
  </si>
  <si>
    <t>AUD</t>
  </si>
  <si>
    <t>August</t>
  </si>
  <si>
    <t>Q3</t>
  </si>
  <si>
    <t>CMP_049</t>
  </si>
  <si>
    <t>East</t>
  </si>
  <si>
    <t>India</t>
  </si>
  <si>
    <t>Perfume</t>
  </si>
  <si>
    <t>Ecommerce</t>
  </si>
  <si>
    <t>February</t>
  </si>
  <si>
    <t>Q1</t>
  </si>
  <si>
    <t>USA | DEF | GHI</t>
  </si>
  <si>
    <t>CMP_060</t>
  </si>
  <si>
    <t>Luxury Bag</t>
  </si>
  <si>
    <t>SGD</t>
  </si>
  <si>
    <t>May</t>
  </si>
  <si>
    <t>Q2</t>
  </si>
  <si>
    <t>CMP_055</t>
  </si>
  <si>
    <t>South</t>
  </si>
  <si>
    <t>GBP</t>
  </si>
  <si>
    <t>CMP_039</t>
  </si>
  <si>
    <t>Watch</t>
  </si>
  <si>
    <t>INR</t>
  </si>
  <si>
    <t>June</t>
  </si>
  <si>
    <t>UK | JKL | MNO | PQR</t>
  </si>
  <si>
    <t>CMP_054</t>
  </si>
  <si>
    <t>January</t>
  </si>
  <si>
    <t>CMP_032</t>
  </si>
  <si>
    <t>UK</t>
  </si>
  <si>
    <t>Lipstick</t>
  </si>
  <si>
    <t>March</t>
  </si>
  <si>
    <t>India | XYZ | PQR | TEST</t>
  </si>
  <si>
    <t>CMP_015</t>
  </si>
  <si>
    <t>Skincare</t>
  </si>
  <si>
    <t>CMP_011</t>
  </si>
  <si>
    <t>November</t>
  </si>
  <si>
    <t>CMP_010</t>
  </si>
  <si>
    <t>CMP_016</t>
  </si>
  <si>
    <t>CMP_028</t>
  </si>
  <si>
    <t>USA</t>
  </si>
  <si>
    <t>CMP_003</t>
  </si>
  <si>
    <t>CMP_051</t>
  </si>
  <si>
    <t>CMP_042</t>
  </si>
  <si>
    <t>December</t>
  </si>
  <si>
    <t>September</t>
  </si>
  <si>
    <t>CMP_026</t>
  </si>
  <si>
    <t>April</t>
  </si>
  <si>
    <t>CMP_033</t>
  </si>
  <si>
    <t>CMP_006</t>
  </si>
  <si>
    <t>CMP_020</t>
  </si>
  <si>
    <t>July</t>
  </si>
  <si>
    <t>CMP_057</t>
  </si>
  <si>
    <t>CMP_043</t>
  </si>
  <si>
    <t>CMP_017</t>
  </si>
  <si>
    <t>CMP_036</t>
  </si>
  <si>
    <t>CMP_018</t>
  </si>
  <si>
    <t>CMP_002</t>
  </si>
  <si>
    <t>CMP_048</t>
  </si>
  <si>
    <t>CMP_021</t>
  </si>
  <si>
    <t>CMP_045</t>
  </si>
  <si>
    <t>CMP_038</t>
  </si>
  <si>
    <t>CMP_030</t>
  </si>
  <si>
    <t>CMP_004</t>
  </si>
  <si>
    <t>CMP_008</t>
  </si>
  <si>
    <t>CMP_007</t>
  </si>
  <si>
    <t>CMP_050</t>
  </si>
  <si>
    <t>CMP_027</t>
  </si>
  <si>
    <t>CMP_019</t>
  </si>
  <si>
    <t>CMP_005</t>
  </si>
  <si>
    <t>CMP_041</t>
  </si>
  <si>
    <t>CMP_053</t>
  </si>
  <si>
    <t>CMP_037</t>
  </si>
  <si>
    <t>CMP_022</t>
  </si>
  <si>
    <t>CMP_059</t>
  </si>
  <si>
    <t>CMP_034</t>
  </si>
  <si>
    <t>CMP_025</t>
  </si>
  <si>
    <t>CMP_009</t>
  </si>
  <si>
    <t>CMP_040</t>
  </si>
  <si>
    <t>CMP_058</t>
  </si>
  <si>
    <t>CMP_046</t>
  </si>
  <si>
    <t>CMP_012</t>
  </si>
  <si>
    <t>CMP_024</t>
  </si>
  <si>
    <t>CMP_023</t>
  </si>
  <si>
    <t>CMP_056</t>
  </si>
  <si>
    <t>CMP_013</t>
  </si>
  <si>
    <t>CMP_047</t>
  </si>
  <si>
    <t>CMP_014</t>
  </si>
  <si>
    <t>CMP_031</t>
  </si>
  <si>
    <t>CMP_052</t>
  </si>
  <si>
    <t>CMP_029</t>
  </si>
  <si>
    <t>CMP_001</t>
  </si>
  <si>
    <t>Date_Flag</t>
  </si>
  <si>
    <t>FX_Flag</t>
  </si>
  <si>
    <t>Click_Flag</t>
  </si>
  <si>
    <t>Spend_Flag</t>
  </si>
  <si>
    <t>Sales_Flag</t>
  </si>
  <si>
    <t>Month_Flag</t>
  </si>
  <si>
    <t>Quarter_Flag</t>
  </si>
  <si>
    <t>Overall_Status</t>
  </si>
  <si>
    <t>Campaign_ID Validation</t>
  </si>
  <si>
    <t>Duration</t>
  </si>
  <si>
    <t>Duration_Flag</t>
  </si>
  <si>
    <t>Impression_Flag</t>
  </si>
  <si>
    <t>Total Records</t>
  </si>
  <si>
    <t>Valid Records</t>
  </si>
  <si>
    <t>Invalid Records</t>
  </si>
  <si>
    <t>Quality %</t>
  </si>
  <si>
    <t>Duplicate Check</t>
  </si>
  <si>
    <t>Composite Key</t>
  </si>
  <si>
    <t>Duplicate Records</t>
  </si>
  <si>
    <t>Null Records</t>
  </si>
  <si>
    <t>DATA SUMMARY</t>
  </si>
  <si>
    <t>CTR</t>
  </si>
  <si>
    <t>CPC</t>
  </si>
  <si>
    <t>CPM</t>
  </si>
  <si>
    <t>ROAS</t>
  </si>
  <si>
    <t>ROI</t>
  </si>
  <si>
    <t>Revenue per Impression</t>
  </si>
  <si>
    <t>Daily Spend</t>
  </si>
  <si>
    <t>Daily Revenue</t>
  </si>
  <si>
    <t>Daily Clicks</t>
  </si>
  <si>
    <t>Daily Impressions</t>
  </si>
  <si>
    <t>Engagement Score</t>
  </si>
  <si>
    <t>Revenue per Click</t>
  </si>
  <si>
    <t>Null Check for all records</t>
  </si>
  <si>
    <t>KPI SUMMARY</t>
  </si>
  <si>
    <t>Volume Metrics</t>
  </si>
  <si>
    <t>Total Campaigns</t>
  </si>
  <si>
    <t>Total Impressions</t>
  </si>
  <si>
    <t>Total Clicks</t>
  </si>
  <si>
    <t>Total Sales</t>
  </si>
  <si>
    <t>Total Spend</t>
  </si>
  <si>
    <t>Performance Metrics</t>
  </si>
  <si>
    <t>Overall CTR</t>
  </si>
  <si>
    <t>Overall CPC</t>
  </si>
  <si>
    <t>Overall CPM</t>
  </si>
  <si>
    <t>Overall ROAS</t>
  </si>
  <si>
    <t>Overall ROI</t>
  </si>
  <si>
    <t>Campaign Metrics</t>
  </si>
  <si>
    <t>Avg Campaign Duration</t>
  </si>
  <si>
    <t>Longest Campaign</t>
  </si>
  <si>
    <t>Shortest Campaign</t>
  </si>
  <si>
    <t>Efficiency Metrics</t>
  </si>
  <si>
    <t>Best Campaign ROAS</t>
  </si>
  <si>
    <t>Worst Campaign ROAS</t>
  </si>
  <si>
    <t>Highest Sales</t>
  </si>
  <si>
    <t>Lowest Sales</t>
  </si>
  <si>
    <t>Highest Spend</t>
  </si>
  <si>
    <t>High Spend Flag</t>
  </si>
  <si>
    <t>High Revenue Flag</t>
  </si>
  <si>
    <t>High CTR Flag</t>
  </si>
  <si>
    <t>ROAS Band</t>
  </si>
  <si>
    <t>Click vs Sales Monitization Flag</t>
  </si>
  <si>
    <t>Spend Threshold (95%)</t>
  </si>
  <si>
    <t>Revenue Threshold (95%)</t>
  </si>
  <si>
    <t>CTR Threshold (95%)</t>
  </si>
  <si>
    <t>Spend Threshold (75%)</t>
  </si>
  <si>
    <t>Revenue Threshold (25%)</t>
  </si>
  <si>
    <t>Click Threshold (75%)</t>
  </si>
  <si>
    <t>OUTLIER SUMMARY</t>
  </si>
  <si>
    <t>No. of High Spend Records</t>
  </si>
  <si>
    <t>No. of High Revenue Records</t>
  </si>
  <si>
    <t>No. of High CTR Records</t>
  </si>
  <si>
    <t>No of Poor ROAS Records</t>
  </si>
  <si>
    <t>No of Records with Wasted Budget</t>
  </si>
  <si>
    <t>No of Records with Poor Monitization</t>
  </si>
  <si>
    <t>THRESHOLD TABLE</t>
  </si>
  <si>
    <t>Spend Efficiency Flag</t>
  </si>
  <si>
    <t>Grand Total</t>
  </si>
  <si>
    <t>Total Revenue</t>
  </si>
  <si>
    <t>Total Impression</t>
  </si>
  <si>
    <t>Average ROAS</t>
  </si>
  <si>
    <t>Business Meaning :</t>
  </si>
  <si>
    <t>Highest Revenue Region</t>
  </si>
  <si>
    <t>Highest Spend Region</t>
  </si>
  <si>
    <t>Highest ROAS Region</t>
  </si>
  <si>
    <t>REGION SUMMARY</t>
  </si>
  <si>
    <t>Highest CTR Region</t>
  </si>
  <si>
    <t>Highest ROI Region</t>
  </si>
  <si>
    <t>Lowest Revenue Region</t>
  </si>
  <si>
    <t>Lowest Spend Region</t>
  </si>
  <si>
    <t>Lowest ROAS Region</t>
  </si>
  <si>
    <t>Lowest CTR Region</t>
  </si>
  <si>
    <t>Lowest ROI Region</t>
  </si>
  <si>
    <t>Recommendation :</t>
  </si>
  <si>
    <t>Highest Revenue Country</t>
  </si>
  <si>
    <t>Lowest Revenue Country</t>
  </si>
  <si>
    <t>Highest Spend Country</t>
  </si>
  <si>
    <t>Lowest Spend Country</t>
  </si>
  <si>
    <t>Highest ROAS Country</t>
  </si>
  <si>
    <t>Lowest ROAS Country</t>
  </si>
  <si>
    <t>Highest CTR Country</t>
  </si>
  <si>
    <t>Lowest CTR Country</t>
  </si>
  <si>
    <t>Highest ROI Country</t>
  </si>
  <si>
    <t>Lowest ROI Country</t>
  </si>
  <si>
    <t>COUNTRY SUMMARY</t>
  </si>
  <si>
    <t>Highest Revenue Product</t>
  </si>
  <si>
    <t>Lowest Revenue Product</t>
  </si>
  <si>
    <t>Highest Spend Product</t>
  </si>
  <si>
    <t>Lowest Spend Product</t>
  </si>
  <si>
    <t>Highest ROAS Product</t>
  </si>
  <si>
    <t>Lowest ROAS Product</t>
  </si>
  <si>
    <t>Highest CTR Product</t>
  </si>
  <si>
    <t>Lowest CTR Product</t>
  </si>
  <si>
    <t>Highest ROI Product</t>
  </si>
  <si>
    <t>Lowest ROI Product</t>
  </si>
  <si>
    <t>PRODUCT SUMMARY</t>
  </si>
  <si>
    <t>Highest Revenue Channel</t>
  </si>
  <si>
    <t>Lowest Revenue Channel</t>
  </si>
  <si>
    <t>Highest Spend Channel</t>
  </si>
  <si>
    <t>Lowest Spend Channel</t>
  </si>
  <si>
    <t>Highest ROAS Channel</t>
  </si>
  <si>
    <t>Lowest ROAS Channel</t>
  </si>
  <si>
    <t>Highest CTR Channel</t>
  </si>
  <si>
    <t>Lowest CTR Channel</t>
  </si>
  <si>
    <t>Highest ROI Channel</t>
  </si>
  <si>
    <t>Lowest ROI Channel</t>
  </si>
  <si>
    <t>CHANNEL SUMMARY</t>
  </si>
  <si>
    <t>Campaign</t>
  </si>
  <si>
    <t>CAMPAIGN SUMMARY</t>
  </si>
  <si>
    <t>Highest Revenue Campaign</t>
  </si>
  <si>
    <t>Lowest Revenue Campaign</t>
  </si>
  <si>
    <t>Highest Spend Campaign</t>
  </si>
  <si>
    <t>Lowest Spend Campaign</t>
  </si>
  <si>
    <t>Highest ROAS Campaign</t>
  </si>
  <si>
    <t>Lowest ROAS Campaign</t>
  </si>
  <si>
    <t>Highest CTR Campaign</t>
  </si>
  <si>
    <t>Lowest CTR Campaign</t>
  </si>
  <si>
    <t>Highest ROI Campaign</t>
  </si>
  <si>
    <t>Lowest ROI Campaign</t>
  </si>
  <si>
    <t>Top 10 Spend Campaigns</t>
  </si>
  <si>
    <t>Top 10 Revenue Campaigns</t>
  </si>
  <si>
    <t>Top 10 ROAS Campaigns</t>
  </si>
  <si>
    <t>Bottom 10 ROAS Campaigns</t>
  </si>
  <si>
    <t>Month-Year</t>
  </si>
  <si>
    <t>MONTHLY TREND SUMMARY</t>
  </si>
  <si>
    <t>Highest Revenue Month</t>
  </si>
  <si>
    <t>Lowest Revenue Month</t>
  </si>
  <si>
    <t>Highest Spend Month</t>
  </si>
  <si>
    <t>Lowest Spend Month</t>
  </si>
  <si>
    <t>Highest ROAS Month</t>
  </si>
  <si>
    <t>Lowest ROAS Month</t>
  </si>
  <si>
    <t>Highest CTR Month</t>
  </si>
  <si>
    <t>Lowest CTR Month</t>
  </si>
  <si>
    <t>Highest ROI Month</t>
  </si>
  <si>
    <t>Lowest ROI Month</t>
  </si>
  <si>
    <t>Revenue Trend by Month</t>
  </si>
  <si>
    <t>Spend Trend by Month</t>
  </si>
  <si>
    <t>ROAS Trend by Month</t>
  </si>
  <si>
    <t>Well-funded campaigns during May 2023 delivered strong commercial performance.</t>
  </si>
  <si>
    <t>DATA QUALITY SUMMARY</t>
  </si>
  <si>
    <t>BUSINESS KPI SUMMARY</t>
  </si>
  <si>
    <t>TOP REVENUE CONTRIBUTORS</t>
  </si>
  <si>
    <t>Dimension</t>
  </si>
  <si>
    <t>Leader</t>
  </si>
  <si>
    <t>MOST EFFICIENT PERFORMER</t>
  </si>
  <si>
    <t>Key Insights</t>
  </si>
  <si>
    <t>1. Data Quality - Dataset achieved 98.3% quality score with only 17 invalid records identified.</t>
  </si>
  <si>
    <t>2. Region - South emerged as the strongest region with the highest revenue, ROAS and ROI.</t>
  </si>
  <si>
    <t>Business Recommendations</t>
  </si>
  <si>
    <t>OPTIMIZATION OPPORTUNITIES</t>
  </si>
  <si>
    <t>Why</t>
  </si>
  <si>
    <t>Highest spend but lowest revenue contribution and weaker efficiency</t>
  </si>
  <si>
    <t>Revenue</t>
  </si>
  <si>
    <t>Key Observation:</t>
  </si>
  <si>
    <t>Business Meaning:</t>
  </si>
  <si>
    <t>Recommendation:</t>
  </si>
  <si>
    <t>South → Product Drivers</t>
  </si>
  <si>
    <t>South →  Channel Drivers</t>
  </si>
  <si>
    <t>South →  Campaign Drivers</t>
  </si>
  <si>
    <t>Campaign ID</t>
  </si>
  <si>
    <t>Weakest Region - West</t>
  </si>
  <si>
    <t>Best Region - South</t>
  </si>
  <si>
    <t>Metric</t>
  </si>
  <si>
    <t>Spend</t>
  </si>
  <si>
    <t>Best Product</t>
  </si>
  <si>
    <t>Best Channel</t>
  </si>
  <si>
    <t>Best Campaign</t>
  </si>
  <si>
    <t>West → Product Drivers</t>
  </si>
  <si>
    <t>West →  Channel Drivers</t>
  </si>
  <si>
    <t>West →  Campaign Drivers</t>
  </si>
  <si>
    <t>Observation</t>
  </si>
  <si>
    <t>South generates more revenue</t>
  </si>
  <si>
    <t>West spends more</t>
  </si>
  <si>
    <t>South is more efficient</t>
  </si>
  <si>
    <t>South is more profitable</t>
  </si>
  <si>
    <t>West gets more engagement</t>
  </si>
  <si>
    <t>Observation:</t>
  </si>
  <si>
    <t xml:space="preserve">KPI Comparison </t>
  </si>
  <si>
    <t xml:space="preserve">Product Comparison </t>
  </si>
  <si>
    <t>Product ROAS</t>
  </si>
  <si>
    <t>Business Summary:</t>
  </si>
  <si>
    <t xml:space="preserve">Channel Comparison </t>
  </si>
  <si>
    <t>Channel ROAS</t>
  </si>
  <si>
    <t xml:space="preserve">Campaign Comparison </t>
  </si>
  <si>
    <t>Campaign ROAS</t>
  </si>
  <si>
    <t>Top Campaign performance drivers</t>
  </si>
  <si>
    <t>Bottom Campaign performance drivers</t>
  </si>
  <si>
    <t>Although South is the best-performing region overall, West actually contains the single highest-performing campaign (CMP_004) with a ROAS of 489.55, which is significantly higher than South's best campaign (CMP_051 at ROAS 261.39).</t>
  </si>
  <si>
    <t>West is not underperforming because it lacks high-performing campaigns. Instead West underperforms because it relies on a small number of exceptional campaigns while many other campaigns perform poorly and drag down the regional average. In contrast South's performance is more consistently distributed across products, channels, and campaigns, resulting in stronger overall regional ROAS and ROI.</t>
  </si>
  <si>
    <t>Analyze CMP_004 in detail to understand why it performs exceptionally well and compare it with low-performing West campaigns such as CMP_056. The objective should be to replicate the success factors of CMP_004 across a larger portion of the West campaign portfolio.</t>
  </si>
  <si>
    <t>Average of CTR</t>
  </si>
  <si>
    <t>Average of ROI</t>
  </si>
  <si>
    <t>Avg ROAS</t>
  </si>
  <si>
    <t>Avg of ROI</t>
  </si>
  <si>
    <t>Overall Status</t>
  </si>
  <si>
    <t xml:space="preserve"> Avg CTR</t>
  </si>
  <si>
    <t>Avg ROI</t>
  </si>
  <si>
    <t>Pass</t>
  </si>
  <si>
    <t xml:space="preserve">Avg CTR </t>
  </si>
  <si>
    <t xml:space="preserve">Avg CTR  </t>
  </si>
  <si>
    <t xml:space="preserve">Avg CTR   </t>
  </si>
  <si>
    <t xml:space="preserve">  Avg CTR</t>
  </si>
  <si>
    <t xml:space="preserve">   Avg CTR</t>
  </si>
  <si>
    <t>Highest spend and one of the highest CTR, but lowest ROAS among regions</t>
  </si>
  <si>
    <t>Weaker efficiency metrics</t>
  </si>
  <si>
    <t>Lowest ROAS, and ROI and one of the lowest CTR</t>
  </si>
  <si>
    <t>Lowest CTR, ROAS and ROI among campaigns</t>
  </si>
  <si>
    <t>Avg of CTR</t>
  </si>
  <si>
    <t xml:space="preserve">Avg of CTR </t>
  </si>
  <si>
    <t xml:space="preserve">Avg of CTR  </t>
  </si>
  <si>
    <t>Avg of ROAS</t>
  </si>
  <si>
    <t>Average of ROAS</t>
  </si>
  <si>
    <t>Region based comparison</t>
  </si>
  <si>
    <t>Although West spends more and generates slightly higher engagement (CTR), South generates higher revenue and achieves stronger ROAS and ROI performance.</t>
  </si>
  <si>
    <t>South converts marketing spend into revenue more effectively than West. While West is successful at generating engagement, it is less effective at turning that engagement into profitable outcomes.</t>
  </si>
  <si>
    <t>Review the campaign execution strategy used in South and identify practices that can be applied to West to improve return efficiency without necessarily increasing spending.</t>
  </si>
  <si>
    <t>Different products are driving performance in each region. Skincare is the strongest-performing product in South, while Lipstick delivers the highest ROAS in West.</t>
  </si>
  <si>
    <t>Regional success is influenced by product preferences and market behavior. The products generating the strongest returns are not the same across regions, indicating that customer response varies by geography.</t>
  </si>
  <si>
    <t>Investigate why Skincare performs better in South and why Lipstick performs better in West. Replicate successful product strategies within similar customer segments and markets.</t>
  </si>
  <si>
    <t>Retail is the best-performing channel in both regions, but South's Retail campaigns generate higher return than west.</t>
  </si>
  <si>
    <t>The channel itself is proving effective in both regions. The performance difference is likely driven by campaign execution, audience targeting, or product mix rather than the channel selection alone.</t>
  </si>
  <si>
    <t>Compare Retail campaigns across South and West to identify differences in targeting, creative strategy, and product promotion.</t>
  </si>
  <si>
    <t>Lipstick is the most efficient product in West with the highest ROAS (8.48) and ROI (7.48), while Foundation generates the highest revenue (5.17M).</t>
  </si>
  <si>
    <t>West's product performance is mixed. Foundation drives revenue, but Lipstick generates better returns on marketing investment. This suggests that the products generating the most sales are not necessarily the products generating the best returns.</t>
  </si>
  <si>
    <t>Review the strategies used in Lipstick campaigns and identify opportunities to scale them. At the same time, investigate whether Foundation campaigns can be optimized to improve return efficiency while maintaining revenue contribution.</t>
  </si>
  <si>
    <t>Retail is the highest-performing channel in West, delivering the strongest ROAS (8.85), ROI (7.85), and CTR (5.46%) among all channels.</t>
  </si>
  <si>
    <t>Retail is the most effective channel in converting marketing spend into revenue within the West region. Ecommerce contributes the highest revenue, but Retail delivers superior efficiency and profitability.</t>
  </si>
  <si>
    <t>Increase focus on Retail campaigns in West and analyze what makes Retail outperform Ecommerce and Wholesale. Successful Retail strategies can be replicated across other channels where appropriate.</t>
  </si>
  <si>
    <t>Several campaigns in West are performing significantly below the regional average, with CMP_056 delivering the weakest performance (ROAS 0.20 and ROI -0.80).</t>
  </si>
  <si>
    <t>West's lower regional performance is being influenced by multiple weak campaigns that generate insufficient returns on investment. These low-performing campaigns reduce the overall efficiency and profitability of the region.</t>
  </si>
  <si>
    <t>Prioritize the review of campaigns such as CMP_056, CMP_048, and CMP_038 to identify issues related to targeting, channel strategy, product selection, or audience quality. Consider optimization or budget reduction for consistently underperforming campaigns.</t>
  </si>
  <si>
    <t>CMP_056 is the weakest-performing campaign in West, generating only 15.7K revenue with a ROAS of 0.20 and a negative ROI of -0.80. Neither the product mix, channel mix, nor market selection is producing acceptable returns.</t>
  </si>
  <si>
    <t>The campaign is unable to recover its marketing investment. While Watch performs slightly better than Perfume, Ecommerce performs slightly better than Wholesale, and India performs slightly better than Australia, all combinations remain unprofitable. The issue appears to be the overall campaign strategy rather than a specific product, channel, or country.</t>
  </si>
  <si>
    <t>Use CMP_056 as a learning opportunity by comparing it directly with high-performing campaigns such as CMP_016 (South) or CMP_051. Evaluate differences in product strategy, audience targeting, channel selection, market selection and campaign execution. If no improvement opportunities are found, future campaigns with similar setups should be reconsidered or discontinued.</t>
  </si>
  <si>
    <t>Skincare is the most efficient product in South with the highest ROAS (9.72) and ROI (8.72), while Watch generates the highest revenue (6.84M).</t>
  </si>
  <si>
    <t>South's success is supported by both volume and efficiency. Watch contributes the largest share of revenue, while Skincare delivers the strongest return on marketing investment. This indicates that South benefits from a balanced product portfolio where revenue generation and efficiency are driven by different products.</t>
  </si>
  <si>
    <t>Continue investing in Watch to maintain revenue growth while exploring opportunities to scale Skincare campaigns, as they currently generate the strongest returns in the region.</t>
  </si>
  <si>
    <t>Retail is the highest-performing channel in South, delivering the strongest CTR (4.92%), ROAS (9.32), and ROI (8.32) among all channels.</t>
  </si>
  <si>
    <t>Retail is converting marketing spend into revenue more efficiently than Ecommerce and Wholesale. Although Ecommerce contributes the highest revenue, Retail provides superior efficiency and profitability.</t>
  </si>
  <si>
    <t>Increase focus on Retail campaigns and identify the factors driving its superior performance. Successful Retail practices can be expanded to other channels where feasible.</t>
  </si>
  <si>
    <t>CMP_016 is the strongest-performing campaign in South with a ROAS of 49.81 and ROI of 48.81, significantly outperforming the regional averages of 8.72 and 7.72.</t>
  </si>
  <si>
    <t>South's strong performance is supported by a group of highly effective campaigns, with CMP_016 acting as a benchmark campaign. These campaigns are converting marketing investments into revenue at a much higher rate than the average campaign in the region.</t>
  </si>
  <si>
    <t>Analyze the strategy behind CMP_016 and compare it with average-performing campaigns to identify opportunities for replication across other regions and campaigns.</t>
  </si>
  <si>
    <t>Luxury Bag is the primary driver of CMP_016's success, delivering an exceptional ROAS of 70.24 and ROI of 69.24.</t>
  </si>
  <si>
    <t>The campaign's outstanding performance is heavily influenced by Luxury Bag, which generates significantly higher returns than the overall campaign average.</t>
  </si>
  <si>
    <t>Study the Luxury Bag campaign strategy used in CMP_016 and evaluate whether similar approaches can be used for other products.</t>
  </si>
  <si>
    <t>3. Country - USA contributed the highest revenue, while Australia delivered the strongest efficiency metrics among all countries.</t>
  </si>
  <si>
    <t>4. Product - Watch emerged as both the highest revenue-generating and most efficient product category based on current performance metrics.</t>
  </si>
  <si>
    <t>5. Channel - Retail was the most efficient channel, while Ecommerce generated the highest revenue contribution.</t>
  </si>
  <si>
    <t>6. Campaign - CMP_042 generated the highest revenue, while CMP_031 delivered the strongest return efficiency among campaigns.</t>
  </si>
  <si>
    <t>1.Increase investment in high-performing segments such as South Region, Australia, Watch Product, Retail Channel, and high-efficiency campaigns like CMP_031.</t>
  </si>
  <si>
    <t>2. Continue supporting high-revenue contributors such as USA, Ecommerce, Watch, and CMP_042 while closely monitoring return efficiency.</t>
  </si>
  <si>
    <t>3. Review underperforming segments such as West Region, Wholesale Channel, Luxury Bag Product, and low-return campaigns to identify optimization opportunities.</t>
  </si>
  <si>
    <t>4. Replicate successful product-channel-market combinations identified through Driver Analysis across lower-performing regions.</t>
  </si>
  <si>
    <t>5. Compare high-performing campaigns with weaker campaigns to identify differences in targeting, product mix, channel strategy, and campaign execution.</t>
  </si>
  <si>
    <t>May-23 generated the highest revenue ($7.53M) and was also the highest spend month, indicating strong business activity during this period.</t>
  </si>
  <si>
    <t>Insight  :</t>
  </si>
  <si>
    <t>1. Increase focus on high-performing periods such as Aug-23, as they demonstrate superior ROAS and ROI performance.</t>
  </si>
  <si>
    <t>2. Monitor low-activity periods such as Jun-25 and assess whether the decline is driven by seasonality, reduced investment, or campaign execution issues.</t>
  </si>
  <si>
    <t>3. Establish a periodic performance review process to identify emerging trends early and adjust campaign strategies proactively.</t>
  </si>
  <si>
    <t>Insight :</t>
  </si>
  <si>
    <t>CMP_042 generated the highest revenue ($4.17M), making it the largest contributor to overall campaign revenue. CMP_009 received the highest marketing spend ($429K), indicating a significant budget allocation toward this campaign. CMP_031 delivered the highest ROAS (13.44) and ROI (12.44), making it the most efficient campaign in converting spend into revenue. CMP_011 achieved the highest CTR among all campaigns, demonstrating the strongest audience engagement. The highest revenue-generating campaigns are not always the most efficient. For example, CMP_042 leads in revenue generation, while CMP_031 leads in return efficiency.</t>
  </si>
  <si>
    <t>1.Continue supporting high-revenue campaigns such as CMP_042, CMP_035, CMP_002, and CMP_049, as they contribute significantly to overall business revenue.</t>
  </si>
  <si>
    <t>2. Increase focus on highly efficient campaigns such as CMP_031, CMP_015, CMP_051, and CMP_042, as they generate strong returns relative to spend.</t>
  </si>
  <si>
    <t>3. Analyze successful campaign strategies used in CMP_031 and replicate those practices across other campaigns where possible.</t>
  </si>
  <si>
    <t>4.Review low-performing campaigns such as CMP_013 to identify issues related to targeting, channel selection, product focus, or campaign execution.</t>
  </si>
  <si>
    <t>Ecommerce generated the highest revenue ($41.96M), making it the largest contributor to overall business sales. Wholesale received the highest marketing spend ($5.65M), indicating that a significant portion of the budget is allocated to this channel. Retail delivered the highest ROAS (9.16) and ROI (8.16), making it the most efficient channel in converting spend into revenue. Retail also achieved the highest CTR (5.13%), indicating stronger audience engagement compared to Ecommerce and Wholesale.</t>
  </si>
  <si>
    <t xml:space="preserve">Increase focus on Retail, as it delivers the strongest CTR, ROAS, and ROI while operating with lower spend than Wholesale. Continue leveraging Ecommerce as a revenue-driving channel while identifying opportunities to improve its return efficiency. Analyze successful practices used in Retail campaigns, including audience targeting, campaign structure, and promotional strategies, and apply them to other channels. </t>
  </si>
  <si>
    <t>Revenue Leader – Watch generated the highest revenue ($22.09M), making it the strongest revenue-contributing product in the portfolio.
Highest Investment Product – Perfume received the highest marketing spend ($2.91M), indicating significant business focus and investment.
Efficiency Leader – Watch delivered the highest ROAS (8.67) and ROI (7.67), making it the most profitable product category.
Engagement Leader – Foundation achieved the highest CTR (5.58%), indicating the strongest customer engagement among all products.
Revenue vs Efficiency Insight – Watch is unique because it leads both revenue generation and return efficiency, demonstrating a strong balance between scale and profitability.
Underperforming Product – Luxury Bag recorded the lowest ROAS (7.37) and ROI (6.37), while Skincare generated the lowest revenue contribution.
Budget Allocation Insight – Perfume receives the highest budget allocation but does not generate the highest revenue or highest ROAS, indicating an opportunity to review budget effectiveness.</t>
  </si>
  <si>
    <t>Increase investment in Watch campaigns, as the product delivers both the highest revenue and the strongest return efficiency.
Continue supporting Foundation campaigns to capitalize on strong customer engagement and identify opportunities to convert engagement into higher revenue.
Review the performance of Perfume campaigns to understand why the highest-spend product is not generating proportionally higher returns.
Conduct a detailed analysis of Luxury Bag campaigns to identify opportunities for improving profitability and return efficiency.</t>
  </si>
  <si>
    <t>Revenue Leader – USA generated the highest revenue ($26.13M) and also recorded the highest marketing spend, making it the largest contributor to overall business volume.
Highest Investment Country – USA received the highest spending allocation ($3.52M), indicating strong business focus on this market.
Efficiency Leader – Australia delivered the highest ROAS (8.29) and ROI (7.29), making it the most efficient country in converting marketing spend into revenue.
Engagement Leader – India achieved the highest CTR (5.14%), indicating the strongest customer engagement among all countries.
Revenue vs Efficiency Insight – USA drives the highest revenue, but Australia generates stronger returns on every dollar invested, demonstrating the importance of balancing scale and efficiency.
Underperforming Markets – USA recorded the lowest ROAS (7.43) and ROI (6.43), while UK showed the lowest CTR (4.51%), highlighting opportunities for performance improvement.
Budget Allocation Insight – The country receiving the highest investment (USA) is not the most efficient market, suggesting that higher spending does not always lead to stronger returns.</t>
  </si>
  <si>
    <t>Increase focus on Australia, as it delivers the highest ROAS and ROI and represents the most efficient market for marketing investments. Continue leveraging USA as a major revenue-driving market while identifying opportunities to improve return efficiency and profitability. Analyze customer targeting, campaign execution, and market strategies used in Australia and apply successful practices to other markets. Review USA campaigns to understand why high spending is not translating into proportionally higher returns. Improve customer engagement in the UK by reviewing audience targeting, creative strategy, and campaign effectiveness.</t>
  </si>
  <si>
    <t>Revenue Leader – South generated the highest revenue ($32.79M), making it the strongest contributor to overall business performance.
Highest Investment Region – West received the highest marketing spend ($4.40M), indicating that the largest portion of the budget was allocated to this region.
Efficiency Leader – South delivered the highest ROAS (8.72) and ROI (7.72), making it the most efficient and profitable region.
Engagement Leader – North achieved the highest CTR (5.16%), indicating the strongest customer engagement among all regions.
Revenue vs Efficiency Insight – Although West received the highest budget allocation, South generated higher revenue and stronger returns with lower spend.
Underperforming Region – West recorded the lowest ROAS (6.89) and ROI (5.89), while South recorded the lowest CTR (4.43%).
Key Business Finding – South demonstrates that strong business performance is driven by efficient conversion of marketing investments into revenue rather than engagement volume alone.</t>
  </si>
  <si>
    <t>Increase focus on South, as it delivers the highest revenue, ROAS, and ROI despite not being the highest-spend region. Analyze the strategies used in South and identify best practices that can be replicated across other regions. Review West's campaign portfolio to understand why the highest level of spending is resulting in the lowest return efficiency. Improve conversion performance in North by leveraging its strong customer engagement and converting more of that engagement into revenue. Investigate the drivers behind South's strong profitability and explore opportunities to scale similar product, channel, and campaign combinations in other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</si>
</sst>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 #,##0_ ;_ * \-#,##0_ ;_ * &quot;-&quot;??_ ;_ @_ "/>
  </numFmts>
  <fonts count="10" x14ac:knownFonts="1">
    <font>
      <sz val="11"/>
      <color theme="1"/>
      <name val="Calibri"/>
      <family val="2"/>
      <scheme val="minor"/>
    </font>
    <font>
      <b/>
      <sz val="11"/>
      <name val="Calibri"/>
      <family val="2"/>
    </font>
    <font>
      <sz val="11"/>
      <color theme="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s>
  <fills count="27">
    <fill>
      <patternFill patternType="none"/>
    </fill>
    <fill>
      <patternFill patternType="gray125"/>
    </fill>
    <fill>
      <patternFill patternType="solid">
        <fgColor theme="8" tint="0.39997558519241921"/>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EBEA4"/>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8"/>
        <bgColor indexed="64"/>
      </patternFill>
    </fill>
    <fill>
      <patternFill patternType="solid">
        <fgColor theme="3"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6" tint="-0.24997711111789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s>
  <cellStyleXfs count="2">
    <xf numFmtId="0" fontId="0" fillId="0" borderId="0"/>
    <xf numFmtId="9" fontId="2" fillId="0" borderId="0" applyFont="0" applyFill="0" applyBorder="0" applyAlignment="0" applyProtection="0"/>
  </cellStyleXfs>
  <cellXfs count="203">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xf>
    <xf numFmtId="9" fontId="0" fillId="2" borderId="1" xfId="1" applyFont="1" applyFill="1" applyBorder="1" applyAlignment="1">
      <alignment horizontal="center"/>
    </xf>
    <xf numFmtId="0" fontId="0" fillId="0" borderId="3" xfId="0" applyBorder="1" applyAlignment="1">
      <alignment horizontal="center"/>
    </xf>
    <xf numFmtId="0" fontId="0" fillId="0" borderId="2" xfId="0" applyBorder="1" applyAlignment="1">
      <alignment horizontal="center" vertical="center"/>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vertical="center"/>
    </xf>
    <xf numFmtId="10" fontId="0" fillId="0" borderId="1" xfId="1" applyNumberFormat="1" applyFont="1" applyBorder="1" applyAlignment="1">
      <alignment horizontal="center" vertical="center"/>
    </xf>
    <xf numFmtId="2" fontId="0" fillId="0" borderId="1" xfId="0" applyNumberFormat="1" applyBorder="1" applyAlignment="1">
      <alignment horizontal="center" vertical="center"/>
    </xf>
    <xf numFmtId="0" fontId="0" fillId="0" borderId="3" xfId="0"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0" fontId="0" fillId="0" borderId="8" xfId="1" applyNumberFormat="1" applyFont="1" applyBorder="1" applyAlignment="1">
      <alignment horizontal="center" vertical="center"/>
    </xf>
    <xf numFmtId="2" fontId="0" fillId="0" borderId="8" xfId="0" applyNumberFormat="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0" fillId="5" borderId="1" xfId="0" applyFill="1" applyBorder="1" applyAlignment="1">
      <alignment horizontal="center" vertical="center" wrapText="1"/>
    </xf>
    <xf numFmtId="0" fontId="4" fillId="8" borderId="1" xfId="0" applyFont="1" applyFill="1" applyBorder="1" applyAlignment="1">
      <alignment horizontal="center" vertical="center"/>
    </xf>
    <xf numFmtId="9" fontId="4" fillId="8" borderId="1" xfId="1" applyFont="1" applyFill="1" applyBorder="1" applyAlignment="1">
      <alignment horizontal="center" vertical="center"/>
    </xf>
    <xf numFmtId="2" fontId="4" fillId="8" borderId="1" xfId="0" applyNumberFormat="1" applyFont="1" applyFill="1" applyBorder="1" applyAlignment="1">
      <alignment horizontal="center" vertical="center"/>
    </xf>
    <xf numFmtId="1" fontId="4" fillId="8" borderId="1" xfId="0" applyNumberFormat="1" applyFon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0" fontId="0" fillId="8" borderId="4" xfId="0" applyFill="1" applyBorder="1" applyAlignment="1">
      <alignment horizontal="center" vertical="center"/>
    </xf>
    <xf numFmtId="0" fontId="0" fillId="8" borderId="5" xfId="0" applyFill="1" applyBorder="1" applyAlignment="1">
      <alignment horizontal="center" vertical="center" wrapText="1"/>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6" borderId="1" xfId="0" applyFill="1" applyBorder="1" applyAlignment="1">
      <alignment horizontal="center" vertical="center"/>
    </xf>
    <xf numFmtId="10" fontId="0" fillId="6" borderId="1" xfId="1" applyNumberFormat="1" applyFont="1" applyFill="1" applyBorder="1" applyAlignment="1">
      <alignment horizontal="center" vertical="center"/>
    </xf>
    <xf numFmtId="2" fontId="0" fillId="6" borderId="1" xfId="0" applyNumberFormat="1" applyFill="1" applyBorder="1" applyAlignment="1">
      <alignment horizontal="center" vertical="center"/>
    </xf>
    <xf numFmtId="0" fontId="0" fillId="7" borderId="1" xfId="0" applyFill="1" applyBorder="1" applyAlignment="1">
      <alignment horizontal="center" vertical="center"/>
    </xf>
    <xf numFmtId="10" fontId="0" fillId="7" borderId="1" xfId="1" applyNumberFormat="1" applyFont="1" applyFill="1" applyBorder="1" applyAlignment="1">
      <alignment horizontal="center" vertical="center"/>
    </xf>
    <xf numFmtId="2" fontId="0" fillId="7" borderId="1" xfId="0" applyNumberFormat="1" applyFill="1" applyBorder="1" applyAlignment="1">
      <alignment horizontal="center" vertical="center"/>
    </xf>
    <xf numFmtId="0" fontId="0" fillId="11" borderId="0" xfId="0" applyFill="1"/>
    <xf numFmtId="0" fontId="0" fillId="11" borderId="0" xfId="0" applyFill="1" applyAlignment="1">
      <alignment horizontal="center" vertical="center"/>
    </xf>
    <xf numFmtId="0" fontId="4" fillId="11" borderId="0" xfId="0" applyFont="1" applyFill="1" applyAlignment="1">
      <alignment horizontal="center" vertical="center"/>
    </xf>
    <xf numFmtId="0" fontId="0" fillId="11" borderId="0" xfId="0" applyFill="1" applyAlignment="1">
      <alignment horizontal="center" vertical="center" wrapText="1"/>
    </xf>
    <xf numFmtId="2" fontId="4" fillId="11" borderId="0" xfId="0" applyNumberFormat="1" applyFont="1" applyFill="1" applyAlignment="1">
      <alignment horizontal="center" vertical="center"/>
    </xf>
    <xf numFmtId="1" fontId="4" fillId="11" borderId="0" xfId="0" applyNumberFormat="1" applyFont="1" applyFill="1" applyAlignment="1">
      <alignment horizontal="center" vertical="center"/>
    </xf>
    <xf numFmtId="0" fontId="0" fillId="0" borderId="0" xfId="0" applyAlignment="1">
      <alignment horizontal="center"/>
    </xf>
    <xf numFmtId="2" fontId="0" fillId="7" borderId="5" xfId="0" applyNumberFormat="1" applyFill="1" applyBorder="1" applyAlignment="1">
      <alignment horizontal="center" vertical="center"/>
    </xf>
    <xf numFmtId="0" fontId="1" fillId="3" borderId="5" xfId="0"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xf>
    <xf numFmtId="0" fontId="0" fillId="5" borderId="2" xfId="0" applyFill="1" applyBorder="1" applyAlignment="1">
      <alignment horizontal="center" vertical="center" wrapText="1"/>
    </xf>
    <xf numFmtId="2" fontId="0" fillId="5" borderId="3" xfId="0" applyNumberFormat="1" applyFill="1" applyBorder="1" applyAlignment="1">
      <alignment horizontal="center" vertical="center"/>
    </xf>
    <xf numFmtId="1" fontId="0" fillId="5" borderId="3" xfId="0" applyNumberFormat="1" applyFill="1" applyBorder="1" applyAlignment="1">
      <alignment horizontal="center" vertical="center"/>
    </xf>
    <xf numFmtId="0" fontId="0" fillId="0" borderId="1" xfId="0" pivotButton="1" applyBorder="1" applyAlignment="1">
      <alignment horizontal="center"/>
    </xf>
    <xf numFmtId="2" fontId="0" fillId="0" borderId="1" xfId="0" applyNumberFormat="1" applyBorder="1" applyAlignment="1">
      <alignment horizontal="center"/>
    </xf>
    <xf numFmtId="10" fontId="0" fillId="0" borderId="1" xfId="0" applyNumberFormat="1" applyBorder="1" applyAlignment="1">
      <alignment horizontal="center"/>
    </xf>
    <xf numFmtId="0" fontId="5" fillId="7" borderId="1" xfId="0" applyFont="1" applyFill="1" applyBorder="1" applyAlignment="1">
      <alignment horizontal="center"/>
    </xf>
    <xf numFmtId="10" fontId="5" fillId="7" borderId="1" xfId="1" applyNumberFormat="1" applyFont="1" applyFill="1" applyBorder="1" applyAlignment="1">
      <alignment horizontal="center"/>
    </xf>
    <xf numFmtId="0" fontId="0" fillId="16" borderId="1" xfId="0" applyFill="1" applyBorder="1" applyAlignment="1">
      <alignment horizontal="left"/>
    </xf>
    <xf numFmtId="0" fontId="0" fillId="17" borderId="1" xfId="0" applyFill="1" applyBorder="1" applyAlignment="1">
      <alignment horizontal="left"/>
    </xf>
    <xf numFmtId="0" fontId="0" fillId="14" borderId="1" xfId="0" applyFill="1" applyBorder="1" applyAlignment="1">
      <alignment horizontal="left"/>
    </xf>
    <xf numFmtId="0" fontId="6" fillId="13" borderId="8" xfId="0" applyFont="1" applyFill="1" applyBorder="1" applyAlignment="1">
      <alignment horizontal="left" vertical="top"/>
    </xf>
    <xf numFmtId="2" fontId="5" fillId="7" borderId="1" xfId="0" applyNumberFormat="1" applyFont="1" applyFill="1" applyBorder="1" applyAlignment="1">
      <alignment horizontal="center"/>
    </xf>
    <xf numFmtId="17" fontId="0" fillId="0" borderId="0" xfId="0" applyNumberFormat="1"/>
    <xf numFmtId="17" fontId="1" fillId="3" borderId="5" xfId="0" applyNumberFormat="1" applyFont="1" applyFill="1" applyBorder="1" applyAlignment="1">
      <alignment horizontal="center" vertical="center"/>
    </xf>
    <xf numFmtId="17" fontId="0" fillId="0" borderId="1" xfId="0" applyNumberFormat="1" applyBorder="1" applyAlignment="1">
      <alignment horizontal="center"/>
    </xf>
    <xf numFmtId="17" fontId="0" fillId="0" borderId="8" xfId="0" applyNumberFormat="1" applyBorder="1" applyAlignment="1">
      <alignment horizontal="center"/>
    </xf>
    <xf numFmtId="17" fontId="0" fillId="19" borderId="1" xfId="0" applyNumberFormat="1" applyFill="1" applyBorder="1" applyAlignment="1">
      <alignment horizontal="center"/>
    </xf>
    <xf numFmtId="0" fontId="5" fillId="7" borderId="1" xfId="0" applyFont="1" applyFill="1" applyBorder="1" applyAlignment="1">
      <alignment horizontal="center" vertical="center"/>
    </xf>
    <xf numFmtId="0" fontId="0" fillId="14" borderId="9" xfId="0" applyFill="1" applyBorder="1"/>
    <xf numFmtId="0" fontId="0" fillId="14" borderId="7" xfId="0" applyFill="1" applyBorder="1"/>
    <xf numFmtId="0" fontId="0" fillId="14" borderId="13" xfId="0" applyFill="1" applyBorder="1"/>
    <xf numFmtId="0" fontId="0" fillId="14" borderId="14" xfId="0" applyFill="1" applyBorder="1"/>
    <xf numFmtId="0" fontId="0" fillId="14" borderId="6" xfId="0" applyFill="1" applyBorder="1"/>
    <xf numFmtId="9" fontId="0" fillId="14" borderId="4" xfId="1" applyFont="1" applyFill="1" applyBorder="1"/>
    <xf numFmtId="1" fontId="0" fillId="14" borderId="7" xfId="0" applyNumberFormat="1" applyFill="1" applyBorder="1"/>
    <xf numFmtId="1" fontId="0" fillId="14" borderId="14" xfId="0" applyNumberFormat="1" applyFill="1" applyBorder="1"/>
    <xf numFmtId="2" fontId="0" fillId="14" borderId="14" xfId="0" applyNumberFormat="1" applyFill="1" applyBorder="1"/>
    <xf numFmtId="2" fontId="0" fillId="14" borderId="4" xfId="0" applyNumberFormat="1" applyFill="1" applyBorder="1"/>
    <xf numFmtId="0" fontId="0" fillId="20" borderId="2" xfId="0" applyFill="1" applyBorder="1"/>
    <xf numFmtId="0" fontId="0" fillId="20" borderId="3" xfId="0" applyFill="1" applyBorder="1"/>
    <xf numFmtId="0" fontId="0" fillId="14" borderId="4" xfId="0" applyFill="1" applyBorder="1"/>
    <xf numFmtId="0" fontId="0" fillId="16" borderId="12" xfId="0" applyFill="1" applyBorder="1"/>
    <xf numFmtId="0" fontId="0" fillId="16" borderId="7" xfId="0" applyFill="1" applyBorder="1"/>
    <xf numFmtId="0" fontId="0" fillId="16" borderId="0" xfId="0" applyFill="1"/>
    <xf numFmtId="0" fontId="0" fillId="16" borderId="14" xfId="0" applyFill="1" applyBorder="1"/>
    <xf numFmtId="0" fontId="0" fillId="20" borderId="1" xfId="0" applyFill="1" applyBorder="1"/>
    <xf numFmtId="0" fontId="0" fillId="20" borderId="1" xfId="0" applyFill="1" applyBorder="1" applyAlignment="1">
      <alignment horizontal="center"/>
    </xf>
    <xf numFmtId="0" fontId="0" fillId="14" borderId="1" xfId="0" applyFill="1" applyBorder="1"/>
    <xf numFmtId="0" fontId="0" fillId="0" borderId="0" xfId="0" applyAlignment="1">
      <alignment vertical="center"/>
    </xf>
    <xf numFmtId="0" fontId="0" fillId="0" borderId="1" xfId="0" pivotButton="1" applyBorder="1" applyAlignment="1">
      <alignment horizontal="center" vertical="center"/>
    </xf>
    <xf numFmtId="10" fontId="0" fillId="0" borderId="1" xfId="0" applyNumberFormat="1" applyBorder="1" applyAlignment="1">
      <alignment horizontal="center" vertical="center"/>
    </xf>
    <xf numFmtId="0" fontId="8" fillId="2" borderId="2" xfId="0" applyFont="1" applyFill="1" applyBorder="1" applyAlignment="1">
      <alignment horizontal="center"/>
    </xf>
    <xf numFmtId="0" fontId="8" fillId="2" borderId="11" xfId="0" applyFont="1" applyFill="1" applyBorder="1" applyAlignment="1">
      <alignment horizontal="center"/>
    </xf>
    <xf numFmtId="0" fontId="6" fillId="18" borderId="8" xfId="0" applyFont="1" applyFill="1" applyBorder="1" applyAlignment="1">
      <alignment horizontal="left" vertical="top"/>
    </xf>
    <xf numFmtId="0" fontId="0" fillId="24" borderId="1" xfId="0" applyFill="1" applyBorder="1" applyAlignment="1">
      <alignment horizontal="left"/>
    </xf>
    <xf numFmtId="2" fontId="0" fillId="24" borderId="1" xfId="0" applyNumberFormat="1" applyFill="1" applyBorder="1" applyAlignment="1">
      <alignment horizontal="left"/>
    </xf>
    <xf numFmtId="0" fontId="5" fillId="23" borderId="1" xfId="0" applyFont="1" applyFill="1" applyBorder="1" applyAlignment="1">
      <alignment horizontal="left"/>
    </xf>
    <xf numFmtId="0" fontId="4" fillId="8" borderId="5" xfId="0" applyFont="1" applyFill="1" applyBorder="1" applyAlignment="1">
      <alignment horizontal="center" vertical="center" wrapText="1"/>
    </xf>
    <xf numFmtId="0" fontId="4" fillId="8" borderId="5" xfId="0" applyFont="1" applyFill="1" applyBorder="1" applyAlignment="1">
      <alignment horizontal="center" vertical="center"/>
    </xf>
    <xf numFmtId="2" fontId="0" fillId="0" borderId="0" xfId="0" applyNumberFormat="1"/>
    <xf numFmtId="2" fontId="0" fillId="0" borderId="5" xfId="0" applyNumberFormat="1" applyBorder="1" applyAlignment="1">
      <alignment horizontal="center" vertical="center"/>
    </xf>
    <xf numFmtId="10" fontId="0" fillId="14" borderId="14" xfId="1" applyNumberFormat="1" applyFont="1" applyFill="1" applyBorder="1"/>
    <xf numFmtId="0" fontId="8" fillId="2" borderId="0" xfId="0" applyFont="1" applyFill="1" applyAlignment="1">
      <alignment horizontal="center"/>
    </xf>
    <xf numFmtId="10" fontId="0" fillId="24" borderId="1" xfId="1" applyNumberFormat="1" applyFont="1" applyFill="1" applyBorder="1" applyAlignment="1">
      <alignment horizontal="left"/>
    </xf>
    <xf numFmtId="165" fontId="0" fillId="0" borderId="1" xfId="0" applyNumberFormat="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4" fillId="10" borderId="0" xfId="0" applyFont="1" applyFill="1" applyAlignment="1">
      <alignment horizontal="center"/>
    </xf>
    <xf numFmtId="0" fontId="4" fillId="10" borderId="10" xfId="0" applyFont="1" applyFill="1" applyBorder="1" applyAlignment="1">
      <alignment horizontal="center"/>
    </xf>
    <xf numFmtId="0" fontId="6" fillId="13" borderId="9" xfId="0" applyFont="1" applyFill="1" applyBorder="1" applyAlignment="1">
      <alignment horizontal="left" vertical="top"/>
    </xf>
    <xf numFmtId="0" fontId="6" fillId="13" borderId="7" xfId="0" applyFont="1" applyFill="1" applyBorder="1" applyAlignment="1">
      <alignment horizontal="left" vertical="top"/>
    </xf>
    <xf numFmtId="0" fontId="0" fillId="14" borderId="1" xfId="0" applyFill="1" applyBorder="1" applyAlignment="1">
      <alignment horizontal="left" vertical="center" wrapText="1"/>
    </xf>
    <xf numFmtId="0" fontId="0" fillId="14" borderId="9" xfId="0" applyFill="1" applyBorder="1" applyAlignment="1">
      <alignment horizontal="left" vertical="center" wrapText="1"/>
    </xf>
    <xf numFmtId="0" fontId="0" fillId="14" borderId="12" xfId="0" applyFill="1" applyBorder="1" applyAlignment="1">
      <alignment horizontal="left" vertical="center" wrapText="1"/>
    </xf>
    <xf numFmtId="0" fontId="0" fillId="14" borderId="7" xfId="0" applyFill="1" applyBorder="1" applyAlignment="1">
      <alignment horizontal="left" vertical="center" wrapText="1"/>
    </xf>
    <xf numFmtId="0" fontId="0" fillId="14" borderId="13" xfId="0" applyFill="1" applyBorder="1" applyAlignment="1">
      <alignment horizontal="left" vertical="center" wrapText="1"/>
    </xf>
    <xf numFmtId="0" fontId="0" fillId="14" borderId="0" xfId="0" applyFill="1" applyAlignment="1">
      <alignment horizontal="left" vertical="center" wrapText="1"/>
    </xf>
    <xf numFmtId="0" fontId="0" fillId="14" borderId="14" xfId="0" applyFill="1" applyBorder="1" applyAlignment="1">
      <alignment horizontal="left" vertical="center" wrapText="1"/>
    </xf>
    <xf numFmtId="0" fontId="0" fillId="14" borderId="6" xfId="0" applyFill="1" applyBorder="1" applyAlignment="1">
      <alignment horizontal="left" vertical="center" wrapText="1"/>
    </xf>
    <xf numFmtId="0" fontId="0" fillId="14" borderId="10" xfId="0" applyFill="1" applyBorder="1" applyAlignment="1">
      <alignment horizontal="left" vertical="center" wrapText="1"/>
    </xf>
    <xf numFmtId="0" fontId="0" fillId="14" borderId="4" xfId="0" applyFill="1" applyBorder="1" applyAlignment="1">
      <alignment horizontal="left" vertical="center" wrapText="1"/>
    </xf>
    <xf numFmtId="0" fontId="5" fillId="15" borderId="10" xfId="0" applyFont="1" applyFill="1" applyBorder="1" applyAlignment="1">
      <alignment horizontal="center"/>
    </xf>
    <xf numFmtId="0" fontId="0" fillId="14" borderId="1" xfId="0" applyFill="1" applyBorder="1" applyAlignment="1">
      <alignment horizontal="left"/>
    </xf>
    <xf numFmtId="0" fontId="0" fillId="14" borderId="1" xfId="0" applyFill="1" applyBorder="1" applyAlignment="1">
      <alignment horizontal="left" wrapText="1"/>
    </xf>
    <xf numFmtId="0" fontId="6" fillId="13" borderId="2" xfId="0" applyFont="1" applyFill="1" applyBorder="1" applyAlignment="1">
      <alignment horizontal="left" vertical="top"/>
    </xf>
    <xf numFmtId="0" fontId="6" fillId="13" borderId="3" xfId="0" applyFont="1" applyFill="1" applyBorder="1" applyAlignment="1">
      <alignment horizontal="left" vertical="top"/>
    </xf>
    <xf numFmtId="0" fontId="6" fillId="18" borderId="8" xfId="0" applyFont="1" applyFill="1" applyBorder="1" applyAlignment="1">
      <alignment horizontal="left" vertical="top"/>
    </xf>
    <xf numFmtId="0" fontId="3" fillId="8" borderId="1" xfId="0" applyFont="1" applyFill="1" applyBorder="1" applyAlignment="1">
      <alignment horizontal="center"/>
    </xf>
    <xf numFmtId="0" fontId="0" fillId="14" borderId="8" xfId="0" applyFill="1" applyBorder="1" applyAlignment="1">
      <alignment horizontal="left" wrapText="1"/>
    </xf>
    <xf numFmtId="0" fontId="0" fillId="14" borderId="5" xfId="0" applyFill="1" applyBorder="1" applyAlignment="1">
      <alignment horizontal="left" vertical="center" wrapText="1"/>
    </xf>
    <xf numFmtId="0" fontId="0" fillId="14" borderId="1" xfId="0" applyFill="1" applyBorder="1" applyAlignment="1">
      <alignment horizontal="left" vertical="top" wrapText="1"/>
    </xf>
    <xf numFmtId="0" fontId="6" fillId="13" borderId="13" xfId="0" applyFont="1" applyFill="1" applyBorder="1" applyAlignment="1">
      <alignment horizontal="left" vertical="top"/>
    </xf>
    <xf numFmtId="0" fontId="6" fillId="13" borderId="0" xfId="0" applyFont="1" applyFill="1" applyAlignment="1">
      <alignment horizontal="left" vertical="top"/>
    </xf>
    <xf numFmtId="0" fontId="3" fillId="4" borderId="13"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3" fillId="4" borderId="10" xfId="0" applyFont="1" applyFill="1" applyBorder="1" applyAlignment="1">
      <alignment horizontal="center"/>
    </xf>
    <xf numFmtId="0" fontId="0" fillId="16" borderId="13" xfId="0" applyFill="1" applyBorder="1" applyAlignment="1">
      <alignment horizontal="left"/>
    </xf>
    <xf numFmtId="0" fontId="0" fillId="16" borderId="0" xfId="0" applyFill="1" applyAlignment="1">
      <alignment horizontal="left"/>
    </xf>
    <xf numFmtId="0" fontId="0" fillId="16" borderId="14" xfId="0" applyFill="1" applyBorder="1" applyAlignment="1">
      <alignment horizontal="left"/>
    </xf>
    <xf numFmtId="0" fontId="7" fillId="21" borderId="9" xfId="0" applyFont="1" applyFill="1" applyBorder="1" applyAlignment="1">
      <alignment horizontal="center"/>
    </xf>
    <xf numFmtId="0" fontId="7" fillId="21" borderId="12" xfId="0" applyFont="1" applyFill="1" applyBorder="1" applyAlignment="1">
      <alignment horizontal="center"/>
    </xf>
    <xf numFmtId="0" fontId="7" fillId="21" borderId="7" xfId="0" applyFont="1" applyFill="1" applyBorder="1" applyAlignment="1">
      <alignment horizontal="center"/>
    </xf>
    <xf numFmtId="0" fontId="7" fillId="21" borderId="2" xfId="0" applyFont="1" applyFill="1" applyBorder="1" applyAlignment="1">
      <alignment horizontal="center"/>
    </xf>
    <xf numFmtId="0" fontId="7" fillId="21" borderId="3" xfId="0" applyFont="1" applyFill="1" applyBorder="1" applyAlignment="1">
      <alignment horizontal="center"/>
    </xf>
    <xf numFmtId="0" fontId="0" fillId="16" borderId="9" xfId="0" applyFill="1" applyBorder="1" applyAlignment="1">
      <alignment horizontal="left"/>
    </xf>
    <xf numFmtId="0" fontId="0" fillId="16" borderId="12" xfId="0" applyFill="1" applyBorder="1" applyAlignment="1">
      <alignment horizontal="left"/>
    </xf>
    <xf numFmtId="0" fontId="3" fillId="18" borderId="2" xfId="0" applyFont="1" applyFill="1" applyBorder="1" applyAlignment="1">
      <alignment horizontal="center"/>
    </xf>
    <xf numFmtId="0" fontId="3" fillId="18" borderId="3" xfId="0" applyFont="1" applyFill="1" applyBorder="1" applyAlignment="1">
      <alignment horizontal="center"/>
    </xf>
    <xf numFmtId="0" fontId="3" fillId="18" borderId="6" xfId="0" applyFont="1" applyFill="1" applyBorder="1" applyAlignment="1">
      <alignment horizontal="center"/>
    </xf>
    <xf numFmtId="0" fontId="3" fillId="18" borderId="10" xfId="0" applyFont="1" applyFill="1" applyBorder="1" applyAlignment="1">
      <alignment horizontal="center"/>
    </xf>
    <xf numFmtId="0" fontId="0" fillId="16" borderId="6" xfId="0" applyFill="1" applyBorder="1" applyAlignment="1">
      <alignment horizontal="left"/>
    </xf>
    <xf numFmtId="0" fontId="0" fillId="16" borderId="10" xfId="0" applyFill="1" applyBorder="1" applyAlignment="1">
      <alignment horizontal="left"/>
    </xf>
    <xf numFmtId="0" fontId="0" fillId="16" borderId="4" xfId="0" applyFill="1" applyBorder="1" applyAlignment="1">
      <alignment horizontal="left"/>
    </xf>
    <xf numFmtId="0" fontId="0" fillId="16" borderId="9" xfId="0" applyFill="1" applyBorder="1" applyAlignment="1">
      <alignment horizontal="left" wrapText="1"/>
    </xf>
    <xf numFmtId="0" fontId="0" fillId="16" borderId="12" xfId="0" applyFill="1" applyBorder="1" applyAlignment="1">
      <alignment horizontal="left" wrapText="1"/>
    </xf>
    <xf numFmtId="0" fontId="0" fillId="16" borderId="7" xfId="0" applyFill="1" applyBorder="1" applyAlignment="1">
      <alignment horizontal="left" wrapText="1"/>
    </xf>
    <xf numFmtId="0" fontId="0" fillId="16" borderId="13" xfId="0" applyFill="1" applyBorder="1" applyAlignment="1">
      <alignment horizontal="left" wrapText="1"/>
    </xf>
    <xf numFmtId="0" fontId="0" fillId="16" borderId="0" xfId="0" applyFill="1" applyAlignment="1">
      <alignment horizontal="left" wrapText="1"/>
    </xf>
    <xf numFmtId="0" fontId="0" fillId="16" borderId="14" xfId="0" applyFill="1" applyBorder="1" applyAlignment="1">
      <alignment horizontal="left" wrapText="1"/>
    </xf>
    <xf numFmtId="0" fontId="8" fillId="2" borderId="2" xfId="0" applyFont="1" applyFill="1" applyBorder="1" applyAlignment="1">
      <alignment horizontal="center"/>
    </xf>
    <xf numFmtId="0" fontId="8" fillId="2" borderId="11" xfId="0" applyFont="1" applyFill="1" applyBorder="1" applyAlignment="1">
      <alignment horizontal="center"/>
    </xf>
    <xf numFmtId="0" fontId="8" fillId="2" borderId="3" xfId="0" applyFont="1" applyFill="1" applyBorder="1" applyAlignment="1">
      <alignment horizontal="center"/>
    </xf>
    <xf numFmtId="0" fontId="8" fillId="5" borderId="8" xfId="0" applyFont="1" applyFill="1" applyBorder="1" applyAlignment="1">
      <alignment horizontal="left" vertical="center"/>
    </xf>
    <xf numFmtId="0" fontId="8" fillId="5" borderId="1" xfId="0" applyFont="1" applyFill="1" applyBorder="1" applyAlignment="1">
      <alignment horizontal="left" vertical="center"/>
    </xf>
    <xf numFmtId="0" fontId="0" fillId="9" borderId="1" xfId="0" applyFill="1" applyBorder="1" applyAlignment="1">
      <alignment horizontal="left" vertical="center" wrapText="1"/>
    </xf>
    <xf numFmtId="0" fontId="8" fillId="2" borderId="1" xfId="0" applyFont="1" applyFill="1" applyBorder="1" applyAlignment="1">
      <alignment horizontal="center"/>
    </xf>
    <xf numFmtId="0" fontId="8" fillId="5" borderId="1" xfId="0" applyFont="1" applyFill="1" applyBorder="1" applyAlignment="1">
      <alignment horizontal="left"/>
    </xf>
    <xf numFmtId="0" fontId="8" fillId="5" borderId="8" xfId="0" applyFont="1" applyFill="1" applyBorder="1" applyAlignment="1">
      <alignment horizontal="left"/>
    </xf>
    <xf numFmtId="0" fontId="5" fillId="23" borderId="1" xfId="0" applyFont="1" applyFill="1" applyBorder="1" applyAlignment="1">
      <alignment horizontal="left"/>
    </xf>
    <xf numFmtId="0" fontId="0" fillId="23" borderId="1" xfId="0" applyFill="1" applyBorder="1" applyAlignment="1">
      <alignment horizontal="left"/>
    </xf>
    <xf numFmtId="0" fontId="0" fillId="12" borderId="9" xfId="0" applyFill="1" applyBorder="1" applyAlignment="1">
      <alignment horizontal="left" vertical="center" wrapText="1"/>
    </xf>
    <xf numFmtId="0" fontId="0" fillId="12" borderId="12" xfId="0" applyFill="1" applyBorder="1" applyAlignment="1">
      <alignment horizontal="left" vertical="center" wrapText="1"/>
    </xf>
    <xf numFmtId="0" fontId="0" fillId="12" borderId="7" xfId="0" applyFill="1" applyBorder="1" applyAlignment="1">
      <alignment horizontal="left" vertical="center" wrapText="1"/>
    </xf>
    <xf numFmtId="0" fontId="0" fillId="12" borderId="13" xfId="0" applyFill="1" applyBorder="1" applyAlignment="1">
      <alignment horizontal="left" vertical="center" wrapText="1"/>
    </xf>
    <xf numFmtId="0" fontId="0" fillId="12" borderId="0" xfId="0" applyFill="1" applyAlignment="1">
      <alignment horizontal="left" vertical="center" wrapText="1"/>
    </xf>
    <xf numFmtId="0" fontId="0" fillId="12" borderId="14" xfId="0" applyFill="1" applyBorder="1" applyAlignment="1">
      <alignment horizontal="left" vertical="center" wrapText="1"/>
    </xf>
    <xf numFmtId="0" fontId="0" fillId="12" borderId="6" xfId="0" applyFill="1" applyBorder="1" applyAlignment="1">
      <alignment horizontal="left" vertical="center" wrapText="1"/>
    </xf>
    <xf numFmtId="0" fontId="0" fillId="12" borderId="10" xfId="0" applyFill="1" applyBorder="1" applyAlignment="1">
      <alignment horizontal="left" vertical="center" wrapText="1"/>
    </xf>
    <xf numFmtId="0" fontId="0" fillId="12" borderId="4" xfId="0" applyFill="1" applyBorder="1" applyAlignment="1">
      <alignment horizontal="left" vertical="center" wrapText="1"/>
    </xf>
    <xf numFmtId="0" fontId="0" fillId="12" borderId="1" xfId="0" applyFill="1" applyBorder="1" applyAlignment="1">
      <alignment horizontal="left" vertical="center" wrapText="1"/>
    </xf>
    <xf numFmtId="0" fontId="5" fillId="25" borderId="2" xfId="0" applyFont="1" applyFill="1" applyBorder="1" applyAlignment="1">
      <alignment horizontal="center"/>
    </xf>
    <xf numFmtId="0" fontId="5" fillId="25" borderId="11" xfId="0" applyFont="1" applyFill="1" applyBorder="1" applyAlignment="1">
      <alignment horizontal="center"/>
    </xf>
    <xf numFmtId="0" fontId="5" fillId="25" borderId="3" xfId="0" applyFont="1" applyFill="1" applyBorder="1" applyAlignment="1">
      <alignment horizontal="center"/>
    </xf>
    <xf numFmtId="0" fontId="5" fillId="23" borderId="8" xfId="0" applyFont="1" applyFill="1" applyBorder="1" applyAlignment="1">
      <alignment horizontal="left"/>
    </xf>
    <xf numFmtId="0" fontId="0" fillId="23" borderId="8" xfId="0" applyFill="1" applyBorder="1" applyAlignment="1">
      <alignment horizontal="left"/>
    </xf>
    <xf numFmtId="0" fontId="0" fillId="12" borderId="9" xfId="0" applyFill="1" applyBorder="1" applyAlignment="1">
      <alignment horizontal="left" wrapText="1"/>
    </xf>
    <xf numFmtId="0" fontId="0" fillId="12" borderId="12" xfId="0" applyFill="1" applyBorder="1" applyAlignment="1">
      <alignment horizontal="left" wrapText="1"/>
    </xf>
    <xf numFmtId="0" fontId="0" fillId="12" borderId="7" xfId="0" applyFill="1" applyBorder="1" applyAlignment="1">
      <alignment horizontal="left" wrapText="1"/>
    </xf>
    <xf numFmtId="0" fontId="0" fillId="12" borderId="6" xfId="0" applyFill="1" applyBorder="1" applyAlignment="1">
      <alignment horizontal="left" wrapText="1"/>
    </xf>
    <xf numFmtId="0" fontId="0" fillId="12" borderId="10" xfId="0" applyFill="1" applyBorder="1" applyAlignment="1">
      <alignment horizontal="left" wrapText="1"/>
    </xf>
    <xf numFmtId="0" fontId="0" fillId="12" borderId="4" xfId="0" applyFill="1" applyBorder="1" applyAlignment="1">
      <alignment horizontal="left" wrapText="1"/>
    </xf>
    <xf numFmtId="0" fontId="0" fillId="12" borderId="1" xfId="0" applyFill="1" applyBorder="1" applyAlignment="1">
      <alignment horizontal="left" wrapText="1"/>
    </xf>
    <xf numFmtId="0" fontId="7" fillId="26" borderId="10" xfId="0" applyFont="1" applyFill="1" applyBorder="1" applyAlignment="1">
      <alignment horizontal="center"/>
    </xf>
    <xf numFmtId="0" fontId="9" fillId="22" borderId="1" xfId="0" applyFont="1" applyFill="1" applyBorder="1" applyAlignment="1">
      <alignment horizontal="left"/>
    </xf>
    <xf numFmtId="0" fontId="0" fillId="24" borderId="1" xfId="0" applyFill="1" applyBorder="1" applyAlignment="1">
      <alignment horizontal="left"/>
    </xf>
    <xf numFmtId="0" fontId="5" fillId="25" borderId="1" xfId="0" applyFont="1" applyFill="1" applyBorder="1" applyAlignment="1">
      <alignment horizontal="center"/>
    </xf>
  </cellXfs>
  <cellStyles count="2">
    <cellStyle name="Normal" xfId="0" builtinId="0"/>
    <cellStyle name="Percent" xfId="1" builtinId="5"/>
  </cellStyles>
  <dxfs count="42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4" formatCode="0.00%"/>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numFmt numFmtId="2" formatCode="0.00"/>
    </dxf>
    <dxf>
      <numFmt numFmtId="2" formatCode="0.00"/>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2" formatCode="0.00"/>
    </dxf>
    <dxf>
      <numFmt numFmtId="2"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bottom style="thin">
          <color auto="1"/>
        </bottom>
        <vertical/>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EBEA4"/>
      <color rgb="FF06B8F0"/>
      <color rgb="FFC9FC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Spend &amp; Revenue per Region</a:t>
            </a:r>
          </a:p>
        </c:rich>
      </c:tx>
      <c:layout>
        <c:manualLayout>
          <c:xMode val="edge"/>
          <c:yMode val="edge"/>
          <c:x val="0.2800422605402173"/>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Region_Analysis!$K$10</c:f>
              <c:strCache>
                <c:ptCount val="1"/>
                <c:pt idx="0">
                  <c:v>Total Spend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Region_Analysis!$J$11:$J$14</c:f>
              <c:strCache>
                <c:ptCount val="4"/>
                <c:pt idx="0">
                  <c:v>East</c:v>
                </c:pt>
                <c:pt idx="1">
                  <c:v>North</c:v>
                </c:pt>
                <c:pt idx="2">
                  <c:v>South</c:v>
                </c:pt>
                <c:pt idx="3">
                  <c:v>West</c:v>
                </c:pt>
              </c:strCache>
            </c:strRef>
          </c:cat>
          <c:val>
            <c:numRef>
              <c:f>Region_Analysis!$K$11:$K$14</c:f>
              <c:numCache>
                <c:formatCode>General</c:formatCode>
                <c:ptCount val="4"/>
                <c:pt idx="0">
                  <c:v>3664772.6600000015</c:v>
                </c:pt>
                <c:pt idx="1">
                  <c:v>3786256.9900000007</c:v>
                </c:pt>
                <c:pt idx="2">
                  <c:v>3762250.78</c:v>
                </c:pt>
                <c:pt idx="3">
                  <c:v>4399103.5300000021</c:v>
                </c:pt>
              </c:numCache>
            </c:numRef>
          </c:val>
          <c:extLst>
            <c:ext xmlns:c16="http://schemas.microsoft.com/office/drawing/2014/chart" uri="{C3380CC4-5D6E-409C-BE32-E72D297353CC}">
              <c16:uniqueId val="{00000000-3448-48CC-8C1B-D8944485C0C9}"/>
            </c:ext>
          </c:extLst>
        </c:ser>
        <c:ser>
          <c:idx val="1"/>
          <c:order val="1"/>
          <c:tx>
            <c:strRef>
              <c:f>Region_Analysis!$L$10</c:f>
              <c:strCache>
                <c:ptCount val="1"/>
                <c:pt idx="0">
                  <c:v>Total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Region_Analysis!$J$11:$J$14</c:f>
              <c:strCache>
                <c:ptCount val="4"/>
                <c:pt idx="0">
                  <c:v>East</c:v>
                </c:pt>
                <c:pt idx="1">
                  <c:v>North</c:v>
                </c:pt>
                <c:pt idx="2">
                  <c:v>South</c:v>
                </c:pt>
                <c:pt idx="3">
                  <c:v>West</c:v>
                </c:pt>
              </c:strCache>
            </c:strRef>
          </c:cat>
          <c:val>
            <c:numRef>
              <c:f>Region_Analysis!$L$11:$L$14</c:f>
              <c:numCache>
                <c:formatCode>General</c:formatCode>
                <c:ptCount val="4"/>
                <c:pt idx="0">
                  <c:v>30446807.550000004</c:v>
                </c:pt>
                <c:pt idx="1">
                  <c:v>29146093.189999998</c:v>
                </c:pt>
                <c:pt idx="2">
                  <c:v>32794278.249999985</c:v>
                </c:pt>
                <c:pt idx="3">
                  <c:v>30317172.040000007</c:v>
                </c:pt>
              </c:numCache>
            </c:numRef>
          </c:val>
          <c:extLst>
            <c:ext xmlns:c16="http://schemas.microsoft.com/office/drawing/2014/chart" uri="{C3380CC4-5D6E-409C-BE32-E72D297353CC}">
              <c16:uniqueId val="{00000001-3448-48CC-8C1B-D8944485C0C9}"/>
            </c:ext>
          </c:extLst>
        </c:ser>
        <c:dLbls>
          <c:showLegendKey val="0"/>
          <c:showVal val="0"/>
          <c:showCatName val="0"/>
          <c:showSerName val="0"/>
          <c:showPercent val="0"/>
          <c:showBubbleSize val="0"/>
        </c:dLbls>
        <c:gapWidth val="0"/>
        <c:axId val="600660479"/>
        <c:axId val="600660959"/>
      </c:barChart>
      <c:catAx>
        <c:axId val="6006604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layout>
            <c:manualLayout>
              <c:xMode val="edge"/>
              <c:yMode val="edge"/>
              <c:x val="0.54170331240240543"/>
              <c:y val="0.81954833770778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660959"/>
        <c:crosses val="autoZero"/>
        <c:auto val="1"/>
        <c:lblAlgn val="ctr"/>
        <c:lblOffset val="100"/>
        <c:noMultiLvlLbl val="0"/>
      </c:catAx>
      <c:valAx>
        <c:axId val="6006609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Spend</a:t>
                </a:r>
                <a:r>
                  <a:rPr lang="en-IN" baseline="0"/>
                  <a:t> &amp; Revenue</a:t>
                </a:r>
                <a:endParaRPr lang="en-IN"/>
              </a:p>
            </c:rich>
          </c:tx>
          <c:layout>
            <c:manualLayout>
              <c:xMode val="edge"/>
              <c:yMode val="edge"/>
              <c:x val="3.7130801687763712E-2"/>
              <c:y val="0.191180555555555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66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sng"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200" b="1" i="0" u="sng"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Average CTR per Region</a:t>
            </a:r>
          </a:p>
        </c:rich>
      </c:tx>
      <c:overlay val="0"/>
      <c:spPr>
        <a:noFill/>
        <a:ln>
          <a:noFill/>
        </a:ln>
        <a:effectLst/>
      </c:spPr>
      <c:txPr>
        <a:bodyPr rot="0" spcFirstLastPara="1" vertOverflow="ellipsis" vert="horz" wrap="square" anchor="ctr" anchorCtr="1"/>
        <a:lstStyle/>
        <a:p>
          <a:pPr algn="ctr" rtl="0">
            <a:defRPr lang="en-US" sz="1200" b="1" i="0" u="sng"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Region_Analysis!$O$10</c:f>
              <c:strCache>
                <c:ptCount val="1"/>
                <c:pt idx="0">
                  <c:v>Avg ROAS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Region_Analysis!$N$11:$N$14</c:f>
              <c:strCache>
                <c:ptCount val="4"/>
                <c:pt idx="0">
                  <c:v>East</c:v>
                </c:pt>
                <c:pt idx="1">
                  <c:v>North</c:v>
                </c:pt>
                <c:pt idx="2">
                  <c:v>South</c:v>
                </c:pt>
                <c:pt idx="3">
                  <c:v>West</c:v>
                </c:pt>
              </c:strCache>
            </c:strRef>
          </c:cat>
          <c:val>
            <c:numRef>
              <c:f>Region_Analysis!$O$11:$O$14</c:f>
              <c:numCache>
                <c:formatCode>0.00</c:formatCode>
                <c:ptCount val="4"/>
                <c:pt idx="0">
                  <c:v>8.3079662436687123</c:v>
                </c:pt>
                <c:pt idx="1">
                  <c:v>7.6978644785545827</c:v>
                </c:pt>
                <c:pt idx="2">
                  <c:v>8.7166646158552954</c:v>
                </c:pt>
                <c:pt idx="3">
                  <c:v>6.8916705036037174</c:v>
                </c:pt>
              </c:numCache>
            </c:numRef>
          </c:val>
          <c:extLst>
            <c:ext xmlns:c16="http://schemas.microsoft.com/office/drawing/2014/chart" uri="{C3380CC4-5D6E-409C-BE32-E72D297353CC}">
              <c16:uniqueId val="{00000000-1AC1-4036-92F3-43063DCD06A8}"/>
            </c:ext>
          </c:extLst>
        </c:ser>
        <c:dLbls>
          <c:showLegendKey val="0"/>
          <c:showVal val="0"/>
          <c:showCatName val="0"/>
          <c:showSerName val="0"/>
          <c:showPercent val="0"/>
          <c:showBubbleSize val="0"/>
        </c:dLbls>
        <c:gapWidth val="150"/>
        <c:axId val="1420583919"/>
        <c:axId val="1420589199"/>
      </c:barChart>
      <c:catAx>
        <c:axId val="14205839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layout>
            <c:manualLayout>
              <c:xMode val="edge"/>
              <c:yMode val="edge"/>
              <c:x val="4.0515642025016452E-2"/>
              <c:y val="0.3183335619632911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589199"/>
        <c:crosses val="autoZero"/>
        <c:auto val="1"/>
        <c:lblAlgn val="ctr"/>
        <c:lblOffset val="100"/>
        <c:noMultiLvlLbl val="0"/>
      </c:catAx>
      <c:valAx>
        <c:axId val="142058919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CTR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58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sng"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200" b="1" i="0" u="sng"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Average ROAS per Region</a:t>
            </a:r>
          </a:p>
        </c:rich>
      </c:tx>
      <c:overlay val="0"/>
      <c:spPr>
        <a:noFill/>
        <a:ln>
          <a:noFill/>
        </a:ln>
        <a:effectLst/>
      </c:spPr>
      <c:txPr>
        <a:bodyPr rot="0" spcFirstLastPara="1" vertOverflow="ellipsis" vert="horz" wrap="square" anchor="ctr" anchorCtr="1"/>
        <a:lstStyle/>
        <a:p>
          <a:pPr algn="ctr" rtl="0">
            <a:defRPr lang="en-US" sz="1200" b="1" i="0" u="sng"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Region_Analysis!$R$10</c:f>
              <c:strCache>
                <c:ptCount val="1"/>
                <c:pt idx="0">
                  <c:v> Avg CTR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Region_Analysis!$Q$11:$Q$14</c:f>
              <c:strCache>
                <c:ptCount val="4"/>
                <c:pt idx="0">
                  <c:v>East</c:v>
                </c:pt>
                <c:pt idx="1">
                  <c:v>North</c:v>
                </c:pt>
                <c:pt idx="2">
                  <c:v>South</c:v>
                </c:pt>
                <c:pt idx="3">
                  <c:v>West</c:v>
                </c:pt>
              </c:strCache>
            </c:strRef>
          </c:cat>
          <c:val>
            <c:numRef>
              <c:f>Region_Analysis!$R$11:$R$14</c:f>
              <c:numCache>
                <c:formatCode>0.00%</c:formatCode>
                <c:ptCount val="4"/>
                <c:pt idx="0">
                  <c:v>4.7219353342313058E-2</c:v>
                </c:pt>
                <c:pt idx="1">
                  <c:v>5.1629386498886785E-2</c:v>
                </c:pt>
                <c:pt idx="2">
                  <c:v>4.4331163376109976E-2</c:v>
                </c:pt>
                <c:pt idx="3">
                  <c:v>5.1125817743366095E-2</c:v>
                </c:pt>
              </c:numCache>
            </c:numRef>
          </c:val>
          <c:extLst>
            <c:ext xmlns:c16="http://schemas.microsoft.com/office/drawing/2014/chart" uri="{C3380CC4-5D6E-409C-BE32-E72D297353CC}">
              <c16:uniqueId val="{00000000-4927-45CA-8B11-75A041ADCD2A}"/>
            </c:ext>
          </c:extLst>
        </c:ser>
        <c:dLbls>
          <c:showLegendKey val="0"/>
          <c:showVal val="0"/>
          <c:showCatName val="0"/>
          <c:showSerName val="0"/>
          <c:showPercent val="0"/>
          <c:showBubbleSize val="0"/>
        </c:dLbls>
        <c:gapWidth val="150"/>
        <c:axId val="1459404191"/>
        <c:axId val="1459402751"/>
      </c:barChart>
      <c:catAx>
        <c:axId val="14594041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9402751"/>
        <c:crosses val="autoZero"/>
        <c:auto val="1"/>
        <c:lblAlgn val="ctr"/>
        <c:lblOffset val="100"/>
        <c:noMultiLvlLbl val="0"/>
      </c:catAx>
      <c:valAx>
        <c:axId val="145940275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ROAS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940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REVENUE &amp; SPEND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Country_Analysis!$K$10</c:f>
              <c:strCache>
                <c:ptCount val="1"/>
                <c:pt idx="0">
                  <c:v>Total Spend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Country_Analysis!$J$11:$J$15</c:f>
              <c:strCache>
                <c:ptCount val="5"/>
                <c:pt idx="0">
                  <c:v>Australia</c:v>
                </c:pt>
                <c:pt idx="1">
                  <c:v>India</c:v>
                </c:pt>
                <c:pt idx="2">
                  <c:v>Singapore</c:v>
                </c:pt>
                <c:pt idx="3">
                  <c:v>UK</c:v>
                </c:pt>
                <c:pt idx="4">
                  <c:v>USA</c:v>
                </c:pt>
              </c:strCache>
            </c:strRef>
          </c:cat>
          <c:val>
            <c:numRef>
              <c:f>Country_Analysis!$K$11:$K$15</c:f>
              <c:numCache>
                <c:formatCode>General</c:formatCode>
                <c:ptCount val="5"/>
                <c:pt idx="0">
                  <c:v>2780490.2199999997</c:v>
                </c:pt>
                <c:pt idx="1">
                  <c:v>3422607.0099999988</c:v>
                </c:pt>
                <c:pt idx="2">
                  <c:v>2832727.6299999976</c:v>
                </c:pt>
                <c:pt idx="3">
                  <c:v>3060684.8500000029</c:v>
                </c:pt>
                <c:pt idx="4">
                  <c:v>3515874.2500000033</c:v>
                </c:pt>
              </c:numCache>
            </c:numRef>
          </c:val>
          <c:extLst>
            <c:ext xmlns:c16="http://schemas.microsoft.com/office/drawing/2014/chart" uri="{C3380CC4-5D6E-409C-BE32-E72D297353CC}">
              <c16:uniqueId val="{00000000-AC75-4E28-91AB-A943C196991A}"/>
            </c:ext>
          </c:extLst>
        </c:ser>
        <c:ser>
          <c:idx val="1"/>
          <c:order val="1"/>
          <c:tx>
            <c:strRef>
              <c:f>Country_Analysis!$L$10</c:f>
              <c:strCache>
                <c:ptCount val="1"/>
                <c:pt idx="0">
                  <c:v>Total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Country_Analysis!$J$11:$J$15</c:f>
              <c:strCache>
                <c:ptCount val="5"/>
                <c:pt idx="0">
                  <c:v>Australia</c:v>
                </c:pt>
                <c:pt idx="1">
                  <c:v>India</c:v>
                </c:pt>
                <c:pt idx="2">
                  <c:v>Singapore</c:v>
                </c:pt>
                <c:pt idx="3">
                  <c:v>UK</c:v>
                </c:pt>
                <c:pt idx="4">
                  <c:v>USA</c:v>
                </c:pt>
              </c:strCache>
            </c:strRef>
          </c:cat>
          <c:val>
            <c:numRef>
              <c:f>Country_Analysis!$L$11:$L$15</c:f>
              <c:numCache>
                <c:formatCode>General</c:formatCode>
                <c:ptCount val="5"/>
                <c:pt idx="0">
                  <c:v>23057947.650000013</c:v>
                </c:pt>
                <c:pt idx="1">
                  <c:v>26041086.760000009</c:v>
                </c:pt>
                <c:pt idx="2">
                  <c:v>22545696.420000002</c:v>
                </c:pt>
                <c:pt idx="3">
                  <c:v>24924022.249999996</c:v>
                </c:pt>
                <c:pt idx="4">
                  <c:v>26135597.950000003</c:v>
                </c:pt>
              </c:numCache>
            </c:numRef>
          </c:val>
          <c:extLst>
            <c:ext xmlns:c16="http://schemas.microsoft.com/office/drawing/2014/chart" uri="{C3380CC4-5D6E-409C-BE32-E72D297353CC}">
              <c16:uniqueId val="{00000001-AC75-4E28-91AB-A943C196991A}"/>
            </c:ext>
          </c:extLst>
        </c:ser>
        <c:dLbls>
          <c:showLegendKey val="0"/>
          <c:showVal val="0"/>
          <c:showCatName val="0"/>
          <c:showSerName val="0"/>
          <c:showPercent val="0"/>
          <c:showBubbleSize val="0"/>
        </c:dLbls>
        <c:gapWidth val="100"/>
        <c:overlap val="-24"/>
        <c:axId val="411929599"/>
        <c:axId val="411930079"/>
      </c:barChart>
      <c:catAx>
        <c:axId val="4119295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layout>
            <c:manualLayout>
              <c:xMode val="edge"/>
              <c:yMode val="edge"/>
              <c:x val="0.50819830941987465"/>
              <c:y val="0.7935992589161646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930079"/>
        <c:crosses val="autoZero"/>
        <c:auto val="1"/>
        <c:lblAlgn val="ctr"/>
        <c:lblOffset val="100"/>
        <c:noMultiLvlLbl val="0"/>
      </c:catAx>
      <c:valAx>
        <c:axId val="4119300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 &amp; spend</a:t>
                </a:r>
              </a:p>
            </c:rich>
          </c:tx>
          <c:layout>
            <c:manualLayout>
              <c:xMode val="edge"/>
              <c:yMode val="edge"/>
              <c:x val="2.1005251312828207E-2"/>
              <c:y val="0.2124272348309402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92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AVERAGE</a:t>
            </a:r>
            <a:r>
              <a:rPr lang="en-IN" sz="1200" u="sng" baseline="0"/>
              <a:t> CTR PER COUNTRY</a:t>
            </a:r>
            <a:endParaRPr lang="en-IN" sz="1200"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tx>
            <c:strRef>
              <c:f>Country_Analysis!$N$11</c:f>
              <c:strCache>
                <c:ptCount val="1"/>
                <c:pt idx="0">
                  <c:v>Australia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Country_Analysis!$O$10</c:f>
              <c:strCache>
                <c:ptCount val="1"/>
                <c:pt idx="0">
                  <c:v>Avg ROAS</c:v>
                </c:pt>
              </c:strCache>
            </c:strRef>
          </c:cat>
          <c:val>
            <c:numRef>
              <c:f>Country_Analysis!$O$11</c:f>
              <c:numCache>
                <c:formatCode>0.00</c:formatCode>
                <c:ptCount val="1"/>
                <c:pt idx="0">
                  <c:v>8.2927634429874075</c:v>
                </c:pt>
              </c:numCache>
            </c:numRef>
          </c:val>
          <c:extLst>
            <c:ext xmlns:c16="http://schemas.microsoft.com/office/drawing/2014/chart" uri="{C3380CC4-5D6E-409C-BE32-E72D297353CC}">
              <c16:uniqueId val="{00000000-1E1E-4E78-A073-275F796413C8}"/>
            </c:ext>
          </c:extLst>
        </c:ser>
        <c:ser>
          <c:idx val="1"/>
          <c:order val="1"/>
          <c:tx>
            <c:strRef>
              <c:f>Country_Analysis!$N$12</c:f>
              <c:strCache>
                <c:ptCount val="1"/>
                <c:pt idx="0">
                  <c:v>India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Country_Analysis!$O$10</c:f>
              <c:strCache>
                <c:ptCount val="1"/>
                <c:pt idx="0">
                  <c:v>Avg ROAS</c:v>
                </c:pt>
              </c:strCache>
            </c:strRef>
          </c:cat>
          <c:val>
            <c:numRef>
              <c:f>Country_Analysis!$O$12</c:f>
              <c:numCache>
                <c:formatCode>0.00</c:formatCode>
                <c:ptCount val="1"/>
                <c:pt idx="0">
                  <c:v>7.6085529784501951</c:v>
                </c:pt>
              </c:numCache>
            </c:numRef>
          </c:val>
          <c:extLst>
            <c:ext xmlns:c16="http://schemas.microsoft.com/office/drawing/2014/chart" uri="{C3380CC4-5D6E-409C-BE32-E72D297353CC}">
              <c16:uniqueId val="{00000001-1E1E-4E78-A073-275F796413C8}"/>
            </c:ext>
          </c:extLst>
        </c:ser>
        <c:ser>
          <c:idx val="2"/>
          <c:order val="2"/>
          <c:tx>
            <c:strRef>
              <c:f>Country_Analysis!$N$13</c:f>
              <c:strCache>
                <c:ptCount val="1"/>
                <c:pt idx="0">
                  <c:v>Singapore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Country_Analysis!$O$10</c:f>
              <c:strCache>
                <c:ptCount val="1"/>
                <c:pt idx="0">
                  <c:v>Avg ROAS</c:v>
                </c:pt>
              </c:strCache>
            </c:strRef>
          </c:cat>
          <c:val>
            <c:numRef>
              <c:f>Country_Analysis!$O$13</c:f>
              <c:numCache>
                <c:formatCode>0.00</c:formatCode>
                <c:ptCount val="1"/>
                <c:pt idx="0">
                  <c:v>7.9590060764154797</c:v>
                </c:pt>
              </c:numCache>
            </c:numRef>
          </c:val>
          <c:extLst>
            <c:ext xmlns:c16="http://schemas.microsoft.com/office/drawing/2014/chart" uri="{C3380CC4-5D6E-409C-BE32-E72D297353CC}">
              <c16:uniqueId val="{00000002-1E1E-4E78-A073-275F796413C8}"/>
            </c:ext>
          </c:extLst>
        </c:ser>
        <c:ser>
          <c:idx val="3"/>
          <c:order val="3"/>
          <c:tx>
            <c:strRef>
              <c:f>Country_Analysis!$N$14</c:f>
              <c:strCache>
                <c:ptCount val="1"/>
                <c:pt idx="0">
                  <c:v>UK</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Country_Analysis!$O$10</c:f>
              <c:strCache>
                <c:ptCount val="1"/>
                <c:pt idx="0">
                  <c:v>Avg ROAS</c:v>
                </c:pt>
              </c:strCache>
            </c:strRef>
          </c:cat>
          <c:val>
            <c:numRef>
              <c:f>Country_Analysis!$O$14</c:f>
              <c:numCache>
                <c:formatCode>0.00</c:formatCode>
                <c:ptCount val="1"/>
                <c:pt idx="0">
                  <c:v>8.1432827852236969</c:v>
                </c:pt>
              </c:numCache>
            </c:numRef>
          </c:val>
          <c:extLst>
            <c:ext xmlns:c16="http://schemas.microsoft.com/office/drawing/2014/chart" uri="{C3380CC4-5D6E-409C-BE32-E72D297353CC}">
              <c16:uniqueId val="{00000003-1E1E-4E78-A073-275F796413C8}"/>
            </c:ext>
          </c:extLst>
        </c:ser>
        <c:ser>
          <c:idx val="4"/>
          <c:order val="4"/>
          <c:tx>
            <c:strRef>
              <c:f>Country_Analysis!$N$15</c:f>
              <c:strCache>
                <c:ptCount val="1"/>
                <c:pt idx="0">
                  <c:v>USA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Country_Analysis!$O$10</c:f>
              <c:strCache>
                <c:ptCount val="1"/>
                <c:pt idx="0">
                  <c:v>Avg ROAS</c:v>
                </c:pt>
              </c:strCache>
            </c:strRef>
          </c:cat>
          <c:val>
            <c:numRef>
              <c:f>Country_Analysis!$O$15</c:f>
              <c:numCache>
                <c:formatCode>0.00</c:formatCode>
                <c:ptCount val="1"/>
                <c:pt idx="0">
                  <c:v>7.4335986134885168</c:v>
                </c:pt>
              </c:numCache>
            </c:numRef>
          </c:val>
          <c:extLst>
            <c:ext xmlns:c16="http://schemas.microsoft.com/office/drawing/2014/chart" uri="{C3380CC4-5D6E-409C-BE32-E72D297353CC}">
              <c16:uniqueId val="{00000004-1E1E-4E78-A073-275F796413C8}"/>
            </c:ext>
          </c:extLst>
        </c:ser>
        <c:dLbls>
          <c:showLegendKey val="0"/>
          <c:showVal val="0"/>
          <c:showCatName val="0"/>
          <c:showSerName val="0"/>
          <c:showPercent val="0"/>
          <c:showBubbleSize val="0"/>
        </c:dLbls>
        <c:gapWidth val="115"/>
        <c:overlap val="-20"/>
        <c:axId val="417588223"/>
        <c:axId val="417589183"/>
      </c:barChart>
      <c:catAx>
        <c:axId val="4175882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89183"/>
        <c:crosses val="autoZero"/>
        <c:auto val="1"/>
        <c:lblAlgn val="ctr"/>
        <c:lblOffset val="100"/>
        <c:noMultiLvlLbl val="0"/>
      </c:catAx>
      <c:valAx>
        <c:axId val="41758918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88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AVERAGE ROAS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Country_Analysis!$Q$11</c:f>
              <c:strCache>
                <c:ptCount val="1"/>
                <c:pt idx="0">
                  <c:v>Australia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Country_Analysis!$R$10</c:f>
              <c:strCache>
                <c:ptCount val="1"/>
                <c:pt idx="0">
                  <c:v>Avg CTR </c:v>
                </c:pt>
              </c:strCache>
            </c:strRef>
          </c:cat>
          <c:val>
            <c:numRef>
              <c:f>Country_Analysis!$R$11</c:f>
              <c:numCache>
                <c:formatCode>0.00%</c:formatCode>
                <c:ptCount val="1"/>
                <c:pt idx="0">
                  <c:v>5.0645122326521685E-2</c:v>
                </c:pt>
              </c:numCache>
            </c:numRef>
          </c:val>
          <c:extLst>
            <c:ext xmlns:c16="http://schemas.microsoft.com/office/drawing/2014/chart" uri="{C3380CC4-5D6E-409C-BE32-E72D297353CC}">
              <c16:uniqueId val="{00000000-82BD-4115-84C4-EC0955242A25}"/>
            </c:ext>
          </c:extLst>
        </c:ser>
        <c:ser>
          <c:idx val="1"/>
          <c:order val="1"/>
          <c:tx>
            <c:strRef>
              <c:f>Country_Analysis!$Q$12</c:f>
              <c:strCache>
                <c:ptCount val="1"/>
                <c:pt idx="0">
                  <c:v>India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Country_Analysis!$R$10</c:f>
              <c:strCache>
                <c:ptCount val="1"/>
                <c:pt idx="0">
                  <c:v>Avg CTR </c:v>
                </c:pt>
              </c:strCache>
            </c:strRef>
          </c:cat>
          <c:val>
            <c:numRef>
              <c:f>Country_Analysis!$R$12</c:f>
              <c:numCache>
                <c:formatCode>0.00%</c:formatCode>
                <c:ptCount val="1"/>
                <c:pt idx="0">
                  <c:v>5.1351106375942257E-2</c:v>
                </c:pt>
              </c:numCache>
            </c:numRef>
          </c:val>
          <c:extLst>
            <c:ext xmlns:c16="http://schemas.microsoft.com/office/drawing/2014/chart" uri="{C3380CC4-5D6E-409C-BE32-E72D297353CC}">
              <c16:uniqueId val="{00000001-82BD-4115-84C4-EC0955242A25}"/>
            </c:ext>
          </c:extLst>
        </c:ser>
        <c:ser>
          <c:idx val="2"/>
          <c:order val="2"/>
          <c:tx>
            <c:strRef>
              <c:f>Country_Analysis!$Q$13</c:f>
              <c:strCache>
                <c:ptCount val="1"/>
                <c:pt idx="0">
                  <c:v>Singapore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Country_Analysis!$R$10</c:f>
              <c:strCache>
                <c:ptCount val="1"/>
                <c:pt idx="0">
                  <c:v>Avg CTR </c:v>
                </c:pt>
              </c:strCache>
            </c:strRef>
          </c:cat>
          <c:val>
            <c:numRef>
              <c:f>Country_Analysis!$R$13</c:f>
              <c:numCache>
                <c:formatCode>0.00%</c:formatCode>
                <c:ptCount val="1"/>
                <c:pt idx="0">
                  <c:v>4.7786814379235133E-2</c:v>
                </c:pt>
              </c:numCache>
            </c:numRef>
          </c:val>
          <c:extLst>
            <c:ext xmlns:c16="http://schemas.microsoft.com/office/drawing/2014/chart" uri="{C3380CC4-5D6E-409C-BE32-E72D297353CC}">
              <c16:uniqueId val="{00000002-82BD-4115-84C4-EC0955242A25}"/>
            </c:ext>
          </c:extLst>
        </c:ser>
        <c:ser>
          <c:idx val="3"/>
          <c:order val="3"/>
          <c:tx>
            <c:strRef>
              <c:f>Country_Analysis!$Q$14</c:f>
              <c:strCache>
                <c:ptCount val="1"/>
                <c:pt idx="0">
                  <c:v>UK</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Country_Analysis!$R$10</c:f>
              <c:strCache>
                <c:ptCount val="1"/>
                <c:pt idx="0">
                  <c:v>Avg CTR </c:v>
                </c:pt>
              </c:strCache>
            </c:strRef>
          </c:cat>
          <c:val>
            <c:numRef>
              <c:f>Country_Analysis!$R$14</c:f>
              <c:numCache>
                <c:formatCode>0.00%</c:formatCode>
                <c:ptCount val="1"/>
                <c:pt idx="0">
                  <c:v>4.5091724878630113E-2</c:v>
                </c:pt>
              </c:numCache>
            </c:numRef>
          </c:val>
          <c:extLst>
            <c:ext xmlns:c16="http://schemas.microsoft.com/office/drawing/2014/chart" uri="{C3380CC4-5D6E-409C-BE32-E72D297353CC}">
              <c16:uniqueId val="{00000003-82BD-4115-84C4-EC0955242A25}"/>
            </c:ext>
          </c:extLst>
        </c:ser>
        <c:ser>
          <c:idx val="4"/>
          <c:order val="4"/>
          <c:tx>
            <c:strRef>
              <c:f>Country_Analysis!$Q$15</c:f>
              <c:strCache>
                <c:ptCount val="1"/>
                <c:pt idx="0">
                  <c:v>USA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Country_Analysis!$R$10</c:f>
              <c:strCache>
                <c:ptCount val="1"/>
                <c:pt idx="0">
                  <c:v>Avg CTR </c:v>
                </c:pt>
              </c:strCache>
            </c:strRef>
          </c:cat>
          <c:val>
            <c:numRef>
              <c:f>Country_Analysis!$R$15</c:f>
              <c:numCache>
                <c:formatCode>0.00%</c:formatCode>
                <c:ptCount val="1"/>
                <c:pt idx="0">
                  <c:v>4.7727873873788608E-2</c:v>
                </c:pt>
              </c:numCache>
            </c:numRef>
          </c:val>
          <c:extLst>
            <c:ext xmlns:c16="http://schemas.microsoft.com/office/drawing/2014/chart" uri="{C3380CC4-5D6E-409C-BE32-E72D297353CC}">
              <c16:uniqueId val="{00000004-82BD-4115-84C4-EC0955242A25}"/>
            </c:ext>
          </c:extLst>
        </c:ser>
        <c:dLbls>
          <c:showLegendKey val="0"/>
          <c:showVal val="0"/>
          <c:showCatName val="0"/>
          <c:showSerName val="0"/>
          <c:showPercent val="0"/>
          <c:showBubbleSize val="0"/>
        </c:dLbls>
        <c:gapWidth val="115"/>
        <c:overlap val="-20"/>
        <c:axId val="382086847"/>
        <c:axId val="382087807"/>
      </c:barChart>
      <c:catAx>
        <c:axId val="382086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87807"/>
        <c:crosses val="autoZero"/>
        <c:auto val="1"/>
        <c:lblAlgn val="ctr"/>
        <c:lblOffset val="100"/>
        <c:noMultiLvlLbl val="0"/>
      </c:catAx>
      <c:valAx>
        <c:axId val="38208780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8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REVENUE</a:t>
            </a:r>
            <a:r>
              <a:rPr lang="en-IN" sz="1200" u="sng" baseline="0"/>
              <a:t> &amp; SPEND PER PRODUCT</a:t>
            </a:r>
            <a:endParaRPr lang="en-IN" sz="1200"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Product_Analysis!$J$11</c:f>
              <c:strCache>
                <c:ptCount val="1"/>
                <c:pt idx="0">
                  <c:v>Foundation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Product_Analysis!$K$10:$L$10</c:f>
              <c:strCache>
                <c:ptCount val="2"/>
                <c:pt idx="0">
                  <c:v>Total Spend</c:v>
                </c:pt>
                <c:pt idx="1">
                  <c:v>Total Revenue</c:v>
                </c:pt>
              </c:strCache>
            </c:strRef>
          </c:cat>
          <c:val>
            <c:numRef>
              <c:f>Product_Analysis!$K$11:$L$11</c:f>
              <c:numCache>
                <c:formatCode>General</c:formatCode>
                <c:ptCount val="2"/>
                <c:pt idx="0">
                  <c:v>2766328.4600000028</c:v>
                </c:pt>
                <c:pt idx="1">
                  <c:v>21640597.050000001</c:v>
                </c:pt>
              </c:numCache>
            </c:numRef>
          </c:val>
          <c:extLst>
            <c:ext xmlns:c16="http://schemas.microsoft.com/office/drawing/2014/chart" uri="{C3380CC4-5D6E-409C-BE32-E72D297353CC}">
              <c16:uniqueId val="{00000000-FBB5-42AF-B2CE-6FF4E9867B0E}"/>
            </c:ext>
          </c:extLst>
        </c:ser>
        <c:ser>
          <c:idx val="1"/>
          <c:order val="1"/>
          <c:tx>
            <c:strRef>
              <c:f>Product_Analysis!$J$12</c:f>
              <c:strCache>
                <c:ptCount val="1"/>
                <c:pt idx="0">
                  <c:v>Lipstick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Product_Analysis!$K$10:$L$10</c:f>
              <c:strCache>
                <c:ptCount val="2"/>
                <c:pt idx="0">
                  <c:v>Total Spend</c:v>
                </c:pt>
                <c:pt idx="1">
                  <c:v>Total Revenue</c:v>
                </c:pt>
              </c:strCache>
            </c:strRef>
          </c:cat>
          <c:val>
            <c:numRef>
              <c:f>Product_Analysis!$K$12:$L$12</c:f>
              <c:numCache>
                <c:formatCode>General</c:formatCode>
                <c:ptCount val="2"/>
                <c:pt idx="0">
                  <c:v>2325386.2399999993</c:v>
                </c:pt>
                <c:pt idx="1">
                  <c:v>19880781.120000005</c:v>
                </c:pt>
              </c:numCache>
            </c:numRef>
          </c:val>
          <c:extLst>
            <c:ext xmlns:c16="http://schemas.microsoft.com/office/drawing/2014/chart" uri="{C3380CC4-5D6E-409C-BE32-E72D297353CC}">
              <c16:uniqueId val="{00000001-FBB5-42AF-B2CE-6FF4E9867B0E}"/>
            </c:ext>
          </c:extLst>
        </c:ser>
        <c:ser>
          <c:idx val="2"/>
          <c:order val="2"/>
          <c:tx>
            <c:strRef>
              <c:f>Product_Analysis!$J$13</c:f>
              <c:strCache>
                <c:ptCount val="1"/>
                <c:pt idx="0">
                  <c:v>Luxury Bag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Product_Analysis!$K$10:$L$10</c:f>
              <c:strCache>
                <c:ptCount val="2"/>
                <c:pt idx="0">
                  <c:v>Total Spend</c:v>
                </c:pt>
                <c:pt idx="1">
                  <c:v>Total Revenue</c:v>
                </c:pt>
              </c:strCache>
            </c:strRef>
          </c:cat>
          <c:val>
            <c:numRef>
              <c:f>Product_Analysis!$K$13:$L$13</c:f>
              <c:numCache>
                <c:formatCode>General</c:formatCode>
                <c:ptCount val="2"/>
                <c:pt idx="0">
                  <c:v>2624111.830000001</c:v>
                </c:pt>
                <c:pt idx="1">
                  <c:v>19348723.170000006</c:v>
                </c:pt>
              </c:numCache>
            </c:numRef>
          </c:val>
          <c:extLst>
            <c:ext xmlns:c16="http://schemas.microsoft.com/office/drawing/2014/chart" uri="{C3380CC4-5D6E-409C-BE32-E72D297353CC}">
              <c16:uniqueId val="{00000002-FBB5-42AF-B2CE-6FF4E9867B0E}"/>
            </c:ext>
          </c:extLst>
        </c:ser>
        <c:ser>
          <c:idx val="3"/>
          <c:order val="3"/>
          <c:tx>
            <c:strRef>
              <c:f>Product_Analysis!$J$14</c:f>
              <c:strCache>
                <c:ptCount val="1"/>
                <c:pt idx="0">
                  <c:v>Perfume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Product_Analysis!$K$10:$L$10</c:f>
              <c:strCache>
                <c:ptCount val="2"/>
                <c:pt idx="0">
                  <c:v>Total Spend</c:v>
                </c:pt>
                <c:pt idx="1">
                  <c:v>Total Revenue</c:v>
                </c:pt>
              </c:strCache>
            </c:strRef>
          </c:cat>
          <c:val>
            <c:numRef>
              <c:f>Product_Analysis!$K$14:$L$14</c:f>
              <c:numCache>
                <c:formatCode>General</c:formatCode>
                <c:ptCount val="2"/>
                <c:pt idx="0">
                  <c:v>2906727.0200000005</c:v>
                </c:pt>
                <c:pt idx="1">
                  <c:v>21457811.169999991</c:v>
                </c:pt>
              </c:numCache>
            </c:numRef>
          </c:val>
          <c:extLst>
            <c:ext xmlns:c16="http://schemas.microsoft.com/office/drawing/2014/chart" uri="{C3380CC4-5D6E-409C-BE32-E72D297353CC}">
              <c16:uniqueId val="{00000003-FBB5-42AF-B2CE-6FF4E9867B0E}"/>
            </c:ext>
          </c:extLst>
        </c:ser>
        <c:ser>
          <c:idx val="4"/>
          <c:order val="4"/>
          <c:tx>
            <c:strRef>
              <c:f>Product_Analysis!$J$15</c:f>
              <c:strCache>
                <c:ptCount val="1"/>
                <c:pt idx="0">
                  <c:v>Skincare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Product_Analysis!$K$10:$L$10</c:f>
              <c:strCache>
                <c:ptCount val="2"/>
                <c:pt idx="0">
                  <c:v>Total Spend</c:v>
                </c:pt>
                <c:pt idx="1">
                  <c:v>Total Revenue</c:v>
                </c:pt>
              </c:strCache>
            </c:strRef>
          </c:cat>
          <c:val>
            <c:numRef>
              <c:f>Product_Analysis!$K$15:$L$15</c:f>
              <c:numCache>
                <c:formatCode>General</c:formatCode>
                <c:ptCount val="2"/>
                <c:pt idx="0">
                  <c:v>2442423.0799999996</c:v>
                </c:pt>
                <c:pt idx="1">
                  <c:v>18282482.120000001</c:v>
                </c:pt>
              </c:numCache>
            </c:numRef>
          </c:val>
          <c:extLst>
            <c:ext xmlns:c16="http://schemas.microsoft.com/office/drawing/2014/chart" uri="{C3380CC4-5D6E-409C-BE32-E72D297353CC}">
              <c16:uniqueId val="{00000004-FBB5-42AF-B2CE-6FF4E9867B0E}"/>
            </c:ext>
          </c:extLst>
        </c:ser>
        <c:ser>
          <c:idx val="5"/>
          <c:order val="5"/>
          <c:tx>
            <c:strRef>
              <c:f>Product_Analysis!$J$16</c:f>
              <c:strCache>
                <c:ptCount val="1"/>
                <c:pt idx="0">
                  <c:v>Watch</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Product_Analysis!$K$10:$L$10</c:f>
              <c:strCache>
                <c:ptCount val="2"/>
                <c:pt idx="0">
                  <c:v>Total Spend</c:v>
                </c:pt>
                <c:pt idx="1">
                  <c:v>Total Revenue</c:v>
                </c:pt>
              </c:strCache>
            </c:strRef>
          </c:cat>
          <c:val>
            <c:numRef>
              <c:f>Product_Analysis!$K$16:$L$16</c:f>
              <c:numCache>
                <c:formatCode>General</c:formatCode>
                <c:ptCount val="2"/>
                <c:pt idx="0">
                  <c:v>2547407.33</c:v>
                </c:pt>
                <c:pt idx="1">
                  <c:v>22093956.400000017</c:v>
                </c:pt>
              </c:numCache>
            </c:numRef>
          </c:val>
          <c:extLst>
            <c:ext xmlns:c16="http://schemas.microsoft.com/office/drawing/2014/chart" uri="{C3380CC4-5D6E-409C-BE32-E72D297353CC}">
              <c16:uniqueId val="{00000005-FBB5-42AF-B2CE-6FF4E9867B0E}"/>
            </c:ext>
          </c:extLst>
        </c:ser>
        <c:dLbls>
          <c:showLegendKey val="0"/>
          <c:showVal val="0"/>
          <c:showCatName val="0"/>
          <c:showSerName val="0"/>
          <c:showPercent val="0"/>
          <c:showBubbleSize val="0"/>
        </c:dLbls>
        <c:gapWidth val="100"/>
        <c:overlap val="-24"/>
        <c:axId val="1516561407"/>
        <c:axId val="1516561887"/>
      </c:barChart>
      <c:catAx>
        <c:axId val="15165614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5022279090113736"/>
              <c:y val="0.7876844561096529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561887"/>
        <c:crosses val="autoZero"/>
        <c:auto val="1"/>
        <c:lblAlgn val="ctr"/>
        <c:lblOffset val="100"/>
        <c:noMultiLvlLbl val="0"/>
      </c:catAx>
      <c:valAx>
        <c:axId val="15165618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 &amp;spend</a:t>
                </a:r>
              </a:p>
            </c:rich>
          </c:tx>
          <c:layout>
            <c:manualLayout>
              <c:xMode val="edge"/>
              <c:yMode val="edge"/>
              <c:x val="1.9444444444444445E-2"/>
              <c:y val="0.2655012394284047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561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AVERAGE CTR PER PROUCT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Product_Analysis!$N$11</c:f>
              <c:strCache>
                <c:ptCount val="1"/>
                <c:pt idx="0">
                  <c:v>Foundation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Product_Analysis!$O$10</c:f>
              <c:strCache>
                <c:ptCount val="1"/>
                <c:pt idx="0">
                  <c:v>Avg CTR  </c:v>
                </c:pt>
              </c:strCache>
            </c:strRef>
          </c:cat>
          <c:val>
            <c:numRef>
              <c:f>Product_Analysis!$O$11</c:f>
              <c:numCache>
                <c:formatCode>0.00%</c:formatCode>
                <c:ptCount val="1"/>
                <c:pt idx="0">
                  <c:v>5.5832628614771396E-2</c:v>
                </c:pt>
              </c:numCache>
            </c:numRef>
          </c:val>
          <c:extLst>
            <c:ext xmlns:c16="http://schemas.microsoft.com/office/drawing/2014/chart" uri="{C3380CC4-5D6E-409C-BE32-E72D297353CC}">
              <c16:uniqueId val="{00000000-3F34-400D-830D-46BA9DD3E02E}"/>
            </c:ext>
          </c:extLst>
        </c:ser>
        <c:ser>
          <c:idx val="1"/>
          <c:order val="1"/>
          <c:tx>
            <c:strRef>
              <c:f>Product_Analysis!$N$12</c:f>
              <c:strCache>
                <c:ptCount val="1"/>
                <c:pt idx="0">
                  <c:v>Lipstick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Product_Analysis!$O$10</c:f>
              <c:strCache>
                <c:ptCount val="1"/>
                <c:pt idx="0">
                  <c:v>Avg CTR  </c:v>
                </c:pt>
              </c:strCache>
            </c:strRef>
          </c:cat>
          <c:val>
            <c:numRef>
              <c:f>Product_Analysis!$O$12</c:f>
              <c:numCache>
                <c:formatCode>0.00%</c:formatCode>
                <c:ptCount val="1"/>
                <c:pt idx="0">
                  <c:v>4.917427659310928E-2</c:v>
                </c:pt>
              </c:numCache>
            </c:numRef>
          </c:val>
          <c:extLst>
            <c:ext xmlns:c16="http://schemas.microsoft.com/office/drawing/2014/chart" uri="{C3380CC4-5D6E-409C-BE32-E72D297353CC}">
              <c16:uniqueId val="{00000001-3F34-400D-830D-46BA9DD3E02E}"/>
            </c:ext>
          </c:extLst>
        </c:ser>
        <c:ser>
          <c:idx val="2"/>
          <c:order val="2"/>
          <c:tx>
            <c:strRef>
              <c:f>Product_Analysis!$N$13</c:f>
              <c:strCache>
                <c:ptCount val="1"/>
                <c:pt idx="0">
                  <c:v>Luxury Bag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Product_Analysis!$O$10</c:f>
              <c:strCache>
                <c:ptCount val="1"/>
                <c:pt idx="0">
                  <c:v>Avg CTR  </c:v>
                </c:pt>
              </c:strCache>
            </c:strRef>
          </c:cat>
          <c:val>
            <c:numRef>
              <c:f>Product_Analysis!$O$13</c:f>
              <c:numCache>
                <c:formatCode>0.00%</c:formatCode>
                <c:ptCount val="1"/>
                <c:pt idx="0">
                  <c:v>4.6479969938728334E-2</c:v>
                </c:pt>
              </c:numCache>
            </c:numRef>
          </c:val>
          <c:extLst>
            <c:ext xmlns:c16="http://schemas.microsoft.com/office/drawing/2014/chart" uri="{C3380CC4-5D6E-409C-BE32-E72D297353CC}">
              <c16:uniqueId val="{00000002-3F34-400D-830D-46BA9DD3E02E}"/>
            </c:ext>
          </c:extLst>
        </c:ser>
        <c:ser>
          <c:idx val="3"/>
          <c:order val="3"/>
          <c:tx>
            <c:strRef>
              <c:f>Product_Analysis!$N$14</c:f>
              <c:strCache>
                <c:ptCount val="1"/>
                <c:pt idx="0">
                  <c:v>Perfume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Product_Analysis!$O$10</c:f>
              <c:strCache>
                <c:ptCount val="1"/>
                <c:pt idx="0">
                  <c:v>Avg CTR  </c:v>
                </c:pt>
              </c:strCache>
            </c:strRef>
          </c:cat>
          <c:val>
            <c:numRef>
              <c:f>Product_Analysis!$O$14</c:f>
              <c:numCache>
                <c:formatCode>0.00%</c:formatCode>
                <c:ptCount val="1"/>
                <c:pt idx="0">
                  <c:v>4.960940063557423E-2</c:v>
                </c:pt>
              </c:numCache>
            </c:numRef>
          </c:val>
          <c:extLst>
            <c:ext xmlns:c16="http://schemas.microsoft.com/office/drawing/2014/chart" uri="{C3380CC4-5D6E-409C-BE32-E72D297353CC}">
              <c16:uniqueId val="{00000003-3F34-400D-830D-46BA9DD3E02E}"/>
            </c:ext>
          </c:extLst>
        </c:ser>
        <c:ser>
          <c:idx val="4"/>
          <c:order val="4"/>
          <c:tx>
            <c:strRef>
              <c:f>Product_Analysis!$N$15</c:f>
              <c:strCache>
                <c:ptCount val="1"/>
                <c:pt idx="0">
                  <c:v>Skincare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Product_Analysis!$O$10</c:f>
              <c:strCache>
                <c:ptCount val="1"/>
                <c:pt idx="0">
                  <c:v>Avg CTR  </c:v>
                </c:pt>
              </c:strCache>
            </c:strRef>
          </c:cat>
          <c:val>
            <c:numRef>
              <c:f>Product_Analysis!$O$15</c:f>
              <c:numCache>
                <c:formatCode>0.00%</c:formatCode>
                <c:ptCount val="1"/>
                <c:pt idx="0">
                  <c:v>4.3054009311785282E-2</c:v>
                </c:pt>
              </c:numCache>
            </c:numRef>
          </c:val>
          <c:extLst>
            <c:ext xmlns:c16="http://schemas.microsoft.com/office/drawing/2014/chart" uri="{C3380CC4-5D6E-409C-BE32-E72D297353CC}">
              <c16:uniqueId val="{00000004-3F34-400D-830D-46BA9DD3E02E}"/>
            </c:ext>
          </c:extLst>
        </c:ser>
        <c:ser>
          <c:idx val="5"/>
          <c:order val="5"/>
          <c:tx>
            <c:strRef>
              <c:f>Product_Analysis!$N$16</c:f>
              <c:strCache>
                <c:ptCount val="1"/>
                <c:pt idx="0">
                  <c:v>Watch</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Product_Analysis!$O$10</c:f>
              <c:strCache>
                <c:ptCount val="1"/>
                <c:pt idx="0">
                  <c:v>Avg CTR  </c:v>
                </c:pt>
              </c:strCache>
            </c:strRef>
          </c:cat>
          <c:val>
            <c:numRef>
              <c:f>Product_Analysis!$O$16</c:f>
              <c:numCache>
                <c:formatCode>0.00%</c:formatCode>
                <c:ptCount val="1"/>
                <c:pt idx="0">
                  <c:v>4.7131510615059845E-2</c:v>
                </c:pt>
              </c:numCache>
            </c:numRef>
          </c:val>
          <c:extLst>
            <c:ext xmlns:c16="http://schemas.microsoft.com/office/drawing/2014/chart" uri="{C3380CC4-5D6E-409C-BE32-E72D297353CC}">
              <c16:uniqueId val="{00000005-3F34-400D-830D-46BA9DD3E02E}"/>
            </c:ext>
          </c:extLst>
        </c:ser>
        <c:dLbls>
          <c:showLegendKey val="0"/>
          <c:showVal val="0"/>
          <c:showCatName val="0"/>
          <c:showSerName val="0"/>
          <c:showPercent val="0"/>
          <c:showBubbleSize val="0"/>
        </c:dLbls>
        <c:gapWidth val="115"/>
        <c:overlap val="-20"/>
        <c:axId val="522270719"/>
        <c:axId val="522272639"/>
      </c:barChart>
      <c:catAx>
        <c:axId val="5222707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272639"/>
        <c:crosses val="autoZero"/>
        <c:auto val="1"/>
        <c:lblAlgn val="ctr"/>
        <c:lblOffset val="100"/>
        <c:noMultiLvlLbl val="0"/>
      </c:catAx>
      <c:valAx>
        <c:axId val="52227263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270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AVERAGE ROAS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Product_Analysis!$Q$11</c:f>
              <c:strCache>
                <c:ptCount val="1"/>
                <c:pt idx="0">
                  <c:v>Foundation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Product_Analysis!$R$10</c:f>
              <c:strCache>
                <c:ptCount val="1"/>
                <c:pt idx="0">
                  <c:v>Avg ROAS</c:v>
                </c:pt>
              </c:strCache>
            </c:strRef>
          </c:cat>
          <c:val>
            <c:numRef>
              <c:f>Product_Analysis!$R$11</c:f>
              <c:numCache>
                <c:formatCode>0.00</c:formatCode>
                <c:ptCount val="1"/>
                <c:pt idx="0">
                  <c:v>7.8228588408478359</c:v>
                </c:pt>
              </c:numCache>
            </c:numRef>
          </c:val>
          <c:extLst>
            <c:ext xmlns:c16="http://schemas.microsoft.com/office/drawing/2014/chart" uri="{C3380CC4-5D6E-409C-BE32-E72D297353CC}">
              <c16:uniqueId val="{00000000-6534-4DED-9368-0003825B5D67}"/>
            </c:ext>
          </c:extLst>
        </c:ser>
        <c:ser>
          <c:idx val="1"/>
          <c:order val="1"/>
          <c:tx>
            <c:strRef>
              <c:f>Product_Analysis!$Q$12</c:f>
              <c:strCache>
                <c:ptCount val="1"/>
                <c:pt idx="0">
                  <c:v>Lipstick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Product_Analysis!$R$10</c:f>
              <c:strCache>
                <c:ptCount val="1"/>
                <c:pt idx="0">
                  <c:v>Avg ROAS</c:v>
                </c:pt>
              </c:strCache>
            </c:strRef>
          </c:cat>
          <c:val>
            <c:numRef>
              <c:f>Product_Analysis!$R$12</c:f>
              <c:numCache>
                <c:formatCode>0.00</c:formatCode>
                <c:ptCount val="1"/>
                <c:pt idx="0">
                  <c:v>8.5494533243647339</c:v>
                </c:pt>
              </c:numCache>
            </c:numRef>
          </c:val>
          <c:extLst>
            <c:ext xmlns:c16="http://schemas.microsoft.com/office/drawing/2014/chart" uri="{C3380CC4-5D6E-409C-BE32-E72D297353CC}">
              <c16:uniqueId val="{00000001-6534-4DED-9368-0003825B5D67}"/>
            </c:ext>
          </c:extLst>
        </c:ser>
        <c:ser>
          <c:idx val="2"/>
          <c:order val="2"/>
          <c:tx>
            <c:strRef>
              <c:f>Product_Analysis!$Q$13</c:f>
              <c:strCache>
                <c:ptCount val="1"/>
                <c:pt idx="0">
                  <c:v>Luxury Bag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Product_Analysis!$R$10</c:f>
              <c:strCache>
                <c:ptCount val="1"/>
                <c:pt idx="0">
                  <c:v>Avg ROAS</c:v>
                </c:pt>
              </c:strCache>
            </c:strRef>
          </c:cat>
          <c:val>
            <c:numRef>
              <c:f>Product_Analysis!$R$13</c:f>
              <c:numCache>
                <c:formatCode>0.00</c:formatCode>
                <c:ptCount val="1"/>
                <c:pt idx="0">
                  <c:v>7.3734369659085752</c:v>
                </c:pt>
              </c:numCache>
            </c:numRef>
          </c:val>
          <c:extLst>
            <c:ext xmlns:c16="http://schemas.microsoft.com/office/drawing/2014/chart" uri="{C3380CC4-5D6E-409C-BE32-E72D297353CC}">
              <c16:uniqueId val="{00000002-6534-4DED-9368-0003825B5D67}"/>
            </c:ext>
          </c:extLst>
        </c:ser>
        <c:ser>
          <c:idx val="3"/>
          <c:order val="3"/>
          <c:tx>
            <c:strRef>
              <c:f>Product_Analysis!$Q$14</c:f>
              <c:strCache>
                <c:ptCount val="1"/>
                <c:pt idx="0">
                  <c:v>Perfume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Product_Analysis!$R$10</c:f>
              <c:strCache>
                <c:ptCount val="1"/>
                <c:pt idx="0">
                  <c:v>Avg ROAS</c:v>
                </c:pt>
              </c:strCache>
            </c:strRef>
          </c:cat>
          <c:val>
            <c:numRef>
              <c:f>Product_Analysis!$R$14</c:f>
              <c:numCache>
                <c:formatCode>0.00</c:formatCode>
                <c:ptCount val="1"/>
                <c:pt idx="0">
                  <c:v>7.3821212044879214</c:v>
                </c:pt>
              </c:numCache>
            </c:numRef>
          </c:val>
          <c:extLst>
            <c:ext xmlns:c16="http://schemas.microsoft.com/office/drawing/2014/chart" uri="{C3380CC4-5D6E-409C-BE32-E72D297353CC}">
              <c16:uniqueId val="{00000003-6534-4DED-9368-0003825B5D67}"/>
            </c:ext>
          </c:extLst>
        </c:ser>
        <c:ser>
          <c:idx val="4"/>
          <c:order val="4"/>
          <c:tx>
            <c:strRef>
              <c:f>Product_Analysis!$Q$15</c:f>
              <c:strCache>
                <c:ptCount val="1"/>
                <c:pt idx="0">
                  <c:v>Skincare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Product_Analysis!$R$10</c:f>
              <c:strCache>
                <c:ptCount val="1"/>
                <c:pt idx="0">
                  <c:v>Avg ROAS</c:v>
                </c:pt>
              </c:strCache>
            </c:strRef>
          </c:cat>
          <c:val>
            <c:numRef>
              <c:f>Product_Analysis!$R$15</c:f>
              <c:numCache>
                <c:formatCode>0.00</c:formatCode>
                <c:ptCount val="1"/>
                <c:pt idx="0">
                  <c:v>7.4853870607871933</c:v>
                </c:pt>
              </c:numCache>
            </c:numRef>
          </c:val>
          <c:extLst>
            <c:ext xmlns:c16="http://schemas.microsoft.com/office/drawing/2014/chart" uri="{C3380CC4-5D6E-409C-BE32-E72D297353CC}">
              <c16:uniqueId val="{00000004-6534-4DED-9368-0003825B5D67}"/>
            </c:ext>
          </c:extLst>
        </c:ser>
        <c:ser>
          <c:idx val="5"/>
          <c:order val="5"/>
          <c:tx>
            <c:strRef>
              <c:f>Product_Analysis!$Q$16</c:f>
              <c:strCache>
                <c:ptCount val="1"/>
                <c:pt idx="0">
                  <c:v>Watch</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Product_Analysis!$R$10</c:f>
              <c:strCache>
                <c:ptCount val="1"/>
                <c:pt idx="0">
                  <c:v>Avg ROAS</c:v>
                </c:pt>
              </c:strCache>
            </c:strRef>
          </c:cat>
          <c:val>
            <c:numRef>
              <c:f>Product_Analysis!$R$16</c:f>
              <c:numCache>
                <c:formatCode>0.00</c:formatCode>
                <c:ptCount val="1"/>
                <c:pt idx="0">
                  <c:v>8.6731148724456322</c:v>
                </c:pt>
              </c:numCache>
            </c:numRef>
          </c:val>
          <c:extLst>
            <c:ext xmlns:c16="http://schemas.microsoft.com/office/drawing/2014/chart" uri="{C3380CC4-5D6E-409C-BE32-E72D297353CC}">
              <c16:uniqueId val="{00000005-6534-4DED-9368-0003825B5D67}"/>
            </c:ext>
          </c:extLst>
        </c:ser>
        <c:dLbls>
          <c:showLegendKey val="0"/>
          <c:showVal val="0"/>
          <c:showCatName val="0"/>
          <c:showSerName val="0"/>
          <c:showPercent val="0"/>
          <c:showBubbleSize val="0"/>
        </c:dLbls>
        <c:gapWidth val="115"/>
        <c:overlap val="-20"/>
        <c:axId val="525097487"/>
        <c:axId val="525093647"/>
      </c:barChart>
      <c:catAx>
        <c:axId val="525097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5093647"/>
        <c:crosses val="autoZero"/>
        <c:auto val="1"/>
        <c:lblAlgn val="ctr"/>
        <c:lblOffset val="100"/>
        <c:noMultiLvlLbl val="0"/>
      </c:catAx>
      <c:valAx>
        <c:axId val="52509364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509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REVENUE</a:t>
            </a:r>
            <a:r>
              <a:rPr lang="en-IN" sz="1200" u="sng" baseline="0"/>
              <a:t> &amp; SPEND PER CHANNEL</a:t>
            </a:r>
            <a:endParaRPr lang="en-IN" sz="1200"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Channel_Analysis!$K$10</c:f>
              <c:strCache>
                <c:ptCount val="1"/>
                <c:pt idx="0">
                  <c:v>Total Spend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Channel_Analysis!$J$11:$J$13</c:f>
              <c:strCache>
                <c:ptCount val="3"/>
                <c:pt idx="0">
                  <c:v>Ecommerce</c:v>
                </c:pt>
                <c:pt idx="1">
                  <c:v>Retail</c:v>
                </c:pt>
                <c:pt idx="2">
                  <c:v>Wholesale</c:v>
                </c:pt>
              </c:strCache>
            </c:strRef>
          </c:cat>
          <c:val>
            <c:numRef>
              <c:f>Channel_Analysis!$K$11:$K$13</c:f>
              <c:numCache>
                <c:formatCode>General</c:formatCode>
                <c:ptCount val="3"/>
                <c:pt idx="0">
                  <c:v>5413787.4200000027</c:v>
                </c:pt>
                <c:pt idx="1">
                  <c:v>4549355.5299999993</c:v>
                </c:pt>
                <c:pt idx="2">
                  <c:v>5649241.0100000054</c:v>
                </c:pt>
              </c:numCache>
            </c:numRef>
          </c:val>
          <c:extLst>
            <c:ext xmlns:c16="http://schemas.microsoft.com/office/drawing/2014/chart" uri="{C3380CC4-5D6E-409C-BE32-E72D297353CC}">
              <c16:uniqueId val="{00000000-4219-42FD-B0E9-491EE3BC13E6}"/>
            </c:ext>
          </c:extLst>
        </c:ser>
        <c:ser>
          <c:idx val="1"/>
          <c:order val="1"/>
          <c:tx>
            <c:strRef>
              <c:f>Channel_Analysis!$L$10</c:f>
              <c:strCache>
                <c:ptCount val="1"/>
                <c:pt idx="0">
                  <c:v>Total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Channel_Analysis!$J$11:$J$13</c:f>
              <c:strCache>
                <c:ptCount val="3"/>
                <c:pt idx="0">
                  <c:v>Ecommerce</c:v>
                </c:pt>
                <c:pt idx="1">
                  <c:v>Retail</c:v>
                </c:pt>
                <c:pt idx="2">
                  <c:v>Wholesale</c:v>
                </c:pt>
              </c:strCache>
            </c:strRef>
          </c:cat>
          <c:val>
            <c:numRef>
              <c:f>Channel_Analysis!$L$11:$L$13</c:f>
              <c:numCache>
                <c:formatCode>General</c:formatCode>
                <c:ptCount val="3"/>
                <c:pt idx="0">
                  <c:v>41956137.019999996</c:v>
                </c:pt>
                <c:pt idx="1">
                  <c:v>41680401.059999965</c:v>
                </c:pt>
                <c:pt idx="2">
                  <c:v>39067812.95000004</c:v>
                </c:pt>
              </c:numCache>
            </c:numRef>
          </c:val>
          <c:extLst>
            <c:ext xmlns:c16="http://schemas.microsoft.com/office/drawing/2014/chart" uri="{C3380CC4-5D6E-409C-BE32-E72D297353CC}">
              <c16:uniqueId val="{00000001-4219-42FD-B0E9-491EE3BC13E6}"/>
            </c:ext>
          </c:extLst>
        </c:ser>
        <c:dLbls>
          <c:showLegendKey val="0"/>
          <c:showVal val="0"/>
          <c:showCatName val="0"/>
          <c:showSerName val="0"/>
          <c:showPercent val="0"/>
          <c:showBubbleSize val="0"/>
        </c:dLbls>
        <c:gapWidth val="150"/>
        <c:shape val="box"/>
        <c:axId val="591608047"/>
        <c:axId val="591609007"/>
        <c:axId val="0"/>
      </c:bar3DChart>
      <c:catAx>
        <c:axId val="5916080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Channel</a:t>
                </a:r>
              </a:p>
            </c:rich>
          </c:tx>
          <c:layout>
            <c:manualLayout>
              <c:xMode val="edge"/>
              <c:yMode val="edge"/>
              <c:x val="0.39663495188101489"/>
              <c:y val="0.891840186643336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1609007"/>
        <c:crosses val="autoZero"/>
        <c:auto val="1"/>
        <c:lblAlgn val="ctr"/>
        <c:lblOffset val="100"/>
        <c:noMultiLvlLbl val="0"/>
      </c:catAx>
      <c:valAx>
        <c:axId val="59160900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 &amp; spend</a:t>
                </a:r>
              </a:p>
            </c:rich>
          </c:tx>
          <c:layout>
            <c:manualLayout>
              <c:xMode val="edge"/>
              <c:yMode val="edge"/>
              <c:x val="1.927230971128609E-2"/>
              <c:y val="0.3301789880431612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16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AVERAGE CTR PER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Channel_Analysis!$N$11</c:f>
              <c:strCache>
                <c:ptCount val="1"/>
                <c:pt idx="0">
                  <c:v>Ecommerce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Channel_Analysis!$O$10</c:f>
              <c:strCache>
                <c:ptCount val="1"/>
                <c:pt idx="0">
                  <c:v>Avg CTR   </c:v>
                </c:pt>
              </c:strCache>
            </c:strRef>
          </c:cat>
          <c:val>
            <c:numRef>
              <c:f>Channel_Analysis!$O$11</c:f>
              <c:numCache>
                <c:formatCode>0.00%</c:formatCode>
                <c:ptCount val="1"/>
                <c:pt idx="0">
                  <c:v>4.8118131929069129E-2</c:v>
                </c:pt>
              </c:numCache>
            </c:numRef>
          </c:val>
          <c:extLst>
            <c:ext xmlns:c16="http://schemas.microsoft.com/office/drawing/2014/chart" uri="{C3380CC4-5D6E-409C-BE32-E72D297353CC}">
              <c16:uniqueId val="{00000000-8E86-49E4-A370-9FCC928827F9}"/>
            </c:ext>
          </c:extLst>
        </c:ser>
        <c:ser>
          <c:idx val="1"/>
          <c:order val="1"/>
          <c:tx>
            <c:strRef>
              <c:f>Channel_Analysis!$N$12</c:f>
              <c:strCache>
                <c:ptCount val="1"/>
                <c:pt idx="0">
                  <c:v>Retail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Channel_Analysis!$O$10</c:f>
              <c:strCache>
                <c:ptCount val="1"/>
                <c:pt idx="0">
                  <c:v>Avg CTR   </c:v>
                </c:pt>
              </c:strCache>
            </c:strRef>
          </c:cat>
          <c:val>
            <c:numRef>
              <c:f>Channel_Analysis!$O$12</c:f>
              <c:numCache>
                <c:formatCode>0.00%</c:formatCode>
                <c:ptCount val="1"/>
                <c:pt idx="0">
                  <c:v>5.1325462804035077E-2</c:v>
                </c:pt>
              </c:numCache>
            </c:numRef>
          </c:val>
          <c:extLst>
            <c:ext xmlns:c16="http://schemas.microsoft.com/office/drawing/2014/chart" uri="{C3380CC4-5D6E-409C-BE32-E72D297353CC}">
              <c16:uniqueId val="{00000001-8E86-49E4-A370-9FCC928827F9}"/>
            </c:ext>
          </c:extLst>
        </c:ser>
        <c:ser>
          <c:idx val="2"/>
          <c:order val="2"/>
          <c:tx>
            <c:strRef>
              <c:f>Channel_Analysis!$N$13</c:f>
              <c:strCache>
                <c:ptCount val="1"/>
                <c:pt idx="0">
                  <c:v>Wholesale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Channel_Analysis!$O$10</c:f>
              <c:strCache>
                <c:ptCount val="1"/>
                <c:pt idx="0">
                  <c:v>Avg CTR   </c:v>
                </c:pt>
              </c:strCache>
            </c:strRef>
          </c:cat>
          <c:val>
            <c:numRef>
              <c:f>Channel_Analysis!$O$13</c:f>
              <c:numCache>
                <c:formatCode>0.00%</c:formatCode>
                <c:ptCount val="1"/>
                <c:pt idx="0">
                  <c:v>4.6119384269953538E-2</c:v>
                </c:pt>
              </c:numCache>
            </c:numRef>
          </c:val>
          <c:extLst>
            <c:ext xmlns:c16="http://schemas.microsoft.com/office/drawing/2014/chart" uri="{C3380CC4-5D6E-409C-BE32-E72D297353CC}">
              <c16:uniqueId val="{00000002-8E86-49E4-A370-9FCC928827F9}"/>
            </c:ext>
          </c:extLst>
        </c:ser>
        <c:dLbls>
          <c:showLegendKey val="0"/>
          <c:showVal val="0"/>
          <c:showCatName val="0"/>
          <c:showSerName val="0"/>
          <c:showPercent val="0"/>
          <c:showBubbleSize val="0"/>
        </c:dLbls>
        <c:gapWidth val="115"/>
        <c:overlap val="-20"/>
        <c:axId val="1068251759"/>
        <c:axId val="1068250799"/>
      </c:barChart>
      <c:catAx>
        <c:axId val="10682517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8250799"/>
        <c:crosses val="autoZero"/>
        <c:auto val="1"/>
        <c:lblAlgn val="ctr"/>
        <c:lblOffset val="100"/>
        <c:noMultiLvlLbl val="0"/>
      </c:catAx>
      <c:valAx>
        <c:axId val="106825079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825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AVERAGE ROAS</a:t>
            </a:r>
            <a:r>
              <a:rPr lang="en-IN" sz="1200" u="sng" baseline="0"/>
              <a:t> PER CHANNEL</a:t>
            </a:r>
            <a:endParaRPr lang="en-IN" sz="1200"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tx>
            <c:strRef>
              <c:f>Channel_Analysis!$Q$11</c:f>
              <c:strCache>
                <c:ptCount val="1"/>
                <c:pt idx="0">
                  <c:v>Ecommerce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Channel_Analysis!$R$10</c:f>
              <c:strCache>
                <c:ptCount val="1"/>
                <c:pt idx="0">
                  <c:v>Avg ROAS</c:v>
                </c:pt>
              </c:strCache>
            </c:strRef>
          </c:cat>
          <c:val>
            <c:numRef>
              <c:f>Channel_Analysis!$R$11</c:f>
              <c:numCache>
                <c:formatCode>0.00</c:formatCode>
                <c:ptCount val="1"/>
                <c:pt idx="0">
                  <c:v>7.7498678402115715</c:v>
                </c:pt>
              </c:numCache>
            </c:numRef>
          </c:val>
          <c:extLst>
            <c:ext xmlns:c16="http://schemas.microsoft.com/office/drawing/2014/chart" uri="{C3380CC4-5D6E-409C-BE32-E72D297353CC}">
              <c16:uniqueId val="{00000000-B8C8-4968-A9AA-130E5D9C51BB}"/>
            </c:ext>
          </c:extLst>
        </c:ser>
        <c:ser>
          <c:idx val="1"/>
          <c:order val="1"/>
          <c:tx>
            <c:strRef>
              <c:f>Channel_Analysis!$Q$12</c:f>
              <c:strCache>
                <c:ptCount val="1"/>
                <c:pt idx="0">
                  <c:v>Retail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Channel_Analysis!$R$10</c:f>
              <c:strCache>
                <c:ptCount val="1"/>
                <c:pt idx="0">
                  <c:v>Avg ROAS</c:v>
                </c:pt>
              </c:strCache>
            </c:strRef>
          </c:cat>
          <c:val>
            <c:numRef>
              <c:f>Channel_Analysis!$R$12</c:f>
              <c:numCache>
                <c:formatCode>0.00</c:formatCode>
                <c:ptCount val="1"/>
                <c:pt idx="0">
                  <c:v>9.1618254025532213</c:v>
                </c:pt>
              </c:numCache>
            </c:numRef>
          </c:val>
          <c:extLst>
            <c:ext xmlns:c16="http://schemas.microsoft.com/office/drawing/2014/chart" uri="{C3380CC4-5D6E-409C-BE32-E72D297353CC}">
              <c16:uniqueId val="{00000001-B8C8-4968-A9AA-130E5D9C51BB}"/>
            </c:ext>
          </c:extLst>
        </c:ser>
        <c:ser>
          <c:idx val="2"/>
          <c:order val="2"/>
          <c:tx>
            <c:strRef>
              <c:f>Channel_Analysis!$Q$13</c:f>
              <c:strCache>
                <c:ptCount val="1"/>
                <c:pt idx="0">
                  <c:v>Wholesale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Channel_Analysis!$R$10</c:f>
              <c:strCache>
                <c:ptCount val="1"/>
                <c:pt idx="0">
                  <c:v>Avg ROAS</c:v>
                </c:pt>
              </c:strCache>
            </c:strRef>
          </c:cat>
          <c:val>
            <c:numRef>
              <c:f>Channel_Analysis!$R$13</c:f>
              <c:numCache>
                <c:formatCode>0.00</c:formatCode>
                <c:ptCount val="1"/>
                <c:pt idx="0">
                  <c:v>6.9155861611930067</c:v>
                </c:pt>
              </c:numCache>
            </c:numRef>
          </c:val>
          <c:extLst>
            <c:ext xmlns:c16="http://schemas.microsoft.com/office/drawing/2014/chart" uri="{C3380CC4-5D6E-409C-BE32-E72D297353CC}">
              <c16:uniqueId val="{00000002-B8C8-4968-A9AA-130E5D9C51BB}"/>
            </c:ext>
          </c:extLst>
        </c:ser>
        <c:dLbls>
          <c:showLegendKey val="0"/>
          <c:showVal val="0"/>
          <c:showCatName val="0"/>
          <c:showSerName val="0"/>
          <c:showPercent val="0"/>
          <c:showBubbleSize val="0"/>
        </c:dLbls>
        <c:gapWidth val="115"/>
        <c:overlap val="-20"/>
        <c:axId val="131834896"/>
        <c:axId val="131835856"/>
      </c:barChart>
      <c:catAx>
        <c:axId val="131834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35856"/>
        <c:crosses val="autoZero"/>
        <c:auto val="1"/>
        <c:lblAlgn val="ctr"/>
        <c:lblOffset val="100"/>
        <c:noMultiLvlLbl val="0"/>
      </c:catAx>
      <c:valAx>
        <c:axId val="13183585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34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Top 10 SPEND CAMPAIGNS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Campaign_Analysis!$H$3</c:f>
              <c:strCache>
                <c:ptCount val="1"/>
                <c:pt idx="0">
                  <c:v>CMP_009</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Campaign_Analysis!$I$3</c:f>
              <c:numCache>
                <c:formatCode>0.00</c:formatCode>
                <c:ptCount val="1"/>
                <c:pt idx="0">
                  <c:v>429032.89000000007</c:v>
                </c:pt>
              </c:numCache>
            </c:numRef>
          </c:val>
          <c:extLst>
            <c:ext xmlns:c16="http://schemas.microsoft.com/office/drawing/2014/chart" uri="{C3380CC4-5D6E-409C-BE32-E72D297353CC}">
              <c16:uniqueId val="{00000000-AE06-4C05-B930-2B486FFA73F3}"/>
            </c:ext>
          </c:extLst>
        </c:ser>
        <c:ser>
          <c:idx val="1"/>
          <c:order val="1"/>
          <c:tx>
            <c:strRef>
              <c:f>Campaign_Analysis!$H$4</c:f>
              <c:strCache>
                <c:ptCount val="1"/>
                <c:pt idx="0">
                  <c:v>CMP_035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Campaign_Analysis!$I$4</c:f>
              <c:numCache>
                <c:formatCode>0.00</c:formatCode>
                <c:ptCount val="1"/>
                <c:pt idx="0">
                  <c:v>423311.95999999996</c:v>
                </c:pt>
              </c:numCache>
            </c:numRef>
          </c:val>
          <c:extLst>
            <c:ext xmlns:c16="http://schemas.microsoft.com/office/drawing/2014/chart" uri="{C3380CC4-5D6E-409C-BE32-E72D297353CC}">
              <c16:uniqueId val="{00000001-AE06-4C05-B930-2B486FFA73F3}"/>
            </c:ext>
          </c:extLst>
        </c:ser>
        <c:ser>
          <c:idx val="2"/>
          <c:order val="2"/>
          <c:tx>
            <c:strRef>
              <c:f>Campaign_Analysis!$H$5</c:f>
              <c:strCache>
                <c:ptCount val="1"/>
                <c:pt idx="0">
                  <c:v>CMP_030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Campaign_Analysis!$I$5</c:f>
              <c:numCache>
                <c:formatCode>0.00</c:formatCode>
                <c:ptCount val="1"/>
                <c:pt idx="0">
                  <c:v>405186.10000000003</c:v>
                </c:pt>
              </c:numCache>
            </c:numRef>
          </c:val>
          <c:extLst>
            <c:ext xmlns:c16="http://schemas.microsoft.com/office/drawing/2014/chart" uri="{C3380CC4-5D6E-409C-BE32-E72D297353CC}">
              <c16:uniqueId val="{00000002-AE06-4C05-B930-2B486FFA73F3}"/>
            </c:ext>
          </c:extLst>
        </c:ser>
        <c:ser>
          <c:idx val="3"/>
          <c:order val="3"/>
          <c:tx>
            <c:strRef>
              <c:f>Campaign_Analysis!$H$6</c:f>
              <c:strCache>
                <c:ptCount val="1"/>
                <c:pt idx="0">
                  <c:v>CMP_024</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Campaign_Analysis!$I$6</c:f>
              <c:numCache>
                <c:formatCode>0.00</c:formatCode>
                <c:ptCount val="1"/>
                <c:pt idx="0">
                  <c:v>399227.59</c:v>
                </c:pt>
              </c:numCache>
            </c:numRef>
          </c:val>
          <c:extLst>
            <c:ext xmlns:c16="http://schemas.microsoft.com/office/drawing/2014/chart" uri="{C3380CC4-5D6E-409C-BE32-E72D297353CC}">
              <c16:uniqueId val="{00000003-AE06-4C05-B930-2B486FFA73F3}"/>
            </c:ext>
          </c:extLst>
        </c:ser>
        <c:ser>
          <c:idx val="4"/>
          <c:order val="4"/>
          <c:tx>
            <c:strRef>
              <c:f>Campaign_Analysis!$H$7</c:f>
              <c:strCache>
                <c:ptCount val="1"/>
                <c:pt idx="0">
                  <c:v>CMP_048</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Campaign_Analysis!$I$7</c:f>
              <c:numCache>
                <c:formatCode>0.00</c:formatCode>
                <c:ptCount val="1"/>
                <c:pt idx="0">
                  <c:v>382778.82</c:v>
                </c:pt>
              </c:numCache>
            </c:numRef>
          </c:val>
          <c:extLst>
            <c:ext xmlns:c16="http://schemas.microsoft.com/office/drawing/2014/chart" uri="{C3380CC4-5D6E-409C-BE32-E72D297353CC}">
              <c16:uniqueId val="{00000004-AE06-4C05-B930-2B486FFA73F3}"/>
            </c:ext>
          </c:extLst>
        </c:ser>
        <c:ser>
          <c:idx val="5"/>
          <c:order val="5"/>
          <c:tx>
            <c:strRef>
              <c:f>Campaign_Analysis!$H$8</c:f>
              <c:strCache>
                <c:ptCount val="1"/>
                <c:pt idx="0">
                  <c:v>CMP_002</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Campaign_Analysis!$I$8</c:f>
              <c:numCache>
                <c:formatCode>0.00</c:formatCode>
                <c:ptCount val="1"/>
                <c:pt idx="0">
                  <c:v>381274.14000000013</c:v>
                </c:pt>
              </c:numCache>
            </c:numRef>
          </c:val>
          <c:extLst>
            <c:ext xmlns:c16="http://schemas.microsoft.com/office/drawing/2014/chart" uri="{C3380CC4-5D6E-409C-BE32-E72D297353CC}">
              <c16:uniqueId val="{00000005-AE06-4C05-B930-2B486FFA73F3}"/>
            </c:ext>
          </c:extLst>
        </c:ser>
        <c:ser>
          <c:idx val="6"/>
          <c:order val="6"/>
          <c:tx>
            <c:strRef>
              <c:f>Campaign_Analysis!$H$9</c:f>
              <c:strCache>
                <c:ptCount val="1"/>
                <c:pt idx="0">
                  <c:v>CMP_046</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Campaign_Analysis!$I$9</c:f>
              <c:numCache>
                <c:formatCode>0.00</c:formatCode>
                <c:ptCount val="1"/>
                <c:pt idx="0">
                  <c:v>380542.36999999994</c:v>
                </c:pt>
              </c:numCache>
            </c:numRef>
          </c:val>
          <c:extLst>
            <c:ext xmlns:c16="http://schemas.microsoft.com/office/drawing/2014/chart" uri="{C3380CC4-5D6E-409C-BE32-E72D297353CC}">
              <c16:uniqueId val="{00000006-AE06-4C05-B930-2B486FFA73F3}"/>
            </c:ext>
          </c:extLst>
        </c:ser>
        <c:ser>
          <c:idx val="7"/>
          <c:order val="7"/>
          <c:tx>
            <c:strRef>
              <c:f>Campaign_Analysis!$H$10</c:f>
              <c:strCache>
                <c:ptCount val="1"/>
                <c:pt idx="0">
                  <c:v>CMP_007</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Campaign_Analysis!$I$10</c:f>
              <c:numCache>
                <c:formatCode>0.00</c:formatCode>
                <c:ptCount val="1"/>
                <c:pt idx="0">
                  <c:v>366192.92</c:v>
                </c:pt>
              </c:numCache>
            </c:numRef>
          </c:val>
          <c:extLst>
            <c:ext xmlns:c16="http://schemas.microsoft.com/office/drawing/2014/chart" uri="{C3380CC4-5D6E-409C-BE32-E72D297353CC}">
              <c16:uniqueId val="{00000007-AE06-4C05-B930-2B486FFA73F3}"/>
            </c:ext>
          </c:extLst>
        </c:ser>
        <c:ser>
          <c:idx val="8"/>
          <c:order val="8"/>
          <c:tx>
            <c:strRef>
              <c:f>Campaign_Analysis!$H$11</c:f>
              <c:strCache>
                <c:ptCount val="1"/>
                <c:pt idx="0">
                  <c:v>CMP_049</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Campaign_Analysis!$I$11</c:f>
              <c:numCache>
                <c:formatCode>0.00</c:formatCode>
                <c:ptCount val="1"/>
                <c:pt idx="0">
                  <c:v>360619.06</c:v>
                </c:pt>
              </c:numCache>
            </c:numRef>
          </c:val>
          <c:extLst>
            <c:ext xmlns:c16="http://schemas.microsoft.com/office/drawing/2014/chart" uri="{C3380CC4-5D6E-409C-BE32-E72D297353CC}">
              <c16:uniqueId val="{00000008-AE06-4C05-B930-2B486FFA73F3}"/>
            </c:ext>
          </c:extLst>
        </c:ser>
        <c:ser>
          <c:idx val="9"/>
          <c:order val="9"/>
          <c:tx>
            <c:strRef>
              <c:f>Campaign_Analysis!$H$12</c:f>
              <c:strCache>
                <c:ptCount val="1"/>
                <c:pt idx="0">
                  <c:v>CMP_039</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Campaign_Analysis!$I$1:$I$2</c:f>
              <c:strCache>
                <c:ptCount val="2"/>
                <c:pt idx="1">
                  <c:v>Total Spend</c:v>
                </c:pt>
              </c:strCache>
            </c:strRef>
          </c:cat>
          <c:val>
            <c:numRef>
              <c:f>Campaign_Analysis!$I$12</c:f>
              <c:numCache>
                <c:formatCode>0.00</c:formatCode>
                <c:ptCount val="1"/>
                <c:pt idx="0">
                  <c:v>357979.72000000003</c:v>
                </c:pt>
              </c:numCache>
            </c:numRef>
          </c:val>
          <c:extLst>
            <c:ext xmlns:c16="http://schemas.microsoft.com/office/drawing/2014/chart" uri="{C3380CC4-5D6E-409C-BE32-E72D297353CC}">
              <c16:uniqueId val="{00000009-AE06-4C05-B930-2B486FFA73F3}"/>
            </c:ext>
          </c:extLst>
        </c:ser>
        <c:dLbls>
          <c:dLblPos val="outEnd"/>
          <c:showLegendKey val="0"/>
          <c:showVal val="1"/>
          <c:showCatName val="0"/>
          <c:showSerName val="0"/>
          <c:showPercent val="0"/>
          <c:showBubbleSize val="0"/>
        </c:dLbls>
        <c:gapWidth val="115"/>
        <c:overlap val="-20"/>
        <c:axId val="145363232"/>
        <c:axId val="145372352"/>
      </c:barChart>
      <c:catAx>
        <c:axId val="145363232"/>
        <c:scaling>
          <c:orientation val="minMax"/>
        </c:scaling>
        <c:delete val="1"/>
        <c:axPos val="l"/>
        <c:numFmt formatCode="General" sourceLinked="1"/>
        <c:majorTickMark val="none"/>
        <c:minorTickMark val="none"/>
        <c:tickLblPos val="nextTo"/>
        <c:crossAx val="145372352"/>
        <c:crosses val="autoZero"/>
        <c:auto val="1"/>
        <c:lblAlgn val="ctr"/>
        <c:lblOffset val="100"/>
        <c:noMultiLvlLbl val="0"/>
      </c:catAx>
      <c:valAx>
        <c:axId val="145372352"/>
        <c:scaling>
          <c:orientation val="minMax"/>
        </c:scaling>
        <c:delete val="1"/>
        <c:axPos val="b"/>
        <c:numFmt formatCode="0.00" sourceLinked="1"/>
        <c:majorTickMark val="none"/>
        <c:minorTickMark val="none"/>
        <c:tickLblPos val="nextTo"/>
        <c:crossAx val="14536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Top 10 REVENUE CAMPAIGNS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Campaign_Analysis!$K$3</c:f>
              <c:strCache>
                <c:ptCount val="1"/>
                <c:pt idx="0">
                  <c:v>CMP_042</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Campaign_Analysis!$L$3</c:f>
              <c:numCache>
                <c:formatCode>0.00</c:formatCode>
                <c:ptCount val="1"/>
                <c:pt idx="0">
                  <c:v>4168039.0599999996</c:v>
                </c:pt>
              </c:numCache>
            </c:numRef>
          </c:val>
          <c:extLst>
            <c:ext xmlns:c16="http://schemas.microsoft.com/office/drawing/2014/chart" uri="{C3380CC4-5D6E-409C-BE32-E72D297353CC}">
              <c16:uniqueId val="{00000000-10F3-49C4-A80B-26C0CE2F5D71}"/>
            </c:ext>
          </c:extLst>
        </c:ser>
        <c:ser>
          <c:idx val="1"/>
          <c:order val="1"/>
          <c:tx>
            <c:strRef>
              <c:f>Campaign_Analysis!$K$4</c:f>
              <c:strCache>
                <c:ptCount val="1"/>
                <c:pt idx="0">
                  <c:v>CMP_035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Campaign_Analysis!$L$4</c:f>
              <c:numCache>
                <c:formatCode>0.00</c:formatCode>
                <c:ptCount val="1"/>
                <c:pt idx="0">
                  <c:v>3347622.9899999998</c:v>
                </c:pt>
              </c:numCache>
            </c:numRef>
          </c:val>
          <c:extLst>
            <c:ext xmlns:c16="http://schemas.microsoft.com/office/drawing/2014/chart" uri="{C3380CC4-5D6E-409C-BE32-E72D297353CC}">
              <c16:uniqueId val="{00000001-10F3-49C4-A80B-26C0CE2F5D71}"/>
            </c:ext>
          </c:extLst>
        </c:ser>
        <c:ser>
          <c:idx val="2"/>
          <c:order val="2"/>
          <c:tx>
            <c:strRef>
              <c:f>Campaign_Analysis!$K$5</c:f>
              <c:strCache>
                <c:ptCount val="1"/>
                <c:pt idx="0">
                  <c:v>CMP_002</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Campaign_Analysis!$L$5</c:f>
              <c:numCache>
                <c:formatCode>0.00</c:formatCode>
                <c:ptCount val="1"/>
                <c:pt idx="0">
                  <c:v>3249450.59</c:v>
                </c:pt>
              </c:numCache>
            </c:numRef>
          </c:val>
          <c:extLst>
            <c:ext xmlns:c16="http://schemas.microsoft.com/office/drawing/2014/chart" uri="{C3380CC4-5D6E-409C-BE32-E72D297353CC}">
              <c16:uniqueId val="{00000002-10F3-49C4-A80B-26C0CE2F5D71}"/>
            </c:ext>
          </c:extLst>
        </c:ser>
        <c:ser>
          <c:idx val="3"/>
          <c:order val="3"/>
          <c:tx>
            <c:strRef>
              <c:f>Campaign_Analysis!$K$6</c:f>
              <c:strCache>
                <c:ptCount val="1"/>
                <c:pt idx="0">
                  <c:v>CMP_049</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Campaign_Analysis!$L$6</c:f>
              <c:numCache>
                <c:formatCode>0.00</c:formatCode>
                <c:ptCount val="1"/>
                <c:pt idx="0">
                  <c:v>3137027.6700000004</c:v>
                </c:pt>
              </c:numCache>
            </c:numRef>
          </c:val>
          <c:extLst>
            <c:ext xmlns:c16="http://schemas.microsoft.com/office/drawing/2014/chart" uri="{C3380CC4-5D6E-409C-BE32-E72D297353CC}">
              <c16:uniqueId val="{00000003-10F3-49C4-A80B-26C0CE2F5D71}"/>
            </c:ext>
          </c:extLst>
        </c:ser>
        <c:ser>
          <c:idx val="4"/>
          <c:order val="4"/>
          <c:tx>
            <c:strRef>
              <c:f>Campaign_Analysis!$K$7</c:f>
              <c:strCache>
                <c:ptCount val="1"/>
                <c:pt idx="0">
                  <c:v>CMP_045</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Campaign_Analysis!$L$7</c:f>
              <c:numCache>
                <c:formatCode>0.00</c:formatCode>
                <c:ptCount val="1"/>
                <c:pt idx="0">
                  <c:v>3105115.0799999996</c:v>
                </c:pt>
              </c:numCache>
            </c:numRef>
          </c:val>
          <c:extLst>
            <c:ext xmlns:c16="http://schemas.microsoft.com/office/drawing/2014/chart" uri="{C3380CC4-5D6E-409C-BE32-E72D297353CC}">
              <c16:uniqueId val="{00000004-10F3-49C4-A80B-26C0CE2F5D71}"/>
            </c:ext>
          </c:extLst>
        </c:ser>
        <c:ser>
          <c:idx val="5"/>
          <c:order val="5"/>
          <c:tx>
            <c:strRef>
              <c:f>Campaign_Analysis!$K$8</c:f>
              <c:strCache>
                <c:ptCount val="1"/>
                <c:pt idx="0">
                  <c:v>CMP_016</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Campaign_Analysis!$L$8</c:f>
              <c:numCache>
                <c:formatCode>0.00</c:formatCode>
                <c:ptCount val="1"/>
                <c:pt idx="0">
                  <c:v>2818724.1999999997</c:v>
                </c:pt>
              </c:numCache>
            </c:numRef>
          </c:val>
          <c:extLst>
            <c:ext xmlns:c16="http://schemas.microsoft.com/office/drawing/2014/chart" uri="{C3380CC4-5D6E-409C-BE32-E72D297353CC}">
              <c16:uniqueId val="{00000005-10F3-49C4-A80B-26C0CE2F5D71}"/>
            </c:ext>
          </c:extLst>
        </c:ser>
        <c:ser>
          <c:idx val="6"/>
          <c:order val="6"/>
          <c:tx>
            <c:strRef>
              <c:f>Campaign_Analysis!$K$9</c:f>
              <c:strCache>
                <c:ptCount val="1"/>
                <c:pt idx="0">
                  <c:v>CMP_053</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Campaign_Analysis!$L$9</c:f>
              <c:numCache>
                <c:formatCode>0.00</c:formatCode>
                <c:ptCount val="1"/>
                <c:pt idx="0">
                  <c:v>2774996.9600000004</c:v>
                </c:pt>
              </c:numCache>
            </c:numRef>
          </c:val>
          <c:extLst>
            <c:ext xmlns:c16="http://schemas.microsoft.com/office/drawing/2014/chart" uri="{C3380CC4-5D6E-409C-BE32-E72D297353CC}">
              <c16:uniqueId val="{00000006-10F3-49C4-A80B-26C0CE2F5D71}"/>
            </c:ext>
          </c:extLst>
        </c:ser>
        <c:ser>
          <c:idx val="7"/>
          <c:order val="7"/>
          <c:tx>
            <c:strRef>
              <c:f>Campaign_Analysis!$K$10</c:f>
              <c:strCache>
                <c:ptCount val="1"/>
                <c:pt idx="0">
                  <c:v>CMP_032</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Campaign_Analysis!$L$10</c:f>
              <c:numCache>
                <c:formatCode>0.00</c:formatCode>
                <c:ptCount val="1"/>
                <c:pt idx="0">
                  <c:v>2773530.35</c:v>
                </c:pt>
              </c:numCache>
            </c:numRef>
          </c:val>
          <c:extLst>
            <c:ext xmlns:c16="http://schemas.microsoft.com/office/drawing/2014/chart" uri="{C3380CC4-5D6E-409C-BE32-E72D297353CC}">
              <c16:uniqueId val="{00000007-10F3-49C4-A80B-26C0CE2F5D71}"/>
            </c:ext>
          </c:extLst>
        </c:ser>
        <c:ser>
          <c:idx val="8"/>
          <c:order val="8"/>
          <c:tx>
            <c:strRef>
              <c:f>Campaign_Analysis!$K$11</c:f>
              <c:strCache>
                <c:ptCount val="1"/>
                <c:pt idx="0">
                  <c:v>CMP_019</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Campaign_Analysis!$L$11</c:f>
              <c:numCache>
                <c:formatCode>0.00</c:formatCode>
                <c:ptCount val="1"/>
                <c:pt idx="0">
                  <c:v>2755459.5600000005</c:v>
                </c:pt>
              </c:numCache>
            </c:numRef>
          </c:val>
          <c:extLst>
            <c:ext xmlns:c16="http://schemas.microsoft.com/office/drawing/2014/chart" uri="{C3380CC4-5D6E-409C-BE32-E72D297353CC}">
              <c16:uniqueId val="{00000008-10F3-49C4-A80B-26C0CE2F5D71}"/>
            </c:ext>
          </c:extLst>
        </c:ser>
        <c:ser>
          <c:idx val="9"/>
          <c:order val="9"/>
          <c:tx>
            <c:strRef>
              <c:f>Campaign_Analysis!$K$12</c:f>
              <c:strCache>
                <c:ptCount val="1"/>
                <c:pt idx="0">
                  <c:v>CMP_009</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Campaign_Analysis!$L$1:$L$2</c:f>
              <c:strCache>
                <c:ptCount val="2"/>
                <c:pt idx="1">
                  <c:v>Total Revenue</c:v>
                </c:pt>
              </c:strCache>
            </c:strRef>
          </c:cat>
          <c:val>
            <c:numRef>
              <c:f>Campaign_Analysis!$L$12</c:f>
              <c:numCache>
                <c:formatCode>0.00</c:formatCode>
                <c:ptCount val="1"/>
                <c:pt idx="0">
                  <c:v>2723493.9</c:v>
                </c:pt>
              </c:numCache>
            </c:numRef>
          </c:val>
          <c:extLst>
            <c:ext xmlns:c16="http://schemas.microsoft.com/office/drawing/2014/chart" uri="{C3380CC4-5D6E-409C-BE32-E72D297353CC}">
              <c16:uniqueId val="{00000009-10F3-49C4-A80B-26C0CE2F5D71}"/>
            </c:ext>
          </c:extLst>
        </c:ser>
        <c:dLbls>
          <c:dLblPos val="outEnd"/>
          <c:showLegendKey val="0"/>
          <c:showVal val="1"/>
          <c:showCatName val="0"/>
          <c:showSerName val="0"/>
          <c:showPercent val="0"/>
          <c:showBubbleSize val="0"/>
        </c:dLbls>
        <c:gapWidth val="115"/>
        <c:overlap val="-20"/>
        <c:axId val="131918416"/>
        <c:axId val="131919376"/>
      </c:barChart>
      <c:catAx>
        <c:axId val="131918416"/>
        <c:scaling>
          <c:orientation val="minMax"/>
        </c:scaling>
        <c:delete val="1"/>
        <c:axPos val="l"/>
        <c:numFmt formatCode="General" sourceLinked="1"/>
        <c:majorTickMark val="none"/>
        <c:minorTickMark val="none"/>
        <c:tickLblPos val="nextTo"/>
        <c:crossAx val="131919376"/>
        <c:crosses val="autoZero"/>
        <c:auto val="1"/>
        <c:lblAlgn val="ctr"/>
        <c:lblOffset val="100"/>
        <c:noMultiLvlLbl val="0"/>
      </c:catAx>
      <c:valAx>
        <c:axId val="131919376"/>
        <c:scaling>
          <c:orientation val="minMax"/>
        </c:scaling>
        <c:delete val="1"/>
        <c:axPos val="b"/>
        <c:numFmt formatCode="0.00" sourceLinked="1"/>
        <c:majorTickMark val="none"/>
        <c:minorTickMark val="none"/>
        <c:tickLblPos val="nextTo"/>
        <c:crossAx val="13191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TOP 10 ROAS CAMPAIGNS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Campaign_Analysis!$N$3</c:f>
              <c:strCache>
                <c:ptCount val="1"/>
                <c:pt idx="0">
                  <c:v>CMP_031</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Campaign_Analysis!$O$3</c:f>
              <c:numCache>
                <c:formatCode>0.00</c:formatCode>
                <c:ptCount val="1"/>
                <c:pt idx="0">
                  <c:v>13.444065224987648</c:v>
                </c:pt>
              </c:numCache>
            </c:numRef>
          </c:val>
          <c:extLst>
            <c:ext xmlns:c16="http://schemas.microsoft.com/office/drawing/2014/chart" uri="{C3380CC4-5D6E-409C-BE32-E72D297353CC}">
              <c16:uniqueId val="{00000000-8451-490E-AAFA-E6CD14417753}"/>
            </c:ext>
          </c:extLst>
        </c:ser>
        <c:ser>
          <c:idx val="1"/>
          <c:order val="1"/>
          <c:tx>
            <c:strRef>
              <c:f>Campaign_Analysis!$N$4</c:f>
              <c:strCache>
                <c:ptCount val="1"/>
                <c:pt idx="0">
                  <c:v>CMP_015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Campaign_Analysis!$O$4</c:f>
              <c:numCache>
                <c:formatCode>0.00</c:formatCode>
                <c:ptCount val="1"/>
                <c:pt idx="0">
                  <c:v>12.577408058636738</c:v>
                </c:pt>
              </c:numCache>
            </c:numRef>
          </c:val>
          <c:extLst>
            <c:ext xmlns:c16="http://schemas.microsoft.com/office/drawing/2014/chart" uri="{C3380CC4-5D6E-409C-BE32-E72D297353CC}">
              <c16:uniqueId val="{00000001-8451-490E-AAFA-E6CD14417753}"/>
            </c:ext>
          </c:extLst>
        </c:ser>
        <c:ser>
          <c:idx val="2"/>
          <c:order val="2"/>
          <c:tx>
            <c:strRef>
              <c:f>Campaign_Analysis!$N$5</c:f>
              <c:strCache>
                <c:ptCount val="1"/>
                <c:pt idx="0">
                  <c:v>CMP_051</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Campaign_Analysis!$O$5</c:f>
              <c:numCache>
                <c:formatCode>0.00</c:formatCode>
                <c:ptCount val="1"/>
                <c:pt idx="0">
                  <c:v>12.236311920968545</c:v>
                </c:pt>
              </c:numCache>
            </c:numRef>
          </c:val>
          <c:extLst>
            <c:ext xmlns:c16="http://schemas.microsoft.com/office/drawing/2014/chart" uri="{C3380CC4-5D6E-409C-BE32-E72D297353CC}">
              <c16:uniqueId val="{00000002-8451-490E-AAFA-E6CD14417753}"/>
            </c:ext>
          </c:extLst>
        </c:ser>
        <c:ser>
          <c:idx val="3"/>
          <c:order val="3"/>
          <c:tx>
            <c:strRef>
              <c:f>Campaign_Analysis!$N$6</c:f>
              <c:strCache>
                <c:ptCount val="1"/>
                <c:pt idx="0">
                  <c:v>CMP_042</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Campaign_Analysis!$O$6</c:f>
              <c:numCache>
                <c:formatCode>0.00</c:formatCode>
                <c:ptCount val="1"/>
                <c:pt idx="0">
                  <c:v>11.870767458145325</c:v>
                </c:pt>
              </c:numCache>
            </c:numRef>
          </c:val>
          <c:extLst>
            <c:ext xmlns:c16="http://schemas.microsoft.com/office/drawing/2014/chart" uri="{C3380CC4-5D6E-409C-BE32-E72D297353CC}">
              <c16:uniqueId val="{00000003-8451-490E-AAFA-E6CD14417753}"/>
            </c:ext>
          </c:extLst>
        </c:ser>
        <c:ser>
          <c:idx val="4"/>
          <c:order val="4"/>
          <c:tx>
            <c:strRef>
              <c:f>Campaign_Analysis!$N$7</c:f>
              <c:strCache>
                <c:ptCount val="1"/>
                <c:pt idx="0">
                  <c:v>CMP_059</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Campaign_Analysis!$O$7</c:f>
              <c:numCache>
                <c:formatCode>0.00</c:formatCode>
                <c:ptCount val="1"/>
                <c:pt idx="0">
                  <c:v>11.818547933957943</c:v>
                </c:pt>
              </c:numCache>
            </c:numRef>
          </c:val>
          <c:extLst>
            <c:ext xmlns:c16="http://schemas.microsoft.com/office/drawing/2014/chart" uri="{C3380CC4-5D6E-409C-BE32-E72D297353CC}">
              <c16:uniqueId val="{00000004-8451-490E-AAFA-E6CD14417753}"/>
            </c:ext>
          </c:extLst>
        </c:ser>
        <c:ser>
          <c:idx val="5"/>
          <c:order val="5"/>
          <c:tx>
            <c:strRef>
              <c:f>Campaign_Analysis!$N$8</c:f>
              <c:strCache>
                <c:ptCount val="1"/>
                <c:pt idx="0">
                  <c:v>CMP_053</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Campaign_Analysis!$O$8</c:f>
              <c:numCache>
                <c:formatCode>0.00</c:formatCode>
                <c:ptCount val="1"/>
                <c:pt idx="0">
                  <c:v>11.573781897742796</c:v>
                </c:pt>
              </c:numCache>
            </c:numRef>
          </c:val>
          <c:extLst>
            <c:ext xmlns:c16="http://schemas.microsoft.com/office/drawing/2014/chart" uri="{C3380CC4-5D6E-409C-BE32-E72D297353CC}">
              <c16:uniqueId val="{00000005-8451-490E-AAFA-E6CD14417753}"/>
            </c:ext>
          </c:extLst>
        </c:ser>
        <c:ser>
          <c:idx val="6"/>
          <c:order val="6"/>
          <c:tx>
            <c:strRef>
              <c:f>Campaign_Analysis!$N$9</c:f>
              <c:strCache>
                <c:ptCount val="1"/>
                <c:pt idx="0">
                  <c:v>CMP_016</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Campaign_Analysis!$O$9</c:f>
              <c:numCache>
                <c:formatCode>0.00</c:formatCode>
                <c:ptCount val="1"/>
                <c:pt idx="0">
                  <c:v>11.41970690575393</c:v>
                </c:pt>
              </c:numCache>
            </c:numRef>
          </c:val>
          <c:extLst>
            <c:ext xmlns:c16="http://schemas.microsoft.com/office/drawing/2014/chart" uri="{C3380CC4-5D6E-409C-BE32-E72D297353CC}">
              <c16:uniqueId val="{00000006-8451-490E-AAFA-E6CD14417753}"/>
            </c:ext>
          </c:extLst>
        </c:ser>
        <c:ser>
          <c:idx val="7"/>
          <c:order val="7"/>
          <c:tx>
            <c:strRef>
              <c:f>Campaign_Analysis!$N$10</c:f>
              <c:strCache>
                <c:ptCount val="1"/>
                <c:pt idx="0">
                  <c:v>CMP_019</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Campaign_Analysis!$O$10</c:f>
              <c:numCache>
                <c:formatCode>0.00</c:formatCode>
                <c:ptCount val="1"/>
                <c:pt idx="0">
                  <c:v>11.104057120543354</c:v>
                </c:pt>
              </c:numCache>
            </c:numRef>
          </c:val>
          <c:extLst>
            <c:ext xmlns:c16="http://schemas.microsoft.com/office/drawing/2014/chart" uri="{C3380CC4-5D6E-409C-BE32-E72D297353CC}">
              <c16:uniqueId val="{00000007-8451-490E-AAFA-E6CD14417753}"/>
            </c:ext>
          </c:extLst>
        </c:ser>
        <c:ser>
          <c:idx val="8"/>
          <c:order val="8"/>
          <c:tx>
            <c:strRef>
              <c:f>Campaign_Analysis!$N$11</c:f>
              <c:strCache>
                <c:ptCount val="1"/>
                <c:pt idx="0">
                  <c:v>CMP_054</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Campaign_Analysis!$O$11</c:f>
              <c:numCache>
                <c:formatCode>0.00</c:formatCode>
                <c:ptCount val="1"/>
                <c:pt idx="0">
                  <c:v>10.472371198141449</c:v>
                </c:pt>
              </c:numCache>
            </c:numRef>
          </c:val>
          <c:extLst>
            <c:ext xmlns:c16="http://schemas.microsoft.com/office/drawing/2014/chart" uri="{C3380CC4-5D6E-409C-BE32-E72D297353CC}">
              <c16:uniqueId val="{00000008-8451-490E-AAFA-E6CD14417753}"/>
            </c:ext>
          </c:extLst>
        </c:ser>
        <c:ser>
          <c:idx val="9"/>
          <c:order val="9"/>
          <c:tx>
            <c:strRef>
              <c:f>Campaign_Analysis!$N$12</c:f>
              <c:strCache>
                <c:ptCount val="1"/>
                <c:pt idx="0">
                  <c:v>CMP_045</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Campaign_Analysis!$O$1:$O$2</c:f>
              <c:strCache>
                <c:ptCount val="2"/>
                <c:pt idx="1">
                  <c:v>Average ROAS</c:v>
                </c:pt>
              </c:strCache>
            </c:strRef>
          </c:cat>
          <c:val>
            <c:numRef>
              <c:f>Campaign_Analysis!$O$12</c:f>
              <c:numCache>
                <c:formatCode>0.00</c:formatCode>
                <c:ptCount val="1"/>
                <c:pt idx="0">
                  <c:v>10.420304188447957</c:v>
                </c:pt>
              </c:numCache>
            </c:numRef>
          </c:val>
          <c:extLst>
            <c:ext xmlns:c16="http://schemas.microsoft.com/office/drawing/2014/chart" uri="{C3380CC4-5D6E-409C-BE32-E72D297353CC}">
              <c16:uniqueId val="{00000009-8451-490E-AAFA-E6CD14417753}"/>
            </c:ext>
          </c:extLst>
        </c:ser>
        <c:dLbls>
          <c:dLblPos val="outEnd"/>
          <c:showLegendKey val="0"/>
          <c:showVal val="1"/>
          <c:showCatName val="0"/>
          <c:showSerName val="0"/>
          <c:showPercent val="0"/>
          <c:showBubbleSize val="0"/>
        </c:dLbls>
        <c:gapWidth val="115"/>
        <c:overlap val="-20"/>
        <c:axId val="140677488"/>
        <c:axId val="140675568"/>
      </c:barChart>
      <c:catAx>
        <c:axId val="140677488"/>
        <c:scaling>
          <c:orientation val="minMax"/>
        </c:scaling>
        <c:delete val="1"/>
        <c:axPos val="l"/>
        <c:numFmt formatCode="General" sourceLinked="1"/>
        <c:majorTickMark val="none"/>
        <c:minorTickMark val="none"/>
        <c:tickLblPos val="nextTo"/>
        <c:crossAx val="140675568"/>
        <c:crosses val="autoZero"/>
        <c:auto val="1"/>
        <c:lblAlgn val="ctr"/>
        <c:lblOffset val="100"/>
        <c:noMultiLvlLbl val="0"/>
      </c:catAx>
      <c:valAx>
        <c:axId val="140675568"/>
        <c:scaling>
          <c:orientation val="minMax"/>
        </c:scaling>
        <c:delete val="1"/>
        <c:axPos val="b"/>
        <c:numFmt formatCode="0.00" sourceLinked="1"/>
        <c:majorTickMark val="none"/>
        <c:minorTickMark val="none"/>
        <c:tickLblPos val="nextTo"/>
        <c:crossAx val="14067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u="sng"/>
              <a:t>BOTTOM 10</a:t>
            </a:r>
            <a:r>
              <a:rPr lang="en-IN" sz="1200" u="sng" baseline="0"/>
              <a:t> ROAS CAMPAIGNS</a:t>
            </a:r>
            <a:endParaRPr lang="en-IN" sz="1200" u="sn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tx>
            <c:strRef>
              <c:f>Campaign_Analysis!$Q$3</c:f>
              <c:strCache>
                <c:ptCount val="1"/>
                <c:pt idx="0">
                  <c:v>CMP_013</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Campaign_Analysis!$R$3</c:f>
              <c:numCache>
                <c:formatCode>0.00</c:formatCode>
                <c:ptCount val="1"/>
                <c:pt idx="0">
                  <c:v>4.6446913994619363</c:v>
                </c:pt>
              </c:numCache>
            </c:numRef>
          </c:val>
          <c:extLst>
            <c:ext xmlns:c16="http://schemas.microsoft.com/office/drawing/2014/chart" uri="{C3380CC4-5D6E-409C-BE32-E72D297353CC}">
              <c16:uniqueId val="{00000000-0AC4-48AA-89D9-A4B390F8DCD9}"/>
            </c:ext>
          </c:extLst>
        </c:ser>
        <c:ser>
          <c:idx val="1"/>
          <c:order val="1"/>
          <c:tx>
            <c:strRef>
              <c:f>Campaign_Analysis!$Q$4</c:f>
              <c:strCache>
                <c:ptCount val="1"/>
                <c:pt idx="0">
                  <c:v>CMP_007</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Campaign_Analysis!$R$4</c:f>
              <c:numCache>
                <c:formatCode>0.00</c:formatCode>
                <c:ptCount val="1"/>
                <c:pt idx="0">
                  <c:v>4.9301986504818274</c:v>
                </c:pt>
              </c:numCache>
            </c:numRef>
          </c:val>
          <c:extLst>
            <c:ext xmlns:c16="http://schemas.microsoft.com/office/drawing/2014/chart" uri="{C3380CC4-5D6E-409C-BE32-E72D297353CC}">
              <c16:uniqueId val="{00000001-0AC4-48AA-89D9-A4B390F8DCD9}"/>
            </c:ext>
          </c:extLst>
        </c:ser>
        <c:ser>
          <c:idx val="2"/>
          <c:order val="2"/>
          <c:tx>
            <c:strRef>
              <c:f>Campaign_Analysis!$Q$5</c:f>
              <c:strCache>
                <c:ptCount val="1"/>
                <c:pt idx="0">
                  <c:v>CMP_055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Campaign_Analysis!$R$5</c:f>
              <c:numCache>
                <c:formatCode>0.00</c:formatCode>
                <c:ptCount val="1"/>
                <c:pt idx="0">
                  <c:v>5.3166709888628185</c:v>
                </c:pt>
              </c:numCache>
            </c:numRef>
          </c:val>
          <c:extLst>
            <c:ext xmlns:c16="http://schemas.microsoft.com/office/drawing/2014/chart" uri="{C3380CC4-5D6E-409C-BE32-E72D297353CC}">
              <c16:uniqueId val="{00000002-0AC4-48AA-89D9-A4B390F8DCD9}"/>
            </c:ext>
          </c:extLst>
        </c:ser>
        <c:ser>
          <c:idx val="3"/>
          <c:order val="3"/>
          <c:tx>
            <c:strRef>
              <c:f>Campaign_Analysis!$Q$6</c:f>
              <c:strCache>
                <c:ptCount val="1"/>
                <c:pt idx="0">
                  <c:v>CMP_023</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Campaign_Analysis!$R$6</c:f>
              <c:numCache>
                <c:formatCode>0.00</c:formatCode>
                <c:ptCount val="1"/>
                <c:pt idx="0">
                  <c:v>5.3693253895029516</c:v>
                </c:pt>
              </c:numCache>
            </c:numRef>
          </c:val>
          <c:extLst>
            <c:ext xmlns:c16="http://schemas.microsoft.com/office/drawing/2014/chart" uri="{C3380CC4-5D6E-409C-BE32-E72D297353CC}">
              <c16:uniqueId val="{00000003-0AC4-48AA-89D9-A4B390F8DCD9}"/>
            </c:ext>
          </c:extLst>
        </c:ser>
        <c:ser>
          <c:idx val="4"/>
          <c:order val="4"/>
          <c:tx>
            <c:strRef>
              <c:f>Campaign_Analysis!$Q$7</c:f>
              <c:strCache>
                <c:ptCount val="1"/>
                <c:pt idx="0">
                  <c:v>CMP_024</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Campaign_Analysis!$R$7</c:f>
              <c:numCache>
                <c:formatCode>0.00</c:formatCode>
                <c:ptCount val="1"/>
                <c:pt idx="0">
                  <c:v>5.4606278088145155</c:v>
                </c:pt>
              </c:numCache>
            </c:numRef>
          </c:val>
          <c:extLst>
            <c:ext xmlns:c16="http://schemas.microsoft.com/office/drawing/2014/chart" uri="{C3380CC4-5D6E-409C-BE32-E72D297353CC}">
              <c16:uniqueId val="{00000004-0AC4-48AA-89D9-A4B390F8DCD9}"/>
            </c:ext>
          </c:extLst>
        </c:ser>
        <c:ser>
          <c:idx val="5"/>
          <c:order val="5"/>
          <c:tx>
            <c:strRef>
              <c:f>Campaign_Analysis!$Q$8</c:f>
              <c:strCache>
                <c:ptCount val="1"/>
                <c:pt idx="0">
                  <c:v>CMP_006</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Campaign_Analysis!$R$8</c:f>
              <c:numCache>
                <c:formatCode>0.00</c:formatCode>
                <c:ptCount val="1"/>
                <c:pt idx="0">
                  <c:v>5.930553621992396</c:v>
                </c:pt>
              </c:numCache>
            </c:numRef>
          </c:val>
          <c:extLst>
            <c:ext xmlns:c16="http://schemas.microsoft.com/office/drawing/2014/chart" uri="{C3380CC4-5D6E-409C-BE32-E72D297353CC}">
              <c16:uniqueId val="{00000005-0AC4-48AA-89D9-A4B390F8DCD9}"/>
            </c:ext>
          </c:extLst>
        </c:ser>
        <c:ser>
          <c:idx val="6"/>
          <c:order val="6"/>
          <c:tx>
            <c:strRef>
              <c:f>Campaign_Analysis!$Q$9</c:f>
              <c:strCache>
                <c:ptCount val="1"/>
                <c:pt idx="0">
                  <c:v>CMP_001</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Campaign_Analysis!$R$9</c:f>
              <c:numCache>
                <c:formatCode>0.00</c:formatCode>
                <c:ptCount val="1"/>
                <c:pt idx="0">
                  <c:v>5.9686809420162437</c:v>
                </c:pt>
              </c:numCache>
            </c:numRef>
          </c:val>
          <c:extLst>
            <c:ext xmlns:c16="http://schemas.microsoft.com/office/drawing/2014/chart" uri="{C3380CC4-5D6E-409C-BE32-E72D297353CC}">
              <c16:uniqueId val="{00000006-0AC4-48AA-89D9-A4B390F8DCD9}"/>
            </c:ext>
          </c:extLst>
        </c:ser>
        <c:ser>
          <c:idx val="7"/>
          <c:order val="7"/>
          <c:tx>
            <c:strRef>
              <c:f>Campaign_Analysis!$Q$10</c:f>
              <c:strCache>
                <c:ptCount val="1"/>
                <c:pt idx="0">
                  <c:v>CMP_047</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Campaign_Analysis!$R$10</c:f>
              <c:numCache>
                <c:formatCode>0.00</c:formatCode>
                <c:ptCount val="1"/>
                <c:pt idx="0">
                  <c:v>6.0557951954442766</c:v>
                </c:pt>
              </c:numCache>
            </c:numRef>
          </c:val>
          <c:extLst>
            <c:ext xmlns:c16="http://schemas.microsoft.com/office/drawing/2014/chart" uri="{C3380CC4-5D6E-409C-BE32-E72D297353CC}">
              <c16:uniqueId val="{00000007-0AC4-48AA-89D9-A4B390F8DCD9}"/>
            </c:ext>
          </c:extLst>
        </c:ser>
        <c:ser>
          <c:idx val="8"/>
          <c:order val="8"/>
          <c:tx>
            <c:strRef>
              <c:f>Campaign_Analysis!$Q$11</c:f>
              <c:strCache>
                <c:ptCount val="1"/>
                <c:pt idx="0">
                  <c:v>CMP_060</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Campaign_Analysis!$R$11</c:f>
              <c:numCache>
                <c:formatCode>0.00</c:formatCode>
                <c:ptCount val="1"/>
                <c:pt idx="0">
                  <c:v>6.2349353957003117</c:v>
                </c:pt>
              </c:numCache>
            </c:numRef>
          </c:val>
          <c:extLst>
            <c:ext xmlns:c16="http://schemas.microsoft.com/office/drawing/2014/chart" uri="{C3380CC4-5D6E-409C-BE32-E72D297353CC}">
              <c16:uniqueId val="{00000008-0AC4-48AA-89D9-A4B390F8DCD9}"/>
            </c:ext>
          </c:extLst>
        </c:ser>
        <c:ser>
          <c:idx val="9"/>
          <c:order val="9"/>
          <c:tx>
            <c:strRef>
              <c:f>Campaign_Analysis!$Q$12</c:f>
              <c:strCache>
                <c:ptCount val="1"/>
                <c:pt idx="0">
                  <c:v>CMP_056</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Campaign_Analysis!$R$1:$R$2</c:f>
              <c:strCache>
                <c:ptCount val="2"/>
                <c:pt idx="1">
                  <c:v>Average ROAS</c:v>
                </c:pt>
              </c:strCache>
            </c:strRef>
          </c:cat>
          <c:val>
            <c:numRef>
              <c:f>Campaign_Analysis!$R$12</c:f>
              <c:numCache>
                <c:formatCode>0.00</c:formatCode>
                <c:ptCount val="1"/>
                <c:pt idx="0">
                  <c:v>6.2465472130837565</c:v>
                </c:pt>
              </c:numCache>
            </c:numRef>
          </c:val>
          <c:extLst>
            <c:ext xmlns:c16="http://schemas.microsoft.com/office/drawing/2014/chart" uri="{C3380CC4-5D6E-409C-BE32-E72D297353CC}">
              <c16:uniqueId val="{00000009-0AC4-48AA-89D9-A4B390F8DCD9}"/>
            </c:ext>
          </c:extLst>
        </c:ser>
        <c:dLbls>
          <c:showLegendKey val="0"/>
          <c:showVal val="0"/>
          <c:showCatName val="0"/>
          <c:showSerName val="0"/>
          <c:showPercent val="0"/>
          <c:showBubbleSize val="0"/>
        </c:dLbls>
        <c:gapWidth val="115"/>
        <c:overlap val="-20"/>
        <c:axId val="1042826447"/>
        <c:axId val="1042816367"/>
      </c:barChart>
      <c:catAx>
        <c:axId val="1042826447"/>
        <c:scaling>
          <c:orientation val="minMax"/>
        </c:scaling>
        <c:delete val="1"/>
        <c:axPos val="l"/>
        <c:numFmt formatCode="General" sourceLinked="1"/>
        <c:majorTickMark val="none"/>
        <c:minorTickMark val="none"/>
        <c:tickLblPos val="nextTo"/>
        <c:crossAx val="1042816367"/>
        <c:crosses val="autoZero"/>
        <c:auto val="1"/>
        <c:lblAlgn val="ctr"/>
        <c:lblOffset val="100"/>
        <c:noMultiLvlLbl val="0"/>
      </c:catAx>
      <c:valAx>
        <c:axId val="1042816367"/>
        <c:scaling>
          <c:orientation val="minMax"/>
        </c:scaling>
        <c:delete val="1"/>
        <c:axPos val="b"/>
        <c:numFmt formatCode="0.00" sourceLinked="1"/>
        <c:majorTickMark val="none"/>
        <c:minorTickMark val="none"/>
        <c:tickLblPos val="nextTo"/>
        <c:crossAx val="104282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u="sng"/>
              <a:t>Revenue Trend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'Time-Trend_Analysis'!$B$44:$B$45</c:f>
              <c:strCache>
                <c:ptCount val="2"/>
                <c:pt idx="0">
                  <c:v>Revenue Trend by Month</c:v>
                </c:pt>
                <c:pt idx="1">
                  <c:v>Total Sales</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trendline>
            <c:spPr>
              <a:ln w="19050" cap="rnd">
                <a:solidFill>
                  <a:schemeClr val="accent1"/>
                </a:solidFill>
              </a:ln>
              <a:effectLst/>
            </c:spPr>
            <c:trendlineType val="linear"/>
            <c:dispRSqr val="0"/>
            <c:dispEq val="0"/>
          </c:trendline>
          <c:cat>
            <c:numRef>
              <c:f>'Time-Trend_Analysis'!$A$46:$A$75</c:f>
              <c:numCache>
                <c:formatCode>mmm\-yy</c:formatCode>
                <c:ptCount val="30"/>
                <c:pt idx="0">
                  <c:v>45047</c:v>
                </c:pt>
                <c:pt idx="1">
                  <c:v>45689</c:v>
                </c:pt>
                <c:pt idx="2">
                  <c:v>45017</c:v>
                </c:pt>
                <c:pt idx="3">
                  <c:v>45352</c:v>
                </c:pt>
                <c:pt idx="4">
                  <c:v>44986</c:v>
                </c:pt>
                <c:pt idx="5">
                  <c:v>45474</c:v>
                </c:pt>
                <c:pt idx="6">
                  <c:v>45748</c:v>
                </c:pt>
                <c:pt idx="7">
                  <c:v>45292</c:v>
                </c:pt>
                <c:pt idx="8">
                  <c:v>45413</c:v>
                </c:pt>
                <c:pt idx="9">
                  <c:v>45139</c:v>
                </c:pt>
                <c:pt idx="10">
                  <c:v>44927</c:v>
                </c:pt>
                <c:pt idx="11">
                  <c:v>45170</c:v>
                </c:pt>
                <c:pt idx="12">
                  <c:v>45627</c:v>
                </c:pt>
                <c:pt idx="13">
                  <c:v>45200</c:v>
                </c:pt>
                <c:pt idx="14">
                  <c:v>45717</c:v>
                </c:pt>
                <c:pt idx="15">
                  <c:v>45108</c:v>
                </c:pt>
                <c:pt idx="16">
                  <c:v>44958</c:v>
                </c:pt>
                <c:pt idx="17">
                  <c:v>45536</c:v>
                </c:pt>
                <c:pt idx="18">
                  <c:v>45505</c:v>
                </c:pt>
                <c:pt idx="19">
                  <c:v>45597</c:v>
                </c:pt>
                <c:pt idx="20">
                  <c:v>45566</c:v>
                </c:pt>
                <c:pt idx="21">
                  <c:v>45383</c:v>
                </c:pt>
                <c:pt idx="22">
                  <c:v>45078</c:v>
                </c:pt>
                <c:pt idx="23">
                  <c:v>45658</c:v>
                </c:pt>
                <c:pt idx="24">
                  <c:v>45261</c:v>
                </c:pt>
                <c:pt idx="25">
                  <c:v>45231</c:v>
                </c:pt>
                <c:pt idx="26">
                  <c:v>45323</c:v>
                </c:pt>
                <c:pt idx="27">
                  <c:v>45778</c:v>
                </c:pt>
                <c:pt idx="28">
                  <c:v>45444</c:v>
                </c:pt>
                <c:pt idx="29">
                  <c:v>45809</c:v>
                </c:pt>
              </c:numCache>
            </c:numRef>
          </c:cat>
          <c:val>
            <c:numRef>
              <c:f>'Time-Trend_Analysis'!$B$46:$B$75</c:f>
              <c:numCache>
                <c:formatCode>0.00</c:formatCode>
                <c:ptCount val="30"/>
                <c:pt idx="0">
                  <c:v>7532406.8299999963</c:v>
                </c:pt>
                <c:pt idx="1">
                  <c:v>5179827.040000001</c:v>
                </c:pt>
                <c:pt idx="2">
                  <c:v>5024141.7599999988</c:v>
                </c:pt>
                <c:pt idx="3">
                  <c:v>4968443.7199999988</c:v>
                </c:pt>
                <c:pt idx="4">
                  <c:v>4669554.2399999993</c:v>
                </c:pt>
                <c:pt idx="5">
                  <c:v>4659684.42</c:v>
                </c:pt>
                <c:pt idx="6">
                  <c:v>4620728.17</c:v>
                </c:pt>
                <c:pt idx="7">
                  <c:v>4446907.5300000012</c:v>
                </c:pt>
                <c:pt idx="8">
                  <c:v>4413821.1100000003</c:v>
                </c:pt>
                <c:pt idx="9">
                  <c:v>4290677.3199999984</c:v>
                </c:pt>
                <c:pt idx="10">
                  <c:v>4274124.33</c:v>
                </c:pt>
                <c:pt idx="11">
                  <c:v>4192219.7100000009</c:v>
                </c:pt>
                <c:pt idx="12">
                  <c:v>4174502.3600000008</c:v>
                </c:pt>
                <c:pt idx="13">
                  <c:v>4158071.4799999991</c:v>
                </c:pt>
                <c:pt idx="14">
                  <c:v>4122982.69</c:v>
                </c:pt>
                <c:pt idx="15">
                  <c:v>4080864.5300000007</c:v>
                </c:pt>
                <c:pt idx="16">
                  <c:v>4011592.8000000003</c:v>
                </c:pt>
                <c:pt idx="17">
                  <c:v>3910197.1400000006</c:v>
                </c:pt>
                <c:pt idx="18">
                  <c:v>3909692.09</c:v>
                </c:pt>
                <c:pt idx="19">
                  <c:v>3800769.6899999995</c:v>
                </c:pt>
                <c:pt idx="20">
                  <c:v>3783529.3999999994</c:v>
                </c:pt>
                <c:pt idx="21">
                  <c:v>3499536.5100000012</c:v>
                </c:pt>
                <c:pt idx="22">
                  <c:v>3490784.86</c:v>
                </c:pt>
                <c:pt idx="23">
                  <c:v>3473637.4299999992</c:v>
                </c:pt>
                <c:pt idx="24">
                  <c:v>3434237.8000000003</c:v>
                </c:pt>
                <c:pt idx="25">
                  <c:v>3419220.9</c:v>
                </c:pt>
                <c:pt idx="26">
                  <c:v>3193251.09</c:v>
                </c:pt>
                <c:pt idx="27">
                  <c:v>3082519.189999999</c:v>
                </c:pt>
                <c:pt idx="28">
                  <c:v>2791486.6599999997</c:v>
                </c:pt>
                <c:pt idx="29">
                  <c:v>2094938.23</c:v>
                </c:pt>
              </c:numCache>
            </c:numRef>
          </c:val>
          <c:smooth val="0"/>
          <c:extLst>
            <c:ext xmlns:c16="http://schemas.microsoft.com/office/drawing/2014/chart" uri="{C3380CC4-5D6E-409C-BE32-E72D297353CC}">
              <c16:uniqueId val="{00000000-C4B7-4D05-BDDB-555194AE3A9C}"/>
            </c:ext>
          </c:extLst>
        </c:ser>
        <c:dLbls>
          <c:showLegendKey val="0"/>
          <c:showVal val="0"/>
          <c:showCatName val="0"/>
          <c:showSerName val="0"/>
          <c:showPercent val="0"/>
          <c:showBubbleSize val="0"/>
        </c:dLbls>
        <c:smooth val="0"/>
        <c:axId val="2107397695"/>
        <c:axId val="2107397215"/>
      </c:lineChart>
      <c:dateAx>
        <c:axId val="21073976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Month-year</a:t>
                </a:r>
              </a:p>
            </c:rich>
          </c:tx>
          <c:layout>
            <c:manualLayout>
              <c:xMode val="edge"/>
              <c:yMode val="edge"/>
              <c:x val="0.49335411198600176"/>
              <c:y val="0.8843285214348206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7397215"/>
        <c:crosses val="autoZero"/>
        <c:auto val="1"/>
        <c:lblOffset val="100"/>
        <c:baseTimeUnit val="months"/>
      </c:dateAx>
      <c:valAx>
        <c:axId val="21073972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73976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u="sng"/>
              <a:t>Spend Trend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'Time-Trend_Analysis'!$D$45</c:f>
              <c:strCache>
                <c:ptCount val="1"/>
                <c:pt idx="0">
                  <c:v>Total Spend</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'Time-Trend_Analysis'!$C$46:$C$75</c:f>
              <c:numCache>
                <c:formatCode>mmm\-yy</c:formatCode>
                <c:ptCount val="30"/>
                <c:pt idx="0">
                  <c:v>45047</c:v>
                </c:pt>
                <c:pt idx="1">
                  <c:v>44986</c:v>
                </c:pt>
                <c:pt idx="2">
                  <c:v>45352</c:v>
                </c:pt>
                <c:pt idx="3">
                  <c:v>45658</c:v>
                </c:pt>
                <c:pt idx="4">
                  <c:v>45078</c:v>
                </c:pt>
                <c:pt idx="5">
                  <c:v>45108</c:v>
                </c:pt>
                <c:pt idx="6">
                  <c:v>44927</c:v>
                </c:pt>
                <c:pt idx="7">
                  <c:v>45474</c:v>
                </c:pt>
                <c:pt idx="8">
                  <c:v>45689</c:v>
                </c:pt>
                <c:pt idx="9">
                  <c:v>45017</c:v>
                </c:pt>
                <c:pt idx="10">
                  <c:v>45413</c:v>
                </c:pt>
                <c:pt idx="11">
                  <c:v>45505</c:v>
                </c:pt>
                <c:pt idx="12">
                  <c:v>45200</c:v>
                </c:pt>
                <c:pt idx="13">
                  <c:v>45536</c:v>
                </c:pt>
                <c:pt idx="14">
                  <c:v>45566</c:v>
                </c:pt>
                <c:pt idx="15">
                  <c:v>45597</c:v>
                </c:pt>
                <c:pt idx="16">
                  <c:v>45323</c:v>
                </c:pt>
                <c:pt idx="17">
                  <c:v>45231</c:v>
                </c:pt>
                <c:pt idx="18">
                  <c:v>45383</c:v>
                </c:pt>
                <c:pt idx="19">
                  <c:v>45170</c:v>
                </c:pt>
                <c:pt idx="20">
                  <c:v>45627</c:v>
                </c:pt>
                <c:pt idx="21">
                  <c:v>45261</c:v>
                </c:pt>
                <c:pt idx="22">
                  <c:v>45444</c:v>
                </c:pt>
                <c:pt idx="23">
                  <c:v>45292</c:v>
                </c:pt>
                <c:pt idx="24">
                  <c:v>45748</c:v>
                </c:pt>
                <c:pt idx="25">
                  <c:v>45778</c:v>
                </c:pt>
                <c:pt idx="26">
                  <c:v>45717</c:v>
                </c:pt>
                <c:pt idx="27">
                  <c:v>44958</c:v>
                </c:pt>
                <c:pt idx="28">
                  <c:v>45139</c:v>
                </c:pt>
                <c:pt idx="29">
                  <c:v>45809</c:v>
                </c:pt>
              </c:numCache>
            </c:numRef>
          </c:xVal>
          <c:yVal>
            <c:numRef>
              <c:f>'Time-Trend_Analysis'!$D$46:$D$75</c:f>
              <c:numCache>
                <c:formatCode>0.00</c:formatCode>
                <c:ptCount val="30"/>
                <c:pt idx="0">
                  <c:v>854778.05</c:v>
                </c:pt>
                <c:pt idx="1">
                  <c:v>732407.91000000015</c:v>
                </c:pt>
                <c:pt idx="2">
                  <c:v>652888.13</c:v>
                </c:pt>
                <c:pt idx="3">
                  <c:v>633135.79999999993</c:v>
                </c:pt>
                <c:pt idx="4">
                  <c:v>621100.83000000007</c:v>
                </c:pt>
                <c:pt idx="5">
                  <c:v>617517.15999999992</c:v>
                </c:pt>
                <c:pt idx="6">
                  <c:v>605149.28</c:v>
                </c:pt>
                <c:pt idx="7">
                  <c:v>594081.14</c:v>
                </c:pt>
                <c:pt idx="8">
                  <c:v>591728.1399999999</c:v>
                </c:pt>
                <c:pt idx="9">
                  <c:v>589591.04999999993</c:v>
                </c:pt>
                <c:pt idx="10">
                  <c:v>585052.27999999991</c:v>
                </c:pt>
                <c:pt idx="11">
                  <c:v>582630.84999999986</c:v>
                </c:pt>
                <c:pt idx="12">
                  <c:v>580341.88000000012</c:v>
                </c:pt>
                <c:pt idx="13">
                  <c:v>567545.84</c:v>
                </c:pt>
                <c:pt idx="14">
                  <c:v>566499.53000000014</c:v>
                </c:pt>
                <c:pt idx="15">
                  <c:v>556159.91999999993</c:v>
                </c:pt>
                <c:pt idx="16">
                  <c:v>533332.21</c:v>
                </c:pt>
                <c:pt idx="17">
                  <c:v>528678.53</c:v>
                </c:pt>
                <c:pt idx="18">
                  <c:v>504053.58</c:v>
                </c:pt>
                <c:pt idx="19">
                  <c:v>439957</c:v>
                </c:pt>
                <c:pt idx="20">
                  <c:v>433612.72</c:v>
                </c:pt>
                <c:pt idx="21">
                  <c:v>417562.19999999995</c:v>
                </c:pt>
                <c:pt idx="22">
                  <c:v>405175.91</c:v>
                </c:pt>
                <c:pt idx="23">
                  <c:v>400710.83</c:v>
                </c:pt>
                <c:pt idx="24">
                  <c:v>389550.14000000007</c:v>
                </c:pt>
                <c:pt idx="25">
                  <c:v>385545.47000000003</c:v>
                </c:pt>
                <c:pt idx="26">
                  <c:v>382904.00999999989</c:v>
                </c:pt>
                <c:pt idx="27">
                  <c:v>336958.64000000007</c:v>
                </c:pt>
                <c:pt idx="28">
                  <c:v>325870.2</c:v>
                </c:pt>
                <c:pt idx="29">
                  <c:v>197864.73</c:v>
                </c:pt>
              </c:numCache>
            </c:numRef>
          </c:yVal>
          <c:smooth val="0"/>
          <c:extLst>
            <c:ext xmlns:c16="http://schemas.microsoft.com/office/drawing/2014/chart" uri="{C3380CC4-5D6E-409C-BE32-E72D297353CC}">
              <c16:uniqueId val="{00000000-11E6-4274-BABF-DE09B0CA3A2B}"/>
            </c:ext>
          </c:extLst>
        </c:ser>
        <c:dLbls>
          <c:showLegendKey val="0"/>
          <c:showVal val="0"/>
          <c:showCatName val="0"/>
          <c:showSerName val="0"/>
          <c:showPercent val="0"/>
          <c:showBubbleSize val="0"/>
        </c:dLbls>
        <c:axId val="525096047"/>
        <c:axId val="525100847"/>
      </c:scatterChart>
      <c:valAx>
        <c:axId val="525096047"/>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100847"/>
        <c:crosses val="autoZero"/>
        <c:crossBetween val="midCat"/>
      </c:valAx>
      <c:valAx>
        <c:axId val="525100847"/>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SPEND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09604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'Time-Trend_Analysis'!$F$45</c:f>
              <c:strCache>
                <c:ptCount val="1"/>
                <c:pt idx="0">
                  <c:v>Average ROAS</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trendline>
            <c:spPr>
              <a:ln w="19050" cap="rnd">
                <a:solidFill>
                  <a:schemeClr val="accent1"/>
                </a:solidFill>
              </a:ln>
              <a:effectLst/>
            </c:spPr>
            <c:trendlineType val="linear"/>
            <c:dispRSqr val="0"/>
            <c:dispEq val="0"/>
          </c:trendline>
          <c:cat>
            <c:numRef>
              <c:f>'Time-Trend_Analysis'!$E$46:$E$75</c:f>
              <c:numCache>
                <c:formatCode>mmm\-yy</c:formatCode>
                <c:ptCount val="30"/>
                <c:pt idx="0">
                  <c:v>45139</c:v>
                </c:pt>
                <c:pt idx="1">
                  <c:v>44958</c:v>
                </c:pt>
                <c:pt idx="2">
                  <c:v>45748</c:v>
                </c:pt>
                <c:pt idx="3">
                  <c:v>45292</c:v>
                </c:pt>
                <c:pt idx="4">
                  <c:v>45717</c:v>
                </c:pt>
                <c:pt idx="5">
                  <c:v>45809</c:v>
                </c:pt>
                <c:pt idx="6">
                  <c:v>45627</c:v>
                </c:pt>
                <c:pt idx="7">
                  <c:v>45170</c:v>
                </c:pt>
                <c:pt idx="8">
                  <c:v>45047</c:v>
                </c:pt>
                <c:pt idx="9">
                  <c:v>45689</c:v>
                </c:pt>
                <c:pt idx="10">
                  <c:v>45017</c:v>
                </c:pt>
                <c:pt idx="11">
                  <c:v>45261</c:v>
                </c:pt>
                <c:pt idx="12">
                  <c:v>45778</c:v>
                </c:pt>
                <c:pt idx="13">
                  <c:v>45474</c:v>
                </c:pt>
                <c:pt idx="14">
                  <c:v>45352</c:v>
                </c:pt>
                <c:pt idx="15">
                  <c:v>45413</c:v>
                </c:pt>
                <c:pt idx="16">
                  <c:v>45200</c:v>
                </c:pt>
                <c:pt idx="17">
                  <c:v>44927</c:v>
                </c:pt>
                <c:pt idx="18">
                  <c:v>45383</c:v>
                </c:pt>
                <c:pt idx="19">
                  <c:v>45536</c:v>
                </c:pt>
                <c:pt idx="20">
                  <c:v>45444</c:v>
                </c:pt>
                <c:pt idx="21">
                  <c:v>45597</c:v>
                </c:pt>
                <c:pt idx="22">
                  <c:v>45505</c:v>
                </c:pt>
                <c:pt idx="23">
                  <c:v>45566</c:v>
                </c:pt>
                <c:pt idx="24">
                  <c:v>45108</c:v>
                </c:pt>
                <c:pt idx="25">
                  <c:v>45231</c:v>
                </c:pt>
                <c:pt idx="26">
                  <c:v>44986</c:v>
                </c:pt>
                <c:pt idx="27">
                  <c:v>45323</c:v>
                </c:pt>
                <c:pt idx="28">
                  <c:v>45078</c:v>
                </c:pt>
                <c:pt idx="29">
                  <c:v>45658</c:v>
                </c:pt>
              </c:numCache>
            </c:numRef>
          </c:cat>
          <c:val>
            <c:numRef>
              <c:f>'Time-Trend_Analysis'!$F$46:$F$75</c:f>
              <c:numCache>
                <c:formatCode>0.00</c:formatCode>
                <c:ptCount val="30"/>
                <c:pt idx="0">
                  <c:v>13.166829369485146</c:v>
                </c:pt>
                <c:pt idx="1">
                  <c:v>11.905297338569504</c:v>
                </c:pt>
                <c:pt idx="2">
                  <c:v>11.86170327136835</c:v>
                </c:pt>
                <c:pt idx="3">
                  <c:v>11.097547650508975</c:v>
                </c:pt>
                <c:pt idx="4">
                  <c:v>10.76766652300142</c:v>
                </c:pt>
                <c:pt idx="5">
                  <c:v>10.587729455370848</c:v>
                </c:pt>
                <c:pt idx="6">
                  <c:v>9.6272599198658213</c:v>
                </c:pt>
                <c:pt idx="7">
                  <c:v>9.5287032823662337</c:v>
                </c:pt>
                <c:pt idx="8">
                  <c:v>8.812120093631318</c:v>
                </c:pt>
                <c:pt idx="9">
                  <c:v>8.7537277507201221</c:v>
                </c:pt>
                <c:pt idx="10">
                  <c:v>8.5214009948081806</c:v>
                </c:pt>
                <c:pt idx="11">
                  <c:v>8.2244939795795702</c:v>
                </c:pt>
                <c:pt idx="12">
                  <c:v>7.9952156875296678</c:v>
                </c:pt>
                <c:pt idx="13">
                  <c:v>7.8435151467693451</c:v>
                </c:pt>
                <c:pt idx="14">
                  <c:v>7.6099464696961157</c:v>
                </c:pt>
                <c:pt idx="15">
                  <c:v>7.5443191333260016</c:v>
                </c:pt>
                <c:pt idx="16">
                  <c:v>7.1648654410396819</c:v>
                </c:pt>
                <c:pt idx="17">
                  <c:v>7.0629255809409539</c:v>
                </c:pt>
                <c:pt idx="18">
                  <c:v>6.9427867370766441</c:v>
                </c:pt>
                <c:pt idx="19">
                  <c:v>6.889658710210969</c:v>
                </c:pt>
                <c:pt idx="20">
                  <c:v>6.8895672005771518</c:v>
                </c:pt>
                <c:pt idx="21">
                  <c:v>6.8339510873059677</c:v>
                </c:pt>
                <c:pt idx="22">
                  <c:v>6.7104103567464728</c:v>
                </c:pt>
                <c:pt idx="23">
                  <c:v>6.6787864766630936</c:v>
                </c:pt>
                <c:pt idx="24">
                  <c:v>6.6085038511318475</c:v>
                </c:pt>
                <c:pt idx="25">
                  <c:v>6.4674858273514522</c:v>
                </c:pt>
                <c:pt idx="26">
                  <c:v>6.3756196188541958</c:v>
                </c:pt>
                <c:pt idx="27">
                  <c:v>5.9873584046236399</c:v>
                </c:pt>
                <c:pt idx="28">
                  <c:v>5.62031910342158</c:v>
                </c:pt>
                <c:pt idx="29">
                  <c:v>5.4864018588113321</c:v>
                </c:pt>
              </c:numCache>
            </c:numRef>
          </c:val>
          <c:smooth val="0"/>
          <c:extLst>
            <c:ext xmlns:c16="http://schemas.microsoft.com/office/drawing/2014/chart" uri="{C3380CC4-5D6E-409C-BE32-E72D297353CC}">
              <c16:uniqueId val="{00000000-6045-491F-8686-2930D9DE9BBB}"/>
            </c:ext>
          </c:extLst>
        </c:ser>
        <c:dLbls>
          <c:showLegendKey val="0"/>
          <c:showVal val="0"/>
          <c:showCatName val="0"/>
          <c:showSerName val="0"/>
          <c:showPercent val="0"/>
          <c:showBubbleSize val="0"/>
        </c:dLbls>
        <c:smooth val="0"/>
        <c:axId val="519358015"/>
        <c:axId val="519361375"/>
      </c:lineChart>
      <c:dateAx>
        <c:axId val="5193580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361375"/>
        <c:crosses val="autoZero"/>
        <c:auto val="1"/>
        <c:lblOffset val="100"/>
        <c:baseTimeUnit val="months"/>
      </c:dateAx>
      <c:valAx>
        <c:axId val="5193613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ROAS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3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127000</xdr:rowOff>
    </xdr:from>
    <xdr:to>
      <xdr:col>4</xdr:col>
      <xdr:colOff>142875</xdr:colOff>
      <xdr:row>25</xdr:row>
      <xdr:rowOff>114300</xdr:rowOff>
    </xdr:to>
    <xdr:graphicFrame macro="">
      <xdr:nvGraphicFramePr>
        <xdr:cNvPr id="5" name="Chart 4">
          <a:extLst>
            <a:ext uri="{FF2B5EF4-FFF2-40B4-BE49-F238E27FC236}">
              <a16:creationId xmlns:a16="http://schemas.microsoft.com/office/drawing/2014/main" id="{9ED79866-FE9A-DB8D-EF06-595CEB978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171449</xdr:colOff>
      <xdr:row>15</xdr:row>
      <xdr:rowOff>127000</xdr:rowOff>
    </xdr:from>
    <xdr:to>
      <xdr:col>8</xdr:col>
      <xdr:colOff>323850</xdr:colOff>
      <xdr:row>25</xdr:row>
      <xdr:rowOff>107950</xdr:rowOff>
    </xdr:to>
    <xdr:graphicFrame macro="">
      <xdr:nvGraphicFramePr>
        <xdr:cNvPr id="6" name="Chart 5">
          <a:extLst>
            <a:ext uri="{FF2B5EF4-FFF2-40B4-BE49-F238E27FC236}">
              <a16:creationId xmlns:a16="http://schemas.microsoft.com/office/drawing/2014/main" id="{4B59D49E-59FB-DF17-F570-6ED4406E2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349251</xdr:colOff>
      <xdr:row>15</xdr:row>
      <xdr:rowOff>133350</xdr:rowOff>
    </xdr:from>
    <xdr:to>
      <xdr:col>14</xdr:col>
      <xdr:colOff>82550</xdr:colOff>
      <xdr:row>25</xdr:row>
      <xdr:rowOff>101600</xdr:rowOff>
    </xdr:to>
    <xdr:graphicFrame macro="">
      <xdr:nvGraphicFramePr>
        <xdr:cNvPr id="7" name="Chart 6">
          <a:extLst>
            <a:ext uri="{FF2B5EF4-FFF2-40B4-BE49-F238E27FC236}">
              <a16:creationId xmlns:a16="http://schemas.microsoft.com/office/drawing/2014/main" id="{1DBAA200-7219-4409-D774-0A722A972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16</xdr:row>
      <xdr:rowOff>69850</xdr:rowOff>
    </xdr:from>
    <xdr:to>
      <xdr:col>4</xdr:col>
      <xdr:colOff>622300</xdr:colOff>
      <xdr:row>31</xdr:row>
      <xdr:rowOff>6350</xdr:rowOff>
    </xdr:to>
    <xdr:graphicFrame macro="">
      <xdr:nvGraphicFramePr>
        <xdr:cNvPr id="2" name="Chart 1">
          <a:extLst>
            <a:ext uri="{FF2B5EF4-FFF2-40B4-BE49-F238E27FC236}">
              <a16:creationId xmlns:a16="http://schemas.microsoft.com/office/drawing/2014/main" id="{6990A4D6-7CD3-891F-4819-1CFC7C1C2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650875</xdr:colOff>
      <xdr:row>16</xdr:row>
      <xdr:rowOff>63500</xdr:rowOff>
    </xdr:from>
    <xdr:to>
      <xdr:col>11</xdr:col>
      <xdr:colOff>85725</xdr:colOff>
      <xdr:row>30</xdr:row>
      <xdr:rowOff>165100</xdr:rowOff>
    </xdr:to>
    <xdr:graphicFrame macro="">
      <xdr:nvGraphicFramePr>
        <xdr:cNvPr id="3" name="Chart 2">
          <a:extLst>
            <a:ext uri="{FF2B5EF4-FFF2-40B4-BE49-F238E27FC236}">
              <a16:creationId xmlns:a16="http://schemas.microsoft.com/office/drawing/2014/main" id="{069E412E-93E3-6B2D-1C2B-B1026BD36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111125</xdr:colOff>
      <xdr:row>16</xdr:row>
      <xdr:rowOff>57150</xdr:rowOff>
    </xdr:from>
    <xdr:to>
      <xdr:col>17</xdr:col>
      <xdr:colOff>581025</xdr:colOff>
      <xdr:row>30</xdr:row>
      <xdr:rowOff>165100</xdr:rowOff>
    </xdr:to>
    <xdr:graphicFrame macro="">
      <xdr:nvGraphicFramePr>
        <xdr:cNvPr id="4" name="Chart 3">
          <a:extLst>
            <a:ext uri="{FF2B5EF4-FFF2-40B4-BE49-F238E27FC236}">
              <a16:creationId xmlns:a16="http://schemas.microsoft.com/office/drawing/2014/main" id="{518F050D-1A78-E8ED-31F5-CBCEB7696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22225</xdr:colOff>
      <xdr:row>17</xdr:row>
      <xdr:rowOff>76200</xdr:rowOff>
    </xdr:from>
    <xdr:to>
      <xdr:col>5</xdr:col>
      <xdr:colOff>57150</xdr:colOff>
      <xdr:row>32</xdr:row>
      <xdr:rowOff>57150</xdr:rowOff>
    </xdr:to>
    <xdr:graphicFrame macro="">
      <xdr:nvGraphicFramePr>
        <xdr:cNvPr id="2" name="Chart 1">
          <a:extLst>
            <a:ext uri="{FF2B5EF4-FFF2-40B4-BE49-F238E27FC236}">
              <a16:creationId xmlns:a16="http://schemas.microsoft.com/office/drawing/2014/main" id="{599009DD-8E83-E12B-E088-7391BA950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73025</xdr:colOff>
      <xdr:row>17</xdr:row>
      <xdr:rowOff>76200</xdr:rowOff>
    </xdr:from>
    <xdr:to>
      <xdr:col>10</xdr:col>
      <xdr:colOff>120650</xdr:colOff>
      <xdr:row>32</xdr:row>
      <xdr:rowOff>57150</xdr:rowOff>
    </xdr:to>
    <xdr:graphicFrame macro="">
      <xdr:nvGraphicFramePr>
        <xdr:cNvPr id="3" name="Chart 2">
          <a:extLst>
            <a:ext uri="{FF2B5EF4-FFF2-40B4-BE49-F238E27FC236}">
              <a16:creationId xmlns:a16="http://schemas.microsoft.com/office/drawing/2014/main" id="{73CCFAE5-B365-02B3-7CA4-266112BF2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130175</xdr:colOff>
      <xdr:row>17</xdr:row>
      <xdr:rowOff>69850</xdr:rowOff>
    </xdr:from>
    <xdr:to>
      <xdr:col>16</xdr:col>
      <xdr:colOff>339725</xdr:colOff>
      <xdr:row>32</xdr:row>
      <xdr:rowOff>50800</xdr:rowOff>
    </xdr:to>
    <xdr:graphicFrame macro="">
      <xdr:nvGraphicFramePr>
        <xdr:cNvPr id="4" name="Chart 3">
          <a:extLst>
            <a:ext uri="{FF2B5EF4-FFF2-40B4-BE49-F238E27FC236}">
              <a16:creationId xmlns:a16="http://schemas.microsoft.com/office/drawing/2014/main" id="{C7F9A2E8-F11C-C233-9141-7E55CA4A9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14</xdr:row>
      <xdr:rowOff>177800</xdr:rowOff>
    </xdr:from>
    <xdr:to>
      <xdr:col>5</xdr:col>
      <xdr:colOff>327025</xdr:colOff>
      <xdr:row>29</xdr:row>
      <xdr:rowOff>158750</xdr:rowOff>
    </xdr:to>
    <xdr:graphicFrame macro="">
      <xdr:nvGraphicFramePr>
        <xdr:cNvPr id="2" name="Chart 1">
          <a:extLst>
            <a:ext uri="{FF2B5EF4-FFF2-40B4-BE49-F238E27FC236}">
              <a16:creationId xmlns:a16="http://schemas.microsoft.com/office/drawing/2014/main" id="{74BC50E6-7065-0EBC-9E15-78DE9C28C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339725</xdr:colOff>
      <xdr:row>14</xdr:row>
      <xdr:rowOff>177800</xdr:rowOff>
    </xdr:from>
    <xdr:to>
      <xdr:col>11</xdr:col>
      <xdr:colOff>384175</xdr:colOff>
      <xdr:row>29</xdr:row>
      <xdr:rowOff>158750</xdr:rowOff>
    </xdr:to>
    <xdr:graphicFrame macro="">
      <xdr:nvGraphicFramePr>
        <xdr:cNvPr id="3" name="Chart 2">
          <a:extLst>
            <a:ext uri="{FF2B5EF4-FFF2-40B4-BE49-F238E27FC236}">
              <a16:creationId xmlns:a16="http://schemas.microsoft.com/office/drawing/2014/main" id="{046CF52E-15D7-DA61-2907-7CB2BEE2A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396875</xdr:colOff>
      <xdr:row>14</xdr:row>
      <xdr:rowOff>177800</xdr:rowOff>
    </xdr:from>
    <xdr:to>
      <xdr:col>17</xdr:col>
      <xdr:colOff>606425</xdr:colOff>
      <xdr:row>29</xdr:row>
      <xdr:rowOff>158750</xdr:rowOff>
    </xdr:to>
    <xdr:graphicFrame macro="">
      <xdr:nvGraphicFramePr>
        <xdr:cNvPr id="4" name="Chart 3">
          <a:extLst>
            <a:ext uri="{FF2B5EF4-FFF2-40B4-BE49-F238E27FC236}">
              <a16:creationId xmlns:a16="http://schemas.microsoft.com/office/drawing/2014/main" id="{D952A14A-EBF4-FB3A-1F29-5101BB648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66675</xdr:colOff>
      <xdr:row>12</xdr:row>
      <xdr:rowOff>107950</xdr:rowOff>
    </xdr:from>
    <xdr:to>
      <xdr:col>11</xdr:col>
      <xdr:colOff>846666</xdr:colOff>
      <xdr:row>28</xdr:row>
      <xdr:rowOff>88900</xdr:rowOff>
    </xdr:to>
    <xdr:graphicFrame macro="">
      <xdr:nvGraphicFramePr>
        <xdr:cNvPr id="2" name="Chart 1">
          <a:extLst>
            <a:ext uri="{FF2B5EF4-FFF2-40B4-BE49-F238E27FC236}">
              <a16:creationId xmlns:a16="http://schemas.microsoft.com/office/drawing/2014/main" id="{33916059-4195-CF14-B6D1-BBE506341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878416</xdr:colOff>
      <xdr:row>12</xdr:row>
      <xdr:rowOff>101600</xdr:rowOff>
    </xdr:from>
    <xdr:to>
      <xdr:col>18</xdr:col>
      <xdr:colOff>2117</xdr:colOff>
      <xdr:row>28</xdr:row>
      <xdr:rowOff>88900</xdr:rowOff>
    </xdr:to>
    <xdr:graphicFrame macro="">
      <xdr:nvGraphicFramePr>
        <xdr:cNvPr id="3" name="Chart 2">
          <a:extLst>
            <a:ext uri="{FF2B5EF4-FFF2-40B4-BE49-F238E27FC236}">
              <a16:creationId xmlns:a16="http://schemas.microsoft.com/office/drawing/2014/main" id="{149E4213-0EC3-E8CB-99B4-BEFFF9ED2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51858</xdr:colOff>
      <xdr:row>28</xdr:row>
      <xdr:rowOff>116416</xdr:rowOff>
    </xdr:from>
    <xdr:to>
      <xdr:col>11</xdr:col>
      <xdr:colOff>836083</xdr:colOff>
      <xdr:row>43</xdr:row>
      <xdr:rowOff>95250</xdr:rowOff>
    </xdr:to>
    <xdr:graphicFrame macro="">
      <xdr:nvGraphicFramePr>
        <xdr:cNvPr id="4" name="Chart 3">
          <a:extLst>
            <a:ext uri="{FF2B5EF4-FFF2-40B4-BE49-F238E27FC236}">
              <a16:creationId xmlns:a16="http://schemas.microsoft.com/office/drawing/2014/main" id="{04E18640-CDEB-8F4A-CA1B-E00430D51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863600</xdr:colOff>
      <xdr:row>28</xdr:row>
      <xdr:rowOff>120649</xdr:rowOff>
    </xdr:from>
    <xdr:to>
      <xdr:col>18</xdr:col>
      <xdr:colOff>26458</xdr:colOff>
      <xdr:row>43</xdr:row>
      <xdr:rowOff>95250</xdr:rowOff>
    </xdr:to>
    <xdr:graphicFrame macro="">
      <xdr:nvGraphicFramePr>
        <xdr:cNvPr id="5" name="Chart 4">
          <a:extLst>
            <a:ext uri="{FF2B5EF4-FFF2-40B4-BE49-F238E27FC236}">
              <a16:creationId xmlns:a16="http://schemas.microsoft.com/office/drawing/2014/main" id="{933AD164-2D9F-7368-3053-EB73FE50E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316442</xdr:colOff>
      <xdr:row>10</xdr:row>
      <xdr:rowOff>33869</xdr:rowOff>
    </xdr:from>
    <xdr:to>
      <xdr:col>13</xdr:col>
      <xdr:colOff>400050</xdr:colOff>
      <xdr:row>25</xdr:row>
      <xdr:rowOff>12701</xdr:rowOff>
    </xdr:to>
    <xdr:graphicFrame macro="">
      <xdr:nvGraphicFramePr>
        <xdr:cNvPr id="2" name="Chart 1">
          <a:extLst>
            <a:ext uri="{FF2B5EF4-FFF2-40B4-BE49-F238E27FC236}">
              <a16:creationId xmlns:a16="http://schemas.microsoft.com/office/drawing/2014/main" id="{9995D2B9-5A7A-F9CC-4196-3E64F736B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409575</xdr:colOff>
      <xdr:row>10</xdr:row>
      <xdr:rowOff>31750</xdr:rowOff>
    </xdr:from>
    <xdr:to>
      <xdr:col>19</xdr:col>
      <xdr:colOff>0</xdr:colOff>
      <xdr:row>25</xdr:row>
      <xdr:rowOff>12700</xdr:rowOff>
    </xdr:to>
    <xdr:graphicFrame macro="">
      <xdr:nvGraphicFramePr>
        <xdr:cNvPr id="3" name="Chart 2">
          <a:extLst>
            <a:ext uri="{FF2B5EF4-FFF2-40B4-BE49-F238E27FC236}">
              <a16:creationId xmlns:a16="http://schemas.microsoft.com/office/drawing/2014/main" id="{B917BB21-C820-6A02-0EB6-12CDF67F7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25</xdr:row>
      <xdr:rowOff>63500</xdr:rowOff>
    </xdr:from>
    <xdr:to>
      <xdr:col>19</xdr:col>
      <xdr:colOff>0</xdr:colOff>
      <xdr:row>39</xdr:row>
      <xdr:rowOff>158750</xdr:rowOff>
    </xdr:to>
    <xdr:graphicFrame macro="">
      <xdr:nvGraphicFramePr>
        <xdr:cNvPr id="4" name="Chart 3">
          <a:extLst>
            <a:ext uri="{FF2B5EF4-FFF2-40B4-BE49-F238E27FC236}">
              <a16:creationId xmlns:a16="http://schemas.microsoft.com/office/drawing/2014/main" id="{B6B1A73B-7E8A-253D-0CB4-83E119C6D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ia Sarkar" refreshedDate="46251.537501388892" createdVersion="8" refreshedVersion="8" minRefreshableVersion="3" recordCount="1000" xr:uid="{34C40EF6-17B5-4070-8B5D-AF1F69C0849B}">
  <cacheSource type="worksheet">
    <worksheetSource name="Table2"/>
  </cacheSource>
  <cacheFields count="30">
    <cacheField name="Campaign_ID" numFmtId="0">
      <sharedItems count="60">
        <s v="CMP_059"/>
        <s v="CMP_001"/>
        <s v="CMP_027"/>
        <s v="CMP_009"/>
        <s v="CMP_047"/>
        <s v="CMP_054"/>
        <s v="CMP_040"/>
        <s v="CMP_006"/>
        <s v="CMP_003"/>
        <s v="CMP_044"/>
        <s v="CMP_041"/>
        <s v="CMP_048"/>
        <s v="CMP_013"/>
        <s v="CMP_039"/>
        <s v="CMP_058"/>
        <s v="CMP_046"/>
        <s v="CMP_042"/>
        <s v="CMP_025"/>
        <s v="CMP_057"/>
        <s v="CMP_022"/>
        <s v="CMP_030"/>
        <s v="CMP_002"/>
        <s v="CMP_034"/>
        <s v="CMP_045"/>
        <s v="CMP_056"/>
        <s v="CMP_029"/>
        <s v="CMP_007"/>
        <s v="CMP_036"/>
        <s v="CMP_032"/>
        <s v="CMP_031"/>
        <s v="CMP_021"/>
        <s v="CMP_015"/>
        <s v="CMP_033"/>
        <s v="CMP_050"/>
        <s v="CMP_011"/>
        <s v="CMP_017"/>
        <s v="CMP_010"/>
        <s v="CMP_024"/>
        <s v="CMP_023"/>
        <s v="CMP_014"/>
        <s v="CMP_005"/>
        <s v="CMP_060"/>
        <s v="CMP_020"/>
        <s v="CMP_028"/>
        <s v="CMP_008"/>
        <s v="CMP_026"/>
        <s v="CMP_016"/>
        <s v="CMP_051"/>
        <s v="CMP_038"/>
        <s v="CMP_035"/>
        <s v="CMP_053"/>
        <s v="CMP_019"/>
        <s v="CMP_012"/>
        <s v="CMP_043"/>
        <s v="CMP_004"/>
        <s v="CMP_049"/>
        <s v="CMP_018"/>
        <s v="CMP_037"/>
        <s v="CMP_052"/>
        <s v="CMP_055"/>
      </sharedItems>
    </cacheField>
    <cacheField name="Region" numFmtId="0">
      <sharedItems count="4">
        <s v="East"/>
        <s v="North"/>
        <s v="West"/>
        <s v="South"/>
      </sharedItems>
    </cacheField>
    <cacheField name="Country" numFmtId="0">
      <sharedItems count="5">
        <s v="India"/>
        <s v="UK"/>
        <s v="Singapore"/>
        <s v="Australia"/>
        <s v="USA"/>
      </sharedItems>
    </cacheField>
    <cacheField name="Product" numFmtId="0">
      <sharedItems count="6">
        <s v="Perfume"/>
        <s v="Skincare"/>
        <s v="Watch"/>
        <s v="Foundation"/>
        <s v="Lipstick"/>
        <s v="Luxury Bag"/>
      </sharedItems>
    </cacheField>
    <cacheField name="Channel" numFmtId="0">
      <sharedItems count="3">
        <s v="Retail"/>
        <s v="Wholesale"/>
        <s v="Ecommerce"/>
      </sharedItems>
    </cacheField>
    <cacheField name="USD_Spend" numFmtId="0">
      <sharedItems containsSemiMixedTypes="0" containsString="0" containsNumber="1" minValue="53.48" maxValue="58427.41"/>
    </cacheField>
    <cacheField name="Impressions" numFmtId="0">
      <sharedItems containsSemiMixedTypes="0" containsString="0" containsNumber="1" containsInteger="1" minValue="11269" maxValue="999583"/>
    </cacheField>
    <cacheField name="Clicks" numFmtId="0">
      <sharedItems containsSemiMixedTypes="0" containsString="0" containsNumber="1" containsInteger="1" minValue="116" maxValue="49939"/>
    </cacheField>
    <cacheField name="Sales" numFmtId="0">
      <sharedItems containsSemiMixedTypes="0" containsString="0" containsNumber="1" minValue="5020.96" maxValue="249994.27"/>
    </cacheField>
    <cacheField name="Duration" numFmtId="0">
      <sharedItems containsSemiMixedTypes="0" containsString="0" containsNumber="1" containsInteger="1" minValue="6" maxValue="61"/>
    </cacheField>
    <cacheField name="CTR" numFmtId="10">
      <sharedItems containsSemiMixedTypes="0" containsString="0" containsNumber="1" minValue="2.28095013371087E-4" maxValue="3.6399354933294239"/>
    </cacheField>
    <cacheField name="CPC" numFmtId="2">
      <sharedItems containsSemiMixedTypes="0" containsString="0" containsNumber="1" minValue="1.3719504373925758E-3" maxValue="68.04525573192241"/>
    </cacheField>
    <cacheField name="CPM" numFmtId="2">
      <sharedItems containsSemiMixedTypes="0" containsString="0" containsNumber="1" minValue="6.5424002094350994E-2" maxValue="2477.4453517269362"/>
    </cacheField>
    <cacheField name="ROAS" numFmtId="2">
      <sharedItems containsSemiMixedTypes="0" containsString="0" containsNumber="1" minValue="0.11245927660956305" maxValue="1603.5389357151844"/>
    </cacheField>
    <cacheField name="ROI" numFmtId="2">
      <sharedItems containsSemiMixedTypes="0" containsString="0" containsNumber="1" minValue="-0.88754072339043699" maxValue="1602.5389357151844"/>
    </cacheField>
    <cacheField name="Year" numFmtId="0">
      <sharedItems containsSemiMixedTypes="0" containsString="0" containsNumber="1" containsInteger="1" minValue="2023" maxValue="2025"/>
    </cacheField>
    <cacheField name="Month" numFmtId="0">
      <sharedItems/>
    </cacheField>
    <cacheField name="Quarter" numFmtId="0">
      <sharedItems/>
    </cacheField>
    <cacheField name="Month-Year" numFmtId="17">
      <sharedItems containsSemiMixedTypes="0" containsNonDate="0" containsDate="1" containsString="0" minDate="2023-01-01T00:00:00" maxDate="2025-06-02T00:00:00" count="3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sharedItems>
    </cacheField>
    <cacheField name="Revenue per Click" numFmtId="2">
      <sharedItems containsSemiMixedTypes="0" containsString="0" containsNumber="1" minValue="0.11613721000161914" maxValue="1094.2538709677419"/>
    </cacheField>
    <cacheField name="Revenue per Impression" numFmtId="2">
      <sharedItems containsSemiMixedTypes="0" containsString="0" containsNumber="1" minValue="6.7284364095460203E-3" maxValue="13.090879114373669"/>
    </cacheField>
    <cacheField name="Daily Spend" numFmtId="2">
      <sharedItems containsSemiMixedTypes="0" containsString="0" containsNumber="1" minValue="2.2080555555555552" maxValue="7693.017142857143"/>
    </cacheField>
    <cacheField name="Daily Revenue" numFmtId="2">
      <sharedItems containsSemiMixedTypes="0" containsString="0" containsNumber="1" minValue="106.55152542372882" maxValue="41621.845000000001"/>
    </cacheField>
    <cacheField name="Daily Clicks" numFmtId="2">
      <sharedItems containsSemiMixedTypes="0" containsString="0" containsNumber="1" minValue="2.0350877192982457" maxValue="8164.333333333333"/>
    </cacheField>
    <cacheField name="Daily Impressions" numFmtId="2">
      <sharedItems containsSemiMixedTypes="0" containsString="0" containsNumber="1" minValue="296.55263157894734" maxValue="165123.5"/>
    </cacheField>
    <cacheField name="Engagement Score" numFmtId="0">
      <sharedItems/>
    </cacheField>
    <cacheField name="Overall Status" numFmtId="2">
      <sharedItems count="2">
        <s v="Pass"/>
        <s v="Fail"/>
      </sharedItems>
    </cacheField>
    <cacheField name="Avg CTR" numFmtId="0" formula="Clicks/Impressions" databaseField="0"/>
    <cacheField name="Field1" numFmtId="0" formula="Sales/USD_Spend" databaseField="0"/>
    <cacheField name="Field2" numFmtId="0" formula=" (Sales-USD_Spend)/USD_Spen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1480.43"/>
    <n v="146828"/>
    <n v="22431"/>
    <n v="180649.72"/>
    <n v="27"/>
    <n v="0.15277058871604871"/>
    <n v="0.51181088671927244"/>
    <n v="78.189650475386173"/>
    <n v="15.735448933532977"/>
    <n v="14.735448933532977"/>
    <n v="2023"/>
    <s v="January"/>
    <s v="Q1"/>
    <x v="0"/>
    <n v="8.0535740715973425"/>
    <n v="1.2303492521862316"/>
    <n v="425.20111111111112"/>
    <n v="6690.7303703703701"/>
    <n v="830.77777777777783"/>
    <n v="5438.0740740740739"/>
    <s v="Excellent"/>
    <x v="0"/>
  </r>
  <r>
    <x v="1"/>
    <x v="1"/>
    <x v="1"/>
    <x v="1"/>
    <x v="1"/>
    <n v="23696.65"/>
    <n v="313300"/>
    <n v="42898"/>
    <n v="243160.04"/>
    <n v="58"/>
    <n v="0.13692307692307693"/>
    <n v="0.55239521656021262"/>
    <n v="75.635652729013742"/>
    <n v="10.261367746073812"/>
    <n v="9.2613677460738124"/>
    <n v="2023"/>
    <s v="January"/>
    <s v="Q1"/>
    <x v="0"/>
    <n v="5.668330458296424"/>
    <n v="0.77612524736674116"/>
    <n v="408.5629310344828"/>
    <n v="4192.4144827586206"/>
    <n v="739.62068965517244"/>
    <n v="5401.7241379310344"/>
    <s v="Excellent"/>
    <x v="0"/>
  </r>
  <r>
    <x v="2"/>
    <x v="0"/>
    <x v="0"/>
    <x v="2"/>
    <x v="1"/>
    <n v="36694.839999999997"/>
    <n v="64382"/>
    <n v="21268"/>
    <n v="110974.3"/>
    <n v="33"/>
    <n v="0.33034077847845672"/>
    <n v="1.7253545232273837"/>
    <n v="569.95495635426039"/>
    <n v="3.0242480959175735"/>
    <n v="2.0242480959175735"/>
    <n v="2023"/>
    <s v="January"/>
    <s v="Q1"/>
    <x v="0"/>
    <n v="5.2179001316531881"/>
    <n v="1.7236851915131559"/>
    <n v="1111.9648484848483"/>
    <n v="3362.8575757575759"/>
    <n v="644.4848484848485"/>
    <n v="1950.969696969697"/>
    <s v="Excellent"/>
    <x v="0"/>
  </r>
  <r>
    <x v="2"/>
    <x v="0"/>
    <x v="2"/>
    <x v="3"/>
    <x v="1"/>
    <n v="2894.08"/>
    <n v="228677"/>
    <n v="46629"/>
    <n v="48638.18"/>
    <n v="33"/>
    <n v="0.20390769513331031"/>
    <n v="6.2066096206223595E-2"/>
    <n v="12.655754623333348"/>
    <n v="16.806093819106589"/>
    <n v="15.806093819106589"/>
    <n v="2023"/>
    <s v="January"/>
    <s v="Q1"/>
    <x v="0"/>
    <n v="1.0430886358274893"/>
    <n v="0.21269379955133222"/>
    <n v="87.699393939393943"/>
    <n v="1473.8842424242425"/>
    <n v="1413"/>
    <n v="6929.606060606061"/>
    <s v="Excellent"/>
    <x v="0"/>
  </r>
  <r>
    <x v="3"/>
    <x v="2"/>
    <x v="1"/>
    <x v="2"/>
    <x v="2"/>
    <n v="37828.129999999997"/>
    <n v="126041"/>
    <n v="12523"/>
    <n v="74800.44"/>
    <n v="28"/>
    <n v="9.9356558580144555E-2"/>
    <n v="3.020692326119939"/>
    <n v="300.1255940527289"/>
    <n v="1.9773760955141058"/>
    <n v="0.97737609551410576"/>
    <n v="2023"/>
    <s v="January"/>
    <s v="Q1"/>
    <x v="0"/>
    <n v="5.9730447975724665"/>
    <n v="0.59346117533183651"/>
    <n v="1351.0046428571427"/>
    <n v="2671.4442857142858"/>
    <n v="447.25"/>
    <n v="4501.4642857142853"/>
    <s v="Good"/>
    <x v="0"/>
  </r>
  <r>
    <x v="4"/>
    <x v="3"/>
    <x v="1"/>
    <x v="1"/>
    <x v="0"/>
    <n v="8598.43"/>
    <n v="122369"/>
    <n v="437"/>
    <n v="90681.82"/>
    <n v="45"/>
    <n v="3.5711658998602586E-3"/>
    <n v="19.67604118993135"/>
    <n v="70.266407341728709"/>
    <n v="10.546322991522871"/>
    <n v="9.5463229915228727"/>
    <n v="2023"/>
    <s v="January"/>
    <s v="Q1"/>
    <x v="0"/>
    <n v="207.50988558352404"/>
    <n v="0.74105222727978493"/>
    <n v="191.07622222222224"/>
    <n v="2015.1515555555557"/>
    <n v="9.7111111111111104"/>
    <n v="2719.3111111111111"/>
    <s v="Low"/>
    <x v="0"/>
  </r>
  <r>
    <x v="5"/>
    <x v="2"/>
    <x v="3"/>
    <x v="0"/>
    <x v="2"/>
    <n v="24147.15"/>
    <n v="290608"/>
    <n v="43267"/>
    <n v="69802.27"/>
    <n v="29"/>
    <n v="0.1488844078621373"/>
    <n v="0.5580962396283542"/>
    <n v="83.091828167153011"/>
    <n v="2.8907042860130492"/>
    <n v="1.8907042860130492"/>
    <n v="2023"/>
    <s v="January"/>
    <s v="Q1"/>
    <x v="0"/>
    <n v="1.6132911919014492"/>
    <n v="0.240193903815449"/>
    <n v="832.6603448275863"/>
    <n v="2406.9748275862071"/>
    <n v="1491.9655172413793"/>
    <n v="10020.965517241379"/>
    <s v="Excellent"/>
    <x v="0"/>
  </r>
  <r>
    <x v="6"/>
    <x v="0"/>
    <x v="0"/>
    <x v="1"/>
    <x v="2"/>
    <n v="6070.99"/>
    <n v="354625"/>
    <n v="23530"/>
    <n v="224159.27"/>
    <n v="60"/>
    <n v="6.63517800493479E-2"/>
    <n v="0.25801062473438163"/>
    <n v="17.119464222770532"/>
    <n v="36.923017497969852"/>
    <n v="35.923017497969852"/>
    <n v="2023"/>
    <s v="January"/>
    <s v="Q1"/>
    <x v="0"/>
    <n v="9.5265308117297067"/>
    <n v="0.63210227705322519"/>
    <n v="101.18316666666666"/>
    <n v="3735.9878333333331"/>
    <n v="392.16666666666669"/>
    <n v="5910.416666666667"/>
    <s v="Good"/>
    <x v="0"/>
  </r>
  <r>
    <x v="7"/>
    <x v="0"/>
    <x v="3"/>
    <x v="4"/>
    <x v="2"/>
    <n v="34140.35"/>
    <n v="723612"/>
    <n v="46577"/>
    <n v="92666.15"/>
    <n v="20"/>
    <n v="6.4367368147570797E-2"/>
    <n v="0.73298731133392014"/>
    <n v="47.180464116128526"/>
    <n v="2.7142706504180536"/>
    <n v="1.7142706504180536"/>
    <n v="2023"/>
    <s v="January"/>
    <s v="Q1"/>
    <x v="0"/>
    <n v="1.9895259462824999"/>
    <n v="0.12806054902350983"/>
    <n v="1707.0174999999999"/>
    <n v="4633.3074999999999"/>
    <n v="2328.85"/>
    <n v="36180.6"/>
    <s v="Good"/>
    <x v="0"/>
  </r>
  <r>
    <x v="8"/>
    <x v="1"/>
    <x v="3"/>
    <x v="5"/>
    <x v="0"/>
    <n v="16097.33"/>
    <n v="707640"/>
    <n v="38271"/>
    <n v="198355.76"/>
    <n v="9"/>
    <n v="5.4082584364931324E-2"/>
    <n v="0.42061430325834182"/>
    <n v="22.747908541066078"/>
    <n v="12.322277048429772"/>
    <n v="11.322277048429772"/>
    <n v="2023"/>
    <s v="January"/>
    <s v="Q1"/>
    <x v="0"/>
    <n v="5.1829259752815453"/>
    <n v="0.28030603131535808"/>
    <n v="1788.5922222222223"/>
    <n v="22039.52888888889"/>
    <n v="4252.333333333333"/>
    <n v="78626.666666666672"/>
    <s v="Good"/>
    <x v="0"/>
  </r>
  <r>
    <x v="3"/>
    <x v="0"/>
    <x v="1"/>
    <x v="3"/>
    <x v="1"/>
    <n v="21094.81"/>
    <n v="812598"/>
    <n v="12055"/>
    <n v="120092.36"/>
    <n v="42"/>
    <n v="1.4835133731562224E-2"/>
    <n v="1.7498805474906678"/>
    <n v="25.95971193628338"/>
    <n v="5.6929813541814314"/>
    <n v="4.6929813541814314"/>
    <n v="2023"/>
    <s v="January"/>
    <s v="Q1"/>
    <x v="0"/>
    <n v="9.962037328909167"/>
    <n v="0.1477881560131824"/>
    <n v="502.25738095238097"/>
    <n v="2859.341904761905"/>
    <n v="287.02380952380952"/>
    <n v="19347.571428571428"/>
    <s v="Low"/>
    <x v="0"/>
  </r>
  <r>
    <x v="9"/>
    <x v="1"/>
    <x v="0"/>
    <x v="5"/>
    <x v="1"/>
    <n v="25264.68"/>
    <n v="721451"/>
    <n v="20788"/>
    <n v="240631.87"/>
    <n v="24"/>
    <n v="2.8814153698587985E-2"/>
    <n v="1.2153492399461228"/>
    <n v="35.019259797269669"/>
    <n v="9.5244376734635061"/>
    <n v="8.5244376734635079"/>
    <n v="2023"/>
    <s v="January"/>
    <s v="Q1"/>
    <x v="0"/>
    <n v="11.575518087358091"/>
    <n v="0.33353875730992127"/>
    <n v="1052.6949999999999"/>
    <n v="10026.327916666667"/>
    <n v="866.16666666666663"/>
    <n v="30060.458333333332"/>
    <s v="Medium"/>
    <x v="0"/>
  </r>
  <r>
    <x v="10"/>
    <x v="1"/>
    <x v="4"/>
    <x v="5"/>
    <x v="1"/>
    <n v="36935.24"/>
    <n v="882496"/>
    <n v="5340"/>
    <n v="119674.49"/>
    <n v="19"/>
    <n v="6.0510189281311189E-3"/>
    <n v="6.9167116104868906"/>
    <n v="41.853152875480454"/>
    <n v="3.2401167557053916"/>
    <n v="2.2401167557053916"/>
    <n v="2023"/>
    <s v="January"/>
    <s v="Q1"/>
    <x v="0"/>
    <n v="22.410953183520601"/>
    <n v="0.13560910191094352"/>
    <n v="1943.9599999999998"/>
    <n v="6298.6573684210525"/>
    <n v="281.05263157894734"/>
    <n v="46447.15789473684"/>
    <s v="Low"/>
    <x v="0"/>
  </r>
  <r>
    <x v="0"/>
    <x v="3"/>
    <x v="0"/>
    <x v="4"/>
    <x v="0"/>
    <n v="11978.59"/>
    <n v="518453"/>
    <n v="27100"/>
    <n v="88376.71"/>
    <n v="14"/>
    <n v="5.2270890514665748E-2"/>
    <n v="0.44201439114391144"/>
    <n v="23.104485845390037"/>
    <n v="7.377889217345281"/>
    <n v="6.377889217345281"/>
    <n v="2023"/>
    <s v="January"/>
    <s v="Q1"/>
    <x v="0"/>
    <n v="3.2611332103321033"/>
    <n v="0.17046233699100979"/>
    <n v="855.61357142857139"/>
    <n v="6312.6221428571434"/>
    <n v="1935.7142857142858"/>
    <n v="37032.357142857145"/>
    <s v="Good"/>
    <x v="0"/>
  </r>
  <r>
    <x v="10"/>
    <x v="2"/>
    <x v="1"/>
    <x v="2"/>
    <x v="2"/>
    <n v="12819.95"/>
    <n v="837630"/>
    <n v="26181"/>
    <n v="129119.6"/>
    <n v="22"/>
    <n v="3.1256043837971419E-2"/>
    <n v="0.48966617012337194"/>
    <n v="15.305027279347684"/>
    <n v="10.071770950744737"/>
    <n v="9.071770950744737"/>
    <n v="2023"/>
    <s v="January"/>
    <s v="Q1"/>
    <x v="0"/>
    <n v="4.9318055078110081"/>
    <n v="0.15414872915248978"/>
    <n v="582.72500000000002"/>
    <n v="5869.0727272727272"/>
    <n v="1190.0454545454545"/>
    <n v="38074.090909090912"/>
    <s v="Medium"/>
    <x v="0"/>
  </r>
  <r>
    <x v="11"/>
    <x v="2"/>
    <x v="4"/>
    <x v="2"/>
    <x v="1"/>
    <n v="34633.21"/>
    <n v="994630"/>
    <n v="38324"/>
    <n v="31078.47"/>
    <n v="40"/>
    <n v="3.8530910992027184E-2"/>
    <n v="0.90369507358313328"/>
    <n v="34.820194444165168"/>
    <n v="0.89736036596087976"/>
    <n v="-0.1026396340391202"/>
    <n v="2023"/>
    <s v="January"/>
    <s v="Q1"/>
    <x v="0"/>
    <n v="0.81094014194760466"/>
    <n v="3.1246262429245046E-2"/>
    <n v="865.83024999999998"/>
    <n v="776.96175000000005"/>
    <n v="958.1"/>
    <n v="24865.75"/>
    <s v="Medium"/>
    <x v="0"/>
  </r>
  <r>
    <x v="12"/>
    <x v="0"/>
    <x v="3"/>
    <x v="3"/>
    <x v="1"/>
    <n v="19819.150000000001"/>
    <n v="764987"/>
    <n v="27466"/>
    <n v="77322.11"/>
    <n v="22"/>
    <n v="3.5903878105118123E-2"/>
    <n v="0.72158850942984054"/>
    <n v="25.907825884622877"/>
    <n v="3.9013837626739791"/>
    <n v="2.9013837626739791"/>
    <n v="2023"/>
    <s v="January"/>
    <s v="Q1"/>
    <x v="0"/>
    <n v="2.8151936940216995"/>
    <n v="0.10107637123245232"/>
    <n v="900.87045454545466"/>
    <n v="3514.6413636363636"/>
    <n v="1248.4545454545455"/>
    <n v="34772.13636363636"/>
    <s v="Medium"/>
    <x v="0"/>
  </r>
  <r>
    <x v="13"/>
    <x v="0"/>
    <x v="3"/>
    <x v="2"/>
    <x v="2"/>
    <n v="15035.05"/>
    <n v="155766"/>
    <n v="29062"/>
    <n v="222982.96"/>
    <n v="36"/>
    <n v="0.18657473389571536"/>
    <n v="0.51734395430459013"/>
    <n v="96.52331060693605"/>
    <n v="14.830875853422503"/>
    <n v="13.830875853422503"/>
    <n v="2023"/>
    <s v="January"/>
    <s v="Q1"/>
    <x v="0"/>
    <n v="7.6726639598100608"/>
    <n v="1.4315252365728079"/>
    <n v="417.64027777777778"/>
    <n v="6193.971111111111"/>
    <n v="807.27777777777783"/>
    <n v="4326.833333333333"/>
    <s v="Excellent"/>
    <x v="0"/>
  </r>
  <r>
    <x v="14"/>
    <x v="1"/>
    <x v="0"/>
    <x v="1"/>
    <x v="2"/>
    <n v="19207.099999999999"/>
    <n v="176309"/>
    <n v="11550"/>
    <n v="207847.43"/>
    <n v="28"/>
    <n v="6.5509985309882085E-2"/>
    <n v="1.6629523809523807"/>
    <n v="108.9399860472239"/>
    <n v="10.821385321053153"/>
    <n v="9.8213853210531514"/>
    <n v="2023"/>
    <s v="January"/>
    <s v="Q1"/>
    <x v="0"/>
    <n v="17.995448484848485"/>
    <n v="1.1788815658871639"/>
    <n v="685.96785714285704"/>
    <n v="7423.1224999999995"/>
    <n v="412.5"/>
    <n v="6296.75"/>
    <s v="Good"/>
    <x v="0"/>
  </r>
  <r>
    <x v="15"/>
    <x v="2"/>
    <x v="4"/>
    <x v="0"/>
    <x v="2"/>
    <n v="47793.279999999999"/>
    <n v="613727"/>
    <n v="28233"/>
    <n v="145482.92000000001"/>
    <n v="35"/>
    <n v="4.6002538588004113E-2"/>
    <n v="1.6928162079835654"/>
    <n v="77.873842930162752"/>
    <n v="3.0440036758305773"/>
    <n v="2.0440036758305773"/>
    <n v="2023"/>
    <s v="January"/>
    <s v="Q1"/>
    <x v="0"/>
    <n v="5.1529387596075518"/>
    <n v="0.23704826413046845"/>
    <n v="1365.5222857142858"/>
    <n v="4156.6548571428575"/>
    <n v="806.65714285714284"/>
    <n v="17535.057142857142"/>
    <s v="Medium"/>
    <x v="0"/>
  </r>
  <r>
    <x v="16"/>
    <x v="3"/>
    <x v="4"/>
    <x v="5"/>
    <x v="2"/>
    <n v="19915.91"/>
    <n v="116440"/>
    <n v="16242"/>
    <n v="191929.68"/>
    <n v="23"/>
    <n v="0.13948814840261078"/>
    <n v="1.2261981283093215"/>
    <n v="171.04010649261423"/>
    <n v="9.6370027781808609"/>
    <n v="8.6370027781808609"/>
    <n v="2023"/>
    <s v="January"/>
    <s v="Q1"/>
    <x v="0"/>
    <n v="11.816874769117103"/>
    <n v="1.6483139814496737"/>
    <n v="865.90913043478258"/>
    <n v="8344.7686956521738"/>
    <n v="706.17391304347825"/>
    <n v="5062.608695652174"/>
    <s v="Excellent"/>
    <x v="0"/>
  </r>
  <r>
    <x v="17"/>
    <x v="1"/>
    <x v="2"/>
    <x v="3"/>
    <x v="0"/>
    <n v="2154.7800000000002"/>
    <n v="215703"/>
    <n v="35108"/>
    <n v="153994.03"/>
    <n v="9"/>
    <n v="0.16276083318266321"/>
    <n v="6.1375754813717674E-2"/>
    <n v="9.9895689906955401"/>
    <n v="71.466242493433199"/>
    <n v="70.466242493433199"/>
    <n v="2023"/>
    <s v="January"/>
    <s v="Q1"/>
    <x v="0"/>
    <n v="4.3862945767346471"/>
    <n v="0.71391695989392823"/>
    <n v="239.42000000000002"/>
    <n v="17110.447777777779"/>
    <n v="3900.8888888888887"/>
    <n v="23967"/>
    <s v="Excellent"/>
    <x v="0"/>
  </r>
  <r>
    <x v="12"/>
    <x v="0"/>
    <x v="3"/>
    <x v="0"/>
    <x v="2"/>
    <n v="24717.61"/>
    <n v="960895"/>
    <n v="5931"/>
    <n v="243661.26"/>
    <n v="41"/>
    <n v="6.1723705503723093E-3"/>
    <n v="4.1675282414432644"/>
    <n v="25.723528585329301"/>
    <n v="9.8578001675728366"/>
    <n v="8.8578001675728366"/>
    <n v="2023"/>
    <s v="January"/>
    <s v="Q1"/>
    <x v="0"/>
    <n v="41.082660596863938"/>
    <n v="0.25357740439902382"/>
    <n v="602.86853658536586"/>
    <n v="5942.9575609756102"/>
    <n v="144.65853658536585"/>
    <n v="23436.463414634145"/>
    <s v="Low"/>
    <x v="0"/>
  </r>
  <r>
    <x v="8"/>
    <x v="0"/>
    <x v="3"/>
    <x v="1"/>
    <x v="1"/>
    <n v="18833.46"/>
    <n v="851814"/>
    <n v="33440"/>
    <n v="114161.44"/>
    <n v="39"/>
    <n v="3.9257396567795318E-2"/>
    <n v="0.56320155502392344"/>
    <n v="22.109826793173159"/>
    <n v="6.0616286120553529"/>
    <n v="5.0616286120553537"/>
    <n v="2023"/>
    <s v="January"/>
    <s v="Q1"/>
    <x v="0"/>
    <n v="3.4139186602870812"/>
    <n v="0.13402155869708646"/>
    <n v="482.90923076923076"/>
    <n v="2927.2164102564102"/>
    <n v="857.43589743589746"/>
    <n v="21841.384615384617"/>
    <s v="Medium"/>
    <x v="0"/>
  </r>
  <r>
    <x v="2"/>
    <x v="1"/>
    <x v="4"/>
    <x v="2"/>
    <x v="0"/>
    <n v="4350.42"/>
    <n v="567286"/>
    <n v="7308"/>
    <n v="172574.92"/>
    <n v="44"/>
    <n v="1.2882390892777188E-2"/>
    <n v="0.59529556650246307"/>
    <n v="7.6688301844219673"/>
    <n v="39.668565333921784"/>
    <n v="38.668565333921784"/>
    <n v="2023"/>
    <s v="January"/>
    <s v="Q1"/>
    <x v="0"/>
    <n v="23.614521072796936"/>
    <n v="0.30421149120549423"/>
    <n v="98.87318181818182"/>
    <n v="3922.1572727272728"/>
    <n v="166.09090909090909"/>
    <n v="12892.863636363636"/>
    <s v="Low"/>
    <x v="0"/>
  </r>
  <r>
    <x v="18"/>
    <x v="1"/>
    <x v="0"/>
    <x v="1"/>
    <x v="2"/>
    <n v="12638.03"/>
    <n v="852700"/>
    <n v="36252"/>
    <n v="36793.949999999997"/>
    <n v="29"/>
    <n v="4.2514366131112938E-2"/>
    <n v="0.34861607635440806"/>
    <n v="14.821191509323327"/>
    <n v="2.9113675153485152"/>
    <n v="1.9113675153485152"/>
    <n v="2023"/>
    <s v="January"/>
    <s v="Q1"/>
    <x v="0"/>
    <n v="1.0149495200264813"/>
    <n v="4.3149935499003166E-2"/>
    <n v="435.79413793103453"/>
    <n v="1268.7568965517241"/>
    <n v="1250.0689655172414"/>
    <n v="29403.448275862069"/>
    <s v="Medium"/>
    <x v="0"/>
  </r>
  <r>
    <x v="19"/>
    <x v="3"/>
    <x v="2"/>
    <x v="3"/>
    <x v="0"/>
    <n v="40152.22"/>
    <n v="554172"/>
    <n v="48678"/>
    <n v="151986.69"/>
    <n v="15"/>
    <n v="8.7839154630692279E-2"/>
    <n v="0.82485352726077488"/>
    <n v="72.454436528731151"/>
    <n v="3.7852624338081431"/>
    <n v="2.7852624338081431"/>
    <n v="2023"/>
    <s v="January"/>
    <s v="Q1"/>
    <x v="0"/>
    <n v="3.1222870701343521"/>
    <n v="0.2742590567549425"/>
    <n v="2676.8146666666667"/>
    <n v="10132.446"/>
    <n v="3245.2"/>
    <n v="36944.800000000003"/>
    <s v="Good"/>
    <x v="0"/>
  </r>
  <r>
    <x v="16"/>
    <x v="3"/>
    <x v="3"/>
    <x v="1"/>
    <x v="1"/>
    <n v="3522.16"/>
    <n v="827711"/>
    <n v="14145"/>
    <n v="214992.24"/>
    <n v="30"/>
    <n v="1.7089298076260917E-2"/>
    <n v="0.24900388829975256"/>
    <n v="4.2553016693024501"/>
    <n v="61.039884616258206"/>
    <n v="60.039884616258206"/>
    <n v="2023"/>
    <s v="January"/>
    <s v="Q1"/>
    <x v="0"/>
    <n v="15.199168610816542"/>
    <n v="0.25974312290159246"/>
    <n v="117.40533333333333"/>
    <n v="7166.4079999999994"/>
    <n v="471.5"/>
    <n v="27590.366666666665"/>
    <s v="Low"/>
    <x v="0"/>
  </r>
  <r>
    <x v="7"/>
    <x v="0"/>
    <x v="1"/>
    <x v="4"/>
    <x v="0"/>
    <n v="18341.009999999998"/>
    <n v="288479"/>
    <n v="7854"/>
    <n v="232097.29"/>
    <n v="36"/>
    <n v="2.7225551946588832E-2"/>
    <n v="2.335244461420932"/>
    <n v="63.578319392399443"/>
    <n v="12.654553375195807"/>
    <n v="11.654553375195805"/>
    <n v="2023"/>
    <s v="January"/>
    <s v="Q1"/>
    <x v="0"/>
    <n v="29.551475681181564"/>
    <n v="0.80455523625636527"/>
    <n v="509.47249999999997"/>
    <n v="6447.1469444444447"/>
    <n v="218.16666666666666"/>
    <n v="8013.3055555555557"/>
    <s v="Medium"/>
    <x v="0"/>
  </r>
  <r>
    <x v="20"/>
    <x v="3"/>
    <x v="2"/>
    <x v="5"/>
    <x v="0"/>
    <n v="14294.24"/>
    <n v="433956"/>
    <n v="47559"/>
    <n v="45435.96"/>
    <n v="30"/>
    <n v="0.10959406022730415"/>
    <n v="0.30055804369309697"/>
    <n v="32.939376342301983"/>
    <n v="3.1786201994649592"/>
    <n v="2.1786201994649592"/>
    <n v="2023"/>
    <s v="January"/>
    <s v="Q1"/>
    <x v="0"/>
    <n v="0.95535986879454993"/>
    <n v="0.1047017669994193"/>
    <n v="476.47466666666668"/>
    <n v="1514.5319999999999"/>
    <n v="1585.3"/>
    <n v="14465.2"/>
    <s v="Excellent"/>
    <x v="0"/>
  </r>
  <r>
    <x v="16"/>
    <x v="2"/>
    <x v="0"/>
    <x v="3"/>
    <x v="1"/>
    <n v="7572.34"/>
    <n v="731403"/>
    <n v="39169"/>
    <n v="238866.06"/>
    <n v="13"/>
    <n v="5.3553239458957645E-2"/>
    <n v="0.19332482320202202"/>
    <n v="10.353170550298536"/>
    <n v="31.544550297530222"/>
    <n v="30.544550297530222"/>
    <n v="2023"/>
    <s v="February"/>
    <s v="Q1"/>
    <x v="1"/>
    <n v="6.098344609257321"/>
    <n v="0.32658610916280079"/>
    <n v="582.48769230769233"/>
    <n v="18374.312307692308"/>
    <n v="3013"/>
    <n v="56261.769230769234"/>
    <s v="Good"/>
    <x v="0"/>
  </r>
  <r>
    <x v="0"/>
    <x v="1"/>
    <x v="0"/>
    <x v="0"/>
    <x v="2"/>
    <n v="34428.61"/>
    <n v="888721"/>
    <n v="39636"/>
    <n v="78118.179999999993"/>
    <n v="15"/>
    <n v="4.4598923621699045E-2"/>
    <n v="0.86861968917146026"/>
    <n v="38.73950317366193"/>
    <n v="2.268990238060729"/>
    <n v="1.268990238060729"/>
    <n v="2023"/>
    <s v="February"/>
    <s v="Q1"/>
    <x v="1"/>
    <n v="1.9708895953173882"/>
    <n v="8.789955452836154E-2"/>
    <n v="2295.2406666666666"/>
    <n v="5207.8786666666665"/>
    <n v="2642.4"/>
    <n v="59248.066666666666"/>
    <s v="Medium"/>
    <x v="0"/>
  </r>
  <r>
    <x v="21"/>
    <x v="3"/>
    <x v="4"/>
    <x v="0"/>
    <x v="1"/>
    <n v="20209.64"/>
    <n v="402505"/>
    <n v="39849"/>
    <n v="159667.04"/>
    <n v="60"/>
    <n v="9.9002496863393005E-2"/>
    <n v="0.50715551205801901"/>
    <n v="50.2096619917765"/>
    <n v="7.9005385548678753"/>
    <n v="6.9005385548678762"/>
    <n v="2023"/>
    <s v="February"/>
    <s v="Q1"/>
    <x v="1"/>
    <n v="4.0068016763281387"/>
    <n v="0.3966833703929144"/>
    <n v="336.82733333333334"/>
    <n v="2661.1173333333336"/>
    <n v="664.15"/>
    <n v="6708.416666666667"/>
    <s v="Good"/>
    <x v="0"/>
  </r>
  <r>
    <x v="22"/>
    <x v="3"/>
    <x v="0"/>
    <x v="2"/>
    <x v="0"/>
    <n v="4890.17"/>
    <n v="24760"/>
    <n v="21216"/>
    <n v="190427.7"/>
    <n v="40"/>
    <n v="0.85686591276252022"/>
    <n v="0.23049443815987933"/>
    <n v="197.5028271405493"/>
    <n v="38.940916164468725"/>
    <n v="37.940916164468717"/>
    <n v="2023"/>
    <s v="February"/>
    <s v="Q1"/>
    <x v="1"/>
    <n v="8.9756645927601824"/>
    <n v="7.6909410339256867"/>
    <n v="122.25425"/>
    <n v="4760.6925000000001"/>
    <n v="530.4"/>
    <n v="619"/>
    <s v="Excellent"/>
    <x v="0"/>
  </r>
  <r>
    <x v="23"/>
    <x v="2"/>
    <x v="2"/>
    <x v="0"/>
    <x v="2"/>
    <n v="17037.34"/>
    <n v="549764"/>
    <n v="27701"/>
    <n v="70321.63"/>
    <n v="35"/>
    <n v="5.0387075181350542E-2"/>
    <n v="0.61504422223024435"/>
    <n v="30.990279465370595"/>
    <n v="4.127500537055667"/>
    <n v="3.1275005370556674"/>
    <n v="2023"/>
    <s v="February"/>
    <s v="Q1"/>
    <x v="1"/>
    <n v="2.5385953575683189"/>
    <n v="0.12791239513682234"/>
    <n v="486.78114285714287"/>
    <n v="2009.1894285714286"/>
    <n v="791.45714285714291"/>
    <n v="15707.542857142857"/>
    <s v="Good"/>
    <x v="0"/>
  </r>
  <r>
    <x v="8"/>
    <x v="2"/>
    <x v="4"/>
    <x v="2"/>
    <x v="0"/>
    <n v="2626.55"/>
    <n v="648221"/>
    <n v="44717"/>
    <n v="174947.01"/>
    <n v="17"/>
    <n v="6.8984189034295401E-2"/>
    <n v="5.8737169309211266E-2"/>
    <n v="4.0519359909660437"/>
    <n v="66.607150063771869"/>
    <n v="65.607150063771869"/>
    <n v="2023"/>
    <s v="February"/>
    <s v="Q1"/>
    <x v="1"/>
    <n v="3.9123154504998103"/>
    <n v="0.26988790859907347"/>
    <n v="154.50294117647059"/>
    <n v="10291.000588235294"/>
    <n v="2630.4117647058824"/>
    <n v="38130.647058823532"/>
    <s v="Good"/>
    <x v="0"/>
  </r>
  <r>
    <x v="24"/>
    <x v="3"/>
    <x v="0"/>
    <x v="3"/>
    <x v="0"/>
    <n v="2592.06"/>
    <n v="170633"/>
    <n v="46344"/>
    <n v="185368.06"/>
    <n v="29"/>
    <n v="0.27160045243299946"/>
    <n v="5.5930864836872089E-2"/>
    <n v="15.190848194663399"/>
    <n v="71.513799834880359"/>
    <n v="70.513799834880373"/>
    <n v="2023"/>
    <s v="February"/>
    <s v="Q1"/>
    <x v="1"/>
    <n v="3.999828672535819"/>
    <n v="1.0863552771152121"/>
    <n v="89.381379310344826"/>
    <n v="6392.0020689655175"/>
    <n v="1598.0689655172414"/>
    <n v="5883.8965517241377"/>
    <s v="Excellent"/>
    <x v="0"/>
  </r>
  <r>
    <x v="25"/>
    <x v="1"/>
    <x v="0"/>
    <x v="5"/>
    <x v="1"/>
    <n v="51451.97"/>
    <n v="867115"/>
    <n v="12580"/>
    <n v="52267.24"/>
    <n v="43"/>
    <n v="1.4507879577680008E-2"/>
    <n v="4.0899817170111286"/>
    <n v="59.336962225310366"/>
    <n v="1.0158452630676726"/>
    <n v="1.5845263067672564E-2"/>
    <n v="2023"/>
    <s v="February"/>
    <s v="Q1"/>
    <x v="1"/>
    <n v="4.1547885532591415"/>
    <n v="6.0277172001406962E-2"/>
    <n v="1196.5574418604651"/>
    <n v="1215.5172093023255"/>
    <n v="292.55813953488371"/>
    <n v="20165.465116279069"/>
    <s v="Low"/>
    <x v="0"/>
  </r>
  <r>
    <x v="11"/>
    <x v="0"/>
    <x v="3"/>
    <x v="3"/>
    <x v="1"/>
    <n v="13921.28"/>
    <n v="584122"/>
    <n v="5678"/>
    <n v="79649.33"/>
    <n v="6"/>
    <n v="9.7205720722725736E-3"/>
    <n v="2.4517928848185981"/>
    <n v="23.832829443164272"/>
    <n v="5.7214085199062152"/>
    <n v="4.7214085199062152"/>
    <n v="2023"/>
    <s v="February"/>
    <s v="Q1"/>
    <x v="1"/>
    <n v="14.027708700246565"/>
    <n v="0.13635735342959177"/>
    <n v="2320.2133333333336"/>
    <n v="13274.888333333334"/>
    <n v="946.33333333333337"/>
    <n v="97353.666666666672"/>
    <s v="Low"/>
    <x v="0"/>
  </r>
  <r>
    <x v="20"/>
    <x v="3"/>
    <x v="0"/>
    <x v="0"/>
    <x v="0"/>
    <n v="41618.93"/>
    <n v="328677"/>
    <n v="32481"/>
    <n v="142023.85999999999"/>
    <n v="58"/>
    <n v="9.882346498233828E-2"/>
    <n v="1.2813315476740248"/>
    <n v="126.6256233323293"/>
    <n v="3.4124822526672354"/>
    <n v="2.4124822526672358"/>
    <n v="2023"/>
    <s v="February"/>
    <s v="Q1"/>
    <x v="1"/>
    <n v="4.3725211662202517"/>
    <n v="0.43210769235449997"/>
    <n v="717.56775862068969"/>
    <n v="2448.6872413793103"/>
    <n v="560.01724137931035"/>
    <n v="5666.8448275862065"/>
    <s v="Good"/>
    <x v="0"/>
  </r>
  <r>
    <x v="26"/>
    <x v="3"/>
    <x v="4"/>
    <x v="0"/>
    <x v="1"/>
    <n v="22158.26"/>
    <n v="814829"/>
    <n v="39347"/>
    <n v="127396.13"/>
    <n v="10"/>
    <n v="4.8288659338339701E-2"/>
    <n v="0.56314992248456042"/>
    <n v="27.193754763269347"/>
    <n v="5.7493742739727765"/>
    <n v="4.7493742739727765"/>
    <n v="2023"/>
    <s v="February"/>
    <s v="Q1"/>
    <x v="1"/>
    <n v="3.237759676722495"/>
    <n v="0.15634707404866544"/>
    <n v="2215.826"/>
    <n v="12739.613000000001"/>
    <n v="3934.7"/>
    <n v="81482.899999999994"/>
    <s v="Medium"/>
    <x v="0"/>
  </r>
  <r>
    <x v="27"/>
    <x v="2"/>
    <x v="2"/>
    <x v="0"/>
    <x v="0"/>
    <n v="2873.95"/>
    <n v="284680"/>
    <n v="10689"/>
    <n v="186601.57"/>
    <n v="6"/>
    <n v="3.7547421666432483E-2"/>
    <n v="0.26886986621760689"/>
    <n v="10.095370240269776"/>
    <n v="64.928606969501914"/>
    <n v="63.928606969501907"/>
    <n v="2023"/>
    <s v="February"/>
    <s v="Q1"/>
    <x v="1"/>
    <n v="17.457345869585556"/>
    <n v="0.65547832654208238"/>
    <n v="478.99166666666662"/>
    <n v="31100.261666666669"/>
    <n v="1781.5"/>
    <n v="47446.666666666664"/>
    <s v="Medium"/>
    <x v="0"/>
  </r>
  <r>
    <x v="28"/>
    <x v="1"/>
    <x v="3"/>
    <x v="3"/>
    <x v="1"/>
    <n v="4644.1499999999996"/>
    <n v="209429"/>
    <n v="48643"/>
    <n v="204560.71"/>
    <n v="42"/>
    <n v="0.23226487258211614"/>
    <n v="9.5474168945171967E-2"/>
    <n v="22.175295684933793"/>
    <n v="44.046964460665571"/>
    <n v="43.046964460665571"/>
    <n v="2023"/>
    <s v="February"/>
    <s v="Q1"/>
    <x v="1"/>
    <n v="4.2053473264395693"/>
    <n v="0.9767544609390294"/>
    <n v="110.57499999999999"/>
    <n v="4870.4930952380946"/>
    <n v="1158.1666666666667"/>
    <n v="4986.4047619047615"/>
    <s v="Excellent"/>
    <x v="0"/>
  </r>
  <r>
    <x v="29"/>
    <x v="1"/>
    <x v="4"/>
    <x v="3"/>
    <x v="0"/>
    <n v="1536.06"/>
    <n v="73182"/>
    <n v="4623"/>
    <n v="246603.63"/>
    <n v="33"/>
    <n v="6.3171271624169884E-2"/>
    <n v="0.33226476314081765"/>
    <n v="20.989587603509058"/>
    <n v="160.54296707159878"/>
    <n v="159.54296707159878"/>
    <n v="2023"/>
    <s v="February"/>
    <s v="Q1"/>
    <x v="1"/>
    <n v="53.34277092796885"/>
    <n v="3.3697306714765927"/>
    <n v="46.547272727272727"/>
    <n v="7472.8372727272726"/>
    <n v="140.09090909090909"/>
    <n v="2217.6363636363635"/>
    <s v="Good"/>
    <x v="0"/>
  </r>
  <r>
    <x v="13"/>
    <x v="3"/>
    <x v="4"/>
    <x v="5"/>
    <x v="2"/>
    <n v="3134.52"/>
    <n v="506756"/>
    <n v="34134"/>
    <n v="116962.2"/>
    <n v="8"/>
    <n v="6.7357860587738475E-2"/>
    <n v="9.1829847073299345E-2"/>
    <n v="6.1854620369566415"/>
    <n v="37.314229929941426"/>
    <n v="36.314229929941426"/>
    <n v="2023"/>
    <s v="February"/>
    <s v="Q1"/>
    <x v="1"/>
    <n v="3.4265600281244506"/>
    <n v="0.23080575266992398"/>
    <n v="391.815"/>
    <n v="14620.275"/>
    <n v="4266.75"/>
    <n v="63344.5"/>
    <s v="Good"/>
    <x v="0"/>
  </r>
  <r>
    <x v="30"/>
    <x v="3"/>
    <x v="0"/>
    <x v="2"/>
    <x v="2"/>
    <n v="7328.56"/>
    <n v="571479"/>
    <n v="19379"/>
    <n v="198449.01"/>
    <n v="54"/>
    <n v="3.3910257419782701E-2"/>
    <n v="0.37817018422003201"/>
    <n v="12.823848295387933"/>
    <n v="27.078854508934906"/>
    <n v="26.078854508934906"/>
    <n v="2023"/>
    <s v="February"/>
    <s v="Q1"/>
    <x v="1"/>
    <n v="10.240415398111358"/>
    <n v="0.34725512223546273"/>
    <n v="135.71407407407409"/>
    <n v="3674.981666666667"/>
    <n v="358.87037037037038"/>
    <n v="10582.944444444445"/>
    <s v="Medium"/>
    <x v="0"/>
  </r>
  <r>
    <x v="22"/>
    <x v="2"/>
    <x v="2"/>
    <x v="2"/>
    <x v="0"/>
    <n v="14367.96"/>
    <n v="403049"/>
    <n v="28325"/>
    <n v="40664.6"/>
    <n v="26"/>
    <n v="7.0276814977831475E-2"/>
    <n v="0.50725366284201234"/>
    <n v="35.648171810375409"/>
    <n v="2.8302278124382307"/>
    <n v="1.8302278124382307"/>
    <n v="2023"/>
    <s v="February"/>
    <s v="Q1"/>
    <x v="1"/>
    <n v="1.4356434245366283"/>
    <n v="0.100892447320301"/>
    <n v="552.61384615384611"/>
    <n v="1564.0230769230768"/>
    <n v="1089.4230769230769"/>
    <n v="15501.884615384615"/>
    <s v="Good"/>
    <x v="0"/>
  </r>
  <r>
    <x v="31"/>
    <x v="3"/>
    <x v="0"/>
    <x v="4"/>
    <x v="1"/>
    <n v="203.92"/>
    <n v="348542"/>
    <n v="45162"/>
    <n v="182442.07"/>
    <n v="58"/>
    <n v="0.1295740542029368"/>
    <n v="4.5153004738496963E-3"/>
    <n v="0.58506578834114675"/>
    <n v="894.67472538250308"/>
    <n v="893.67472538250297"/>
    <n v="2023"/>
    <s v="February"/>
    <s v="Q1"/>
    <x v="1"/>
    <n v="4.0397252114609632"/>
    <n v="0.52344357351481319"/>
    <n v="3.5158620689655171"/>
    <n v="3145.5529310344828"/>
    <n v="778.65517241379314"/>
    <n v="6009.3448275862065"/>
    <s v="Excellent"/>
    <x v="0"/>
  </r>
  <r>
    <x v="17"/>
    <x v="0"/>
    <x v="2"/>
    <x v="3"/>
    <x v="0"/>
    <n v="11447.64"/>
    <n v="184418"/>
    <n v="27233"/>
    <n v="125805.09"/>
    <n v="30"/>
    <n v="0.14766996713986705"/>
    <n v="0.42035912312268203"/>
    <n v="62.074417898469775"/>
    <n v="10.989609212029729"/>
    <n v="9.9896092120297286"/>
    <n v="2023"/>
    <s v="February"/>
    <s v="Q1"/>
    <x v="1"/>
    <n v="4.6195824918297657"/>
    <n v="0.68217359476840655"/>
    <n v="381.58799999999997"/>
    <n v="4193.5029999999997"/>
    <n v="907.76666666666665"/>
    <n v="6147.2666666666664"/>
    <s v="Excellent"/>
    <x v="0"/>
  </r>
  <r>
    <x v="25"/>
    <x v="3"/>
    <x v="2"/>
    <x v="1"/>
    <x v="1"/>
    <n v="1655.82"/>
    <n v="297745"/>
    <n v="27706"/>
    <n v="34218.46"/>
    <n v="57"/>
    <n v="9.3052780063477142E-2"/>
    <n v="5.9763950046921241E-2"/>
    <n v="5.5612016994407965"/>
    <n v="20.665567513377059"/>
    <n v="19.665567513377059"/>
    <n v="2023"/>
    <s v="February"/>
    <s v="Q1"/>
    <x v="1"/>
    <n v="1.235055944560745"/>
    <n v="0.11492538917530101"/>
    <n v="29.049473684210525"/>
    <n v="600.32385964912282"/>
    <n v="486.07017543859649"/>
    <n v="5223.5964912280706"/>
    <s v="Good"/>
    <x v="0"/>
  </r>
  <r>
    <x v="32"/>
    <x v="1"/>
    <x v="3"/>
    <x v="3"/>
    <x v="2"/>
    <n v="17594.61"/>
    <n v="477262"/>
    <n v="49438"/>
    <n v="150807.39000000001"/>
    <n v="49"/>
    <n v="0.10358670918698744"/>
    <n v="0.35589243092358108"/>
    <n v="36.865725743931009"/>
    <n v="8.571226642704783"/>
    <n v="7.5712266427047838"/>
    <n v="2023"/>
    <s v="February"/>
    <s v="Q1"/>
    <x v="1"/>
    <n v="3.0504346858691695"/>
    <n v="0.31598449069902906"/>
    <n v="359.07367346938776"/>
    <n v="3077.7018367346941"/>
    <n v="1008.9387755102041"/>
    <n v="9740.0408163265311"/>
    <s v="Excellent"/>
    <x v="0"/>
  </r>
  <r>
    <x v="16"/>
    <x v="1"/>
    <x v="2"/>
    <x v="2"/>
    <x v="0"/>
    <n v="11143.39"/>
    <n v="52859"/>
    <n v="24058"/>
    <n v="94776.08"/>
    <n v="13"/>
    <n v="0.45513536010896916"/>
    <n v="0.46318854435115137"/>
    <n v="210.8134849316105"/>
    <n v="8.5051389209208335"/>
    <n v="7.5051389209208335"/>
    <n v="2023"/>
    <s v="February"/>
    <s v="Q1"/>
    <x v="1"/>
    <n v="3.9394829162856433"/>
    <n v="1.7929979757467982"/>
    <n v="857.18384615384616"/>
    <n v="7290.4676923076922"/>
    <n v="1850.6153846153845"/>
    <n v="4066.0769230769229"/>
    <s v="Excellent"/>
    <x v="0"/>
  </r>
  <r>
    <x v="33"/>
    <x v="0"/>
    <x v="2"/>
    <x v="5"/>
    <x v="0"/>
    <n v="23750.9"/>
    <n v="791886"/>
    <n v="4265"/>
    <n v="121680.26"/>
    <n v="14"/>
    <n v="5.3858762498642477E-3"/>
    <n v="5.5687924970691682"/>
    <n v="29.992827250387052"/>
    <n v="5.1231852266650941"/>
    <n v="4.1231852266650941"/>
    <n v="2023"/>
    <s v="February"/>
    <s v="Q1"/>
    <x v="1"/>
    <n v="28.529955451348183"/>
    <n v="0.15365880947510122"/>
    <n v="1696.4928571428572"/>
    <n v="8691.4471428571433"/>
    <n v="304.64285714285717"/>
    <n v="56563.285714285717"/>
    <s v="Low"/>
    <x v="0"/>
  </r>
  <r>
    <x v="34"/>
    <x v="1"/>
    <x v="0"/>
    <x v="2"/>
    <x v="2"/>
    <n v="1223.3900000000001"/>
    <n v="894769"/>
    <n v="31191"/>
    <n v="126891.14"/>
    <n v="18"/>
    <n v="3.4859276528355361E-2"/>
    <n v="3.922253214068161E-2"/>
    <n v="1.3672690940343264"/>
    <n v="103.72092300901592"/>
    <n v="102.72092300901592"/>
    <n v="2023"/>
    <s v="February"/>
    <s v="Q1"/>
    <x v="1"/>
    <n v="4.0681972363822894"/>
    <n v="0.14181441243494131"/>
    <n v="67.966111111111118"/>
    <n v="7049.5077777777778"/>
    <n v="1732.8333333333333"/>
    <n v="49709.388888888891"/>
    <s v="Medium"/>
    <x v="0"/>
  </r>
  <r>
    <x v="15"/>
    <x v="2"/>
    <x v="1"/>
    <x v="0"/>
    <x v="2"/>
    <n v="2348.0700000000002"/>
    <n v="47604"/>
    <n v="30918"/>
    <n v="68754.87"/>
    <n v="18"/>
    <n v="0.64948323670279806"/>
    <n v="7.5945080535610332E-2"/>
    <n v="49.325056717922863"/>
    <n v="29.281439650436312"/>
    <n v="28.281439650436308"/>
    <n v="2023"/>
    <s v="February"/>
    <s v="Q1"/>
    <x v="1"/>
    <n v="2.2237812924509992"/>
    <n v="1.4443086715402067"/>
    <n v="130.44833333333335"/>
    <n v="3819.7149999999997"/>
    <n v="1717.6666666666667"/>
    <n v="2644.6666666666665"/>
    <s v="Excellent"/>
    <x v="0"/>
  </r>
  <r>
    <x v="21"/>
    <x v="3"/>
    <x v="4"/>
    <x v="4"/>
    <x v="0"/>
    <n v="4349.1400000000003"/>
    <n v="509988"/>
    <n v="39023"/>
    <n v="218266.86"/>
    <n v="50"/>
    <n v="7.6517486685961242E-2"/>
    <n v="0.11145068293057941"/>
    <n v="8.5279261472818959"/>
    <n v="50.186211526876569"/>
    <n v="49.186211526876569"/>
    <n v="2023"/>
    <s v="February"/>
    <s v="Q1"/>
    <x v="1"/>
    <n v="5.5932875483689104"/>
    <n v="0.42798430551307087"/>
    <n v="86.982800000000012"/>
    <n v="4365.3371999999999"/>
    <n v="780.46"/>
    <n v="10199.76"/>
    <s v="Good"/>
    <x v="0"/>
  </r>
  <r>
    <x v="10"/>
    <x v="1"/>
    <x v="4"/>
    <x v="0"/>
    <x v="0"/>
    <n v="3061.39"/>
    <n v="435151"/>
    <n v="39379"/>
    <n v="242464.7"/>
    <n v="16"/>
    <n v="9.0495023566532079E-2"/>
    <n v="7.7741689733106481E-2"/>
    <n v="7.0352360444994959"/>
    <n v="79.200853207203266"/>
    <n v="78.200853207203266"/>
    <n v="2023"/>
    <s v="February"/>
    <s v="Q1"/>
    <x v="1"/>
    <n v="6.1572081566317074"/>
    <n v="0.55719669723842991"/>
    <n v="191.33687499999999"/>
    <n v="15154.043750000001"/>
    <n v="2461.1875"/>
    <n v="27196.9375"/>
    <s v="Good"/>
    <x v="0"/>
  </r>
  <r>
    <x v="18"/>
    <x v="3"/>
    <x v="4"/>
    <x v="4"/>
    <x v="1"/>
    <n v="7788.02"/>
    <n v="339384"/>
    <n v="23015"/>
    <n v="152591.92000000001"/>
    <n v="14"/>
    <n v="6.7814039554015507E-2"/>
    <n v="0.33838887681946561"/>
    <n v="22.94751667727412"/>
    <n v="19.593159750488571"/>
    <n v="18.593159750488574"/>
    <n v="2023"/>
    <s v="February"/>
    <s v="Q1"/>
    <x v="1"/>
    <n v="6.6301073213121882"/>
    <n v="0.44961436013483258"/>
    <n v="556.28714285714284"/>
    <n v="10899.422857142858"/>
    <n v="1643.9285714285713"/>
    <n v="24241.714285714286"/>
    <s v="Good"/>
    <x v="0"/>
  </r>
  <r>
    <x v="35"/>
    <x v="3"/>
    <x v="4"/>
    <x v="2"/>
    <x v="0"/>
    <n v="10729.44"/>
    <n v="565736"/>
    <n v="8887"/>
    <n v="100162.67"/>
    <n v="41"/>
    <n v="1.5708740472587922E-2"/>
    <n v="1.2073185551929786"/>
    <n v="18.965453851266314"/>
    <n v="9.3353120013719249"/>
    <n v="8.3353120013719249"/>
    <n v="2023"/>
    <s v="March"/>
    <s v="Q1"/>
    <x v="2"/>
    <n v="11.270695397772027"/>
    <n v="0.17704842894919184"/>
    <n v="261.69365853658536"/>
    <n v="2442.991951219512"/>
    <n v="216.7560975609756"/>
    <n v="13798.439024390244"/>
    <s v="Low"/>
    <x v="0"/>
  </r>
  <r>
    <x v="8"/>
    <x v="3"/>
    <x v="3"/>
    <x v="3"/>
    <x v="0"/>
    <n v="20017.939999999999"/>
    <n v="29764"/>
    <n v="25173"/>
    <n v="99242.5"/>
    <n v="23"/>
    <n v="0.84575325897056852"/>
    <n v="0.79521471417788892"/>
    <n v="672.55543609729875"/>
    <n v="4.957677962867308"/>
    <n v="3.957677962867308"/>
    <n v="2023"/>
    <s v="March"/>
    <s v="Q1"/>
    <x v="2"/>
    <n v="3.9424184642275453"/>
    <n v="3.3343132643461901"/>
    <n v="870.34521739130435"/>
    <n v="4314.891304347826"/>
    <n v="1094.4782608695652"/>
    <n v="1294.0869565217392"/>
    <s v="Excellent"/>
    <x v="0"/>
  </r>
  <r>
    <x v="24"/>
    <x v="1"/>
    <x v="1"/>
    <x v="1"/>
    <x v="2"/>
    <n v="9764.52"/>
    <n v="506405"/>
    <n v="14086"/>
    <n v="18248.990000000002"/>
    <n v="57"/>
    <n v="2.7815681124791422E-2"/>
    <n v="0.69320744001135881"/>
    <n v="19.282037104688936"/>
    <n v="1.8689080466832984"/>
    <n v="0.86890804668329835"/>
    <n v="2023"/>
    <s v="March"/>
    <s v="Q1"/>
    <x v="2"/>
    <n v="1.2955409626579584"/>
    <n v="3.6036354301399079E-2"/>
    <n v="171.30736842105264"/>
    <n v="320.15771929824564"/>
    <n v="247.12280701754386"/>
    <n v="8884.2982456140344"/>
    <s v="Medium"/>
    <x v="0"/>
  </r>
  <r>
    <x v="21"/>
    <x v="2"/>
    <x v="2"/>
    <x v="5"/>
    <x v="1"/>
    <n v="43545.26"/>
    <n v="203871"/>
    <n v="26663"/>
    <n v="204152.64"/>
    <n v="51"/>
    <n v="0.13078368183802502"/>
    <n v="1.6331718111240296"/>
    <n v="213.59222253287618"/>
    <n v="4.6882861647857883"/>
    <n v="3.6882861647857883"/>
    <n v="2023"/>
    <s v="March"/>
    <s v="Q1"/>
    <x v="2"/>
    <n v="7.656776806810937"/>
    <n v="1.0013814618067307"/>
    <n v="853.82862745098043"/>
    <n v="4002.992941176471"/>
    <n v="522.8039215686274"/>
    <n v="3997.4705882352941"/>
    <s v="Excellent"/>
    <x v="0"/>
  </r>
  <r>
    <x v="7"/>
    <x v="1"/>
    <x v="4"/>
    <x v="5"/>
    <x v="0"/>
    <n v="1153.95"/>
    <n v="426297"/>
    <n v="34439"/>
    <n v="192424.11"/>
    <n v="36"/>
    <n v="8.0786400091954674E-2"/>
    <n v="3.3507070472429512E-2"/>
    <n v="2.7069156010950115"/>
    <n v="166.75255427011567"/>
    <n v="165.75255427011567"/>
    <n v="2023"/>
    <s v="March"/>
    <s v="Q1"/>
    <x v="2"/>
    <n v="5.5873895873863928"/>
    <n v="0.45138509067621868"/>
    <n v="32.054166666666667"/>
    <n v="5345.1141666666663"/>
    <n v="956.63888888888891"/>
    <n v="11841.583333333334"/>
    <s v="Good"/>
    <x v="0"/>
  </r>
  <r>
    <x v="21"/>
    <x v="3"/>
    <x v="3"/>
    <x v="4"/>
    <x v="0"/>
    <n v="17526.759999999998"/>
    <n v="828430"/>
    <n v="34459"/>
    <n v="220436.48000000001"/>
    <n v="25"/>
    <n v="4.1595548205642E-2"/>
    <n v="0.50862648364723295"/>
    <n v="21.156597419214659"/>
    <n v="12.577138044909614"/>
    <n v="11.577138044909614"/>
    <n v="2023"/>
    <s v="March"/>
    <s v="Q1"/>
    <x v="2"/>
    <n v="6.3970654981282102"/>
    <n v="0.26608944630204123"/>
    <n v="701.07039999999995"/>
    <n v="8817.4592000000011"/>
    <n v="1378.36"/>
    <n v="33137.199999999997"/>
    <s v="Medium"/>
    <x v="0"/>
  </r>
  <r>
    <x v="28"/>
    <x v="2"/>
    <x v="1"/>
    <x v="4"/>
    <x v="2"/>
    <n v="31329.84"/>
    <n v="762787"/>
    <n v="20722"/>
    <n v="57093.5"/>
    <n v="19"/>
    <n v="2.716616827502304E-2"/>
    <n v="1.511911977608339"/>
    <n v="41.072855200731006"/>
    <n v="1.8223361498175541"/>
    <n v="0.8223361498175541"/>
    <n v="2023"/>
    <s v="March"/>
    <s v="Q1"/>
    <x v="2"/>
    <n v="2.7552118521378244"/>
    <n v="7.4848548808514034E-2"/>
    <n v="1648.9389473684212"/>
    <n v="3004.9210526315787"/>
    <n v="1090.6315789473683"/>
    <n v="40146.684210526313"/>
    <s v="Medium"/>
    <x v="0"/>
  </r>
  <r>
    <x v="6"/>
    <x v="2"/>
    <x v="3"/>
    <x v="5"/>
    <x v="1"/>
    <n v="23102.55"/>
    <n v="319242"/>
    <n v="25099"/>
    <n v="103412.35"/>
    <n v="12"/>
    <n v="7.8620607564167624E-2"/>
    <n v="0.92045699031833939"/>
    <n v="72.366887815512996"/>
    <n v="4.4762309788313415"/>
    <n v="3.4762309788313415"/>
    <n v="2023"/>
    <s v="March"/>
    <s v="Q1"/>
    <x v="2"/>
    <n v="4.1201780947448112"/>
    <n v="0.32393090508141159"/>
    <n v="1925.2124999999999"/>
    <n v="8617.6958333333332"/>
    <n v="2091.5833333333335"/>
    <n v="26603.5"/>
    <s v="Good"/>
    <x v="0"/>
  </r>
  <r>
    <x v="26"/>
    <x v="2"/>
    <x v="0"/>
    <x v="5"/>
    <x v="2"/>
    <n v="8983.32"/>
    <n v="555073"/>
    <n v="6448"/>
    <n v="65565.490000000005"/>
    <n v="6"/>
    <n v="1.1616490083286343E-2"/>
    <n v="1.3931947890818859"/>
    <n v="16.184033451455935"/>
    <n v="7.2985811481723912"/>
    <n v="6.2985811481723912"/>
    <n v="2023"/>
    <s v="March"/>
    <s v="Q1"/>
    <x v="2"/>
    <n v="10.168345223325062"/>
    <n v="0.11812048145018764"/>
    <n v="1497.22"/>
    <n v="10927.581666666667"/>
    <n v="1074.6666666666667"/>
    <n v="92512.166666666672"/>
    <s v="Low"/>
    <x v="0"/>
  </r>
  <r>
    <x v="19"/>
    <x v="2"/>
    <x v="1"/>
    <x v="2"/>
    <x v="1"/>
    <n v="1858.17"/>
    <n v="334745"/>
    <n v="37177"/>
    <n v="115831.73"/>
    <n v="61"/>
    <n v="0.1110606581128919"/>
    <n v="4.9981709121230872E-2"/>
    <n v="5.5510015086110327"/>
    <n v="62.33645468390943"/>
    <n v="61.336454683909437"/>
    <n v="2023"/>
    <s v="March"/>
    <s v="Q1"/>
    <x v="2"/>
    <n v="3.1156825456599511"/>
    <n v="0.34602975399184455"/>
    <n v="30.461803278688524"/>
    <n v="1898.8808196721311"/>
    <n v="609.45901639344265"/>
    <n v="5487.622950819672"/>
    <s v="Excellent"/>
    <x v="0"/>
  </r>
  <r>
    <x v="24"/>
    <x v="2"/>
    <x v="0"/>
    <x v="2"/>
    <x v="2"/>
    <n v="26160.85"/>
    <n v="542280"/>
    <n v="36416"/>
    <n v="9981.91"/>
    <n v="39"/>
    <n v="6.7153500036881322E-2"/>
    <n v="0.71838889499121261"/>
    <n v="48.242328686287522"/>
    <n v="0.38155908542727013"/>
    <n v="-0.61844091457272987"/>
    <n v="2023"/>
    <s v="March"/>
    <s v="Q1"/>
    <x v="2"/>
    <n v="0.27410780975395432"/>
    <n v="1.8407298812421626E-2"/>
    <n v="670.79102564102561"/>
    <n v="255.94641025641025"/>
    <n v="933.74358974358972"/>
    <n v="13904.615384615385"/>
    <s v="Good"/>
    <x v="0"/>
  </r>
  <r>
    <x v="36"/>
    <x v="1"/>
    <x v="4"/>
    <x v="4"/>
    <x v="0"/>
    <n v="9873.3799999999992"/>
    <n v="236441"/>
    <n v="15369"/>
    <n v="85497.09"/>
    <n v="59"/>
    <n v="6.500141684394839E-2"/>
    <n v="0.64242175808445567"/>
    <n v="41.758324486869867"/>
    <n v="8.6593537370181242"/>
    <n v="7.6593537370181233"/>
    <n v="2023"/>
    <s v="March"/>
    <s v="Q1"/>
    <x v="2"/>
    <n v="5.562957251610384"/>
    <n v="0.36160010319699204"/>
    <n v="167.34542372881356"/>
    <n v="1449.103220338983"/>
    <n v="260.49152542372883"/>
    <n v="4007.4745762711864"/>
    <s v="Good"/>
    <x v="0"/>
  </r>
  <r>
    <x v="1"/>
    <x v="2"/>
    <x v="3"/>
    <x v="0"/>
    <x v="1"/>
    <n v="3110.98"/>
    <n v="286141"/>
    <n v="35594"/>
    <n v="94942.61"/>
    <n v="39"/>
    <n v="0.12439321872782999"/>
    <n v="8.7401809293701185E-2"/>
    <n v="10.872192380679456"/>
    <n v="30.518553639046218"/>
    <n v="29.518553639046218"/>
    <n v="2023"/>
    <s v="March"/>
    <s v="Q1"/>
    <x v="2"/>
    <n v="2.6673768050795079"/>
    <n v="0.33180358634379553"/>
    <n v="79.768717948717949"/>
    <n v="2434.4258974358972"/>
    <n v="912.66666666666663"/>
    <n v="7336.9487179487178"/>
    <s v="Excellent"/>
    <x v="0"/>
  </r>
  <r>
    <x v="17"/>
    <x v="2"/>
    <x v="1"/>
    <x v="1"/>
    <x v="0"/>
    <n v="43519.18"/>
    <n v="106214"/>
    <n v="48997"/>
    <n v="134968.26"/>
    <n v="15"/>
    <n v="0.46130453612518124"/>
    <n v="0.88820091025981185"/>
    <n v="409.73110889336624"/>
    <n v="3.1013511743557669"/>
    <n v="2.1013511743557673"/>
    <n v="2023"/>
    <s v="March"/>
    <s v="Q1"/>
    <x v="2"/>
    <n v="2.7546229360981287"/>
    <n v="1.2707200557365319"/>
    <n v="2901.2786666666666"/>
    <n v="8997.884"/>
    <n v="3266.4666666666667"/>
    <n v="7080.9333333333334"/>
    <s v="Excellent"/>
    <x v="0"/>
  </r>
  <r>
    <x v="37"/>
    <x v="3"/>
    <x v="1"/>
    <x v="4"/>
    <x v="2"/>
    <n v="44078.33"/>
    <n v="740650"/>
    <n v="42408"/>
    <n v="52193.72"/>
    <n v="46"/>
    <n v="5.7257814082225071E-2"/>
    <n v="1.0393871439351066"/>
    <n v="59.513035846891242"/>
    <n v="1.1841129189785546"/>
    <n v="0.18411291897855475"/>
    <n v="2023"/>
    <s v="March"/>
    <s v="Q1"/>
    <x v="2"/>
    <n v="1.2307517449537824"/>
    <n v="7.0470154593937753E-2"/>
    <n v="958.22456521739139"/>
    <n v="1134.6460869565217"/>
    <n v="921.91304347826087"/>
    <n v="16101.08695652174"/>
    <s v="Good"/>
    <x v="0"/>
  </r>
  <r>
    <x v="18"/>
    <x v="0"/>
    <x v="3"/>
    <x v="3"/>
    <x v="0"/>
    <n v="17390.07"/>
    <n v="117402"/>
    <n v="6863"/>
    <n v="81771.11"/>
    <n v="20"/>
    <n v="5.845726648609053E-2"/>
    <n v="2.5338875127495264"/>
    <n v="148.12413757857618"/>
    <n v="4.7021725616975667"/>
    <n v="3.7021725616975667"/>
    <n v="2023"/>
    <s v="March"/>
    <s v="Q1"/>
    <x v="2"/>
    <n v="11.914776336878916"/>
    <n v="0.69650525544709629"/>
    <n v="869.50350000000003"/>
    <n v="4088.5554999999999"/>
    <n v="343.15"/>
    <n v="5870.1"/>
    <s v="Good"/>
    <x v="0"/>
  </r>
  <r>
    <x v="38"/>
    <x v="1"/>
    <x v="0"/>
    <x v="1"/>
    <x v="1"/>
    <n v="2037.1"/>
    <n v="986292"/>
    <n v="15490"/>
    <n v="120378.44"/>
    <n v="12"/>
    <n v="1.5705288089125736E-2"/>
    <n v="0.13151065203357004"/>
    <n v="2.0654126769759866"/>
    <n v="59.093044033184434"/>
    <n v="58.093044033184427"/>
    <n v="2023"/>
    <s v="March"/>
    <s v="Q1"/>
    <x v="2"/>
    <n v="7.7713647514525501"/>
    <n v="0.12205152226723932"/>
    <n v="169.75833333333333"/>
    <n v="10031.536666666667"/>
    <n v="1290.8333333333333"/>
    <n v="82191"/>
    <s v="Low"/>
    <x v="0"/>
  </r>
  <r>
    <x v="11"/>
    <x v="2"/>
    <x v="4"/>
    <x v="3"/>
    <x v="1"/>
    <n v="52590.07"/>
    <n v="964911"/>
    <n v="26896"/>
    <n v="159553.84"/>
    <n v="53"/>
    <n v="2.7874073360133731E-2"/>
    <n v="1.9553119422962522"/>
    <n v="54.502508521511309"/>
    <n v="3.0339157183095593"/>
    <n v="2.0339157183095589"/>
    <n v="2023"/>
    <s v="March"/>
    <s v="Q1"/>
    <x v="2"/>
    <n v="5.9322516359309931"/>
    <n v="0.16535601729071386"/>
    <n v="992.26547169811317"/>
    <n v="3010.4498113207546"/>
    <n v="507.47169811320754"/>
    <n v="18205.867924528302"/>
    <s v="Medium"/>
    <x v="0"/>
  </r>
  <r>
    <x v="18"/>
    <x v="3"/>
    <x v="4"/>
    <x v="1"/>
    <x v="0"/>
    <n v="3726.35"/>
    <n v="988593"/>
    <n v="22972"/>
    <n v="220811.72"/>
    <n v="40"/>
    <n v="2.3237065202767974E-2"/>
    <n v="0.1622126937140867"/>
    <n v="3.7693469405508635"/>
    <n v="59.256838461228817"/>
    <n v="58.256838461228817"/>
    <n v="2023"/>
    <s v="March"/>
    <s v="Q1"/>
    <x v="2"/>
    <n v="9.6122113877764228"/>
    <n v="0.2233595827605496"/>
    <n v="93.158749999999998"/>
    <n v="5520.2929999999997"/>
    <n v="574.29999999999995"/>
    <n v="24714.825000000001"/>
    <s v="Medium"/>
    <x v="0"/>
  </r>
  <r>
    <x v="7"/>
    <x v="0"/>
    <x v="1"/>
    <x v="2"/>
    <x v="0"/>
    <n v="6264.99"/>
    <n v="957556"/>
    <n v="10803"/>
    <n v="103014.55"/>
    <n v="41"/>
    <n v="1.1281846701393965E-2"/>
    <n v="0.57993057484032207"/>
    <n v="6.5426878427997943"/>
    <n v="16.442891369339776"/>
    <n v="15.442891369339776"/>
    <n v="2023"/>
    <s v="March"/>
    <s v="Q1"/>
    <x v="2"/>
    <n v="9.5357354438581883"/>
    <n v="0.10758070546265702"/>
    <n v="152.80463414634147"/>
    <n v="2512.5500000000002"/>
    <n v="263.48780487804879"/>
    <n v="23355.024390243903"/>
    <s v="Low"/>
    <x v="0"/>
  </r>
  <r>
    <x v="35"/>
    <x v="3"/>
    <x v="2"/>
    <x v="0"/>
    <x v="2"/>
    <n v="5677.06"/>
    <n v="351849"/>
    <n v="26976"/>
    <n v="115479.32"/>
    <n v="54"/>
    <n v="7.6669253003419077E-2"/>
    <n v="0.21044854685646502"/>
    <n v="16.134932883140213"/>
    <n v="20.341395017843745"/>
    <n v="19.341395017843745"/>
    <n v="2023"/>
    <s v="March"/>
    <s v="Q1"/>
    <x v="2"/>
    <n v="4.2808170225385531"/>
    <n v="0.32820704336235146"/>
    <n v="105.13074074074075"/>
    <n v="2138.505925925926"/>
    <n v="499.55555555555554"/>
    <n v="6515.7222222222226"/>
    <s v="Good"/>
    <x v="0"/>
  </r>
  <r>
    <x v="20"/>
    <x v="1"/>
    <x v="1"/>
    <x v="5"/>
    <x v="1"/>
    <n v="44553.33"/>
    <n v="654883"/>
    <n v="39033"/>
    <n v="129231.62"/>
    <n v="47"/>
    <n v="5.96030130572942E-2"/>
    <n v="1.1414272538621166"/>
    <n v="68.032503515895215"/>
    <n v="2.9006051848425245"/>
    <n v="1.9006051848425245"/>
    <n v="2023"/>
    <s v="March"/>
    <s v="Q1"/>
    <x v="2"/>
    <n v="3.3108298106730203"/>
    <n v="0.19733543243602292"/>
    <n v="947.94319148936177"/>
    <n v="2749.6089361702125"/>
    <n v="830.48936170212767"/>
    <n v="13933.680851063829"/>
    <s v="Good"/>
    <x v="0"/>
  </r>
  <r>
    <x v="39"/>
    <x v="1"/>
    <x v="4"/>
    <x v="3"/>
    <x v="1"/>
    <n v="1300.24"/>
    <n v="165141"/>
    <n v="32627"/>
    <n v="41872.03"/>
    <n v="12"/>
    <n v="0.19757056091461236"/>
    <n v="3.9851656603426613E-2"/>
    <n v="7.8735141485155102"/>
    <n v="32.203308619947087"/>
    <n v="31.203308619947087"/>
    <n v="2023"/>
    <s v="March"/>
    <s v="Q1"/>
    <x v="2"/>
    <n v="1.2833551966162993"/>
    <n v="0.25355320604816489"/>
    <n v="108.35333333333334"/>
    <n v="3489.3358333333331"/>
    <n v="2718.9166666666665"/>
    <n v="13761.75"/>
    <s v="Excellent"/>
    <x v="0"/>
  </r>
  <r>
    <x v="26"/>
    <x v="3"/>
    <x v="2"/>
    <x v="5"/>
    <x v="1"/>
    <n v="7448.2"/>
    <n v="303586"/>
    <n v="11786"/>
    <n v="69419.72"/>
    <n v="43"/>
    <n v="3.8822607103094348E-2"/>
    <n v="0.63195316477176311"/>
    <n v="24.534069423491204"/>
    <n v="9.3203351145243154"/>
    <n v="8.3203351145243154"/>
    <n v="2023"/>
    <s v="March"/>
    <s v="Q1"/>
    <x v="2"/>
    <n v="5.8900152723570338"/>
    <n v="0.22866574874994236"/>
    <n v="173.21395348837208"/>
    <n v="1614.4120930232559"/>
    <n v="274.09302325581393"/>
    <n v="7060.1395348837214"/>
    <s v="Medium"/>
    <x v="0"/>
  </r>
  <r>
    <x v="24"/>
    <x v="1"/>
    <x v="3"/>
    <x v="2"/>
    <x v="1"/>
    <n v="3468.67"/>
    <n v="374831"/>
    <n v="28562"/>
    <n v="107047.82"/>
    <n v="55"/>
    <n v="7.619967398640988E-2"/>
    <n v="0.12144352636370002"/>
    <n v="9.253957116673913"/>
    <n v="30.861344549928361"/>
    <n v="29.861344549928361"/>
    <n v="2023"/>
    <s v="March"/>
    <s v="Q1"/>
    <x v="2"/>
    <n v="3.7479105104684547"/>
    <n v="0.28558955902793526"/>
    <n v="63.066727272727277"/>
    <n v="1946.3240000000001"/>
    <n v="519.30909090909086"/>
    <n v="6815.1090909090908"/>
    <s v="Good"/>
    <x v="0"/>
  </r>
  <r>
    <x v="36"/>
    <x v="3"/>
    <x v="1"/>
    <x v="2"/>
    <x v="2"/>
    <n v="32644.18"/>
    <n v="262528"/>
    <n v="32715"/>
    <n v="228643.11"/>
    <n v="45"/>
    <n v="0.12461527913213066"/>
    <n v="0.99783524377197008"/>
    <n v="124.34551743052171"/>
    <n v="7.0041002714725868"/>
    <n v="6.0041002714725868"/>
    <n v="2023"/>
    <s v="March"/>
    <s v="Q1"/>
    <x v="2"/>
    <n v="6.98893810178817"/>
    <n v="0.87092847239151627"/>
    <n v="725.42622222222224"/>
    <n v="5080.9579999999996"/>
    <n v="727"/>
    <n v="5833.9555555555553"/>
    <s v="Excellent"/>
    <x v="0"/>
  </r>
  <r>
    <x v="16"/>
    <x v="0"/>
    <x v="3"/>
    <x v="3"/>
    <x v="2"/>
    <n v="6650.27"/>
    <n v="897240"/>
    <n v="39730"/>
    <n v="119847.06"/>
    <n v="50"/>
    <n v="4.4280237171771208E-2"/>
    <n v="0.16738660961490059"/>
    <n v="7.4119187731264766"/>
    <n v="18.021382590481288"/>
    <n v="17.021382590481288"/>
    <n v="2023"/>
    <s v="March"/>
    <s v="Q1"/>
    <x v="2"/>
    <n v="3.0165381323936571"/>
    <n v="0.13357302394008291"/>
    <n v="133.00540000000001"/>
    <n v="2396.9411999999998"/>
    <n v="794.6"/>
    <n v="17944.8"/>
    <s v="Medium"/>
    <x v="0"/>
  </r>
  <r>
    <x v="31"/>
    <x v="2"/>
    <x v="1"/>
    <x v="4"/>
    <x v="1"/>
    <n v="2874.7"/>
    <n v="389895"/>
    <n v="42916"/>
    <n v="123617.86"/>
    <n v="28"/>
    <n v="0.1100706600495005"/>
    <n v="6.698434150433405E-2"/>
    <n v="7.3730106823631996"/>
    <n v="43.002003687341293"/>
    <n v="42.002003687341293"/>
    <n v="2023"/>
    <s v="March"/>
    <s v="Q1"/>
    <x v="2"/>
    <n v="2.8804609003635009"/>
    <n v="0.31705423254978904"/>
    <n v="102.66785714285713"/>
    <n v="4414.9235714285714"/>
    <n v="1532.7142857142858"/>
    <n v="13924.821428571429"/>
    <s v="Excellent"/>
    <x v="0"/>
  </r>
  <r>
    <x v="40"/>
    <x v="3"/>
    <x v="3"/>
    <x v="4"/>
    <x v="2"/>
    <n v="48220.480000000003"/>
    <n v="246588"/>
    <n v="45290"/>
    <n v="108835.96"/>
    <n v="42"/>
    <n v="0.18366668288805618"/>
    <n v="1.0647047913446677"/>
    <n v="195.55079728129513"/>
    <n v="2.2570484574189225"/>
    <n v="1.2570484574189225"/>
    <n v="2023"/>
    <s v="March"/>
    <s v="Q1"/>
    <x v="2"/>
    <n v="2.4030903069110181"/>
    <n v="0.44136762535078755"/>
    <n v="1148.1066666666668"/>
    <n v="2591.3323809523813"/>
    <n v="1078.3333333333333"/>
    <n v="5871.1428571428569"/>
    <s v="Excellent"/>
    <x v="0"/>
  </r>
  <r>
    <x v="37"/>
    <x v="2"/>
    <x v="2"/>
    <x v="5"/>
    <x v="1"/>
    <n v="4319.8900000000003"/>
    <n v="509387"/>
    <n v="14176"/>
    <n v="114310.2"/>
    <n v="11"/>
    <n v="2.7829528433195194E-2"/>
    <n v="0.30473264672686234"/>
    <n v="8.4805658566080417"/>
    <n v="26.461368229283615"/>
    <n v="25.461368229283615"/>
    <n v="2023"/>
    <s v="March"/>
    <s v="Q1"/>
    <x v="2"/>
    <n v="8.063642776523702"/>
    <n v="0.22440737592439539"/>
    <n v="392.71727272727276"/>
    <n v="10391.836363636363"/>
    <n v="1288.7272727272727"/>
    <n v="46307.909090909088"/>
    <s v="Medium"/>
    <x v="0"/>
  </r>
  <r>
    <x v="41"/>
    <x v="1"/>
    <x v="0"/>
    <x v="4"/>
    <x v="2"/>
    <n v="24433.71"/>
    <n v="617497"/>
    <n v="6877"/>
    <n v="32178.22"/>
    <n v="15"/>
    <n v="1.1136896211641514E-2"/>
    <n v="3.5529605932819543"/>
    <n v="39.568953371433381"/>
    <n v="1.316960052321158"/>
    <n v="0.31696005232115804"/>
    <n v="2023"/>
    <s v="March"/>
    <s v="Q1"/>
    <x v="2"/>
    <n v="4.6791071688236148"/>
    <n v="5.2110730902336366E-2"/>
    <n v="1628.914"/>
    <n v="2145.2146666666667"/>
    <n v="458.46666666666664"/>
    <n v="41166.466666666667"/>
    <s v="Low"/>
    <x v="0"/>
  </r>
  <r>
    <x v="30"/>
    <x v="3"/>
    <x v="1"/>
    <x v="1"/>
    <x v="2"/>
    <n v="22917.31"/>
    <n v="200556"/>
    <n v="3395"/>
    <n v="68738.3"/>
    <n v="47"/>
    <n v="1.6927940325894016E-2"/>
    <n v="6.7503122238586162"/>
    <n v="114.26888250663157"/>
    <n v="2.999405253059805"/>
    <n v="1.9994052530598052"/>
    <n v="2023"/>
    <s v="March"/>
    <s v="Q1"/>
    <x v="2"/>
    <n v="20.246921944035346"/>
    <n v="0.34273868645166439"/>
    <n v="487.60234042553196"/>
    <n v="1462.5170212765959"/>
    <n v="72.234042553191486"/>
    <n v="4267.1489361702124"/>
    <s v="Low"/>
    <x v="0"/>
  </r>
  <r>
    <x v="22"/>
    <x v="0"/>
    <x v="3"/>
    <x v="0"/>
    <x v="1"/>
    <n v="12959.16"/>
    <n v="763800"/>
    <n v="48600"/>
    <n v="220569.53"/>
    <n v="8"/>
    <n v="6.3629222309505101E-2"/>
    <n v="0.26664938271604938"/>
    <n v="16.966692851531814"/>
    <n v="17.020357029313629"/>
    <n v="16.020357029313629"/>
    <n v="2023"/>
    <s v="March"/>
    <s v="Q1"/>
    <x v="2"/>
    <n v="4.5384676954732512"/>
    <n v="0.28877916993977482"/>
    <n v="1619.895"/>
    <n v="27571.19125"/>
    <n v="6075"/>
    <n v="95475"/>
    <s v="Good"/>
    <x v="0"/>
  </r>
  <r>
    <x v="17"/>
    <x v="2"/>
    <x v="0"/>
    <x v="4"/>
    <x v="2"/>
    <n v="31199.599999999999"/>
    <n v="546521"/>
    <n v="40212"/>
    <n v="237689.7"/>
    <n v="39"/>
    <n v="7.357814246845043E-2"/>
    <n v="0.77587784740873367"/>
    <n v="57.087650794754452"/>
    <n v="7.6183572866318805"/>
    <n v="6.6183572866318805"/>
    <n v="2023"/>
    <s v="March"/>
    <s v="Q1"/>
    <x v="2"/>
    <n v="5.9109146523425844"/>
    <n v="0.43491412040891386"/>
    <n v="799.98974358974351"/>
    <n v="6094.6076923076926"/>
    <n v="1031.0769230769231"/>
    <n v="14013.358974358975"/>
    <s v="Good"/>
    <x v="0"/>
  </r>
  <r>
    <x v="12"/>
    <x v="2"/>
    <x v="4"/>
    <x v="0"/>
    <x v="2"/>
    <n v="40609.19"/>
    <n v="977301"/>
    <n v="26114"/>
    <n v="193213.08"/>
    <n v="17"/>
    <n v="2.6720529294454832E-2"/>
    <n v="1.5550735237803477"/>
    <n v="41.552387647203886"/>
    <n v="4.7578658919323429"/>
    <n v="3.7578658919323429"/>
    <n v="2023"/>
    <s v="March"/>
    <s v="Q1"/>
    <x v="2"/>
    <n v="7.3988312782415555"/>
    <n v="0.19770068791498216"/>
    <n v="2388.7758823529412"/>
    <n v="11365.475294117647"/>
    <n v="1536.1176470588234"/>
    <n v="57488.294117647056"/>
    <s v="Medium"/>
    <x v="0"/>
  </r>
  <r>
    <x v="3"/>
    <x v="1"/>
    <x v="1"/>
    <x v="0"/>
    <x v="2"/>
    <n v="21081.41"/>
    <n v="943320"/>
    <n v="45540"/>
    <n v="20931.91"/>
    <n v="9"/>
    <n v="4.8276300725098586E-2"/>
    <n v="0.46292072902942466"/>
    <n v="22.34810032650638"/>
    <n v="0.99290844397979072"/>
    <n v="-7.0915560202092741E-3"/>
    <n v="2023"/>
    <s v="March"/>
    <s v="Q1"/>
    <x v="2"/>
    <n v="0.45963790074659638"/>
    <n v="2.2189617521095703E-2"/>
    <n v="2342.3788888888889"/>
    <n v="2325.7677777777776"/>
    <n v="5060"/>
    <n v="104813.33333333333"/>
    <s v="Medium"/>
    <x v="0"/>
  </r>
  <r>
    <x v="3"/>
    <x v="1"/>
    <x v="4"/>
    <x v="3"/>
    <x v="1"/>
    <n v="2520.91"/>
    <n v="110879"/>
    <n v="13439"/>
    <n v="13143.6"/>
    <n v="43"/>
    <n v="0.12120419556453431"/>
    <n v="0.18758166530247786"/>
    <n v="22.735684845642545"/>
    <n v="5.2138315132233997"/>
    <n v="4.2138315132233997"/>
    <n v="2023"/>
    <s v="March"/>
    <s v="Q1"/>
    <x v="2"/>
    <n v="0.97801919785698344"/>
    <n v="0.1185400301229268"/>
    <n v="58.625813953488368"/>
    <n v="305.66511627906976"/>
    <n v="312.53488372093022"/>
    <n v="2578.5813953488373"/>
    <s v="Excellent"/>
    <x v="0"/>
  </r>
  <r>
    <x v="42"/>
    <x v="3"/>
    <x v="0"/>
    <x v="1"/>
    <x v="0"/>
    <n v="19885.669999999998"/>
    <n v="879749"/>
    <n v="19933"/>
    <n v="57954.27"/>
    <n v="37"/>
    <n v="2.2657598928785369E-2"/>
    <n v="0.99762554557768512"/>
    <n v="22.60379949280988"/>
    <n v="2.9143735162053881"/>
    <n v="1.9143735162053881"/>
    <n v="2023"/>
    <s v="March"/>
    <s v="Q1"/>
    <x v="2"/>
    <n v="2.907453469121557"/>
    <n v="6.5875914607461894E-2"/>
    <n v="537.45054054054049"/>
    <n v="1566.3316216216215"/>
    <n v="538.72972972972968"/>
    <n v="23777"/>
    <s v="Medium"/>
    <x v="0"/>
  </r>
  <r>
    <x v="22"/>
    <x v="1"/>
    <x v="0"/>
    <x v="0"/>
    <x v="1"/>
    <n v="16865.55"/>
    <n v="424337"/>
    <n v="26671"/>
    <n v="148589.64000000001"/>
    <n v="23"/>
    <n v="6.2853345336371796E-2"/>
    <n v="0.63235536725282138"/>
    <n v="39.745650273249801"/>
    <n v="8.8102457376130641"/>
    <n v="7.810245737613065"/>
    <n v="2023"/>
    <s v="March"/>
    <s v="Q1"/>
    <x v="2"/>
    <n v="5.5712061789959133"/>
    <n v="0.35016894590855857"/>
    <n v="733.28478260869565"/>
    <n v="6460.4191304347833"/>
    <n v="1159.608695652174"/>
    <n v="18449.434782608696"/>
    <s v="Good"/>
    <x v="0"/>
  </r>
  <r>
    <x v="43"/>
    <x v="0"/>
    <x v="3"/>
    <x v="4"/>
    <x v="2"/>
    <n v="1230.98"/>
    <n v="775470"/>
    <n v="25267"/>
    <n v="91126.23"/>
    <n v="12"/>
    <n v="3.2582820740969992E-2"/>
    <n v="4.8718882336644634E-2"/>
    <n v="1.5873986098753015"/>
    <n v="74.027384685372624"/>
    <n v="73.027384685372624"/>
    <n v="2023"/>
    <s v="March"/>
    <s v="Q1"/>
    <x v="2"/>
    <n v="3.606531444176198"/>
    <n v="0.11751096754226469"/>
    <n v="102.58166666666666"/>
    <n v="7593.8525"/>
    <n v="2105.5833333333335"/>
    <n v="64622.5"/>
    <s v="Medium"/>
    <x v="0"/>
  </r>
  <r>
    <x v="44"/>
    <x v="0"/>
    <x v="3"/>
    <x v="1"/>
    <x v="2"/>
    <n v="4784.3500000000004"/>
    <n v="992736"/>
    <n v="12431"/>
    <n v="187431.35"/>
    <n v="13"/>
    <n v="1.2521959513909036E-2"/>
    <n v="0.38487249617890762"/>
    <n v="4.8193578151693908"/>
    <n v="39.175927764482111"/>
    <n v="38.175927764482111"/>
    <n v="2023"/>
    <s v="March"/>
    <s v="Q1"/>
    <x v="2"/>
    <n v="15.077737108840802"/>
    <n v="0.1888028136382684"/>
    <n v="368.02692307692308"/>
    <n v="14417.796153846155"/>
    <n v="956.23076923076928"/>
    <n v="76364.307692307688"/>
    <s v="Low"/>
    <x v="0"/>
  </r>
  <r>
    <x v="11"/>
    <x v="0"/>
    <x v="2"/>
    <x v="3"/>
    <x v="1"/>
    <n v="6602.5"/>
    <n v="139592"/>
    <n v="29904"/>
    <n v="95303.49"/>
    <n v="56"/>
    <n v="0.21422431084875923"/>
    <n v="0.22078986088817548"/>
    <n v="47.298555791162812"/>
    <n v="14.434455130632337"/>
    <n v="13.434455130632337"/>
    <n v="2023"/>
    <s v="April"/>
    <s v="Q2"/>
    <x v="3"/>
    <n v="3.1869813402889249"/>
    <n v="0.68272888131124998"/>
    <n v="117.90178571428571"/>
    <n v="1701.8480357142857"/>
    <n v="534"/>
    <n v="2492.7142857142858"/>
    <s v="Excellent"/>
    <x v="0"/>
  </r>
  <r>
    <x v="39"/>
    <x v="0"/>
    <x v="3"/>
    <x v="0"/>
    <x v="1"/>
    <n v="15092.88"/>
    <n v="748936"/>
    <n v="45770"/>
    <n v="152809.10999999999"/>
    <n v="16"/>
    <n v="6.1113366162128674E-2"/>
    <n v="0.32975486126283587"/>
    <n v="20.152429580097628"/>
    <n v="10.124582584635935"/>
    <n v="9.1245825846359327"/>
    <n v="2023"/>
    <s v="April"/>
    <s v="Q2"/>
    <x v="3"/>
    <n v="3.338630325540747"/>
    <n v="0.20403493756475852"/>
    <n v="943.30499999999995"/>
    <n v="9550.5693749999991"/>
    <n v="2860.625"/>
    <n v="46808.5"/>
    <s v="Good"/>
    <x v="0"/>
  </r>
  <r>
    <x v="28"/>
    <x v="0"/>
    <x v="1"/>
    <x v="2"/>
    <x v="0"/>
    <n v="462.23"/>
    <n v="450656"/>
    <n v="20519"/>
    <n v="197502.71"/>
    <n v="15"/>
    <n v="4.5531403110132783E-2"/>
    <n v="2.2526926263463132E-2"/>
    <n v="1.025682560533977"/>
    <n v="427.2823269800748"/>
    <n v="426.2823269800748"/>
    <n v="2023"/>
    <s v="April"/>
    <s v="Q2"/>
    <x v="3"/>
    <n v="9.6253574735610901"/>
    <n v="0.43825603120783924"/>
    <n v="30.815333333333335"/>
    <n v="13166.847333333333"/>
    <n v="1367.9333333333334"/>
    <n v="30043.733333333334"/>
    <s v="Medium"/>
    <x v="0"/>
  </r>
  <r>
    <x v="3"/>
    <x v="1"/>
    <x v="2"/>
    <x v="5"/>
    <x v="1"/>
    <n v="2715.3"/>
    <n v="790758"/>
    <n v="48517"/>
    <n v="96298.48"/>
    <n v="59"/>
    <n v="6.1355054264389357E-2"/>
    <n v="5.5965950079353635E-2"/>
    <n v="3.4337939040768481"/>
    <n v="35.465134607594003"/>
    <n v="34.465134607594003"/>
    <n v="2023"/>
    <s v="April"/>
    <s v="Q2"/>
    <x v="3"/>
    <n v="1.9848399530061627"/>
    <n v="0.12177996302282114"/>
    <n v="46.022033898305089"/>
    <n v="1632.1776271186441"/>
    <n v="822.32203389830511"/>
    <n v="13402.677966101695"/>
    <s v="Good"/>
    <x v="0"/>
  </r>
  <r>
    <x v="14"/>
    <x v="1"/>
    <x v="3"/>
    <x v="5"/>
    <x v="2"/>
    <n v="5622.31"/>
    <n v="508560"/>
    <n v="116"/>
    <n v="84217.78"/>
    <n v="57"/>
    <n v="2.28095013371087E-4"/>
    <n v="48.468189655172417"/>
    <n v="11.055352367468933"/>
    <n v="14.97921317038726"/>
    <n v="13.97921317038726"/>
    <n v="2023"/>
    <s v="April"/>
    <s v="Q2"/>
    <x v="3"/>
    <n v="726.0153448275862"/>
    <n v="0.1656004797860626"/>
    <n v="98.637017543859656"/>
    <n v="1477.5049122807018"/>
    <n v="2.0350877192982457"/>
    <n v="8922.105263157895"/>
    <s v="Low"/>
    <x v="0"/>
  </r>
  <r>
    <x v="38"/>
    <x v="3"/>
    <x v="2"/>
    <x v="0"/>
    <x v="0"/>
    <n v="34999.21"/>
    <n v="806456"/>
    <n v="41068"/>
    <n v="19712.82"/>
    <n v="49"/>
    <n v="5.0924042973206227E-2"/>
    <n v="0.85222582059024055"/>
    <n v="43.398784310613351"/>
    <n v="0.56323614161576785"/>
    <n v="-0.4367638583842321"/>
    <n v="2023"/>
    <s v="April"/>
    <s v="Q2"/>
    <x v="3"/>
    <n v="0.48000438297457876"/>
    <n v="2.4443763825924787E-2"/>
    <n v="714.26959183673466"/>
    <n v="402.30244897959182"/>
    <n v="838.12244897959181"/>
    <n v="16458.285714285714"/>
    <s v="Good"/>
    <x v="0"/>
  </r>
  <r>
    <x v="13"/>
    <x v="1"/>
    <x v="0"/>
    <x v="4"/>
    <x v="1"/>
    <n v="8640.65"/>
    <n v="291502"/>
    <n v="24818"/>
    <n v="170049.62"/>
    <n v="40"/>
    <n v="8.5138352395523878E-2"/>
    <n v="0.34816060923523245"/>
    <n v="29.641820639309508"/>
    <n v="19.680188411751431"/>
    <n v="18.680188411751431"/>
    <n v="2023"/>
    <s v="April"/>
    <s v="Q2"/>
    <x v="3"/>
    <n v="6.8518663872995402"/>
    <n v="0.58335661504895331"/>
    <n v="216.01624999999999"/>
    <n v="4251.2404999999999"/>
    <n v="620.45000000000005"/>
    <n v="7287.55"/>
    <s v="Good"/>
    <x v="0"/>
  </r>
  <r>
    <x v="36"/>
    <x v="1"/>
    <x v="0"/>
    <x v="4"/>
    <x v="2"/>
    <n v="13794.09"/>
    <n v="335498"/>
    <n v="14822"/>
    <n v="202607.91"/>
    <n v="58"/>
    <n v="4.417910091863439E-2"/>
    <n v="0.93064970989070306"/>
    <n v="41.115267453159191"/>
    <n v="14.688022914161065"/>
    <n v="13.688022914161065"/>
    <n v="2023"/>
    <s v="April"/>
    <s v="Q2"/>
    <x v="3"/>
    <n v="13.669404263931993"/>
    <n v="0.60390199047386273"/>
    <n v="237.8291379310345"/>
    <n v="3493.239827586207"/>
    <n v="255.55172413793105"/>
    <n v="5784.4482758620688"/>
    <s v="Medium"/>
    <x v="0"/>
  </r>
  <r>
    <x v="45"/>
    <x v="1"/>
    <x v="3"/>
    <x v="3"/>
    <x v="0"/>
    <n v="8853.65"/>
    <n v="519231"/>
    <n v="31646"/>
    <n v="57368.09"/>
    <n v="54"/>
    <n v="6.0947824763929737E-2"/>
    <n v="0.27977153510712255"/>
    <n v="17.051466495644519"/>
    <n v="6.4795976800528594"/>
    <n v="5.4795976800528594"/>
    <n v="2023"/>
    <s v="April"/>
    <s v="Q2"/>
    <x v="3"/>
    <n v="1.8128069898249384"/>
    <n v="0.11048664274667729"/>
    <n v="163.95648148148146"/>
    <n v="1062.372037037037"/>
    <n v="586.03703703703707"/>
    <n v="9615.3888888888887"/>
    <s v="Good"/>
    <x v="0"/>
  </r>
  <r>
    <x v="36"/>
    <x v="2"/>
    <x v="4"/>
    <x v="5"/>
    <x v="1"/>
    <n v="54404.03"/>
    <n v="493863"/>
    <n v="7798"/>
    <n v="163688.87"/>
    <n v="20"/>
    <n v="1.578980405497071E-2"/>
    <n v="6.9766645293665039"/>
    <n v="110.16016587596154"/>
    <n v="3.0087636890134792"/>
    <n v="2.0087636890134792"/>
    <n v="2023"/>
    <s v="April"/>
    <s v="Q2"/>
    <x v="3"/>
    <n v="20.991134906386254"/>
    <n v="0.33144590706329485"/>
    <n v="2720.2015000000001"/>
    <n v="8184.4434999999994"/>
    <n v="389.9"/>
    <n v="24693.15"/>
    <s v="Low"/>
    <x v="0"/>
  </r>
  <r>
    <x v="6"/>
    <x v="1"/>
    <x v="2"/>
    <x v="3"/>
    <x v="0"/>
    <n v="53.48"/>
    <n v="817437"/>
    <n v="38981"/>
    <n v="42496.91"/>
    <n v="11"/>
    <n v="4.76868553784573E-2"/>
    <n v="1.3719504373925758E-3"/>
    <n v="6.5424002094350994E-2"/>
    <n v="794.63182498130152"/>
    <n v="793.63182498130152"/>
    <n v="2023"/>
    <s v="April"/>
    <s v="Q2"/>
    <x v="3"/>
    <n v="1.0901954798491573"/>
    <n v="5.1987994181814629E-2"/>
    <n v="4.8618181818181814"/>
    <n v="3863.3554545454549"/>
    <n v="3543.7272727272725"/>
    <n v="74312.454545454544"/>
    <s v="Medium"/>
    <x v="0"/>
  </r>
  <r>
    <x v="28"/>
    <x v="1"/>
    <x v="1"/>
    <x v="0"/>
    <x v="2"/>
    <n v="11098.45"/>
    <n v="889037"/>
    <n v="13729"/>
    <n v="100746.05"/>
    <n v="10"/>
    <n v="1.5442551884792197E-2"/>
    <n v="0.8083946390851483"/>
    <n v="12.483676157460264"/>
    <n v="9.0774882979154743"/>
    <n v="8.0774882979154743"/>
    <n v="2023"/>
    <s v="April"/>
    <s v="Q2"/>
    <x v="3"/>
    <n v="7.3381928763930366"/>
    <n v="0.11332042423431196"/>
    <n v="1109.845"/>
    <n v="10074.605"/>
    <n v="1372.9"/>
    <n v="88903.7"/>
    <s v="Low"/>
    <x v="0"/>
  </r>
  <r>
    <x v="46"/>
    <x v="3"/>
    <x v="4"/>
    <x v="1"/>
    <x v="0"/>
    <n v="4612.68"/>
    <n v="287860"/>
    <n v="24157"/>
    <n v="222958.21"/>
    <n v="8"/>
    <n v="8.3919266310011814E-2"/>
    <n v="0.19094589559961916"/>
    <n v="16.024039463628153"/>
    <n v="48.335937025763762"/>
    <n v="47.335937025763762"/>
    <n v="2023"/>
    <s v="April"/>
    <s v="Q2"/>
    <x v="3"/>
    <n v="9.2295487850312536"/>
    <n v="0.77453696241228376"/>
    <n v="576.58500000000004"/>
    <n v="27869.776249999999"/>
    <n v="3019.625"/>
    <n v="35982.5"/>
    <s v="Good"/>
    <x v="0"/>
  </r>
  <r>
    <x v="47"/>
    <x v="0"/>
    <x v="1"/>
    <x v="5"/>
    <x v="1"/>
    <n v="14177.18"/>
    <n v="881861"/>
    <n v="39794"/>
    <n v="215529.25"/>
    <n v="53"/>
    <n v="4.5125025372479338E-2"/>
    <n v="0.35626426094386088"/>
    <n v="16.076433814399323"/>
    <n v="15.202547333108559"/>
    <n v="14.202547333108559"/>
    <n v="2023"/>
    <s v="April"/>
    <s v="Q2"/>
    <x v="3"/>
    <n v="5.4161242900939843"/>
    <n v="0.24440274601099266"/>
    <n v="267.49396226415092"/>
    <n v="4066.5896226415093"/>
    <n v="750.83018867924534"/>
    <n v="16638.886792452831"/>
    <s v="Medium"/>
    <x v="0"/>
  </r>
  <r>
    <x v="16"/>
    <x v="0"/>
    <x v="2"/>
    <x v="3"/>
    <x v="0"/>
    <n v="10906.62"/>
    <n v="65021"/>
    <n v="7790"/>
    <n v="245167.81"/>
    <n v="28"/>
    <n v="0.11980744682487196"/>
    <n v="1.4000795892169449"/>
    <n v="167.7399609356977"/>
    <n v="22.478807366535186"/>
    <n v="21.478807366535186"/>
    <n v="2023"/>
    <s v="April"/>
    <s v="Q2"/>
    <x v="3"/>
    <n v="31.472119383825415"/>
    <n v="3.770594269543686"/>
    <n v="389.52214285714291"/>
    <n v="8755.9932142857142"/>
    <n v="278.21428571428572"/>
    <n v="2322.1785714285716"/>
    <s v="Excellent"/>
    <x v="0"/>
  </r>
  <r>
    <x v="31"/>
    <x v="3"/>
    <x v="2"/>
    <x v="1"/>
    <x v="2"/>
    <n v="12592.92"/>
    <n v="813726"/>
    <n v="30600"/>
    <n v="120283.74"/>
    <n v="35"/>
    <n v="3.7604795717477379E-2"/>
    <n v="0.41153333333333336"/>
    <n v="15.475626930932524"/>
    <n v="9.5516957147349473"/>
    <n v="8.5516957147349473"/>
    <n v="2023"/>
    <s v="April"/>
    <s v="Q2"/>
    <x v="3"/>
    <n v="3.9308411764705884"/>
    <n v="0.14781847943902493"/>
    <n v="359.79771428571428"/>
    <n v="3436.6782857142857"/>
    <n v="874.28571428571433"/>
    <n v="23249.314285714285"/>
    <s v="Medium"/>
    <x v="0"/>
  </r>
  <r>
    <x v="43"/>
    <x v="3"/>
    <x v="3"/>
    <x v="1"/>
    <x v="0"/>
    <n v="19736.900000000001"/>
    <n v="447090"/>
    <n v="42994"/>
    <n v="75643.360000000001"/>
    <n v="10"/>
    <n v="9.6164083294191322E-2"/>
    <n v="0.45906172954365732"/>
    <n v="44.145250397011786"/>
    <n v="3.832585664415384"/>
    <n v="2.832585664415384"/>
    <n v="2023"/>
    <s v="April"/>
    <s v="Q2"/>
    <x v="3"/>
    <n v="1.759393403730753"/>
    <n v="0.16919045382361494"/>
    <n v="1973.69"/>
    <n v="7564.3360000000002"/>
    <n v="4299.3999999999996"/>
    <n v="44709"/>
    <s v="Good"/>
    <x v="0"/>
  </r>
  <r>
    <x v="37"/>
    <x v="0"/>
    <x v="1"/>
    <x v="0"/>
    <x v="1"/>
    <n v="27914.41"/>
    <n v="890521"/>
    <n v="21086"/>
    <n v="229010.97"/>
    <n v="57"/>
    <n v="2.3678273729648151E-2"/>
    <n v="1.3238361946315091"/>
    <n v="31.346155789700639"/>
    <n v="8.2040412102566389"/>
    <n v="7.204041210256638"/>
    <n v="2023"/>
    <s v="April"/>
    <s v="Q2"/>
    <x v="3"/>
    <n v="10.860806696386227"/>
    <n v="0.2571651538818287"/>
    <n v="489.72649122807019"/>
    <n v="4017.7363157894738"/>
    <n v="369.92982456140351"/>
    <n v="15623.17543859649"/>
    <s v="Medium"/>
    <x v="0"/>
  </r>
  <r>
    <x v="45"/>
    <x v="0"/>
    <x v="0"/>
    <x v="2"/>
    <x v="2"/>
    <n v="1243.69"/>
    <n v="644565"/>
    <n v="40330"/>
    <n v="238940.31"/>
    <n v="33"/>
    <n v="6.2569329702977974E-2"/>
    <n v="3.0837837837837841E-2"/>
    <n v="1.9295028430026453"/>
    <n v="192.12208026115832"/>
    <n v="191.12208026115832"/>
    <n v="2023"/>
    <s v="April"/>
    <s v="Q2"/>
    <x v="3"/>
    <n v="5.9246295561616664"/>
    <n v="0.37070010006748738"/>
    <n v="37.687575757575758"/>
    <n v="7240.6154545454547"/>
    <n v="1222.121212121212"/>
    <n v="19532.272727272728"/>
    <s v="Good"/>
    <x v="0"/>
  </r>
  <r>
    <x v="48"/>
    <x v="2"/>
    <x v="0"/>
    <x v="3"/>
    <x v="0"/>
    <n v="38828.81"/>
    <n v="403774"/>
    <n v="14561"/>
    <n v="23014.78"/>
    <n v="21"/>
    <n v="3.6062252646282329E-2"/>
    <n v="2.6666307259116819"/>
    <n v="96.164710952166303"/>
    <n v="0.59272431990576069"/>
    <n v="-0.40727568009423931"/>
    <n v="2023"/>
    <s v="April"/>
    <s v="Q2"/>
    <x v="3"/>
    <n v="1.5805768834558065"/>
    <n v="5.6999162898056829E-2"/>
    <n v="1848.9909523809522"/>
    <n v="1095.9419047619047"/>
    <n v="693.38095238095241"/>
    <n v="19227.333333333332"/>
    <s v="Medium"/>
    <x v="0"/>
  </r>
  <r>
    <x v="18"/>
    <x v="3"/>
    <x v="4"/>
    <x v="1"/>
    <x v="1"/>
    <n v="2259.66"/>
    <n v="297150"/>
    <n v="31992"/>
    <n v="112534.6"/>
    <n v="28"/>
    <n v="0.10766279656739021"/>
    <n v="7.0632033008252063E-2"/>
    <n v="7.6044422009086308"/>
    <n v="49.801563067010086"/>
    <n v="48.801563067010086"/>
    <n v="2023"/>
    <s v="April"/>
    <s v="Q2"/>
    <x v="3"/>
    <n v="3.5175856464116029"/>
    <n v="0.37871310785798418"/>
    <n v="80.702142857142846"/>
    <n v="4019.0928571428572"/>
    <n v="1142.5714285714287"/>
    <n v="10612.5"/>
    <s v="Excellent"/>
    <x v="0"/>
  </r>
  <r>
    <x v="23"/>
    <x v="0"/>
    <x v="0"/>
    <x v="1"/>
    <x v="0"/>
    <n v="29130.29"/>
    <n v="699880"/>
    <n v="32206"/>
    <n v="133826.23000000001"/>
    <n v="8"/>
    <n v="4.6016459964565354E-2"/>
    <n v="0.90449885114574924"/>
    <n v="41.621835171743726"/>
    <n v="4.5940575943459541"/>
    <n v="3.5940575943459541"/>
    <n v="2023"/>
    <s v="April"/>
    <s v="Q2"/>
    <x v="3"/>
    <n v="4.1553198161833205"/>
    <n v="0.19121310796136481"/>
    <n v="3641.2862500000001"/>
    <n v="16728.278750000001"/>
    <n v="4025.75"/>
    <n v="87485"/>
    <s v="Medium"/>
    <x v="0"/>
  </r>
  <r>
    <x v="49"/>
    <x v="0"/>
    <x v="1"/>
    <x v="1"/>
    <x v="2"/>
    <n v="16540.009999999998"/>
    <n v="524496"/>
    <n v="48256"/>
    <n v="90941.36"/>
    <n v="25"/>
    <n v="9.2004514810408472E-2"/>
    <n v="0.34275551226790446"/>
    <n v="31.535054604801555"/>
    <n v="5.4982651159219378"/>
    <n v="4.4982651159219378"/>
    <n v="2023"/>
    <s v="April"/>
    <s v="Q2"/>
    <x v="3"/>
    <n v="1.8845606763925729"/>
    <n v="0.17338809066227387"/>
    <n v="661.60039999999992"/>
    <n v="3637.6543999999999"/>
    <n v="1930.24"/>
    <n v="20979.84"/>
    <s v="Good"/>
    <x v="0"/>
  </r>
  <r>
    <x v="9"/>
    <x v="1"/>
    <x v="3"/>
    <x v="3"/>
    <x v="1"/>
    <n v="24494.21"/>
    <n v="849756"/>
    <n v="36182"/>
    <n v="155436.21"/>
    <n v="19"/>
    <n v="4.2579281582007071E-2"/>
    <n v="0.67697225139572159"/>
    <n v="28.824992115383711"/>
    <n v="6.3458347911608497"/>
    <n v="5.3458347911608497"/>
    <n v="2023"/>
    <s v="April"/>
    <s v="Q2"/>
    <x v="3"/>
    <n v="4.2959540655574591"/>
    <n v="0.18291863782073911"/>
    <n v="1289.168947368421"/>
    <n v="8180.8531578947368"/>
    <n v="1904.3157894736842"/>
    <n v="44724"/>
    <s v="Medium"/>
    <x v="0"/>
  </r>
  <r>
    <x v="8"/>
    <x v="2"/>
    <x v="1"/>
    <x v="4"/>
    <x v="1"/>
    <n v="1908.28"/>
    <n v="747449"/>
    <n v="3290"/>
    <n v="64959.87"/>
    <n v="44"/>
    <n v="4.4016381050747278E-3"/>
    <n v="0.58002431610942251"/>
    <n v="2.5530571316571433"/>
    <n v="34.041057916029096"/>
    <n v="33.041057916029096"/>
    <n v="2023"/>
    <s v="April"/>
    <s v="Q2"/>
    <x v="3"/>
    <n v="19.744641337386017"/>
    <n v="8.6908765681671926E-2"/>
    <n v="43.37"/>
    <n v="1476.3606818181818"/>
    <n v="74.772727272727266"/>
    <n v="16987.477272727272"/>
    <s v="Low"/>
    <x v="0"/>
  </r>
  <r>
    <x v="50"/>
    <x v="0"/>
    <x v="4"/>
    <x v="3"/>
    <x v="1"/>
    <n v="1813.65"/>
    <n v="576795"/>
    <n v="21787"/>
    <n v="10522.91"/>
    <n v="13"/>
    <n v="3.7772518832514153E-2"/>
    <n v="8.3244595400927157E-2"/>
    <n v="3.1443580474865422"/>
    <n v="5.8020621398836596"/>
    <n v="4.8020621398836596"/>
    <n v="2023"/>
    <s v="April"/>
    <s v="Q2"/>
    <x v="3"/>
    <n v="0.4829903153256529"/>
    <n v="1.8243760781560172E-2"/>
    <n v="139.51153846153846"/>
    <n v="809.45461538461541"/>
    <n v="1675.9230769230769"/>
    <n v="44368.846153846156"/>
    <s v="Medium"/>
    <x v="0"/>
  </r>
  <r>
    <x v="43"/>
    <x v="2"/>
    <x v="3"/>
    <x v="1"/>
    <x v="1"/>
    <n v="22404.83"/>
    <n v="11269"/>
    <n v="14800"/>
    <n v="10880.21"/>
    <n v="38"/>
    <n v="1.3133374744875321"/>
    <n v="1.513839864864865"/>
    <n v="1988.1826249001688"/>
    <n v="0.48561894912837983"/>
    <n v="-0.51438105087162012"/>
    <n v="2023"/>
    <s v="April"/>
    <s v="Q2"/>
    <x v="3"/>
    <n v="0.73514932432432423"/>
    <n v="0.96549915697932376"/>
    <n v="589.60078947368424"/>
    <n v="286.32131578947366"/>
    <n v="389.4736842105263"/>
    <n v="296.55263157894734"/>
    <s v="Excellent"/>
    <x v="1"/>
  </r>
  <r>
    <x v="6"/>
    <x v="2"/>
    <x v="4"/>
    <x v="5"/>
    <x v="0"/>
    <n v="26677.919999999998"/>
    <n v="606580"/>
    <n v="44559"/>
    <n v="112349.89"/>
    <n v="32"/>
    <n v="7.3459395298229424E-2"/>
    <n v="0.59871002491079239"/>
    <n v="43.980876388934675"/>
    <n v="4.2113436879636792"/>
    <n v="3.2113436879636796"/>
    <n v="2023"/>
    <s v="April"/>
    <s v="Q2"/>
    <x v="3"/>
    <n v="2.5213736843286427"/>
    <n v="0.18521858617165091"/>
    <n v="833.68499999999995"/>
    <n v="3510.9340625"/>
    <n v="1392.46875"/>
    <n v="18955.625"/>
    <s v="Good"/>
    <x v="0"/>
  </r>
  <r>
    <x v="18"/>
    <x v="2"/>
    <x v="4"/>
    <x v="3"/>
    <x v="1"/>
    <n v="37041.82"/>
    <n v="919613"/>
    <n v="35203"/>
    <n v="220633.27"/>
    <n v="42"/>
    <n v="3.8280233098053201E-2"/>
    <n v="1.0522347527199387"/>
    <n v="40.279791607991626"/>
    <n v="5.9563290896613612"/>
    <n v="4.9563290896613603"/>
    <n v="2023"/>
    <s v="April"/>
    <s v="Q2"/>
    <x v="3"/>
    <n v="6.2674564667783992"/>
    <n v="0.23991969448017805"/>
    <n v="881.94809523809522"/>
    <n v="5253.1730952380949"/>
    <n v="838.16666666666663"/>
    <n v="21895.547619047618"/>
    <s v="Medium"/>
    <x v="0"/>
  </r>
  <r>
    <x v="51"/>
    <x v="3"/>
    <x v="1"/>
    <x v="2"/>
    <x v="2"/>
    <n v="1485.48"/>
    <n v="341272"/>
    <n v="9583"/>
    <n v="204956.25"/>
    <n v="31"/>
    <n v="2.8080240980801238E-2"/>
    <n v="0.15501200041740582"/>
    <n v="4.3527743266368173"/>
    <n v="137.97307940867597"/>
    <n v="136.97307940867597"/>
    <n v="2023"/>
    <s v="April"/>
    <s v="Q2"/>
    <x v="3"/>
    <n v="21.387483042888448"/>
    <n v="0.60056567781710779"/>
    <n v="47.918709677419358"/>
    <n v="6611.4919354838712"/>
    <n v="309.12903225806451"/>
    <n v="11008.774193548386"/>
    <s v="Medium"/>
    <x v="0"/>
  </r>
  <r>
    <x v="3"/>
    <x v="0"/>
    <x v="4"/>
    <x v="3"/>
    <x v="2"/>
    <n v="1375.92"/>
    <n v="631686"/>
    <n v="12788"/>
    <n v="226570.65"/>
    <n v="12"/>
    <n v="2.0244235268788605E-2"/>
    <n v="0.10759461995620895"/>
    <n v="2.1781708000493918"/>
    <n v="164.66847636490493"/>
    <n v="163.6684763649049"/>
    <n v="2023"/>
    <s v="April"/>
    <s v="Q2"/>
    <x v="3"/>
    <n v="17.717442133249921"/>
    <n v="0.35867606690665932"/>
    <n v="114.66000000000001"/>
    <n v="18880.887500000001"/>
    <n v="1065.6666666666667"/>
    <n v="52640.5"/>
    <s v="Medium"/>
    <x v="0"/>
  </r>
  <r>
    <x v="39"/>
    <x v="2"/>
    <x v="4"/>
    <x v="0"/>
    <x v="0"/>
    <n v="27869.5"/>
    <n v="863779"/>
    <n v="9452"/>
    <n v="70910.23"/>
    <n v="46"/>
    <n v="1.0942613793574514E-2"/>
    <n v="2.9485294117647061"/>
    <n v="32.264618611936619"/>
    <n v="2.5443667808895025"/>
    <n v="1.5443667808895027"/>
    <n v="2023"/>
    <s v="April"/>
    <s v="Q2"/>
    <x v="3"/>
    <n v="7.5021402877697838"/>
    <n v="8.2093023794280712E-2"/>
    <n v="605.85869565217388"/>
    <n v="1541.5267391304346"/>
    <n v="205.47826086956522"/>
    <n v="18777.804347826088"/>
    <s v="Low"/>
    <x v="0"/>
  </r>
  <r>
    <x v="32"/>
    <x v="1"/>
    <x v="1"/>
    <x v="5"/>
    <x v="0"/>
    <n v="19551.5"/>
    <n v="338914"/>
    <n v="28699"/>
    <n v="153521.17000000001"/>
    <n v="44"/>
    <n v="8.4679299173241587E-2"/>
    <n v="0.68126067110352273"/>
    <n v="57.688676183338544"/>
    <n v="7.8521428023425317"/>
    <n v="6.8521428023425317"/>
    <n v="2023"/>
    <s v="April"/>
    <s v="Q2"/>
    <x v="3"/>
    <n v="5.349356075124569"/>
    <n v="0.4529797234696708"/>
    <n v="444.35227272727275"/>
    <n v="3489.1175000000003"/>
    <n v="652.25"/>
    <n v="7702.590909090909"/>
    <s v="Good"/>
    <x v="0"/>
  </r>
  <r>
    <x v="26"/>
    <x v="3"/>
    <x v="0"/>
    <x v="2"/>
    <x v="1"/>
    <n v="15820.39"/>
    <n v="948206"/>
    <n v="20065"/>
    <n v="27844.17"/>
    <n v="27"/>
    <n v="2.1161013535033527E-2"/>
    <n v="0.78845701470221774"/>
    <n v="16.684549559905758"/>
    <n v="1.7600179262331712"/>
    <n v="0.76001792623317121"/>
    <n v="2023"/>
    <s v="April"/>
    <s v="Q2"/>
    <x v="3"/>
    <n v="1.3876984799401944"/>
    <n v="2.9365106316559902E-2"/>
    <n v="585.94037037037037"/>
    <n v="1031.2655555555555"/>
    <n v="743.14814814814815"/>
    <n v="35118.740740740737"/>
    <s v="Medium"/>
    <x v="0"/>
  </r>
  <r>
    <x v="25"/>
    <x v="0"/>
    <x v="0"/>
    <x v="0"/>
    <x v="0"/>
    <n v="14383.28"/>
    <n v="653790"/>
    <n v="42261"/>
    <n v="31031.18"/>
    <n v="15"/>
    <n v="6.4640022025421004E-2"/>
    <n v="0.34034405243605215"/>
    <n v="21.999847045687453"/>
    <n v="2.1574480925074111"/>
    <n v="1.1574480925074115"/>
    <n v="2023"/>
    <s v="April"/>
    <s v="Q2"/>
    <x v="3"/>
    <n v="0.73427462672440313"/>
    <n v="4.7463528044173205E-2"/>
    <n v="958.88533333333339"/>
    <n v="2068.7453333333333"/>
    <n v="2817.4"/>
    <n v="43586"/>
    <s v="Good"/>
    <x v="0"/>
  </r>
  <r>
    <x v="42"/>
    <x v="0"/>
    <x v="4"/>
    <x v="1"/>
    <x v="2"/>
    <n v="6776.3"/>
    <n v="558171"/>
    <n v="10146"/>
    <n v="33846.839999999997"/>
    <n v="13"/>
    <n v="1.8177225258926028E-2"/>
    <n v="0.66787896708062289"/>
    <n v="12.140186430323325"/>
    <n v="4.9948851142954114"/>
    <n v="3.9948851142954114"/>
    <n v="2023"/>
    <s v="April"/>
    <s v="Q2"/>
    <x v="3"/>
    <n v="3.3359787108219985"/>
    <n v="6.0638836485593116E-2"/>
    <n v="521.25384615384621"/>
    <n v="2603.6030769230765"/>
    <n v="780.46153846153845"/>
    <n v="42936.230769230766"/>
    <s v="Low"/>
    <x v="0"/>
  </r>
  <r>
    <x v="4"/>
    <x v="1"/>
    <x v="4"/>
    <x v="2"/>
    <x v="0"/>
    <n v="17421.830000000002"/>
    <n v="104458"/>
    <n v="33635"/>
    <n v="23386.81"/>
    <n v="59"/>
    <n v="0.32199544314461315"/>
    <n v="0.51796729597145841"/>
    <n v="166.78310900074672"/>
    <n v="1.3423853866097877"/>
    <n v="0.34238538660978779"/>
    <n v="2023"/>
    <s v="April"/>
    <s v="Q2"/>
    <x v="3"/>
    <n v="0.69531172885387249"/>
    <n v="0.22388720825594977"/>
    <n v="295.28525423728814"/>
    <n v="396.38661016949158"/>
    <n v="570.08474576271192"/>
    <n v="1770.4745762711864"/>
    <s v="Excellent"/>
    <x v="0"/>
  </r>
  <r>
    <x v="47"/>
    <x v="2"/>
    <x v="0"/>
    <x v="0"/>
    <x v="2"/>
    <n v="5569.1"/>
    <n v="60068"/>
    <n v="15726"/>
    <n v="107857.26"/>
    <n v="55"/>
    <n v="0.26180328960511423"/>
    <n v="0.35413328246216458"/>
    <n v="92.713258307251792"/>
    <n v="19.367089834982313"/>
    <n v="18.367089834982309"/>
    <n v="2023"/>
    <s v="April"/>
    <s v="Q2"/>
    <x v="3"/>
    <n v="6.8585310950019069"/>
    <n v="1.7955860025304653"/>
    <n v="101.25636363636364"/>
    <n v="1961.0410909090908"/>
    <n v="285.92727272727274"/>
    <n v="1092.1454545454546"/>
    <s v="Excellent"/>
    <x v="0"/>
  </r>
  <r>
    <x v="50"/>
    <x v="0"/>
    <x v="0"/>
    <x v="1"/>
    <x v="1"/>
    <n v="4183.55"/>
    <n v="981746"/>
    <n v="9778"/>
    <n v="217844.33"/>
    <n v="53"/>
    <n v="9.9598063042782969E-3"/>
    <n v="0.42785334424217636"/>
    <n v="4.2613364352897802"/>
    <n v="52.071644894885914"/>
    <n v="51.071644894885921"/>
    <n v="2023"/>
    <s v="April"/>
    <s v="Q2"/>
    <x v="3"/>
    <n v="22.279027408467989"/>
    <n v="0.22189479763604841"/>
    <n v="78.934905660377368"/>
    <n v="4110.2703773584899"/>
    <n v="184.49056603773585"/>
    <n v="18523.509433962263"/>
    <s v="Low"/>
    <x v="0"/>
  </r>
  <r>
    <x v="2"/>
    <x v="0"/>
    <x v="4"/>
    <x v="5"/>
    <x v="1"/>
    <n v="7475.46"/>
    <n v="201059"/>
    <n v="25852"/>
    <n v="16088.39"/>
    <n v="53"/>
    <n v="0.12857917327749566"/>
    <n v="0.28916370106761569"/>
    <n v="37.180429625134913"/>
    <n v="2.1521605359402631"/>
    <n v="1.1521605359402631"/>
    <n v="2023"/>
    <s v="April"/>
    <s v="Q2"/>
    <x v="3"/>
    <n v="0.62232670586414973"/>
    <n v="8.0018253348519586E-2"/>
    <n v="141.04641509433964"/>
    <n v="303.55452830188676"/>
    <n v="487.77358490566036"/>
    <n v="3793.566037735849"/>
    <s v="Excellent"/>
    <x v="0"/>
  </r>
  <r>
    <x v="21"/>
    <x v="2"/>
    <x v="3"/>
    <x v="3"/>
    <x v="2"/>
    <n v="12912.63"/>
    <n v="198667"/>
    <n v="44776"/>
    <n v="193066.39"/>
    <n v="42"/>
    <n v="0.22538217217756346"/>
    <n v="0.28838283902090406"/>
    <n v="64.996350677263962"/>
    <n v="14.95174801725133"/>
    <n v="13.951748017251328"/>
    <n v="2023"/>
    <s v="April"/>
    <s v="Q2"/>
    <x v="3"/>
    <n v="4.3118275415401115"/>
    <n v="0.97180905736735346"/>
    <n v="307.44357142857143"/>
    <n v="4596.8188095238102"/>
    <n v="1066.0952380952381"/>
    <n v="4730.166666666667"/>
    <s v="Excellent"/>
    <x v="0"/>
  </r>
  <r>
    <x v="33"/>
    <x v="0"/>
    <x v="1"/>
    <x v="4"/>
    <x v="1"/>
    <n v="22373.33"/>
    <n v="415785"/>
    <n v="36909"/>
    <n v="33851.440000000002"/>
    <n v="7"/>
    <n v="8.8769436126844403E-2"/>
    <n v="0.6061754585602428"/>
    <n v="53.809853650324094"/>
    <n v="1.5130264471135946"/>
    <n v="0.51302644711359457"/>
    <n v="2023"/>
    <s v="April"/>
    <s v="Q2"/>
    <x v="3"/>
    <n v="0.91715950039285821"/>
    <n v="8.1415731688252349E-2"/>
    <n v="3196.19"/>
    <n v="4835.92"/>
    <n v="5272.7142857142853"/>
    <n v="59397.857142857145"/>
    <s v="Good"/>
    <x v="0"/>
  </r>
  <r>
    <x v="18"/>
    <x v="3"/>
    <x v="1"/>
    <x v="3"/>
    <x v="2"/>
    <n v="174.95"/>
    <n v="526554"/>
    <n v="7710"/>
    <n v="28812.04"/>
    <n v="14"/>
    <n v="1.4642372862042639E-2"/>
    <n v="2.2691309987029829E-2"/>
    <n v="0.33225462155828267"/>
    <n v="164.68728208059446"/>
    <n v="163.68728208059446"/>
    <n v="2023"/>
    <s v="April"/>
    <s v="Q2"/>
    <x v="3"/>
    <n v="3.7369701686121921"/>
    <n v="5.471811058315007E-2"/>
    <n v="12.49642857142857"/>
    <n v="2058.002857142857"/>
    <n v="550.71428571428567"/>
    <n v="37611"/>
    <s v="Low"/>
    <x v="0"/>
  </r>
  <r>
    <x v="34"/>
    <x v="0"/>
    <x v="0"/>
    <x v="4"/>
    <x v="1"/>
    <n v="29115.27"/>
    <n v="653830"/>
    <n v="39421"/>
    <n v="138888.28"/>
    <n v="27"/>
    <n v="6.0292430754171573E-2"/>
    <n v="0.73857258821440352"/>
    <n v="44.530336631846197"/>
    <n v="4.7702899543778914"/>
    <n v="3.7702899543778914"/>
    <n v="2023"/>
    <s v="May"/>
    <s v="Q2"/>
    <x v="4"/>
    <n v="3.5232053981380482"/>
    <n v="0.21242261749996177"/>
    <n v="1078.3433333333332"/>
    <n v="5144.0103703703708"/>
    <n v="1460.037037037037"/>
    <n v="24215.925925925927"/>
    <s v="Good"/>
    <x v="0"/>
  </r>
  <r>
    <x v="52"/>
    <x v="2"/>
    <x v="2"/>
    <x v="1"/>
    <x v="1"/>
    <n v="51079.64"/>
    <n v="949090"/>
    <n v="2940"/>
    <n v="153104.06"/>
    <n v="29"/>
    <n v="3.0977041165748242E-3"/>
    <n v="17.374027210884353"/>
    <n v="53.819595612639475"/>
    <n v="2.9973598091137683"/>
    <n v="1.9973598091137683"/>
    <n v="2023"/>
    <s v="May"/>
    <s v="Q2"/>
    <x v="4"/>
    <n v="52.076210884353742"/>
    <n v="0.16131669283208125"/>
    <n v="1761.366896551724"/>
    <n v="5279.4503448275864"/>
    <n v="101.37931034482759"/>
    <n v="32727.241379310344"/>
    <s v="Low"/>
    <x v="0"/>
  </r>
  <r>
    <x v="34"/>
    <x v="1"/>
    <x v="4"/>
    <x v="4"/>
    <x v="2"/>
    <n v="17031.439999999999"/>
    <n v="116663"/>
    <n v="48690"/>
    <n v="231696.13"/>
    <n v="15"/>
    <n v="0.41735597404489855"/>
    <n v="0.34979338673238858"/>
    <n v="145.98835963415993"/>
    <n v="13.604024674366936"/>
    <n v="12.604024674366936"/>
    <n v="2023"/>
    <s v="May"/>
    <s v="Q2"/>
    <x v="4"/>
    <n v="4.7585978640377906"/>
    <n v="1.9860292466334657"/>
    <n v="1135.4293333333333"/>
    <n v="15446.408666666666"/>
    <n v="3246"/>
    <n v="7777.5333333333338"/>
    <s v="Excellent"/>
    <x v="0"/>
  </r>
  <r>
    <x v="3"/>
    <x v="1"/>
    <x v="1"/>
    <x v="0"/>
    <x v="1"/>
    <n v="26209.56"/>
    <n v="185284"/>
    <n v="13986"/>
    <n v="203072.88"/>
    <n v="54"/>
    <n v="7.5484121672675458E-2"/>
    <n v="1.8739854139854142"/>
    <n v="141.45614300209408"/>
    <n v="7.7480461327851362"/>
    <n v="6.7480461327851362"/>
    <n v="2023"/>
    <s v="May"/>
    <s v="Q2"/>
    <x v="4"/>
    <n v="14.519725439725439"/>
    <n v="1.0960087217460763"/>
    <n v="485.36222222222227"/>
    <n v="3760.6088888888889"/>
    <n v="259"/>
    <n v="3431.1851851851852"/>
    <s v="Good"/>
    <x v="0"/>
  </r>
  <r>
    <x v="17"/>
    <x v="1"/>
    <x v="4"/>
    <x v="1"/>
    <x v="1"/>
    <n v="10176.77"/>
    <n v="18827"/>
    <n v="874"/>
    <n v="170155.25"/>
    <n v="50"/>
    <n v="4.6422690816380729E-2"/>
    <n v="11.643901601830665"/>
    <n v="540.54124395814529"/>
    <n v="16.719966158221123"/>
    <n v="15.719966158221126"/>
    <n v="2023"/>
    <s v="May"/>
    <s v="Q2"/>
    <x v="4"/>
    <n v="194.68564073226545"/>
    <n v="9.0378313061029374"/>
    <n v="203.53540000000001"/>
    <n v="3403.105"/>
    <n v="17.48"/>
    <n v="376.54"/>
    <s v="Medium"/>
    <x v="0"/>
  </r>
  <r>
    <x v="48"/>
    <x v="3"/>
    <x v="4"/>
    <x v="0"/>
    <x v="0"/>
    <n v="5067.16"/>
    <n v="887057"/>
    <n v="14074"/>
    <n v="192235.83"/>
    <n v="49"/>
    <n v="1.5865947735038449E-2"/>
    <n v="0.3600369475628819"/>
    <n v="5.7123273927154621"/>
    <n v="37.937588313769446"/>
    <n v="36.937588313769446"/>
    <n v="2023"/>
    <s v="May"/>
    <s v="Q2"/>
    <x v="4"/>
    <n v="13.658933494386812"/>
    <n v="0.21671192493830721"/>
    <n v="103.41142857142857"/>
    <n v="3923.1802040816324"/>
    <n v="287.22448979591837"/>
    <n v="18103.204081632652"/>
    <s v="Low"/>
    <x v="0"/>
  </r>
  <r>
    <x v="46"/>
    <x v="2"/>
    <x v="0"/>
    <x v="5"/>
    <x v="1"/>
    <n v="10494.84"/>
    <n v="29895"/>
    <n v="18119"/>
    <n v="197755.48"/>
    <n v="48"/>
    <n v="0.60608797457768859"/>
    <n v="0.57921739610353773"/>
    <n v="351.05669844455593"/>
    <n v="18.843115283320184"/>
    <n v="17.843115283320184"/>
    <n v="2023"/>
    <s v="May"/>
    <s v="Q2"/>
    <x v="4"/>
    <n v="10.914260168883493"/>
    <n v="6.6150018397725372"/>
    <n v="218.64250000000001"/>
    <n v="4119.9058333333332"/>
    <n v="377.47916666666669"/>
    <n v="622.8125"/>
    <s v="Excellent"/>
    <x v="0"/>
  </r>
  <r>
    <x v="53"/>
    <x v="2"/>
    <x v="0"/>
    <x v="1"/>
    <x v="0"/>
    <n v="14073.49"/>
    <n v="45739"/>
    <n v="42377"/>
    <n v="164353.47"/>
    <n v="42"/>
    <n v="0.92649598810642997"/>
    <n v="0.33210208367746652"/>
    <n v="307.69124816895868"/>
    <n v="11.678231199226348"/>
    <n v="10.678231199226348"/>
    <n v="2023"/>
    <s v="May"/>
    <s v="Q2"/>
    <x v="4"/>
    <n v="3.8783649149302688"/>
    <n v="3.5932895340956295"/>
    <n v="335.08309523809521"/>
    <n v="3913.1778571428572"/>
    <n v="1008.9761904761905"/>
    <n v="1089.0238095238096"/>
    <s v="Excellent"/>
    <x v="0"/>
  </r>
  <r>
    <x v="33"/>
    <x v="0"/>
    <x v="3"/>
    <x v="2"/>
    <x v="1"/>
    <n v="3795.48"/>
    <n v="366855"/>
    <n v="23381"/>
    <n v="193496.61"/>
    <n v="41"/>
    <n v="6.3733627727576292E-2"/>
    <n v="0.16233180787819171"/>
    <n v="10.345995011653105"/>
    <n v="50.980800847323657"/>
    <n v="49.98080084732365"/>
    <n v="2023"/>
    <s v="May"/>
    <s v="Q2"/>
    <x v="4"/>
    <n v="8.2758055686240954"/>
    <n v="0.52744711125649091"/>
    <n v="92.572682926829273"/>
    <n v="4719.4295121951218"/>
    <n v="570.26829268292681"/>
    <n v="8947.6829268292677"/>
    <s v="Good"/>
    <x v="0"/>
  </r>
  <r>
    <x v="6"/>
    <x v="3"/>
    <x v="0"/>
    <x v="0"/>
    <x v="2"/>
    <n v="6940.66"/>
    <n v="211512"/>
    <n v="9681"/>
    <n v="109444.23"/>
    <n v="14"/>
    <n v="4.5770452740270057E-2"/>
    <n v="0.7169362669145749"/>
    <n v="32.81449752259919"/>
    <n v="15.768562355741384"/>
    <n v="14.768562355741384"/>
    <n v="2023"/>
    <s v="May"/>
    <s v="Q2"/>
    <x v="4"/>
    <n v="11.305054229934923"/>
    <n v="0.5174374503574265"/>
    <n v="495.76142857142855"/>
    <n v="7817.4449999999997"/>
    <n v="691.5"/>
    <n v="15108"/>
    <s v="Medium"/>
    <x v="0"/>
  </r>
  <r>
    <x v="54"/>
    <x v="1"/>
    <x v="4"/>
    <x v="5"/>
    <x v="2"/>
    <n v="32403.58"/>
    <n v="359636"/>
    <n v="44784"/>
    <n v="79192.88"/>
    <n v="42"/>
    <n v="0.12452590953074776"/>
    <n v="0.72355260807431232"/>
    <n v="90.101046613798403"/>
    <n v="2.4439546494553999"/>
    <n v="1.4439546494553996"/>
    <n v="2023"/>
    <s v="May"/>
    <s v="Q2"/>
    <x v="4"/>
    <n v="1.7683297606287962"/>
    <n v="0.22020287179259029"/>
    <n v="771.51380952380953"/>
    <n v="1885.544761904762"/>
    <n v="1066.2857142857142"/>
    <n v="8562.7619047619046"/>
    <s v="Excellent"/>
    <x v="0"/>
  </r>
  <r>
    <x v="49"/>
    <x v="0"/>
    <x v="2"/>
    <x v="2"/>
    <x v="2"/>
    <n v="24559.01"/>
    <n v="870116"/>
    <n v="15496"/>
    <n v="211221.6"/>
    <n v="25"/>
    <n v="1.7809119703579752E-2"/>
    <n v="1.5848612545172946"/>
    <n v="28.22498379526408"/>
    <n v="8.6005746974328368"/>
    <n v="7.6005746974328368"/>
    <n v="2023"/>
    <s v="May"/>
    <s v="Q2"/>
    <x v="4"/>
    <n v="13.630717604543108"/>
    <n v="0.24275108146500007"/>
    <n v="982.36039999999991"/>
    <n v="8448.8639999999996"/>
    <n v="619.84"/>
    <n v="34804.639999999999"/>
    <s v="Low"/>
    <x v="0"/>
  </r>
  <r>
    <x v="36"/>
    <x v="1"/>
    <x v="2"/>
    <x v="5"/>
    <x v="2"/>
    <n v="12583.67"/>
    <n v="162446"/>
    <n v="30118"/>
    <n v="232313.77"/>
    <n v="7"/>
    <n v="0.18540314935424695"/>
    <n v="0.41781227173119068"/>
    <n v="77.463711017815157"/>
    <n v="18.461527519396167"/>
    <n v="17.461527519396167"/>
    <n v="2023"/>
    <s v="May"/>
    <s v="Q2"/>
    <x v="4"/>
    <n v="7.7134527525068064"/>
    <n v="1.4300984327099466"/>
    <n v="1797.6671428571428"/>
    <n v="33187.681428571428"/>
    <n v="4302.5714285714284"/>
    <n v="23206.571428571428"/>
    <s v="Excellent"/>
    <x v="0"/>
  </r>
  <r>
    <x v="48"/>
    <x v="0"/>
    <x v="1"/>
    <x v="1"/>
    <x v="2"/>
    <n v="36724.800000000003"/>
    <n v="302047"/>
    <n v="46859"/>
    <n v="192663.18"/>
    <n v="20"/>
    <n v="0.15513810764549887"/>
    <n v="0.78372991314368645"/>
    <n v="121.58637563028272"/>
    <n v="5.246132858449875"/>
    <n v="4.2461328584498759"/>
    <n v="2023"/>
    <s v="May"/>
    <s v="Q2"/>
    <x v="4"/>
    <n v="4.1115512494931599"/>
    <n v="0.63785828033385528"/>
    <n v="1836.2400000000002"/>
    <n v="9633.1589999999997"/>
    <n v="2342.9499999999998"/>
    <n v="15102.35"/>
    <s v="Excellent"/>
    <x v="0"/>
  </r>
  <r>
    <x v="0"/>
    <x v="3"/>
    <x v="4"/>
    <x v="4"/>
    <x v="2"/>
    <n v="4836.5"/>
    <n v="458580"/>
    <n v="13359"/>
    <n v="248945.05"/>
    <n v="60"/>
    <n v="2.9131231191940339E-2"/>
    <n v="0.36204057189909422"/>
    <n v="10.546687600854813"/>
    <n v="51.472149281505217"/>
    <n v="50.472149281505217"/>
    <n v="2023"/>
    <s v="May"/>
    <s v="Q2"/>
    <x v="4"/>
    <n v="18.635006362751703"/>
    <n v="0.54286067861659903"/>
    <n v="80.608333333333334"/>
    <n v="4149.0841666666665"/>
    <n v="222.65"/>
    <n v="7643"/>
    <s v="Medium"/>
    <x v="0"/>
  </r>
  <r>
    <x v="11"/>
    <x v="1"/>
    <x v="1"/>
    <x v="3"/>
    <x v="2"/>
    <n v="8498.4500000000007"/>
    <n v="239540"/>
    <n v="25809"/>
    <n v="50004.97"/>
    <n v="53"/>
    <n v="0.10774400935125658"/>
    <n v="0.32928242086094001"/>
    <n v="35.478208232445525"/>
    <n v="5.8840106137001449"/>
    <n v="4.8840106137001458"/>
    <n v="2023"/>
    <s v="May"/>
    <s v="Q2"/>
    <x v="4"/>
    <n v="1.9375012592506491"/>
    <n v="0.20875415379477333"/>
    <n v="160.34811320754719"/>
    <n v="943.49"/>
    <n v="486.96226415094338"/>
    <n v="4519.6226415094343"/>
    <s v="Excellent"/>
    <x v="0"/>
  </r>
  <r>
    <x v="24"/>
    <x v="1"/>
    <x v="0"/>
    <x v="3"/>
    <x v="2"/>
    <n v="1048.42"/>
    <n v="137378"/>
    <n v="10991"/>
    <n v="53355.06"/>
    <n v="54"/>
    <n v="8.0005532181280842E-2"/>
    <n v="9.5388954599217549E-2"/>
    <n v="7.6316440769264373"/>
    <n v="50.890921577230493"/>
    <n v="49.890921577230493"/>
    <n v="2023"/>
    <s v="May"/>
    <s v="Q2"/>
    <x v="4"/>
    <n v="4.8544318078427802"/>
    <n v="0.38838140022419892"/>
    <n v="19.415185185185187"/>
    <n v="988.05666666666662"/>
    <n v="203.53703703703704"/>
    <n v="2544.037037037037"/>
    <s v="Good"/>
    <x v="0"/>
  </r>
  <r>
    <x v="20"/>
    <x v="3"/>
    <x v="1"/>
    <x v="0"/>
    <x v="2"/>
    <n v="14760.3"/>
    <n v="715756"/>
    <n v="36062"/>
    <n v="246868.8"/>
    <n v="37"/>
    <n v="5.0383091444570496E-2"/>
    <n v="0.40930342188453217"/>
    <n v="20.621971733384001"/>
    <n v="16.725188512428609"/>
    <n v="15.725188512428611"/>
    <n v="2023"/>
    <s v="May"/>
    <s v="Q2"/>
    <x v="4"/>
    <n v="6.8456768898008979"/>
    <n v="0.34490636473882158"/>
    <n v="398.92702702702701"/>
    <n v="6672.1297297297297"/>
    <n v="974.64864864864865"/>
    <n v="19344.756756756757"/>
    <s v="Good"/>
    <x v="0"/>
  </r>
  <r>
    <x v="50"/>
    <x v="0"/>
    <x v="2"/>
    <x v="5"/>
    <x v="1"/>
    <n v="10449.950000000001"/>
    <n v="317643"/>
    <n v="7900"/>
    <n v="87518.03"/>
    <n v="31"/>
    <n v="2.4870688162496893E-2"/>
    <n v="1.3227784810126584"/>
    <n v="32.898411109327142"/>
    <n v="8.3749711721108699"/>
    <n v="7.3749711721108708"/>
    <n v="2023"/>
    <s v="May"/>
    <s v="Q2"/>
    <x v="4"/>
    <n v="11.07823164556962"/>
    <n v="0.27552324464886679"/>
    <n v="337.09516129032261"/>
    <n v="2823.1622580645162"/>
    <n v="254.83870967741936"/>
    <n v="10246.548387096775"/>
    <s v="Medium"/>
    <x v="0"/>
  </r>
  <r>
    <x v="43"/>
    <x v="3"/>
    <x v="2"/>
    <x v="2"/>
    <x v="1"/>
    <n v="16135.08"/>
    <n v="287932"/>
    <n v="34681"/>
    <n v="218746.1"/>
    <n v="48"/>
    <n v="0.12044857813650445"/>
    <n v="0.46524264006228194"/>
    <n v="56.037814483975389"/>
    <n v="13.557174801736341"/>
    <n v="12.557174801736343"/>
    <n v="2023"/>
    <s v="May"/>
    <s v="Q2"/>
    <x v="4"/>
    <n v="6.3073757965456592"/>
    <n v="0.75971444646652686"/>
    <n v="336.14749999999998"/>
    <n v="4557.2104166666668"/>
    <n v="722.52083333333337"/>
    <n v="5998.583333333333"/>
    <s v="Excellent"/>
    <x v="0"/>
  </r>
  <r>
    <x v="55"/>
    <x v="3"/>
    <x v="3"/>
    <x v="5"/>
    <x v="1"/>
    <n v="19405.990000000002"/>
    <n v="365556"/>
    <n v="36658"/>
    <n v="235042.4"/>
    <n v="12"/>
    <n v="0.10028012123997418"/>
    <n v="0.52937939876698137"/>
    <n v="53.086230290297529"/>
    <n v="12.111847939734071"/>
    <n v="11.111847939734071"/>
    <n v="2023"/>
    <s v="May"/>
    <s v="Q2"/>
    <x v="4"/>
    <n v="6.4117627802935235"/>
    <n v="0.6429723489697885"/>
    <n v="1617.1658333333335"/>
    <n v="19586.866666666665"/>
    <n v="3054.8333333333335"/>
    <n v="30463"/>
    <s v="Excellent"/>
    <x v="0"/>
  </r>
  <r>
    <x v="8"/>
    <x v="3"/>
    <x v="2"/>
    <x v="1"/>
    <x v="0"/>
    <n v="16725.650000000001"/>
    <n v="738205"/>
    <n v="14035"/>
    <n v="116580.93"/>
    <n v="51"/>
    <n v="1.9012333972270576E-2"/>
    <n v="1.1917100106875669"/>
    <n v="22.657188721290158"/>
    <n v="6.9701883035935817"/>
    <n v="5.9701883035935817"/>
    <n v="2023"/>
    <s v="May"/>
    <s v="Q2"/>
    <x v="4"/>
    <n v="8.3064431777698609"/>
    <n v="0.15792487181744908"/>
    <n v="327.95392156862749"/>
    <n v="2285.900588235294"/>
    <n v="275.19607843137254"/>
    <n v="14474.607843137255"/>
    <s v="Low"/>
    <x v="0"/>
  </r>
  <r>
    <x v="56"/>
    <x v="2"/>
    <x v="3"/>
    <x v="4"/>
    <x v="0"/>
    <n v="12995.75"/>
    <n v="344617"/>
    <n v="15942"/>
    <n v="119285.78"/>
    <n v="54"/>
    <n v="4.6260051013153732E-2"/>
    <n v="0.81518943670806676"/>
    <n v="37.710704927499222"/>
    <n v="9.1788300021160758"/>
    <n v="8.1788300021160758"/>
    <n v="2023"/>
    <s v="May"/>
    <s v="Q2"/>
    <x v="4"/>
    <n v="7.4824852590641076"/>
    <n v="0.34614014978947644"/>
    <n v="240.66203703703704"/>
    <n v="2208.9959259259258"/>
    <n v="295.22222222222223"/>
    <n v="6381.7962962962965"/>
    <s v="Medium"/>
    <x v="0"/>
  </r>
  <r>
    <x v="33"/>
    <x v="2"/>
    <x v="3"/>
    <x v="0"/>
    <x v="2"/>
    <n v="21526.43"/>
    <n v="484409"/>
    <n v="40763"/>
    <n v="130798.69"/>
    <n v="20"/>
    <n v="8.4149964183159273E-2"/>
    <n v="0.52808748129431105"/>
    <n v="44.438542636491064"/>
    <n v="6.0761905248571173"/>
    <n v="5.0761905248571182"/>
    <n v="2023"/>
    <s v="May"/>
    <s v="Q2"/>
    <x v="4"/>
    <n v="3.2087601501361531"/>
    <n v="0.27001705170630602"/>
    <n v="1076.3215"/>
    <n v="6539.9345000000003"/>
    <n v="2038.15"/>
    <n v="24220.45"/>
    <s v="Good"/>
    <x v="0"/>
  </r>
  <r>
    <x v="37"/>
    <x v="2"/>
    <x v="3"/>
    <x v="5"/>
    <x v="0"/>
    <n v="17284.5"/>
    <n v="447110"/>
    <n v="44212"/>
    <n v="164862.54999999999"/>
    <n v="24"/>
    <n v="9.8883943548567471E-2"/>
    <n v="0.39094589704152721"/>
    <n v="38.658272013598442"/>
    <n v="9.5381729295033111"/>
    <n v="8.5381729295033111"/>
    <n v="2023"/>
    <s v="May"/>
    <s v="Q2"/>
    <x v="4"/>
    <n v="3.7289095720618834"/>
    <n v="0.36872928362148016"/>
    <n v="720.1875"/>
    <n v="6869.2729166666659"/>
    <n v="1842.1666666666667"/>
    <n v="18629.583333333332"/>
    <s v="Good"/>
    <x v="0"/>
  </r>
  <r>
    <x v="1"/>
    <x v="3"/>
    <x v="0"/>
    <x v="2"/>
    <x v="2"/>
    <n v="45688.09"/>
    <n v="142250"/>
    <n v="10293"/>
    <n v="89309.53"/>
    <n v="13"/>
    <n v="7.2358523725834803E-2"/>
    <n v="4.4387535218109395"/>
    <n v="321.18165202108963"/>
    <n v="1.9547661108179397"/>
    <n v="0.95476611081793972"/>
    <n v="2023"/>
    <s v="May"/>
    <s v="Q2"/>
    <x v="4"/>
    <n v="8.6767249587098032"/>
    <n v="0.62783500878734622"/>
    <n v="3514.4684615384613"/>
    <n v="6869.9638461538461"/>
    <n v="791.76923076923072"/>
    <n v="10942.307692307691"/>
    <s v="Good"/>
    <x v="0"/>
  </r>
  <r>
    <x v="52"/>
    <x v="3"/>
    <x v="1"/>
    <x v="1"/>
    <x v="0"/>
    <n v="15223.94"/>
    <n v="24892"/>
    <n v="48690"/>
    <n v="32329.599999999999"/>
    <n v="45"/>
    <n v="1.9560501365900691"/>
    <n v="0.31267077428630108"/>
    <n v="611.599710750442"/>
    <n v="2.1236026941777224"/>
    <n v="1.1236026941777224"/>
    <n v="2023"/>
    <s v="May"/>
    <s v="Q2"/>
    <x v="4"/>
    <n v="0.66398849866502363"/>
    <n v="1.2987947935079542"/>
    <n v="338.30977777777781"/>
    <n v="718.43555555555554"/>
    <n v="1082"/>
    <n v="553.15555555555557"/>
    <s v="Excellent"/>
    <x v="1"/>
  </r>
  <r>
    <x v="42"/>
    <x v="1"/>
    <x v="1"/>
    <x v="1"/>
    <x v="0"/>
    <n v="14545.44"/>
    <n v="595941"/>
    <n v="30402"/>
    <n v="169828.09"/>
    <n v="38"/>
    <n v="5.1015117268320184E-2"/>
    <n v="0.47843694493783306"/>
    <n v="24.407516851500404"/>
    <n v="11.675692863192863"/>
    <n v="10.675692863192863"/>
    <n v="2023"/>
    <s v="May"/>
    <s v="Q2"/>
    <x v="4"/>
    <n v="5.5860828234984536"/>
    <n v="0.28497467031132279"/>
    <n v="382.77473684210526"/>
    <n v="4469.1602631578944"/>
    <n v="800.0526315789474"/>
    <n v="15682.657894736842"/>
    <s v="Good"/>
    <x v="0"/>
  </r>
  <r>
    <x v="42"/>
    <x v="3"/>
    <x v="1"/>
    <x v="5"/>
    <x v="1"/>
    <n v="12095.96"/>
    <n v="105136"/>
    <n v="1143"/>
    <n v="122546.82"/>
    <n v="28"/>
    <n v="1.0871632932582559E-2"/>
    <n v="10.582642169728784"/>
    <n v="115.05060112616039"/>
    <n v="10.131219018581412"/>
    <n v="9.1312190185814117"/>
    <n v="2023"/>
    <s v="May"/>
    <s v="Q2"/>
    <x v="4"/>
    <n v="107.2150656167979"/>
    <n v="1.1656028382285801"/>
    <n v="431.99857142857138"/>
    <n v="4376.6721428571427"/>
    <n v="40.821428571428569"/>
    <n v="3754.8571428571427"/>
    <s v="Low"/>
    <x v="0"/>
  </r>
  <r>
    <x v="7"/>
    <x v="2"/>
    <x v="2"/>
    <x v="3"/>
    <x v="1"/>
    <n v="3480.85"/>
    <n v="61706"/>
    <n v="36023"/>
    <n v="102801.87"/>
    <n v="27"/>
    <n v="0.58378439697922402"/>
    <n v="9.6628542875385165E-2"/>
    <n v="56.410235633487829"/>
    <n v="29.533553586049383"/>
    <n v="28.533553586049383"/>
    <n v="2023"/>
    <s v="May"/>
    <s v="Q2"/>
    <x v="4"/>
    <n v="2.8537842489520582"/>
    <n v="1.6659947168832852"/>
    <n v="128.92037037037036"/>
    <n v="3807.4766666666665"/>
    <n v="1334.1851851851852"/>
    <n v="2285.4074074074074"/>
    <s v="Excellent"/>
    <x v="0"/>
  </r>
  <r>
    <x v="8"/>
    <x v="3"/>
    <x v="1"/>
    <x v="1"/>
    <x v="1"/>
    <n v="10610.93"/>
    <n v="158683"/>
    <n v="17165"/>
    <n v="33626.300000000003"/>
    <n v="11"/>
    <n v="0.10817163779358847"/>
    <n v="0.61817244392659487"/>
    <n v="66.868725698405001"/>
    <n v="3.1690247697421436"/>
    <n v="2.1690247697421436"/>
    <n v="2023"/>
    <s v="May"/>
    <s v="Q2"/>
    <x v="4"/>
    <n v="1.9590037867754153"/>
    <n v="0.21190864805933846"/>
    <n v="964.63"/>
    <n v="3056.9363636363637"/>
    <n v="1560.4545454545455"/>
    <n v="14425.727272727272"/>
    <s v="Excellent"/>
    <x v="0"/>
  </r>
  <r>
    <x v="51"/>
    <x v="3"/>
    <x v="3"/>
    <x v="2"/>
    <x v="0"/>
    <n v="7211.84"/>
    <n v="274760"/>
    <n v="32284"/>
    <n v="112191.14"/>
    <n v="46"/>
    <n v="0.11749890813801135"/>
    <n v="0.22338743650105317"/>
    <n v="26.247779880623092"/>
    <n v="15.556520943337622"/>
    <n v="14.556520943337622"/>
    <n v="2023"/>
    <s v="May"/>
    <s v="Q2"/>
    <x v="4"/>
    <n v="3.4751313344071368"/>
    <n v="0.40832413742902895"/>
    <n v="156.77913043478262"/>
    <n v="2438.9378260869566"/>
    <n v="701.82608695652175"/>
    <n v="5973.04347826087"/>
    <s v="Excellent"/>
    <x v="0"/>
  </r>
  <r>
    <x v="1"/>
    <x v="0"/>
    <x v="2"/>
    <x v="1"/>
    <x v="2"/>
    <n v="3122.64"/>
    <n v="271103"/>
    <n v="13860"/>
    <n v="135975.76"/>
    <n v="23"/>
    <n v="5.1124480363551862E-2"/>
    <n v="0.22529870129870128"/>
    <n v="11.51827903047919"/>
    <n v="43.545128481028875"/>
    <n v="42.545128481028875"/>
    <n v="2023"/>
    <s v="May"/>
    <s v="Q2"/>
    <x v="4"/>
    <n v="9.8106608946608951"/>
    <n v="0.50156494026255705"/>
    <n v="135.76695652173913"/>
    <n v="5911.9895652173918"/>
    <n v="602.60869565217388"/>
    <n v="11787.08695652174"/>
    <s v="Good"/>
    <x v="0"/>
  </r>
  <r>
    <x v="4"/>
    <x v="2"/>
    <x v="4"/>
    <x v="2"/>
    <x v="0"/>
    <n v="8603.94"/>
    <n v="858102"/>
    <n v="7482"/>
    <n v="86017.600000000006"/>
    <n v="60"/>
    <n v="8.7192431668962431E-3"/>
    <n v="1.1499518845228549"/>
    <n v="10.026710111385361"/>
    <n v="9.9974662770777112"/>
    <n v="8.9974662770777112"/>
    <n v="2023"/>
    <s v="May"/>
    <s v="Q2"/>
    <x v="4"/>
    <n v="11.496605185779204"/>
    <n v="0.10024169620860925"/>
    <n v="143.399"/>
    <n v="1433.6266666666668"/>
    <n v="124.7"/>
    <n v="14301.7"/>
    <s v="Low"/>
    <x v="0"/>
  </r>
  <r>
    <x v="20"/>
    <x v="0"/>
    <x v="1"/>
    <x v="3"/>
    <x v="2"/>
    <n v="2758.27"/>
    <n v="378653"/>
    <n v="15184"/>
    <n v="148070.75"/>
    <n v="54"/>
    <n v="4.0100038821823676E-2"/>
    <n v="0.18165634878819811"/>
    <n v="7.2844266386374859"/>
    <n v="53.682471259158824"/>
    <n v="52.682471259158824"/>
    <n v="2023"/>
    <s v="May"/>
    <s v="Q2"/>
    <x v="4"/>
    <n v="9.7517617228661742"/>
    <n v="0.39104602366810776"/>
    <n v="51.079074074074072"/>
    <n v="2742.0509259259261"/>
    <n v="281.18518518518516"/>
    <n v="7012.0925925925922"/>
    <s v="Medium"/>
    <x v="0"/>
  </r>
  <r>
    <x v="4"/>
    <x v="1"/>
    <x v="1"/>
    <x v="5"/>
    <x v="1"/>
    <n v="34594.15"/>
    <n v="172293"/>
    <n v="19819"/>
    <n v="158918.67000000001"/>
    <n v="20"/>
    <n v="0.11503079057187465"/>
    <n v="1.745504314042081"/>
    <n v="200.78674119087833"/>
    <n v="4.5938018422189879"/>
    <n v="3.5938018422189884"/>
    <n v="2023"/>
    <s v="May"/>
    <s v="Q2"/>
    <x v="4"/>
    <n v="8.0185009334477026"/>
    <n v="0.92237450157580403"/>
    <n v="1729.7075"/>
    <n v="7945.933500000001"/>
    <n v="990.95"/>
    <n v="8614.65"/>
    <s v="Excellent"/>
    <x v="0"/>
  </r>
  <r>
    <x v="52"/>
    <x v="0"/>
    <x v="3"/>
    <x v="2"/>
    <x v="1"/>
    <n v="19545.490000000002"/>
    <n v="680318"/>
    <n v="32029"/>
    <n v="164049.17000000001"/>
    <n v="16"/>
    <n v="4.7079454020031809E-2"/>
    <n v="0.61024352930157055"/>
    <n v="28.729932178775222"/>
    <n v="8.3931981239661937"/>
    <n v="7.3931981239661946"/>
    <n v="2023"/>
    <s v="May"/>
    <s v="Q2"/>
    <x v="4"/>
    <n v="5.1218948452964508"/>
    <n v="0.24113601286457217"/>
    <n v="1221.5931250000001"/>
    <n v="10253.073125000001"/>
    <n v="2001.8125"/>
    <n v="42519.875"/>
    <s v="Medium"/>
    <x v="0"/>
  </r>
  <r>
    <x v="20"/>
    <x v="0"/>
    <x v="0"/>
    <x v="5"/>
    <x v="1"/>
    <n v="2900.11"/>
    <n v="168366"/>
    <n v="699"/>
    <n v="58586.32"/>
    <n v="59"/>
    <n v="4.1516695769929796E-3"/>
    <n v="4.1489413447782546"/>
    <n v="17.22503355784422"/>
    <n v="20.201413049849833"/>
    <n v="19.201413049849833"/>
    <n v="2023"/>
    <s v="May"/>
    <s v="Q2"/>
    <x v="4"/>
    <n v="83.814477825464948"/>
    <n v="0.34797001769953556"/>
    <n v="49.154406779661016"/>
    <n v="992.98847457627119"/>
    <n v="11.847457627118644"/>
    <n v="2853.6610169491523"/>
    <s v="Low"/>
    <x v="0"/>
  </r>
  <r>
    <x v="49"/>
    <x v="2"/>
    <x v="2"/>
    <x v="5"/>
    <x v="0"/>
    <n v="52299.85"/>
    <n v="411798"/>
    <n v="27537"/>
    <n v="139588.12"/>
    <n v="57"/>
    <n v="6.6870164498127729E-2"/>
    <n v="1.8992573628209317"/>
    <n v="127.00365227611596"/>
    <n v="2.6689965649997083"/>
    <n v="1.6689965649997083"/>
    <n v="2023"/>
    <s v="May"/>
    <s v="Q2"/>
    <x v="4"/>
    <n v="5.069111377419472"/>
    <n v="0.33897231166737091"/>
    <n v="917.54122807017541"/>
    <n v="2448.9143859649121"/>
    <n v="483.10526315789474"/>
    <n v="7224.5263157894733"/>
    <s v="Good"/>
    <x v="0"/>
  </r>
  <r>
    <x v="25"/>
    <x v="0"/>
    <x v="0"/>
    <x v="1"/>
    <x v="0"/>
    <n v="10543.69"/>
    <n v="431139"/>
    <n v="40569"/>
    <n v="211014.84"/>
    <n v="49"/>
    <n v="9.409726329559609E-2"/>
    <n v="0.25989524020804061"/>
    <n v="24.455430847128191"/>
    <n v="20.013376721053064"/>
    <n v="19.013376721053064"/>
    <n v="2023"/>
    <s v="May"/>
    <s v="Q2"/>
    <x v="4"/>
    <n v="5.2013813502920945"/>
    <n v="0.48943575041923831"/>
    <n v="215.17734693877551"/>
    <n v="4306.425306122449"/>
    <n v="827.9387755102041"/>
    <n v="8798.7551020408155"/>
    <s v="Good"/>
    <x v="0"/>
  </r>
  <r>
    <x v="51"/>
    <x v="0"/>
    <x v="2"/>
    <x v="1"/>
    <x v="1"/>
    <n v="22251.43"/>
    <n v="19708"/>
    <n v="19547"/>
    <n v="33807.9"/>
    <n v="53"/>
    <n v="0.9918307286381165"/>
    <n v="1.13835524632936"/>
    <n v="1129.0557134158717"/>
    <n v="1.5193585311146296"/>
    <n v="0.51935853111462948"/>
    <n v="2023"/>
    <s v="May"/>
    <s v="Q2"/>
    <x v="4"/>
    <n v="1.7295697549496087"/>
    <n v="1.7154404302821189"/>
    <n v="419.83830188679246"/>
    <n v="637.8849056603774"/>
    <n v="368.81132075471697"/>
    <n v="371.84905660377359"/>
    <s v="Excellent"/>
    <x v="0"/>
  </r>
  <r>
    <x v="54"/>
    <x v="1"/>
    <x v="0"/>
    <x v="2"/>
    <x v="0"/>
    <n v="6361.8"/>
    <n v="942566"/>
    <n v="35629"/>
    <n v="247629.27"/>
    <n v="52"/>
    <n v="3.7800005516855056E-2"/>
    <n v="0.17855679362317214"/>
    <n v="6.7494477840278559"/>
    <n v="38.924403470715831"/>
    <n v="37.924403470715838"/>
    <n v="2023"/>
    <s v="May"/>
    <s v="Q2"/>
    <x v="4"/>
    <n v="6.9502166774256926"/>
    <n v="0.26271822875002915"/>
    <n v="122.3423076923077"/>
    <n v="4762.101346153846"/>
    <n v="685.17307692307691"/>
    <n v="18126.26923076923"/>
    <s v="Medium"/>
    <x v="0"/>
  </r>
  <r>
    <x v="32"/>
    <x v="3"/>
    <x v="0"/>
    <x v="2"/>
    <x v="0"/>
    <n v="9572.1200000000008"/>
    <n v="965025"/>
    <n v="23176"/>
    <n v="153512.17000000001"/>
    <n v="42"/>
    <n v="2.4015958135799591E-2"/>
    <n v="0.41301863997238525"/>
    <n v="9.9190383668816882"/>
    <n v="16.037426400839102"/>
    <n v="15.037426400839104"/>
    <n v="2023"/>
    <s v="May"/>
    <s v="Q2"/>
    <x v="4"/>
    <n v="6.6237560407317924"/>
    <n v="0.15907584777596437"/>
    <n v="227.90761904761908"/>
    <n v="3655.0516666666672"/>
    <n v="551.80952380952385"/>
    <n v="22976.785714285714"/>
    <s v="Medium"/>
    <x v="0"/>
  </r>
  <r>
    <x v="57"/>
    <x v="0"/>
    <x v="3"/>
    <x v="1"/>
    <x v="0"/>
    <n v="14342.82"/>
    <n v="970911"/>
    <n v="48040"/>
    <n v="146147.03"/>
    <n v="38"/>
    <n v="4.9479303458298443E-2"/>
    <n v="0.29855995004163199"/>
    <n v="14.772538368604332"/>
    <n v="10.18956035145111"/>
    <n v="9.1895603514511084"/>
    <n v="2023"/>
    <s v="May"/>
    <s v="Q2"/>
    <x v="4"/>
    <n v="3.042194629475437"/>
    <n v="0.15052567125102095"/>
    <n v="377.44263157894738"/>
    <n v="3845.9744736842104"/>
    <n v="1264.2105263157894"/>
    <n v="25550.28947368421"/>
    <s v="Medium"/>
    <x v="0"/>
  </r>
  <r>
    <x v="13"/>
    <x v="0"/>
    <x v="1"/>
    <x v="3"/>
    <x v="0"/>
    <n v="6747.74"/>
    <n v="653825"/>
    <n v="46923"/>
    <n v="95957.06"/>
    <n v="24"/>
    <n v="7.1766910105915196E-2"/>
    <n v="0.14380453082709971"/>
    <n v="10.320406836691776"/>
    <n v="14.220622015667468"/>
    <n v="13.220622015667468"/>
    <n v="2023"/>
    <s v="May"/>
    <s v="Q2"/>
    <x v="4"/>
    <n v="2.0449898770325854"/>
    <n v="0.1467626046725041"/>
    <n v="281.15583333333331"/>
    <n v="3998.2108333333331"/>
    <n v="1955.125"/>
    <n v="27242.708333333332"/>
    <s v="Good"/>
    <x v="0"/>
  </r>
  <r>
    <x v="39"/>
    <x v="3"/>
    <x v="1"/>
    <x v="0"/>
    <x v="0"/>
    <n v="2029.64"/>
    <n v="947692"/>
    <n v="20099"/>
    <n v="222819.02"/>
    <n v="56"/>
    <n v="2.120836727544392E-2"/>
    <n v="0.10098213841484652"/>
    <n v="2.1416662797617794"/>
    <n v="109.78253286297077"/>
    <n v="108.78253286297075"/>
    <n v="2023"/>
    <s v="May"/>
    <s v="Q2"/>
    <x v="4"/>
    <n v="11.086074929100949"/>
    <n v="0.23511754873946386"/>
    <n v="36.243571428571428"/>
    <n v="3978.9110714285712"/>
    <n v="358.91071428571428"/>
    <n v="16923.071428571428"/>
    <s v="Medium"/>
    <x v="0"/>
  </r>
  <r>
    <x v="2"/>
    <x v="3"/>
    <x v="4"/>
    <x v="4"/>
    <x v="0"/>
    <n v="1545.97"/>
    <n v="926220"/>
    <n v="46775"/>
    <n v="115598.13"/>
    <n v="10"/>
    <n v="5.0500960894819806E-2"/>
    <n v="3.305120256547301E-2"/>
    <n v="1.6691174882857205"/>
    <n v="74.773850721553458"/>
    <n v="73.773850721553458"/>
    <n v="2023"/>
    <s v="May"/>
    <s v="Q2"/>
    <x v="4"/>
    <n v="2.4713656867985034"/>
    <n v="0.12480634190581072"/>
    <n v="154.59700000000001"/>
    <n v="11559.813"/>
    <n v="4677.5"/>
    <n v="92622"/>
    <s v="Good"/>
    <x v="0"/>
  </r>
  <r>
    <x v="33"/>
    <x v="0"/>
    <x v="4"/>
    <x v="3"/>
    <x v="1"/>
    <n v="28918.65"/>
    <n v="46489"/>
    <n v="8372"/>
    <n v="21472.17"/>
    <n v="60"/>
    <n v="0.18008561165006776"/>
    <n v="3.454210463449594"/>
    <n v="622.05360407838418"/>
    <n v="0.74250250271018869"/>
    <n v="-0.25749749728981136"/>
    <n v="2023"/>
    <s v="May"/>
    <s v="Q2"/>
    <x v="4"/>
    <n v="2.564759913999044"/>
    <n v="0.46187635784809306"/>
    <n v="481.97750000000002"/>
    <n v="357.86949999999996"/>
    <n v="139.53333333333333"/>
    <n v="774.81666666666672"/>
    <s v="Excellent"/>
    <x v="0"/>
  </r>
  <r>
    <x v="8"/>
    <x v="3"/>
    <x v="1"/>
    <x v="5"/>
    <x v="0"/>
    <n v="7794.99"/>
    <n v="260875"/>
    <n v="11539"/>
    <n v="154581.81"/>
    <n v="46"/>
    <n v="4.4231911835170099E-2"/>
    <n v="0.67553427506716346"/>
    <n v="29.880172496406324"/>
    <n v="19.830918320613627"/>
    <n v="18.830918320613627"/>
    <n v="2023"/>
    <s v="May"/>
    <s v="Q2"/>
    <x v="4"/>
    <n v="13.396465031631857"/>
    <n v="0.59255126018207949"/>
    <n v="169.45630434782609"/>
    <n v="3360.4741304347826"/>
    <n v="250.84782608695653"/>
    <n v="5671.195652173913"/>
    <s v="Medium"/>
    <x v="0"/>
  </r>
  <r>
    <x v="52"/>
    <x v="0"/>
    <x v="0"/>
    <x v="0"/>
    <x v="2"/>
    <n v="9715.59"/>
    <n v="94736"/>
    <n v="32054"/>
    <n v="86494.21"/>
    <n v="26"/>
    <n v="0.33835078534031415"/>
    <n v="0.30310070506021092"/>
    <n v="102.55436159432529"/>
    <n v="8.9026204275808265"/>
    <n v="7.9026204275808274"/>
    <n v="2023"/>
    <s v="May"/>
    <s v="Q2"/>
    <x v="4"/>
    <n v="2.6983905284831846"/>
    <n v="0.91300255446715084"/>
    <n v="373.67653846153848"/>
    <n v="3326.7003846153848"/>
    <n v="1232.8461538461538"/>
    <n v="3643.6923076923076"/>
    <s v="Excellent"/>
    <x v="0"/>
  </r>
  <r>
    <x v="58"/>
    <x v="2"/>
    <x v="1"/>
    <x v="2"/>
    <x v="1"/>
    <n v="35172.69"/>
    <n v="152371"/>
    <n v="5648"/>
    <n v="38618.97"/>
    <n v="52"/>
    <n v="3.7067420965931838E-2"/>
    <n v="6.2274592776203974"/>
    <n v="230.83585459175305"/>
    <n v="1.0979817011436999"/>
    <n v="9.7981701143699806E-2"/>
    <n v="2023"/>
    <s v="May"/>
    <s v="Q2"/>
    <x v="4"/>
    <n v="6.8376363314447595"/>
    <n v="0.25345354430961275"/>
    <n v="676.39788461538467"/>
    <n v="742.67250000000001"/>
    <n v="108.61538461538461"/>
    <n v="2930.2115384615386"/>
    <s v="Medium"/>
    <x v="0"/>
  </r>
  <r>
    <x v="4"/>
    <x v="1"/>
    <x v="3"/>
    <x v="3"/>
    <x v="2"/>
    <n v="10526.83"/>
    <n v="781037"/>
    <n v="42779"/>
    <n v="7237.47"/>
    <n v="19"/>
    <n v="5.4772053052544248E-2"/>
    <n v="0.24607470955375302"/>
    <n v="13.478017046567576"/>
    <n v="0.68752606435175645"/>
    <n v="-0.31247393564824355"/>
    <n v="2023"/>
    <s v="May"/>
    <s v="Q2"/>
    <x v="4"/>
    <n v="0.16918277659599337"/>
    <n v="9.2664880152924893E-3"/>
    <n v="554.04368421052629"/>
    <n v="380.91947368421052"/>
    <n v="2251.5263157894738"/>
    <n v="41107.210526315786"/>
    <s v="Good"/>
    <x v="0"/>
  </r>
  <r>
    <x v="28"/>
    <x v="2"/>
    <x v="1"/>
    <x v="2"/>
    <x v="2"/>
    <n v="2723.03"/>
    <n v="814819"/>
    <n v="25332"/>
    <n v="91389.15"/>
    <n v="11"/>
    <n v="3.1089113042283009E-2"/>
    <n v="0.10749368387809885"/>
    <n v="3.34188328941765"/>
    <n v="33.561565608898903"/>
    <n v="32.56156560889891"/>
    <n v="2023"/>
    <s v="May"/>
    <s v="Q2"/>
    <x v="4"/>
    <n v="3.6076563240170532"/>
    <n v="0.11215883527507335"/>
    <n v="247.54818181818183"/>
    <n v="8308.1045454545456"/>
    <n v="2302.909090909091"/>
    <n v="74074.454545454544"/>
    <s v="Medium"/>
    <x v="0"/>
  </r>
  <r>
    <x v="59"/>
    <x v="3"/>
    <x v="2"/>
    <x v="5"/>
    <x v="0"/>
    <n v="12775.41"/>
    <n v="617913"/>
    <n v="22895"/>
    <n v="91289.8"/>
    <n v="60"/>
    <n v="3.705214164453572E-2"/>
    <n v="0.55799999999999994"/>
    <n v="20.675095037650934"/>
    <n v="7.145743267730742"/>
    <n v="6.145743267730742"/>
    <n v="2023"/>
    <s v="May"/>
    <s v="Q2"/>
    <x v="4"/>
    <n v="3.9873247433937542"/>
    <n v="0.14773892117498741"/>
    <n v="212.92349999999999"/>
    <n v="1521.4966666666667"/>
    <n v="381.58333333333331"/>
    <n v="10298.549999999999"/>
    <s v="Medium"/>
    <x v="0"/>
  </r>
  <r>
    <x v="42"/>
    <x v="1"/>
    <x v="4"/>
    <x v="2"/>
    <x v="1"/>
    <n v="32375.7"/>
    <n v="747114"/>
    <n v="2350"/>
    <n v="151725.68"/>
    <n v="53"/>
    <n v="3.1454369748124115E-3"/>
    <n v="13.776893617021276"/>
    <n v="43.334350581035821"/>
    <n v="4.6864061626466764"/>
    <n v="3.686406162646676"/>
    <n v="2023"/>
    <s v="May"/>
    <s v="Q2"/>
    <x v="4"/>
    <n v="64.564119148936172"/>
    <n v="0.20308236761725787"/>
    <n v="610.86226415094336"/>
    <n v="2862.7486792452828"/>
    <n v="44.339622641509436"/>
    <n v="14096.490566037735"/>
    <s v="Low"/>
    <x v="0"/>
  </r>
  <r>
    <x v="28"/>
    <x v="3"/>
    <x v="4"/>
    <x v="0"/>
    <x v="2"/>
    <n v="1263.53"/>
    <n v="204015"/>
    <n v="11641"/>
    <n v="51270.68"/>
    <n v="36"/>
    <n v="5.7059529936524273E-2"/>
    <n v="0.10854136242590842"/>
    <n v="6.1933191186922532"/>
    <n v="40.577334926752826"/>
    <n v="39.577334926752826"/>
    <n v="2023"/>
    <s v="June"/>
    <s v="Q2"/>
    <x v="5"/>
    <n v="4.4043192165621514"/>
    <n v="0.25130838418743717"/>
    <n v="35.098055555555554"/>
    <n v="1424.1855555555555"/>
    <n v="323.36111111111109"/>
    <n v="5667.083333333333"/>
    <s v="Good"/>
    <x v="0"/>
  </r>
  <r>
    <x v="46"/>
    <x v="2"/>
    <x v="4"/>
    <x v="4"/>
    <x v="1"/>
    <n v="34133.64"/>
    <n v="158513"/>
    <n v="23509"/>
    <n v="126968.9"/>
    <n v="32"/>
    <n v="0.14830960236699828"/>
    <n v="1.4519392573057126"/>
    <n v="215.33653391204507"/>
    <n v="3.7197585724815752"/>
    <n v="2.7197585724815752"/>
    <n v="2023"/>
    <s v="June"/>
    <s v="Q2"/>
    <x v="5"/>
    <n v="5.4008634990854567"/>
    <n v="0.80099991798779913"/>
    <n v="1066.67625"/>
    <n v="3967.7781249999998"/>
    <n v="734.65625"/>
    <n v="4953.53125"/>
    <s v="Excellent"/>
    <x v="0"/>
  </r>
  <r>
    <x v="2"/>
    <x v="3"/>
    <x v="2"/>
    <x v="3"/>
    <x v="2"/>
    <n v="10620.01"/>
    <n v="270247"/>
    <n v="7862"/>
    <n v="141727.89000000001"/>
    <n v="57"/>
    <n v="2.9091904813004398E-2"/>
    <n v="1.3508025947596032"/>
    <n v="39.297420507905734"/>
    <n v="13.34536313995938"/>
    <n v="12.345363139959378"/>
    <n v="2023"/>
    <s v="June"/>
    <s v="Q2"/>
    <x v="5"/>
    <n v="18.026951157466296"/>
    <n v="0.52443834714168891"/>
    <n v="186.31596491228072"/>
    <n v="2486.4542105263158"/>
    <n v="137.92982456140351"/>
    <n v="4741.1754385964914"/>
    <s v="Medium"/>
    <x v="0"/>
  </r>
  <r>
    <x v="56"/>
    <x v="2"/>
    <x v="4"/>
    <x v="1"/>
    <x v="1"/>
    <n v="26124.51"/>
    <n v="310947"/>
    <n v="22931"/>
    <n v="219473.53"/>
    <n v="48"/>
    <n v="7.3745686563948198E-2"/>
    <n v="1.1392660590467052"/>
    <n v="84.015957703402819"/>
    <n v="8.4010582399440228"/>
    <n v="7.4010582399440219"/>
    <n v="2023"/>
    <s v="June"/>
    <s v="Q2"/>
    <x v="5"/>
    <n v="9.5710405128428757"/>
    <n v="0.70582295375096082"/>
    <n v="544.260625"/>
    <n v="4572.3652083333336"/>
    <n v="477.72916666666669"/>
    <n v="6478.0625"/>
    <s v="Good"/>
    <x v="0"/>
  </r>
  <r>
    <x v="30"/>
    <x v="3"/>
    <x v="0"/>
    <x v="2"/>
    <x v="2"/>
    <n v="41612.01"/>
    <n v="854554"/>
    <n v="39423"/>
    <n v="104004.11"/>
    <n v="39"/>
    <n v="4.6132836543974987E-2"/>
    <n v="1.0555262156609087"/>
    <n v="48.694418374965188"/>
    <n v="2.4993772230661291"/>
    <n v="1.4993772230661291"/>
    <n v="2023"/>
    <s v="June"/>
    <s v="Q2"/>
    <x v="5"/>
    <n v="2.6381581817720621"/>
    <n v="0.12170572017684078"/>
    <n v="1066.9746153846154"/>
    <n v="2666.7720512820515"/>
    <n v="1010.8461538461538"/>
    <n v="21911.641025641027"/>
    <s v="Medium"/>
    <x v="0"/>
  </r>
  <r>
    <x v="9"/>
    <x v="2"/>
    <x v="4"/>
    <x v="5"/>
    <x v="1"/>
    <n v="28255.35"/>
    <n v="341777"/>
    <n v="7545"/>
    <n v="199044.12"/>
    <n v="35"/>
    <n v="2.2075797961828913E-2"/>
    <n v="3.7449105367793241"/>
    <n v="82.671888395064613"/>
    <n v="7.0444754710169937"/>
    <n v="6.0444754710169928"/>
    <n v="2023"/>
    <s v="June"/>
    <s v="Q2"/>
    <x v="5"/>
    <n v="26.38093041749503"/>
    <n v="0.58238008994168711"/>
    <n v="807.29571428571421"/>
    <n v="5686.9748571428572"/>
    <n v="215.57142857142858"/>
    <n v="9765.057142857142"/>
    <s v="Medium"/>
    <x v="0"/>
  </r>
  <r>
    <x v="48"/>
    <x v="3"/>
    <x v="3"/>
    <x v="1"/>
    <x v="1"/>
    <n v="40989.4"/>
    <n v="504392"/>
    <n v="1386"/>
    <n v="215650.13"/>
    <n v="53"/>
    <n v="2.7478627733984679E-3"/>
    <n v="29.573881673881676"/>
    <n v="81.264968516550624"/>
    <n v="5.2611194601531128"/>
    <n v="4.2611194601531128"/>
    <n v="2023"/>
    <s v="June"/>
    <s v="Q2"/>
    <x v="5"/>
    <n v="155.59172438672439"/>
    <n v="0.42754470729115451"/>
    <n v="773.3849056603774"/>
    <n v="4068.8703773584907"/>
    <n v="26.150943396226417"/>
    <n v="9516.8301886792451"/>
    <s v="Low"/>
    <x v="0"/>
  </r>
  <r>
    <x v="13"/>
    <x v="2"/>
    <x v="2"/>
    <x v="1"/>
    <x v="1"/>
    <n v="7246.31"/>
    <n v="635380"/>
    <n v="4263"/>
    <n v="99267.99"/>
    <n v="46"/>
    <n v="6.7093707702477259E-3"/>
    <n v="1.6998146844944875"/>
    <n v="11.404686958985176"/>
    <n v="13.699108925784296"/>
    <n v="12.699108925784296"/>
    <n v="2023"/>
    <s v="June"/>
    <s v="Q2"/>
    <x v="5"/>
    <n v="23.285946516537649"/>
    <n v="0.15623404891560957"/>
    <n v="157.52847826086958"/>
    <n v="2157.9997826086956"/>
    <n v="92.673913043478265"/>
    <n v="13812.608695652174"/>
    <s v="Low"/>
    <x v="0"/>
  </r>
  <r>
    <x v="55"/>
    <x v="0"/>
    <x v="2"/>
    <x v="4"/>
    <x v="2"/>
    <n v="25077.96"/>
    <n v="377121"/>
    <n v="36555"/>
    <n v="95052.46"/>
    <n v="48"/>
    <n v="9.6931753999379505E-2"/>
    <n v="0.68603364792777999"/>
    <n v="66.498444796232505"/>
    <n v="3.7902787946068983"/>
    <n v="2.7902787946068979"/>
    <n v="2023"/>
    <s v="June"/>
    <s v="Q2"/>
    <x v="5"/>
    <n v="2.6002587881274795"/>
    <n v="0.25204764518549749"/>
    <n v="522.45749999999998"/>
    <n v="1980.2595833333335"/>
    <n v="761.5625"/>
    <n v="7856.6875"/>
    <s v="Good"/>
    <x v="0"/>
  </r>
  <r>
    <x v="45"/>
    <x v="2"/>
    <x v="1"/>
    <x v="2"/>
    <x v="2"/>
    <n v="1247.5"/>
    <n v="775847"/>
    <n v="47636"/>
    <n v="96693.16"/>
    <n v="18"/>
    <n v="6.139870361037679E-2"/>
    <n v="2.6188177008984802E-2"/>
    <n v="1.6079201182707417"/>
    <n v="77.509547094188378"/>
    <n v="76.509547094188378"/>
    <n v="2023"/>
    <s v="June"/>
    <s v="Q2"/>
    <x v="5"/>
    <n v="2.0298337391888488"/>
    <n v="0.12462916013079899"/>
    <n v="69.305555555555557"/>
    <n v="5371.8422222222225"/>
    <n v="2646.4444444444443"/>
    <n v="43102.611111111109"/>
    <s v="Good"/>
    <x v="0"/>
  </r>
  <r>
    <x v="29"/>
    <x v="1"/>
    <x v="1"/>
    <x v="3"/>
    <x v="2"/>
    <n v="959.96"/>
    <n v="805128"/>
    <n v="9032"/>
    <n v="89251.8"/>
    <n v="25"/>
    <n v="1.1218092030087142E-2"/>
    <n v="0.10628432240921169"/>
    <n v="1.1923073101419899"/>
    <n v="92.974498937455721"/>
    <n v="91.974498937455721"/>
    <n v="2023"/>
    <s v="June"/>
    <s v="Q2"/>
    <x v="5"/>
    <n v="9.8817316209034551"/>
    <n v="0.11085417473991714"/>
    <n v="38.398400000000002"/>
    <n v="3570.0720000000001"/>
    <n v="361.28"/>
    <n v="32205.119999999999"/>
    <s v="Low"/>
    <x v="0"/>
  </r>
  <r>
    <x v="33"/>
    <x v="3"/>
    <x v="1"/>
    <x v="1"/>
    <x v="2"/>
    <n v="5112.1000000000004"/>
    <n v="436259"/>
    <n v="8012"/>
    <n v="136301.51"/>
    <n v="12"/>
    <n v="1.8365237164161656E-2"/>
    <n v="0.63805541687468803"/>
    <n v="11.718039054781679"/>
    <n v="26.662528119559475"/>
    <n v="25.662528119559475"/>
    <n v="2023"/>
    <s v="June"/>
    <s v="Q2"/>
    <x v="5"/>
    <n v="17.012170494258612"/>
    <n v="0.31243254580421265"/>
    <n v="426.00833333333338"/>
    <n v="11358.459166666667"/>
    <n v="667.66666666666663"/>
    <n v="36354.916666666664"/>
    <s v="Low"/>
    <x v="0"/>
  </r>
  <r>
    <x v="13"/>
    <x v="2"/>
    <x v="4"/>
    <x v="0"/>
    <x v="0"/>
    <n v="945.02"/>
    <n v="12805"/>
    <n v="26872"/>
    <n v="115373.41"/>
    <n v="21"/>
    <n v="2.0985552518547443"/>
    <n v="3.5167460553736228E-2"/>
    <n v="73.800859039437711"/>
    <n v="122.08568072633383"/>
    <n v="121.08568072633383"/>
    <n v="2023"/>
    <s v="June"/>
    <s v="Q2"/>
    <x v="5"/>
    <n v="4.2934433611193805"/>
    <n v="9.0100281140179614"/>
    <n v="45.000952380952377"/>
    <n v="5493.9719047619046"/>
    <n v="1279.6190476190477"/>
    <n v="609.76190476190482"/>
    <s v="Excellent"/>
    <x v="1"/>
  </r>
  <r>
    <x v="13"/>
    <x v="3"/>
    <x v="4"/>
    <x v="5"/>
    <x v="1"/>
    <n v="3558.99"/>
    <n v="966167"/>
    <n v="38846"/>
    <n v="11256.15"/>
    <n v="29"/>
    <n v="4.0206299739072027E-2"/>
    <n v="9.161792719971168E-2"/>
    <n v="3.6836178424640873"/>
    <n v="3.1627371810541756"/>
    <n v="2.1627371810541756"/>
    <n v="2023"/>
    <s v="June"/>
    <s v="Q2"/>
    <x v="5"/>
    <n v="0.28976342480564277"/>
    <n v="1.1650315111155732E-2"/>
    <n v="122.72379310344827"/>
    <n v="388.14310344827584"/>
    <n v="1339.5172413793102"/>
    <n v="33316.103448275862"/>
    <s v="Medium"/>
    <x v="0"/>
  </r>
  <r>
    <x v="58"/>
    <x v="1"/>
    <x v="2"/>
    <x v="3"/>
    <x v="1"/>
    <n v="11858.79"/>
    <n v="213765"/>
    <n v="7611"/>
    <n v="49432.71"/>
    <n v="17"/>
    <n v="3.5604518981124135E-2"/>
    <n v="1.5581119432400474"/>
    <n v="55.475826257806474"/>
    <n v="4.1684446726858297"/>
    <n v="3.1684446726858302"/>
    <n v="2023"/>
    <s v="June"/>
    <s v="Q2"/>
    <x v="5"/>
    <n v="6.4949034292471426"/>
    <n v="0.23124791242719808"/>
    <n v="697.57588235294122"/>
    <n v="2907.8064705882352"/>
    <n v="447.70588235294116"/>
    <n v="12574.411764705883"/>
    <s v="Medium"/>
    <x v="0"/>
  </r>
  <r>
    <x v="4"/>
    <x v="2"/>
    <x v="4"/>
    <x v="2"/>
    <x v="0"/>
    <n v="7481.75"/>
    <n v="63802"/>
    <n v="27597"/>
    <n v="80475.240000000005"/>
    <n v="61"/>
    <n v="0.43254129964577914"/>
    <n v="0.27110736674276187"/>
    <n v="117.26513275445912"/>
    <n v="10.756205433220838"/>
    <n v="9.7562054332208383"/>
    <n v="2023"/>
    <s v="June"/>
    <s v="Q2"/>
    <x v="5"/>
    <n v="2.91608653114469"/>
    <n v="1.261327858060876"/>
    <n v="122.65163934426229"/>
    <n v="1319.2662295081968"/>
    <n v="452.40983606557376"/>
    <n v="1045.9344262295083"/>
    <s v="Excellent"/>
    <x v="0"/>
  </r>
  <r>
    <x v="12"/>
    <x v="3"/>
    <x v="0"/>
    <x v="4"/>
    <x v="2"/>
    <n v="1630.03"/>
    <n v="21510"/>
    <n v="49679"/>
    <n v="227873.32"/>
    <n v="40"/>
    <n v="2.3095769409576943"/>
    <n v="3.2811248213530868E-2"/>
    <n v="75.780102278010233"/>
    <n v="139.79700987098397"/>
    <n v="138.79700987098397"/>
    <n v="2023"/>
    <s v="June"/>
    <s v="Q2"/>
    <x v="5"/>
    <n v="4.5869143903862799"/>
    <n v="10.59383170618317"/>
    <n v="40.750749999999996"/>
    <n v="5696.8330000000005"/>
    <n v="1241.9749999999999"/>
    <n v="537.75"/>
    <s v="Excellent"/>
    <x v="1"/>
  </r>
  <r>
    <x v="26"/>
    <x v="1"/>
    <x v="4"/>
    <x v="4"/>
    <x v="2"/>
    <n v="4687.8500000000004"/>
    <n v="319234"/>
    <n v="1415"/>
    <n v="83085.64"/>
    <n v="34"/>
    <n v="4.4324852615949427E-3"/>
    <n v="3.3129681978798589"/>
    <n v="14.684682709235233"/>
    <n v="17.723613170216623"/>
    <n v="16.72361317021662"/>
    <n v="2023"/>
    <s v="June"/>
    <s v="Q2"/>
    <x v="5"/>
    <n v="58.717766784452294"/>
    <n v="0.26026563586585388"/>
    <n v="137.87794117647059"/>
    <n v="2443.6952941176469"/>
    <n v="41.617647058823529"/>
    <n v="9389.2352941176468"/>
    <s v="Low"/>
    <x v="0"/>
  </r>
  <r>
    <x v="13"/>
    <x v="3"/>
    <x v="2"/>
    <x v="2"/>
    <x v="0"/>
    <n v="14864.67"/>
    <n v="745911"/>
    <n v="44896"/>
    <n v="163768.67000000001"/>
    <n v="29"/>
    <n v="6.0189486413258421E-2"/>
    <n v="0.33109118852459019"/>
    <n v="19.928208593250403"/>
    <n v="11.017309499639078"/>
    <n v="10.017309499639078"/>
    <n v="2023"/>
    <s v="June"/>
    <s v="Q2"/>
    <x v="5"/>
    <n v="3.6477340965787599"/>
    <n v="0.21955524184520675"/>
    <n v="512.57482758620688"/>
    <n v="5647.19551724138"/>
    <n v="1548.1379310344828"/>
    <n v="25721.068965517243"/>
    <s v="Good"/>
    <x v="0"/>
  </r>
  <r>
    <x v="37"/>
    <x v="3"/>
    <x v="4"/>
    <x v="2"/>
    <x v="0"/>
    <n v="30164.080000000002"/>
    <n v="831021"/>
    <n v="47336"/>
    <n v="68515.509999999995"/>
    <n v="37"/>
    <n v="5.6961256093407991E-2"/>
    <n v="0.63723339530167322"/>
    <n v="36.297614621050492"/>
    <n v="2.2714271411559706"/>
    <n v="1.2714271411559706"/>
    <n v="2023"/>
    <s v="June"/>
    <s v="Q2"/>
    <x v="5"/>
    <n v="1.4474292293391922"/>
    <n v="8.2447387009473877E-2"/>
    <n v="815.24540540540545"/>
    <n v="1851.7705405405404"/>
    <n v="1279.3513513513512"/>
    <n v="22460.027027027027"/>
    <s v="Good"/>
    <x v="0"/>
  </r>
  <r>
    <x v="31"/>
    <x v="3"/>
    <x v="3"/>
    <x v="0"/>
    <x v="0"/>
    <n v="5997.76"/>
    <n v="25743"/>
    <n v="17785"/>
    <n v="237798.52"/>
    <n v="18"/>
    <n v="0.69086742026958781"/>
    <n v="0.33723699746977792"/>
    <n v="232.98605446140701"/>
    <n v="39.647888545056816"/>
    <n v="38.647888545056816"/>
    <n v="2023"/>
    <s v="June"/>
    <s v="Q2"/>
    <x v="5"/>
    <n v="13.370734888951363"/>
    <n v="9.2374051198384031"/>
    <n v="333.20888888888891"/>
    <n v="13211.028888888888"/>
    <n v="988.05555555555554"/>
    <n v="1430.1666666666667"/>
    <s v="Excellent"/>
    <x v="0"/>
  </r>
  <r>
    <x v="29"/>
    <x v="1"/>
    <x v="0"/>
    <x v="1"/>
    <x v="1"/>
    <n v="20682.78"/>
    <n v="343120"/>
    <n v="27382"/>
    <n v="48910.32"/>
    <n v="39"/>
    <n v="7.9802984378643041E-2"/>
    <n v="0.75534219560295079"/>
    <n v="60.278561436232216"/>
    <n v="2.3647846179285379"/>
    <n v="1.3647846179285377"/>
    <n v="2023"/>
    <s v="June"/>
    <s v="Q2"/>
    <x v="5"/>
    <n v="1.7862216054342268"/>
    <n v="0.1425458148752623"/>
    <n v="530.32769230769225"/>
    <n v="1254.1107692307692"/>
    <n v="702.10256410256409"/>
    <n v="8797.9487179487187"/>
    <s v="Good"/>
    <x v="0"/>
  </r>
  <r>
    <x v="40"/>
    <x v="0"/>
    <x v="2"/>
    <x v="1"/>
    <x v="0"/>
    <n v="31463.439999999999"/>
    <n v="214189"/>
    <n v="17789"/>
    <n v="31558.22"/>
    <n v="9"/>
    <n v="8.3052817838451087E-2"/>
    <n v="1.7687020068581707"/>
    <n v="146.89568558609452"/>
    <n v="1.0030123851683097"/>
    <n v="3.0123851683097106E-3"/>
    <n v="2023"/>
    <s v="June"/>
    <s v="Q2"/>
    <x v="5"/>
    <n v="1.7740300185507898"/>
    <n v="0.14733819197064277"/>
    <n v="3495.9377777777777"/>
    <n v="3506.4688888888891"/>
    <n v="1976.5555555555557"/>
    <n v="23798.777777777777"/>
    <s v="Good"/>
    <x v="0"/>
  </r>
  <r>
    <x v="49"/>
    <x v="0"/>
    <x v="2"/>
    <x v="5"/>
    <x v="0"/>
    <n v="2001.78"/>
    <n v="226995"/>
    <n v="3990"/>
    <n v="144668.21"/>
    <n v="45"/>
    <n v="1.7577479680169168E-2"/>
    <n v="0.50169924812030076"/>
    <n v="8.8186083393907353"/>
    <n v="72.269784891446605"/>
    <n v="71.269784891446605"/>
    <n v="2023"/>
    <s v="June"/>
    <s v="Q2"/>
    <x v="5"/>
    <n v="36.257696741854637"/>
    <n v="0.63731892772968568"/>
    <n v="44.484000000000002"/>
    <n v="3214.8491111111111"/>
    <n v="88.666666666666671"/>
    <n v="5044.333333333333"/>
    <s v="Low"/>
    <x v="0"/>
  </r>
  <r>
    <x v="33"/>
    <x v="3"/>
    <x v="1"/>
    <x v="0"/>
    <x v="0"/>
    <n v="511.65"/>
    <n v="78652"/>
    <n v="13913"/>
    <n v="169232.11"/>
    <n v="55"/>
    <n v="0.17689314957025887"/>
    <n v="3.677495867174585E-2"/>
    <n v="6.5052382647612257"/>
    <n v="330.75756865044463"/>
    <n v="329.75756865044463"/>
    <n v="2023"/>
    <s v="June"/>
    <s v="Q2"/>
    <x v="5"/>
    <n v="12.163595917487241"/>
    <n v="2.1516567919442604"/>
    <n v="9.3027272727272727"/>
    <n v="3076.9474545454541"/>
    <n v="252.96363636363637"/>
    <n v="1430.0363636363636"/>
    <s v="Excellent"/>
    <x v="0"/>
  </r>
  <r>
    <x v="43"/>
    <x v="3"/>
    <x v="4"/>
    <x v="4"/>
    <x v="0"/>
    <n v="19382.13"/>
    <n v="530226"/>
    <n v="2032"/>
    <n v="98768.71"/>
    <n v="42"/>
    <n v="3.8323281016019585E-3"/>
    <n v="9.5384498031496072"/>
    <n v="36.554469226329907"/>
    <n v="5.0958645927975921"/>
    <n v="4.0958645927975921"/>
    <n v="2023"/>
    <s v="June"/>
    <s v="Q2"/>
    <x v="5"/>
    <n v="48.606648622047246"/>
    <n v="0.18627662543896378"/>
    <n v="461.47928571428577"/>
    <n v="2351.6359523809524"/>
    <n v="48.38095238095238"/>
    <n v="12624.428571428571"/>
    <s v="Low"/>
    <x v="0"/>
  </r>
  <r>
    <x v="52"/>
    <x v="1"/>
    <x v="2"/>
    <x v="4"/>
    <x v="1"/>
    <n v="9331.92"/>
    <n v="714827"/>
    <n v="44820"/>
    <n v="152728.26999999999"/>
    <n v="41"/>
    <n v="6.2700485572033518E-2"/>
    <n v="0.20820883534136547"/>
    <n v="13.054795076291185"/>
    <n v="16.366221527831357"/>
    <n v="15.366221527831355"/>
    <n v="2023"/>
    <s v="June"/>
    <s v="Q2"/>
    <x v="5"/>
    <n v="3.4075919232485496"/>
    <n v="0.2136576682190236"/>
    <n v="227.6078048780488"/>
    <n v="3725.0797560975607"/>
    <n v="1093.1707317073171"/>
    <n v="17434.804878048781"/>
    <s v="Good"/>
    <x v="0"/>
  </r>
  <r>
    <x v="59"/>
    <x v="1"/>
    <x v="3"/>
    <x v="3"/>
    <x v="1"/>
    <n v="26443.95"/>
    <n v="733108"/>
    <n v="23814"/>
    <n v="26591.82"/>
    <n v="57"/>
    <n v="3.248361769343671E-2"/>
    <n v="1.1104371378180902"/>
    <n v="36.071015457476939"/>
    <n v="1.005591827242148"/>
    <n v="5.5918272421479759E-3"/>
    <n v="2023"/>
    <s v="June"/>
    <s v="Q2"/>
    <x v="5"/>
    <n v="1.1166465104560344"/>
    <n v="3.6272718344363998E-2"/>
    <n v="463.92894736842106"/>
    <n v="466.52315789473681"/>
    <n v="417.78947368421052"/>
    <n v="12861.543859649122"/>
    <s v="Medium"/>
    <x v="0"/>
  </r>
  <r>
    <x v="51"/>
    <x v="2"/>
    <x v="3"/>
    <x v="5"/>
    <x v="0"/>
    <n v="8054.6"/>
    <n v="312143"/>
    <n v="3201"/>
    <n v="41342.89"/>
    <n v="56"/>
    <n v="1.0254915215141778E-2"/>
    <n v="2.5162761636988442"/>
    <n v="25.804198716613861"/>
    <n v="5.132829687383607"/>
    <n v="4.132829687383607"/>
    <n v="2023"/>
    <s v="June"/>
    <s v="Q2"/>
    <x v="5"/>
    <n v="12.915616994689159"/>
    <n v="0.13244855723178159"/>
    <n v="143.83214285714286"/>
    <n v="738.26589285714283"/>
    <n v="57.160714285714285"/>
    <n v="5573.9821428571431"/>
    <s v="Low"/>
    <x v="0"/>
  </r>
  <r>
    <x v="2"/>
    <x v="2"/>
    <x v="0"/>
    <x v="3"/>
    <x v="0"/>
    <n v="21515.39"/>
    <n v="174663"/>
    <n v="7357"/>
    <n v="36638.730000000003"/>
    <n v="26"/>
    <n v="4.212111322947619E-2"/>
    <n v="2.9244787277422861"/>
    <n v="123.1822996284273"/>
    <n v="1.7029080114280988"/>
    <n v="0.70290801142809889"/>
    <n v="2023"/>
    <s v="June"/>
    <s v="Q2"/>
    <x v="5"/>
    <n v="4.9801182547233935"/>
    <n v="0.20976812490338539"/>
    <n v="827.51499999999999"/>
    <n v="1409.1819230769231"/>
    <n v="282.96153846153845"/>
    <n v="6717.8076923076924"/>
    <s v="Medium"/>
    <x v="0"/>
  </r>
  <r>
    <x v="37"/>
    <x v="3"/>
    <x v="1"/>
    <x v="3"/>
    <x v="1"/>
    <n v="12017.19"/>
    <n v="305485"/>
    <n v="13119"/>
    <n v="25677.74"/>
    <n v="49"/>
    <n v="4.2944825441511042E-2"/>
    <n v="0.91601417790990169"/>
    <n v="39.338068972289967"/>
    <n v="2.1367507711869416"/>
    <n v="1.1367507711869413"/>
    <n v="2023"/>
    <s v="June"/>
    <s v="Q2"/>
    <x v="5"/>
    <n v="1.9572940010671547"/>
    <n v="8.4055649213545677E-2"/>
    <n v="245.2487755102041"/>
    <n v="524.03551020408167"/>
    <n v="267.73469387755102"/>
    <n v="6234.3877551020405"/>
    <s v="Medium"/>
    <x v="0"/>
  </r>
  <r>
    <x v="47"/>
    <x v="0"/>
    <x v="3"/>
    <x v="4"/>
    <x v="1"/>
    <n v="36950.300000000003"/>
    <n v="304736"/>
    <n v="25844"/>
    <n v="30209.18"/>
    <n v="18"/>
    <n v="8.4807833665861601E-2"/>
    <n v="1.4297438477015942"/>
    <n v="121.25347842066576"/>
    <n v="0.81756250964132893"/>
    <n v="-0.18243749035867102"/>
    <n v="2023"/>
    <s v="June"/>
    <s v="Q2"/>
    <x v="5"/>
    <n v="1.1689049682711654"/>
    <n v="9.9132298120340231E-2"/>
    <n v="2052.7944444444447"/>
    <n v="1678.2877777777778"/>
    <n v="1435.7777777777778"/>
    <n v="16929.777777777777"/>
    <s v="Good"/>
    <x v="0"/>
  </r>
  <r>
    <x v="12"/>
    <x v="1"/>
    <x v="3"/>
    <x v="1"/>
    <x v="0"/>
    <n v="38409.68"/>
    <n v="366324"/>
    <n v="36440"/>
    <n v="65261.24"/>
    <n v="20"/>
    <n v="9.947478188707265E-2"/>
    <n v="1.0540526893523601"/>
    <n v="104.85166137080836"/>
    <n v="1.6990831477898278"/>
    <n v="0.69908314778982794"/>
    <n v="2023"/>
    <s v="June"/>
    <s v="Q2"/>
    <x v="5"/>
    <n v="1.7909231613611416"/>
    <n v="0.17815169085290616"/>
    <n v="1920.4839999999999"/>
    <n v="3263.0619999999999"/>
    <n v="1822"/>
    <n v="18316.2"/>
    <s v="Good"/>
    <x v="0"/>
  </r>
  <r>
    <x v="49"/>
    <x v="0"/>
    <x v="0"/>
    <x v="1"/>
    <x v="1"/>
    <n v="25864.49"/>
    <n v="276659"/>
    <n v="38732"/>
    <n v="18701.72"/>
    <n v="19"/>
    <n v="0.13999906021492162"/>
    <n v="0.6677809046783022"/>
    <n v="93.488699084432469"/>
    <n v="0.72306548476308641"/>
    <n v="-0.27693451523691365"/>
    <n v="2023"/>
    <s v="June"/>
    <s v="Q2"/>
    <x v="5"/>
    <n v="0.48284932355674898"/>
    <n v="6.7598451523355474E-2"/>
    <n v="1361.2889473684211"/>
    <n v="984.30105263157895"/>
    <n v="2038.5263157894738"/>
    <n v="14561"/>
    <s v="Excellent"/>
    <x v="0"/>
  </r>
  <r>
    <x v="3"/>
    <x v="2"/>
    <x v="1"/>
    <x v="5"/>
    <x v="2"/>
    <n v="38100.92"/>
    <n v="374462"/>
    <n v="45776"/>
    <n v="102531.88"/>
    <n v="35"/>
    <n v="0.1222447137493257"/>
    <n v="0.83233397413491783"/>
    <n v="101.74842841196168"/>
    <n v="2.6910604783296574"/>
    <n v="1.6910604783296574"/>
    <n v="2023"/>
    <s v="June"/>
    <s v="Q2"/>
    <x v="5"/>
    <n v="2.2398610625655366"/>
    <n v="0.27381117443158454"/>
    <n v="1088.5977142857143"/>
    <n v="2929.4822857142858"/>
    <n v="1307.8857142857144"/>
    <n v="10698.914285714285"/>
    <s v="Excellent"/>
    <x v="0"/>
  </r>
  <r>
    <x v="21"/>
    <x v="0"/>
    <x v="2"/>
    <x v="5"/>
    <x v="0"/>
    <n v="29114.44"/>
    <n v="741514"/>
    <n v="23613"/>
    <n v="228925.1"/>
    <n v="21"/>
    <n v="3.1844307727163616E-2"/>
    <n v="1.2329835260238005"/>
    <n v="39.26350682522515"/>
    <n v="7.8629401767645204"/>
    <n v="6.8629401767645204"/>
    <n v="2023"/>
    <s v="June"/>
    <s v="Q2"/>
    <x v="5"/>
    <n v="9.6948757040613227"/>
    <n v="0.30872660529673074"/>
    <n v="1386.4019047619047"/>
    <n v="10901.195238095239"/>
    <n v="1124.4285714285713"/>
    <n v="35310.190476190473"/>
    <s v="Medium"/>
    <x v="0"/>
  </r>
  <r>
    <x v="56"/>
    <x v="3"/>
    <x v="4"/>
    <x v="4"/>
    <x v="0"/>
    <n v="10706.14"/>
    <n v="213586"/>
    <n v="41520"/>
    <n v="92854.6"/>
    <n v="30"/>
    <n v="0.19439476370174075"/>
    <n v="0.25785500963391134"/>
    <n v="50.125663667094287"/>
    <n v="8.6730231437287397"/>
    <n v="7.6730231437287397"/>
    <n v="2023"/>
    <s v="July"/>
    <s v="Q3"/>
    <x v="6"/>
    <n v="2.2363824662813103"/>
    <n v="0.43474104107947154"/>
    <n v="356.87133333333333"/>
    <n v="3095.1533333333336"/>
    <n v="1384"/>
    <n v="7119.5333333333338"/>
    <s v="Excellent"/>
    <x v="0"/>
  </r>
  <r>
    <x v="57"/>
    <x v="1"/>
    <x v="1"/>
    <x v="2"/>
    <x v="0"/>
    <n v="20488.18"/>
    <n v="965077"/>
    <n v="43293"/>
    <n v="49943.86"/>
    <n v="45"/>
    <n v="4.4859632961929463E-2"/>
    <n v="0.47324463539140277"/>
    <n v="21.229580644860462"/>
    <n v="2.4376913908409628"/>
    <n v="1.437691390840963"/>
    <n v="2023"/>
    <s v="July"/>
    <s v="Q3"/>
    <x v="6"/>
    <n v="1.1536243734552931"/>
    <n v="5.1751165969140284E-2"/>
    <n v="455.29288888888891"/>
    <n v="1109.8635555555556"/>
    <n v="962.06666666666672"/>
    <n v="21446.155555555557"/>
    <s v="Medium"/>
    <x v="0"/>
  </r>
  <r>
    <x v="30"/>
    <x v="3"/>
    <x v="0"/>
    <x v="0"/>
    <x v="0"/>
    <n v="25676.04"/>
    <n v="221741"/>
    <n v="29898"/>
    <n v="27094.02"/>
    <n v="35"/>
    <n v="0.13483298081996564"/>
    <n v="0.85878787878787877"/>
    <n v="115.79292958902504"/>
    <n v="1.0552258058485655"/>
    <n v="5.5225805848565415E-2"/>
    <n v="2023"/>
    <s v="July"/>
    <s v="Q3"/>
    <x v="6"/>
    <n v="0.90621513144691956"/>
    <n v="0.12218768743714514"/>
    <n v="733.60114285714292"/>
    <n v="774.1148571428572"/>
    <n v="854.2285714285714"/>
    <n v="6335.4571428571426"/>
    <s v="Excellent"/>
    <x v="0"/>
  </r>
  <r>
    <x v="29"/>
    <x v="0"/>
    <x v="2"/>
    <x v="3"/>
    <x v="1"/>
    <n v="22814.799999999999"/>
    <n v="516773"/>
    <n v="47000"/>
    <n v="239159.21"/>
    <n v="26"/>
    <n v="9.0949024039568629E-2"/>
    <n v="0.48542127659574469"/>
    <n v="44.148591354424475"/>
    <n v="10.482634517944492"/>
    <n v="9.4826345179444917"/>
    <n v="2023"/>
    <s v="July"/>
    <s v="Q3"/>
    <x v="6"/>
    <n v="5.0884938297872342"/>
    <n v="0.46279354765051578"/>
    <n v="877.49230769230769"/>
    <n v="9198.4311538461534"/>
    <n v="1807.6923076923076"/>
    <n v="19875.884615384617"/>
    <s v="Good"/>
    <x v="0"/>
  </r>
  <r>
    <x v="36"/>
    <x v="1"/>
    <x v="4"/>
    <x v="0"/>
    <x v="1"/>
    <n v="16355.46"/>
    <n v="211332"/>
    <n v="14946"/>
    <n v="249994.27"/>
    <n v="19"/>
    <n v="7.0722843677247169E-2"/>
    <n v="1.0943034925732638"/>
    <n v="77.392254840724533"/>
    <n v="15.285065048613735"/>
    <n v="14.285065048613736"/>
    <n v="2023"/>
    <s v="July"/>
    <s v="Q3"/>
    <x v="6"/>
    <n v="16.726500066907533"/>
    <n v="1.182945649499366"/>
    <n v="860.81368421052628"/>
    <n v="13157.593157894737"/>
    <n v="786.63157894736844"/>
    <n v="11122.736842105263"/>
    <s v="Good"/>
    <x v="0"/>
  </r>
  <r>
    <x v="19"/>
    <x v="0"/>
    <x v="0"/>
    <x v="4"/>
    <x v="2"/>
    <n v="21888.83"/>
    <n v="105674"/>
    <n v="30902"/>
    <n v="90250.46"/>
    <n v="43"/>
    <n v="0.29242765486306943"/>
    <n v="0.70833052876836455"/>
    <n v="207.1354353956508"/>
    <n v="4.1231285546098171"/>
    <n v="3.1231285546098171"/>
    <n v="2023"/>
    <s v="July"/>
    <s v="Q3"/>
    <x v="6"/>
    <n v="2.9205378292667143"/>
    <n v="0.8540460283513448"/>
    <n v="509.04255813953495"/>
    <n v="2098.8479069767445"/>
    <n v="718.65116279069764"/>
    <n v="2457.5348837209303"/>
    <s v="Excellent"/>
    <x v="0"/>
  </r>
  <r>
    <x v="44"/>
    <x v="1"/>
    <x v="4"/>
    <x v="5"/>
    <x v="0"/>
    <n v="35155.19"/>
    <n v="708724"/>
    <n v="10158"/>
    <n v="44507.4"/>
    <n v="17"/>
    <n v="1.4332800921091991E-2"/>
    <n v="3.4608377633392404"/>
    <n v="49.603498682138607"/>
    <n v="1.2660264387704916"/>
    <n v="0.26602643877049159"/>
    <n v="2023"/>
    <s v="July"/>
    <s v="Q3"/>
    <x v="6"/>
    <n v="4.3815121086828119"/>
    <n v="6.279934078710471E-2"/>
    <n v="2067.9523529411767"/>
    <n v="2618.0823529411764"/>
    <n v="597.52941176470586"/>
    <n v="41689.647058823532"/>
    <s v="Low"/>
    <x v="0"/>
  </r>
  <r>
    <x v="17"/>
    <x v="2"/>
    <x v="3"/>
    <x v="3"/>
    <x v="1"/>
    <n v="21613.15"/>
    <n v="448555"/>
    <n v="39187"/>
    <n v="38777.49"/>
    <n v="29"/>
    <n v="8.7362753731426476E-2"/>
    <n v="0.55153877561436193"/>
    <n v="48.183946227329983"/>
    <n v="1.7941618875545673"/>
    <n v="0.79416188755456729"/>
    <n v="2023"/>
    <s v="July"/>
    <s v="Q3"/>
    <x v="6"/>
    <n v="0.9895498507157986"/>
    <n v="8.644979991305414E-2"/>
    <n v="745.28103448275863"/>
    <n v="1337.1548275862069"/>
    <n v="1351.2758620689656"/>
    <n v="15467.413793103447"/>
    <s v="Good"/>
    <x v="0"/>
  </r>
  <r>
    <x v="23"/>
    <x v="1"/>
    <x v="3"/>
    <x v="4"/>
    <x v="2"/>
    <n v="1867.59"/>
    <n v="704180"/>
    <n v="16591"/>
    <n v="235407.15"/>
    <n v="60"/>
    <n v="2.3560737311482859E-2"/>
    <n v="0.11256645169067567"/>
    <n v="2.652148598369735"/>
    <n v="126.04862416269096"/>
    <n v="125.04862416269096"/>
    <n v="2023"/>
    <s v="July"/>
    <s v="Q3"/>
    <x v="6"/>
    <n v="14.188846362485684"/>
    <n v="0.33429968189951431"/>
    <n v="31.1265"/>
    <n v="3923.4524999999999"/>
    <n v="276.51666666666665"/>
    <n v="11736.333333333334"/>
    <s v="Medium"/>
    <x v="0"/>
  </r>
  <r>
    <x v="2"/>
    <x v="2"/>
    <x v="4"/>
    <x v="3"/>
    <x v="1"/>
    <n v="7719.43"/>
    <n v="40915"/>
    <n v="20985"/>
    <n v="220632.32000000001"/>
    <n v="26"/>
    <n v="0.51289258218257361"/>
    <n v="0.36785465808911127"/>
    <n v="188.66992545521202"/>
    <n v="28.581426348836636"/>
    <n v="27.581426348836636"/>
    <n v="2023"/>
    <s v="July"/>
    <s v="Q3"/>
    <x v="6"/>
    <n v="10.513810817250418"/>
    <n v="5.392455578638641"/>
    <n v="296.90115384615387"/>
    <n v="8485.8584615384625"/>
    <n v="807.11538461538464"/>
    <n v="1573.6538461538462"/>
    <s v="Excellent"/>
    <x v="0"/>
  </r>
  <r>
    <x v="20"/>
    <x v="0"/>
    <x v="3"/>
    <x v="1"/>
    <x v="1"/>
    <n v="19957.36"/>
    <n v="477429"/>
    <n v="3024"/>
    <n v="69507.509999999995"/>
    <n v="29"/>
    <n v="6.3339260916282841E-3"/>
    <n v="6.5996560846560852"/>
    <n v="41.801733870376545"/>
    <n v="3.4828008313724856"/>
    <n v="2.4828008313724856"/>
    <n v="2023"/>
    <s v="July"/>
    <s v="Q3"/>
    <x v="6"/>
    <n v="22.985287698412698"/>
    <n v="0.14558711347655881"/>
    <n v="688.18482758620689"/>
    <n v="2396.8106896551722"/>
    <n v="104.27586206896552"/>
    <n v="16463.068965517243"/>
    <s v="Low"/>
    <x v="0"/>
  </r>
  <r>
    <x v="32"/>
    <x v="0"/>
    <x v="4"/>
    <x v="5"/>
    <x v="1"/>
    <n v="483.35"/>
    <n v="143882"/>
    <n v="20525"/>
    <n v="148207.96"/>
    <n v="21"/>
    <n v="0.14265161729750769"/>
    <n v="2.3549330085261878E-2"/>
    <n v="3.3593500229354611"/>
    <n v="306.62658529016238"/>
    <n v="305.62658529016238"/>
    <n v="2023"/>
    <s v="July"/>
    <s v="Q3"/>
    <x v="6"/>
    <n v="7.2208506699147375"/>
    <n v="1.0300660263271291"/>
    <n v="23.016666666666669"/>
    <n v="7057.5219047619048"/>
    <n v="977.38095238095241"/>
    <n v="6851.5238095238092"/>
    <s v="Excellent"/>
    <x v="0"/>
  </r>
  <r>
    <x v="7"/>
    <x v="2"/>
    <x v="0"/>
    <x v="3"/>
    <x v="1"/>
    <n v="15608.87"/>
    <n v="846020"/>
    <n v="34131"/>
    <n v="70346.570000000007"/>
    <n v="37"/>
    <n v="4.0343017895558025E-2"/>
    <n v="0.45732237555301636"/>
    <n v="18.449764780974444"/>
    <n v="4.5068329738155297"/>
    <n v="3.5068329738155293"/>
    <n v="2023"/>
    <s v="July"/>
    <s v="Q3"/>
    <x v="6"/>
    <n v="2.0610755618059828"/>
    <n v="8.3150008274036083E-2"/>
    <n v="421.86135135135135"/>
    <n v="1901.2586486486489"/>
    <n v="922.45945945945948"/>
    <n v="22865.405405405407"/>
    <s v="Medium"/>
    <x v="0"/>
  </r>
  <r>
    <x v="53"/>
    <x v="1"/>
    <x v="1"/>
    <x v="0"/>
    <x v="2"/>
    <n v="5092.25"/>
    <n v="307604"/>
    <n v="13593"/>
    <n v="62094.66"/>
    <n v="18"/>
    <n v="4.4189932510630553E-2"/>
    <n v="0.3746229677039653"/>
    <n v="16.554563659770356"/>
    <n v="12.193953556875645"/>
    <n v="11.193953556875645"/>
    <n v="2023"/>
    <s v="July"/>
    <s v="Q3"/>
    <x v="6"/>
    <n v="4.5681350695210776"/>
    <n v="0.20186558042158101"/>
    <n v="282.90277777777777"/>
    <n v="3449.7033333333334"/>
    <n v="755.16666666666663"/>
    <n v="17089.111111111109"/>
    <s v="Medium"/>
    <x v="0"/>
  </r>
  <r>
    <x v="35"/>
    <x v="3"/>
    <x v="3"/>
    <x v="5"/>
    <x v="2"/>
    <n v="5626.87"/>
    <n v="52608"/>
    <n v="28182"/>
    <n v="73382.5"/>
    <n v="17"/>
    <n v="0.53569799270072993"/>
    <n v="0.19966184089134908"/>
    <n v="106.95844738442823"/>
    <n v="13.041442222763278"/>
    <n v="12.041442222763278"/>
    <n v="2023"/>
    <s v="July"/>
    <s v="Q3"/>
    <x v="6"/>
    <n v="2.6038783620750836"/>
    <n v="1.3948924118004866"/>
    <n v="330.99235294117648"/>
    <n v="4316.6176470588234"/>
    <n v="1657.7647058823529"/>
    <n v="3094.5882352941176"/>
    <s v="Excellent"/>
    <x v="0"/>
  </r>
  <r>
    <x v="58"/>
    <x v="0"/>
    <x v="0"/>
    <x v="3"/>
    <x v="1"/>
    <n v="16191.57"/>
    <n v="134078"/>
    <n v="43426"/>
    <n v="61434.85"/>
    <n v="16"/>
    <n v="0.32388609615298558"/>
    <n v="0.37285428084557637"/>
    <n v="120.76231745700264"/>
    <n v="3.79424910617068"/>
    <n v="2.79424910617068"/>
    <n v="2023"/>
    <s v="July"/>
    <s v="Q3"/>
    <x v="6"/>
    <n v="1.41470202183024"/>
    <n v="0.45820231507033221"/>
    <n v="1011.973125"/>
    <n v="3839.6781249999999"/>
    <n v="2714.125"/>
    <n v="8379.875"/>
    <s v="Excellent"/>
    <x v="0"/>
  </r>
  <r>
    <x v="48"/>
    <x v="0"/>
    <x v="4"/>
    <x v="4"/>
    <x v="1"/>
    <n v="15698.3"/>
    <n v="150727"/>
    <n v="39562"/>
    <n v="140257.29999999999"/>
    <n v="15"/>
    <n v="0.2624745400624971"/>
    <n v="0.39680248723522571"/>
    <n v="104.15055033272075"/>
    <n v="8.9345534229821055"/>
    <n v="7.9345534229821055"/>
    <n v="2023"/>
    <s v="July"/>
    <s v="Q3"/>
    <x v="6"/>
    <n v="3.5452530205752995"/>
    <n v="0.9305386559806802"/>
    <n v="1046.5533333333333"/>
    <n v="9350.4866666666658"/>
    <n v="2637.4666666666667"/>
    <n v="10048.466666666667"/>
    <s v="Excellent"/>
    <x v="0"/>
  </r>
  <r>
    <x v="1"/>
    <x v="2"/>
    <x v="0"/>
    <x v="3"/>
    <x v="2"/>
    <n v="4458.93"/>
    <n v="508783"/>
    <n v="44607"/>
    <n v="95023.14"/>
    <n v="60"/>
    <n v="8.7673919922638927E-2"/>
    <n v="9.9960320129127728E-2"/>
    <n v="8.7639131024424959"/>
    <n v="21.310749439888042"/>
    <n v="20.310749439888042"/>
    <n v="2023"/>
    <s v="July"/>
    <s v="Q3"/>
    <x v="6"/>
    <n v="2.1302293362028379"/>
    <n v="0.1867655562391039"/>
    <n v="74.3155"/>
    <n v="1583.7190000000001"/>
    <n v="743.45"/>
    <n v="8479.7166666666672"/>
    <s v="Good"/>
    <x v="0"/>
  </r>
  <r>
    <x v="10"/>
    <x v="1"/>
    <x v="3"/>
    <x v="4"/>
    <x v="1"/>
    <n v="28543.119999999999"/>
    <n v="666493"/>
    <n v="2435"/>
    <n v="237549.72"/>
    <n v="59"/>
    <n v="3.6534517241741476E-3"/>
    <n v="11.722020533880903"/>
    <n v="42.825836130311949"/>
    <n v="8.3224861192469497"/>
    <n v="7.3224861192469506"/>
    <n v="2023"/>
    <s v="July"/>
    <s v="Q3"/>
    <x v="6"/>
    <n v="97.556353182751536"/>
    <n v="0.3564174267396657"/>
    <n v="483.78169491525421"/>
    <n v="4026.2664406779663"/>
    <n v="41.271186440677965"/>
    <n v="11296.491525423729"/>
    <s v="Low"/>
    <x v="0"/>
  </r>
  <r>
    <x v="32"/>
    <x v="2"/>
    <x v="0"/>
    <x v="2"/>
    <x v="0"/>
    <n v="11493.12"/>
    <n v="443020"/>
    <n v="45352"/>
    <n v="54953.46"/>
    <n v="7"/>
    <n v="0.10237009615818699"/>
    <n v="0.25342035632386667"/>
    <n v="25.942666245316239"/>
    <n v="4.7814222769796189"/>
    <n v="3.7814222769796184"/>
    <n v="2023"/>
    <s v="July"/>
    <s v="Q3"/>
    <x v="6"/>
    <n v="1.2117097371670489"/>
    <n v="0.12404284230960227"/>
    <n v="1641.8742857142859"/>
    <n v="7850.494285714286"/>
    <n v="6478.8571428571431"/>
    <n v="63288.571428571428"/>
    <s v="Excellent"/>
    <x v="0"/>
  </r>
  <r>
    <x v="15"/>
    <x v="3"/>
    <x v="1"/>
    <x v="1"/>
    <x v="2"/>
    <n v="5357.96"/>
    <n v="997219"/>
    <n v="19604"/>
    <n v="193937.7"/>
    <n v="21"/>
    <n v="1.9658670763392994E-2"/>
    <n v="0.27330952866761887"/>
    <n v="5.3729020405748384"/>
    <n v="36.196182875572049"/>
    <n v="35.196182875572049"/>
    <n v="2023"/>
    <s v="July"/>
    <s v="Q3"/>
    <x v="6"/>
    <n v="9.8927616812895334"/>
    <n v="0.19447854483318108"/>
    <n v="255.14095238095237"/>
    <n v="9235.1285714285714"/>
    <n v="933.52380952380952"/>
    <n v="47486.619047619046"/>
    <s v="Low"/>
    <x v="0"/>
  </r>
  <r>
    <x v="10"/>
    <x v="2"/>
    <x v="3"/>
    <x v="3"/>
    <x v="2"/>
    <n v="32446.97"/>
    <n v="850257"/>
    <n v="37970"/>
    <n v="110130.1"/>
    <n v="45"/>
    <n v="4.4657086033987374E-2"/>
    <n v="0.85454227021332629"/>
    <n v="38.161367680595404"/>
    <n v="3.3941566808857653"/>
    <n v="2.3941566808857653"/>
    <n v="2023"/>
    <s v="July"/>
    <s v="Q3"/>
    <x v="6"/>
    <n v="2.9004503555438506"/>
    <n v="0.12952566106483099"/>
    <n v="721.04377777777779"/>
    <n v="2447.3355555555559"/>
    <n v="843.77777777777783"/>
    <n v="18894.599999999999"/>
    <s v="Medium"/>
    <x v="0"/>
  </r>
  <r>
    <x v="9"/>
    <x v="1"/>
    <x v="4"/>
    <x v="4"/>
    <x v="1"/>
    <n v="24342.09"/>
    <n v="742377"/>
    <n v="15282"/>
    <n v="155721.54999999999"/>
    <n v="8"/>
    <n v="2.0585228260034994E-2"/>
    <n v="1.592860227718885"/>
    <n v="32.789391373924573"/>
    <n v="6.3972136328474667"/>
    <n v="5.3972136328474667"/>
    <n v="2023"/>
    <s v="July"/>
    <s v="Q3"/>
    <x v="6"/>
    <n v="10.18986716398377"/>
    <n v="0.20976074151004137"/>
    <n v="3042.76125"/>
    <n v="19465.193749999999"/>
    <n v="1910.25"/>
    <n v="92797.125"/>
    <s v="Medium"/>
    <x v="0"/>
  </r>
  <r>
    <x v="28"/>
    <x v="3"/>
    <x v="2"/>
    <x v="5"/>
    <x v="1"/>
    <n v="35735.42"/>
    <n v="505962"/>
    <n v="738"/>
    <n v="48268.78"/>
    <n v="15"/>
    <n v="1.4586075634138531E-3"/>
    <n v="48.421978319783193"/>
    <n v="70.628663812697397"/>
    <n v="1.3507265340662009"/>
    <n v="0.35072653406620102"/>
    <n v="2023"/>
    <s v="July"/>
    <s v="Q3"/>
    <x v="6"/>
    <n v="65.404850948509477"/>
    <n v="9.5400010277451666E-2"/>
    <n v="2382.3613333333333"/>
    <n v="3217.9186666666665"/>
    <n v="49.2"/>
    <n v="33730.800000000003"/>
    <s v="Low"/>
    <x v="0"/>
  </r>
  <r>
    <x v="53"/>
    <x v="3"/>
    <x v="1"/>
    <x v="1"/>
    <x v="2"/>
    <n v="19602.36"/>
    <n v="870394"/>
    <n v="15015"/>
    <n v="59616.27"/>
    <n v="58"/>
    <n v="1.7250808254652489E-2"/>
    <n v="1.3055184815184815"/>
    <n v="22.521248997580408"/>
    <n v="3.041280233604525"/>
    <n v="2.041280233604525"/>
    <n v="2023"/>
    <s v="July"/>
    <s v="Q3"/>
    <x v="6"/>
    <n v="3.9704475524475522"/>
    <n v="6.8493429412427018E-2"/>
    <n v="337.97172413793106"/>
    <n v="1027.866724137931"/>
    <n v="258.87931034482756"/>
    <n v="15006.793103448275"/>
    <s v="Low"/>
    <x v="0"/>
  </r>
  <r>
    <x v="7"/>
    <x v="0"/>
    <x v="4"/>
    <x v="2"/>
    <x v="0"/>
    <n v="750.53"/>
    <n v="191043"/>
    <n v="46851"/>
    <n v="114052.24"/>
    <n v="13"/>
    <n v="0.24523798307187386"/>
    <n v="1.6019508655098075E-2"/>
    <n v="3.9285919923786787"/>
    <n v="151.96226666489017"/>
    <n v="150.96226666489017"/>
    <n v="2023"/>
    <s v="July"/>
    <s v="Q3"/>
    <x v="6"/>
    <n v="2.4343608460865296"/>
    <n v="0.59699774396340088"/>
    <n v="57.733076923076922"/>
    <n v="8773.2492307692319"/>
    <n v="3603.9230769230771"/>
    <n v="14695.615384615385"/>
    <s v="Excellent"/>
    <x v="0"/>
  </r>
  <r>
    <x v="35"/>
    <x v="1"/>
    <x v="4"/>
    <x v="5"/>
    <x v="2"/>
    <n v="37574.31"/>
    <n v="88979"/>
    <n v="35216"/>
    <n v="57449.63"/>
    <n v="37"/>
    <n v="0.39577877926252264"/>
    <n v="1.0669670036347114"/>
    <n v="422.28289821193761"/>
    <n v="1.5289603455126655"/>
    <n v="0.52896034551266546"/>
    <n v="2023"/>
    <s v="July"/>
    <s v="Q3"/>
    <x v="6"/>
    <n v="1.6313502385279417"/>
    <n v="0.64565380595421384"/>
    <n v="1015.5218918918919"/>
    <n v="1552.6927027027027"/>
    <n v="951.78378378378375"/>
    <n v="2404.8378378378379"/>
    <s v="Excellent"/>
    <x v="0"/>
  </r>
  <r>
    <x v="24"/>
    <x v="1"/>
    <x v="0"/>
    <x v="3"/>
    <x v="0"/>
    <n v="19844.82"/>
    <n v="284375"/>
    <n v="35649"/>
    <n v="89185.83"/>
    <n v="24"/>
    <n v="0.12535912087912088"/>
    <n v="0.55667255743499111"/>
    <n v="69.783982417582422"/>
    <n v="4.494161700635229"/>
    <n v="3.4941617006352295"/>
    <n v="2023"/>
    <s v="July"/>
    <s v="Q3"/>
    <x v="6"/>
    <n v="2.501776487419002"/>
    <n v="0.31362050109890111"/>
    <n v="826.86749999999995"/>
    <n v="3716.0762500000001"/>
    <n v="1485.375"/>
    <n v="11848.958333333334"/>
    <s v="Excellent"/>
    <x v="0"/>
  </r>
  <r>
    <x v="50"/>
    <x v="2"/>
    <x v="4"/>
    <x v="0"/>
    <x v="1"/>
    <n v="42313.24"/>
    <n v="340926"/>
    <n v="20421"/>
    <n v="131268.98000000001"/>
    <n v="8"/>
    <n v="5.9898629028000208E-2"/>
    <n v="2.0720454434160911"/>
    <n v="124.11268134433864"/>
    <n v="3.1023145474088021"/>
    <n v="2.1023145474088021"/>
    <n v="2023"/>
    <s v="July"/>
    <s v="Q3"/>
    <x v="6"/>
    <n v="6.4281367220018613"/>
    <n v="0.38503657685245479"/>
    <n v="5289.1549999999997"/>
    <n v="16408.622500000001"/>
    <n v="2552.625"/>
    <n v="42615.75"/>
    <s v="Good"/>
    <x v="0"/>
  </r>
  <r>
    <x v="46"/>
    <x v="0"/>
    <x v="2"/>
    <x v="3"/>
    <x v="2"/>
    <n v="26783.94"/>
    <n v="874637"/>
    <n v="26264"/>
    <n v="153187.91"/>
    <n v="6"/>
    <n v="3.0028457520091194E-2"/>
    <n v="1.0197966798659761"/>
    <n v="30.622921280485503"/>
    <n v="5.7193941593357813"/>
    <n v="4.7193941593357813"/>
    <n v="2023"/>
    <s v="July"/>
    <s v="Q3"/>
    <x v="6"/>
    <n v="5.8326191745354858"/>
    <n v="0.17514455711340821"/>
    <n v="4463.99"/>
    <n v="25531.318333333333"/>
    <n v="4377.333333333333"/>
    <n v="145772.83333333334"/>
    <s v="Medium"/>
    <x v="0"/>
  </r>
  <r>
    <x v="49"/>
    <x v="1"/>
    <x v="2"/>
    <x v="3"/>
    <x v="0"/>
    <n v="9804.5"/>
    <n v="490921"/>
    <n v="32712"/>
    <n v="214575.71"/>
    <n v="6"/>
    <n v="6.6633939065552303E-2"/>
    <n v="0.29972181462460257"/>
    <n v="19.971645132312531"/>
    <n v="21.885431179560406"/>
    <n v="20.885431179560406"/>
    <n v="2023"/>
    <s v="July"/>
    <s v="Q3"/>
    <x v="6"/>
    <n v="6.5595411469797016"/>
    <n v="0.43708806508582848"/>
    <n v="1634.0833333333333"/>
    <n v="35762.618333333332"/>
    <n v="5452"/>
    <n v="81820.166666666672"/>
    <s v="Good"/>
    <x v="0"/>
  </r>
  <r>
    <x v="42"/>
    <x v="2"/>
    <x v="4"/>
    <x v="0"/>
    <x v="0"/>
    <n v="10611.46"/>
    <n v="425011"/>
    <n v="8677"/>
    <n v="169564.1"/>
    <n v="48"/>
    <n v="2.0415942175614279E-2"/>
    <n v="1.2229411086781146"/>
    <n v="24.967494958954003"/>
    <n v="15.979337433303241"/>
    <n v="14.979337433303243"/>
    <n v="2023"/>
    <s v="July"/>
    <s v="Q3"/>
    <x v="6"/>
    <n v="19.541788636625562"/>
    <n v="0.39896402681342369"/>
    <n v="221.07208333333332"/>
    <n v="3532.5854166666668"/>
    <n v="180.77083333333334"/>
    <n v="8854.3958333333339"/>
    <s v="Medium"/>
    <x v="0"/>
  </r>
  <r>
    <x v="57"/>
    <x v="3"/>
    <x v="3"/>
    <x v="0"/>
    <x v="2"/>
    <n v="7066.41"/>
    <n v="158433"/>
    <n v="46260"/>
    <n v="201980.7"/>
    <n v="40"/>
    <n v="0.29198462441536799"/>
    <n v="0.15275421530479896"/>
    <n v="44.601882183635986"/>
    <n v="28.583212692159105"/>
    <n v="27.583212692159105"/>
    <n v="2023"/>
    <s v="July"/>
    <s v="Q3"/>
    <x v="6"/>
    <n v="4.3662062256809344"/>
    <n v="1.274865084925489"/>
    <n v="176.66024999999999"/>
    <n v="5049.5174999999999"/>
    <n v="1156.5"/>
    <n v="3960.8249999999998"/>
    <s v="Excellent"/>
    <x v="0"/>
  </r>
  <r>
    <x v="45"/>
    <x v="2"/>
    <x v="1"/>
    <x v="2"/>
    <x v="2"/>
    <n v="37844.6"/>
    <n v="506574"/>
    <n v="7669"/>
    <n v="80546.58"/>
    <n v="16"/>
    <n v="1.5138953045359612E-2"/>
    <n v="4.9347502933889684"/>
    <n v="74.70695298219016"/>
    <n v="2.1283506761862987"/>
    <n v="1.1283506761862989"/>
    <n v="2023"/>
    <s v="July"/>
    <s v="Q3"/>
    <x v="6"/>
    <n v="10.502879123744947"/>
    <n v="0.15900259389546245"/>
    <n v="2365.2874999999999"/>
    <n v="5034.1612500000001"/>
    <n v="479.3125"/>
    <n v="31660.875"/>
    <s v="Low"/>
    <x v="0"/>
  </r>
  <r>
    <x v="43"/>
    <x v="2"/>
    <x v="2"/>
    <x v="4"/>
    <x v="2"/>
    <n v="24577.439999999999"/>
    <n v="255770"/>
    <n v="26045"/>
    <n v="58555.46"/>
    <n v="20"/>
    <n v="0.10182976893302577"/>
    <n v="0.9436529084277212"/>
    <n v="96.091957618172572"/>
    <n v="2.3824881680109891"/>
    <n v="1.3824881680109893"/>
    <n v="2023"/>
    <s v="August"/>
    <s v="Q3"/>
    <x v="7"/>
    <n v="2.2482418890382032"/>
    <n v="0.22893795206630957"/>
    <n v="1228.8719999999998"/>
    <n v="2927.7730000000001"/>
    <n v="1302.25"/>
    <n v="12788.5"/>
    <s v="Excellent"/>
    <x v="0"/>
  </r>
  <r>
    <x v="32"/>
    <x v="2"/>
    <x v="2"/>
    <x v="1"/>
    <x v="2"/>
    <n v="2844.22"/>
    <n v="705732"/>
    <n v="40397"/>
    <n v="20893.900000000001"/>
    <n v="52"/>
    <n v="5.7241275725062775E-2"/>
    <n v="7.0406713369804683E-2"/>
    <n v="4.0301700928964532"/>
    <n v="7.3460913712722657"/>
    <n v="6.3460913712722649"/>
    <n v="2023"/>
    <s v="August"/>
    <s v="Q3"/>
    <x v="7"/>
    <n v="0.51721414956556189"/>
    <n v="2.960599774418618E-2"/>
    <n v="54.696538461538459"/>
    <n v="401.80576923076927"/>
    <n v="776.86538461538464"/>
    <n v="13571.76923076923"/>
    <s v="Good"/>
    <x v="0"/>
  </r>
  <r>
    <x v="57"/>
    <x v="3"/>
    <x v="3"/>
    <x v="2"/>
    <x v="1"/>
    <n v="8916.2000000000007"/>
    <n v="33536"/>
    <n v="16069"/>
    <n v="15570.36"/>
    <n v="43"/>
    <n v="0.47915672709923662"/>
    <n v="0.5548696247432946"/>
    <n v="265.86951335877865"/>
    <n v="1.7462999932706758"/>
    <n v="0.74629999327067575"/>
    <n v="2023"/>
    <s v="August"/>
    <s v="Q3"/>
    <x v="7"/>
    <n v="0.96896882195531775"/>
    <n v="0.46428792938931301"/>
    <n v="207.35348837209304"/>
    <n v="362.10139534883723"/>
    <n v="373.69767441860466"/>
    <n v="779.90697674418607"/>
    <s v="Excellent"/>
    <x v="0"/>
  </r>
  <r>
    <x v="9"/>
    <x v="0"/>
    <x v="2"/>
    <x v="5"/>
    <x v="1"/>
    <n v="23904.18"/>
    <n v="294263"/>
    <n v="3151"/>
    <n v="231419.02"/>
    <n v="61"/>
    <n v="1.0708108053000208E-2"/>
    <n v="7.5862202475404636"/>
    <n v="81.234066124521263"/>
    <n v="9.6811110023435223"/>
    <n v="8.6811110023435223"/>
    <n v="2023"/>
    <s v="August"/>
    <s v="Q3"/>
    <x v="7"/>
    <n v="73.443040304665189"/>
    <n v="0.78643601132320406"/>
    <n v="391.8718032786885"/>
    <n v="3793.7544262295082"/>
    <n v="51.655737704918032"/>
    <n v="4823.9836065573772"/>
    <s v="Low"/>
    <x v="0"/>
  </r>
  <r>
    <x v="27"/>
    <x v="2"/>
    <x v="0"/>
    <x v="3"/>
    <x v="2"/>
    <n v="2626.76"/>
    <n v="348869"/>
    <n v="3739"/>
    <n v="187231"/>
    <n v="61"/>
    <n v="1.0717489946082914E-2"/>
    <n v="0.70253008825889285"/>
    <n v="7.529359157735426"/>
    <n v="71.278304831808001"/>
    <n v="70.278304831808001"/>
    <n v="2023"/>
    <s v="August"/>
    <s v="Q3"/>
    <x v="7"/>
    <n v="50.075153784434342"/>
    <n v="0.53667995723323081"/>
    <n v="43.061639344262296"/>
    <n v="3069.3606557377047"/>
    <n v="61.295081967213115"/>
    <n v="5719.1639344262294"/>
    <s v="Low"/>
    <x v="0"/>
  </r>
  <r>
    <x v="47"/>
    <x v="1"/>
    <x v="1"/>
    <x v="2"/>
    <x v="2"/>
    <n v="1266.02"/>
    <n v="139144"/>
    <n v="24124"/>
    <n v="179221.97"/>
    <n v="52"/>
    <n v="0.17337434600126489"/>
    <n v="5.2479688277234288E-2"/>
    <n v="9.0986316334157404"/>
    <n v="141.56330073774507"/>
    <n v="140.56330073774507"/>
    <n v="2023"/>
    <s v="August"/>
    <s v="Q3"/>
    <x v="7"/>
    <n v="7.4291978942132317"/>
    <n v="1.2880323262231932"/>
    <n v="24.346538461538461"/>
    <n v="3446.5763461538463"/>
    <n v="463.92307692307691"/>
    <n v="2675.8461538461538"/>
    <s v="Excellent"/>
    <x v="0"/>
  </r>
  <r>
    <x v="29"/>
    <x v="3"/>
    <x v="3"/>
    <x v="1"/>
    <x v="1"/>
    <n v="5449.15"/>
    <n v="486660"/>
    <n v="2608"/>
    <n v="138544.9"/>
    <n v="50"/>
    <n v="5.358977520240003E-3"/>
    <n v="2.0893980061349691"/>
    <n v="11.197036945711584"/>
    <n v="25.425047943257205"/>
    <n v="24.425047943257209"/>
    <n v="2023"/>
    <s v="August"/>
    <s v="Q3"/>
    <x v="7"/>
    <n v="53.123044478527603"/>
    <n v="0.28468520116713925"/>
    <n v="108.98299999999999"/>
    <n v="2770.8979999999997"/>
    <n v="52.16"/>
    <n v="9733.2000000000007"/>
    <s v="Low"/>
    <x v="0"/>
  </r>
  <r>
    <x v="1"/>
    <x v="0"/>
    <x v="0"/>
    <x v="3"/>
    <x v="1"/>
    <n v="3452.81"/>
    <n v="554676"/>
    <n v="44663"/>
    <n v="114041.38"/>
    <n v="36"/>
    <n v="8.0520880658258159E-2"/>
    <n v="7.7308062602153907E-2"/>
    <n v="6.2249132827091858"/>
    <n v="33.028570932081408"/>
    <n v="32.028570932081408"/>
    <n v="2023"/>
    <s v="August"/>
    <s v="Q3"/>
    <x v="7"/>
    <n v="2.5533748292770304"/>
    <n v="0.20559998990401604"/>
    <n v="95.911388888888894"/>
    <n v="3167.8161111111112"/>
    <n v="1240.6388888888889"/>
    <n v="15407.666666666666"/>
    <s v="Good"/>
    <x v="0"/>
  </r>
  <r>
    <x v="51"/>
    <x v="3"/>
    <x v="2"/>
    <x v="4"/>
    <x v="0"/>
    <n v="11312.11"/>
    <n v="253949"/>
    <n v="36907"/>
    <n v="21227.61"/>
    <n v="35"/>
    <n v="0.1453323305073066"/>
    <n v="0.30650310239250006"/>
    <n v="44.544810178421656"/>
    <n v="1.8765385060788835"/>
    <n v="0.87653850607888351"/>
    <n v="2023"/>
    <s v="August"/>
    <s v="Q3"/>
    <x v="7"/>
    <n v="0.57516487387216519"/>
    <n v="8.359005154578282E-2"/>
    <n v="323.20314285714289"/>
    <n v="606.50314285714285"/>
    <n v="1054.4857142857143"/>
    <n v="7255.6857142857143"/>
    <s v="Excellent"/>
    <x v="0"/>
  </r>
  <r>
    <x v="16"/>
    <x v="1"/>
    <x v="1"/>
    <x v="5"/>
    <x v="2"/>
    <n v="25527.439999999999"/>
    <n v="238026"/>
    <n v="20076"/>
    <n v="232631.71"/>
    <n v="6"/>
    <n v="8.4343727155856918E-2"/>
    <n v="1.271540147439729"/>
    <n v="107.24643526337459"/>
    <n v="9.1130058478249296"/>
    <n v="8.1130058478249296"/>
    <n v="2023"/>
    <s v="August"/>
    <s v="Q3"/>
    <x v="7"/>
    <n v="11.587552799362422"/>
    <n v="0.97733739171351031"/>
    <n v="4254.5733333333328"/>
    <n v="38771.951666666668"/>
    <n v="3346"/>
    <n v="39671"/>
    <s v="Good"/>
    <x v="0"/>
  </r>
  <r>
    <x v="47"/>
    <x v="2"/>
    <x v="1"/>
    <x v="4"/>
    <x v="0"/>
    <n v="8405.9699999999993"/>
    <n v="608782"/>
    <n v="37862"/>
    <n v="120804.4"/>
    <n v="40"/>
    <n v="6.2193034616660807E-2"/>
    <n v="0.22201600549363476"/>
    <n v="13.807849115118382"/>
    <n v="14.371262329035199"/>
    <n v="13.371262329035197"/>
    <n v="2023"/>
    <s v="August"/>
    <s v="Q3"/>
    <x v="7"/>
    <n v="3.1906502561935448"/>
    <n v="0.1984362218331028"/>
    <n v="210.14924999999999"/>
    <n v="3020.1099999999997"/>
    <n v="946.55"/>
    <n v="15219.55"/>
    <s v="Good"/>
    <x v="0"/>
  </r>
  <r>
    <x v="16"/>
    <x v="1"/>
    <x v="0"/>
    <x v="4"/>
    <x v="1"/>
    <n v="2035.23"/>
    <n v="771538"/>
    <n v="9935"/>
    <n v="98366.97"/>
    <n v="30"/>
    <n v="1.2876877094841732E-2"/>
    <n v="0.20485455460493207"/>
    <n v="2.6378869219662544"/>
    <n v="48.33211479783612"/>
    <n v="47.33211479783612"/>
    <n v="2023"/>
    <s v="August"/>
    <s v="Q3"/>
    <x v="7"/>
    <n v="9.9010538500251641"/>
    <n v="0.12749465353618358"/>
    <n v="67.840999999999994"/>
    <n v="3278.8989999999999"/>
    <n v="331.16666666666669"/>
    <n v="25717.933333333334"/>
    <s v="Low"/>
    <x v="0"/>
  </r>
  <r>
    <x v="37"/>
    <x v="0"/>
    <x v="0"/>
    <x v="1"/>
    <x v="2"/>
    <n v="2678.62"/>
    <n v="722641"/>
    <n v="37903"/>
    <n v="239000.59"/>
    <n v="28"/>
    <n v="5.2450663607517427E-2"/>
    <n v="7.0670395483207138E-2"/>
    <n v="3.7067091404999162"/>
    <n v="89.225268981789128"/>
    <n v="88.225268981789128"/>
    <n v="2023"/>
    <s v="August"/>
    <s v="Q3"/>
    <x v="7"/>
    <n v="6.3055850460385718"/>
    <n v="0.33073212009836145"/>
    <n v="95.664999999999992"/>
    <n v="8535.7353571428575"/>
    <n v="1353.6785714285713"/>
    <n v="25808.607142857141"/>
    <s v="Good"/>
    <x v="0"/>
  </r>
  <r>
    <x v="55"/>
    <x v="3"/>
    <x v="3"/>
    <x v="3"/>
    <x v="1"/>
    <n v="5473.43"/>
    <n v="801662"/>
    <n v="41789"/>
    <n v="203410.65"/>
    <n v="58"/>
    <n v="5.2127954175201018E-2"/>
    <n v="0.13097776926942498"/>
    <n v="6.8276031544466376"/>
    <n v="37.163287006502316"/>
    <n v="36.163287006502323"/>
    <n v="2023"/>
    <s v="August"/>
    <s v="Q3"/>
    <x v="7"/>
    <n v="4.8675644308310799"/>
    <n v="0.25373617559520095"/>
    <n v="94.369482758620691"/>
    <n v="3507.0801724137932"/>
    <n v="720.5"/>
    <n v="13821.758620689656"/>
    <s v="Good"/>
    <x v="0"/>
  </r>
  <r>
    <x v="49"/>
    <x v="2"/>
    <x v="3"/>
    <x v="3"/>
    <x v="1"/>
    <n v="1071.72"/>
    <n v="218496"/>
    <n v="47025"/>
    <n v="164221.69"/>
    <n v="20"/>
    <n v="0.21522133128295254"/>
    <n v="2.2790430622009569E-2"/>
    <n v="4.9049868189806682"/>
    <n v="153.23189825700743"/>
    <n v="152.23189825700743"/>
    <n v="2023"/>
    <s v="August"/>
    <s v="Q3"/>
    <x v="7"/>
    <n v="3.492220946305157"/>
    <n v="0.75160044119800817"/>
    <n v="53.585999999999999"/>
    <n v="8211.0845000000008"/>
    <n v="2351.25"/>
    <n v="10924.8"/>
    <s v="Excellent"/>
    <x v="0"/>
  </r>
  <r>
    <x v="33"/>
    <x v="3"/>
    <x v="4"/>
    <x v="1"/>
    <x v="2"/>
    <n v="3702.69"/>
    <n v="224353"/>
    <n v="19853"/>
    <n v="236604.4"/>
    <n v="31"/>
    <n v="8.8490013505502493E-2"/>
    <n v="0.18650531405832871"/>
    <n v="16.50385775986949"/>
    <n v="63.900677615463351"/>
    <n v="62.900677615463351"/>
    <n v="2023"/>
    <s v="August"/>
    <s v="Q3"/>
    <x v="7"/>
    <n v="11.917815947212008"/>
    <n v="1.0546076941248834"/>
    <n v="119.4416129032258"/>
    <n v="7632.4"/>
    <n v="640.41935483870964"/>
    <n v="7237.1935483870966"/>
    <s v="Good"/>
    <x v="0"/>
  </r>
  <r>
    <x v="9"/>
    <x v="0"/>
    <x v="4"/>
    <x v="2"/>
    <x v="1"/>
    <n v="3680.97"/>
    <n v="551704"/>
    <n v="40287"/>
    <n v="202855.86"/>
    <n v="22"/>
    <n v="7.3022852834128446E-2"/>
    <n v="9.1368679722987553E-2"/>
    <n v="6.6720016530603363"/>
    <n v="55.109348894449013"/>
    <n v="54.109348894449013"/>
    <n v="2023"/>
    <s v="August"/>
    <s v="Q3"/>
    <x v="7"/>
    <n v="5.0352684488792905"/>
    <n v="0.36768966692284266"/>
    <n v="167.31681818181818"/>
    <n v="9220.7209090909091"/>
    <n v="1831.2272727272727"/>
    <n v="25077.454545454544"/>
    <s v="Good"/>
    <x v="0"/>
  </r>
  <r>
    <x v="49"/>
    <x v="1"/>
    <x v="2"/>
    <x v="1"/>
    <x v="2"/>
    <n v="2176.69"/>
    <n v="848095"/>
    <n v="27833"/>
    <n v="122188.42"/>
    <n v="54"/>
    <n v="3.2818257388618023E-2"/>
    <n v="7.8205367728954839E-2"/>
    <n v="2.5665638873003616"/>
    <n v="56.134966393928394"/>
    <n v="55.134966393928394"/>
    <n v="2023"/>
    <s v="August"/>
    <s v="Q3"/>
    <x v="7"/>
    <n v="4.3900556892896923"/>
    <n v="0.14407397756147602"/>
    <n v="40.309074074074076"/>
    <n v="2262.7485185185183"/>
    <n v="515.42592592592598"/>
    <n v="15705.462962962964"/>
    <s v="Medium"/>
    <x v="0"/>
  </r>
  <r>
    <x v="37"/>
    <x v="2"/>
    <x v="1"/>
    <x v="2"/>
    <x v="1"/>
    <n v="25339.57"/>
    <n v="731068"/>
    <n v="37798"/>
    <n v="59152.78"/>
    <n v="38"/>
    <n v="5.1702440812619349E-2"/>
    <n v="0.67039446531562519"/>
    <n v="34.6610301640887"/>
    <n v="2.3344034646207494"/>
    <n v="1.3344034646207492"/>
    <n v="2023"/>
    <s v="August"/>
    <s v="Q3"/>
    <x v="7"/>
    <n v="1.5649711624953702"/>
    <n v="8.091282890237296E-2"/>
    <n v="666.83078947368415"/>
    <n v="1556.6521052631579"/>
    <n v="994.68421052631584"/>
    <n v="19238.63157894737"/>
    <s v="Good"/>
    <x v="0"/>
  </r>
  <r>
    <x v="48"/>
    <x v="0"/>
    <x v="1"/>
    <x v="0"/>
    <x v="2"/>
    <n v="12504.39"/>
    <n v="450897"/>
    <n v="21813"/>
    <n v="96062.2"/>
    <n v="28"/>
    <n v="4.8376902041929751E-2"/>
    <n v="0.57325402283042215"/>
    <n v="27.732253707609498"/>
    <n v="7.6822779839720292"/>
    <n v="6.6822779839720292"/>
    <n v="2023"/>
    <s v="August"/>
    <s v="Q3"/>
    <x v="7"/>
    <n v="4.4038967588135511"/>
    <n v="0.21304688210389511"/>
    <n v="446.58535714285711"/>
    <n v="3430.792857142857"/>
    <n v="779.03571428571433"/>
    <n v="16103.464285714286"/>
    <s v="Medium"/>
    <x v="0"/>
  </r>
  <r>
    <x v="3"/>
    <x v="1"/>
    <x v="1"/>
    <x v="2"/>
    <x v="0"/>
    <n v="7711.32"/>
    <n v="247580"/>
    <n v="20247"/>
    <n v="35709.32"/>
    <n v="14"/>
    <n v="8.177962678730108E-2"/>
    <n v="0.38086234997777446"/>
    <n v="31.146780838516843"/>
    <n v="4.6307661982643697"/>
    <n v="3.6307661982643697"/>
    <n v="2023"/>
    <s v="August"/>
    <s v="Q3"/>
    <x v="7"/>
    <n v="1.7636844964686127"/>
    <n v="0.14423345989175215"/>
    <n v="550.80857142857144"/>
    <n v="2550.6657142857143"/>
    <n v="1446.2142857142858"/>
    <n v="17684.285714285714"/>
    <s v="Good"/>
    <x v="0"/>
  </r>
  <r>
    <x v="57"/>
    <x v="1"/>
    <x v="4"/>
    <x v="1"/>
    <x v="0"/>
    <n v="23553.08"/>
    <n v="253390"/>
    <n v="29400"/>
    <n v="95606.3"/>
    <n v="42"/>
    <n v="0.11602667824302458"/>
    <n v="0.8011251700680273"/>
    <n v="92.95189233987135"/>
    <n v="4.0591846161945693"/>
    <n v="3.0591846161945697"/>
    <n v="2023"/>
    <s v="August"/>
    <s v="Q3"/>
    <x v="7"/>
    <n v="3.2519149659863946"/>
    <n v="0.37730889143217966"/>
    <n v="560.78761904761905"/>
    <n v="2276.3404761904762"/>
    <n v="700"/>
    <n v="6033.0952380952385"/>
    <s v="Excellent"/>
    <x v="0"/>
  </r>
  <r>
    <x v="43"/>
    <x v="0"/>
    <x v="4"/>
    <x v="1"/>
    <x v="0"/>
    <n v="9678.93"/>
    <n v="446196"/>
    <n v="47915"/>
    <n v="28296.03"/>
    <n v="32"/>
    <n v="0.10738554357277967"/>
    <n v="0.20200208702911407"/>
    <n v="21.692103918457359"/>
    <n v="2.923466746840818"/>
    <n v="1.923466746840818"/>
    <n v="2023"/>
    <s v="August"/>
    <s v="Q3"/>
    <x v="7"/>
    <n v="0.59054638422205985"/>
    <n v="6.3416144474625499E-2"/>
    <n v="302.46656250000001"/>
    <n v="884.25093749999996"/>
    <n v="1497.34375"/>
    <n v="13943.625"/>
    <s v="Excellent"/>
    <x v="0"/>
  </r>
  <r>
    <x v="17"/>
    <x v="1"/>
    <x v="2"/>
    <x v="1"/>
    <x v="0"/>
    <n v="12835.55"/>
    <n v="204760"/>
    <n v="44644"/>
    <n v="148539.4"/>
    <n v="28"/>
    <n v="0.21803086540339911"/>
    <n v="0.28750895977062985"/>
    <n v="62.68582731002148"/>
    <n v="11.572499814967026"/>
    <n v="10.572499814967026"/>
    <n v="2023"/>
    <s v="August"/>
    <s v="Q3"/>
    <x v="7"/>
    <n v="3.3271973837469759"/>
    <n v="0.7254317249462785"/>
    <n v="458.41249999999997"/>
    <n v="5304.9785714285708"/>
    <n v="1594.4285714285713"/>
    <n v="7312.8571428571431"/>
    <s v="Excellent"/>
    <x v="0"/>
  </r>
  <r>
    <x v="56"/>
    <x v="2"/>
    <x v="1"/>
    <x v="0"/>
    <x v="2"/>
    <n v="129.57"/>
    <n v="614402"/>
    <n v="20799"/>
    <n v="140547.64000000001"/>
    <n v="51"/>
    <n v="3.3852428865791449E-2"/>
    <n v="6.229626424347324E-3"/>
    <n v="0.21088798539067255"/>
    <n v="1084.7236242957476"/>
    <n v="1083.7236242957476"/>
    <n v="2023"/>
    <s v="August"/>
    <s v="Q3"/>
    <x v="7"/>
    <n v="6.7574229530265884"/>
    <n v="0.22875517983339899"/>
    <n v="2.5405882352941176"/>
    <n v="2755.8360784313727"/>
    <n v="407.8235294117647"/>
    <n v="12047.098039215687"/>
    <s v="Medium"/>
    <x v="0"/>
  </r>
  <r>
    <x v="16"/>
    <x v="1"/>
    <x v="3"/>
    <x v="2"/>
    <x v="0"/>
    <n v="1135.9000000000001"/>
    <n v="713011"/>
    <n v="29138"/>
    <n v="185298.63"/>
    <n v="31"/>
    <n v="4.0866129695053793E-2"/>
    <n v="3.8983458027318278E-2"/>
    <n v="1.5931030517060747"/>
    <n v="163.12935117527951"/>
    <n v="162.12935117527951"/>
    <n v="2023"/>
    <s v="August"/>
    <s v="Q3"/>
    <x v="7"/>
    <n v="6.3593462145651731"/>
    <n v="0.25988186718016976"/>
    <n v="36.641935483870974"/>
    <n v="5977.3751612903225"/>
    <n v="939.93548387096769"/>
    <n v="23000.354838709678"/>
    <s v="Medium"/>
    <x v="0"/>
  </r>
  <r>
    <x v="19"/>
    <x v="1"/>
    <x v="4"/>
    <x v="4"/>
    <x v="2"/>
    <n v="19869.900000000001"/>
    <n v="501507"/>
    <n v="47450"/>
    <n v="204527.44"/>
    <n v="39"/>
    <n v="9.4614830899668406E-2"/>
    <n v="0.41875447839831403"/>
    <n v="39.620384162135331"/>
    <n v="10.293330112381039"/>
    <n v="9.2933301123810388"/>
    <n v="2023"/>
    <s v="August"/>
    <s v="Q3"/>
    <x v="7"/>
    <n v="4.3103780821917805"/>
    <n v="0.40782569336021235"/>
    <n v="509.48461538461544"/>
    <n v="5244.2933333333331"/>
    <n v="1216.6666666666667"/>
    <n v="12859.153846153846"/>
    <s v="Good"/>
    <x v="0"/>
  </r>
  <r>
    <x v="8"/>
    <x v="0"/>
    <x v="4"/>
    <x v="5"/>
    <x v="2"/>
    <n v="20754.16"/>
    <n v="129787"/>
    <n v="1495"/>
    <n v="127232.34"/>
    <n v="50"/>
    <n v="1.1518873230755006E-2"/>
    <n v="13.882381270903011"/>
    <n v="159.90939000053933"/>
    <n v="6.1304499917125046"/>
    <n v="5.1304499917125046"/>
    <n v="2023"/>
    <s v="August"/>
    <s v="Q3"/>
    <x v="7"/>
    <n v="85.105244147157194"/>
    <n v="0.98031651860355806"/>
    <n v="415.08319999999998"/>
    <n v="2544.6468"/>
    <n v="29.9"/>
    <n v="2595.7399999999998"/>
    <s v="Low"/>
    <x v="0"/>
  </r>
  <r>
    <x v="59"/>
    <x v="3"/>
    <x v="4"/>
    <x v="1"/>
    <x v="2"/>
    <n v="26358.34"/>
    <n v="759361"/>
    <n v="41239"/>
    <n v="168052.53"/>
    <n v="57"/>
    <n v="5.4307503282365041E-2"/>
    <n v="0.63916050340696917"/>
    <n v="34.711211136732068"/>
    <n v="6.3756871639109294"/>
    <n v="5.3756871639109294"/>
    <n v="2023"/>
    <s v="August"/>
    <s v="Q3"/>
    <x v="7"/>
    <n v="4.0750874172506606"/>
    <n v="0.22130782328826473"/>
    <n v="462.42701754385968"/>
    <n v="2948.29"/>
    <n v="723.49122807017545"/>
    <n v="13322.122807017544"/>
    <s v="Good"/>
    <x v="0"/>
  </r>
  <r>
    <x v="46"/>
    <x v="2"/>
    <x v="3"/>
    <x v="5"/>
    <x v="0"/>
    <n v="4215.1899999999996"/>
    <n v="336592"/>
    <n v="10858"/>
    <n v="181810.07"/>
    <n v="38"/>
    <n v="3.2258639539858344E-2"/>
    <n v="0.38821053601031491"/>
    <n v="12.523143746731948"/>
    <n v="43.132117413449933"/>
    <n v="42.132117413449933"/>
    <n v="2023"/>
    <s v="August"/>
    <s v="Q3"/>
    <x v="7"/>
    <n v="16.744342420335236"/>
    <n v="0.54014970646955363"/>
    <n v="110.92605263157894"/>
    <n v="4784.4755263157895"/>
    <n v="285.73684210526318"/>
    <n v="8857.6842105263149"/>
    <s v="Medium"/>
    <x v="0"/>
  </r>
  <r>
    <x v="5"/>
    <x v="0"/>
    <x v="3"/>
    <x v="4"/>
    <x v="0"/>
    <n v="22682.65"/>
    <n v="39556"/>
    <n v="20985"/>
    <n v="233052.35"/>
    <n v="30"/>
    <n v="0.5305137020932349"/>
    <n v="1.080898260662378"/>
    <n v="573.43133785013652"/>
    <n v="10.274476306780732"/>
    <n v="9.2744763067807341"/>
    <n v="2023"/>
    <s v="August"/>
    <s v="Q3"/>
    <x v="7"/>
    <n v="11.105663569216107"/>
    <n v="5.8917066943068059"/>
    <n v="756.08833333333337"/>
    <n v="7768.4116666666669"/>
    <n v="699.5"/>
    <n v="1318.5333333333333"/>
    <s v="Excellent"/>
    <x v="0"/>
  </r>
  <r>
    <x v="58"/>
    <x v="1"/>
    <x v="0"/>
    <x v="2"/>
    <x v="0"/>
    <n v="121.17"/>
    <n v="443130"/>
    <n v="49086"/>
    <n v="189379.42"/>
    <n v="20"/>
    <n v="0.11077110554464829"/>
    <n v="2.468524630240802E-3"/>
    <n v="0.27344120235596781"/>
    <n v="1562.923330857473"/>
    <n v="1561.923330857473"/>
    <n v="2023"/>
    <s v="September"/>
    <s v="Q3"/>
    <x v="8"/>
    <n v="3.8581147373996663"/>
    <n v="0.42736763477986145"/>
    <n v="6.0585000000000004"/>
    <n v="9468.9710000000014"/>
    <n v="2454.3000000000002"/>
    <n v="22156.5"/>
    <s v="Excellent"/>
    <x v="0"/>
  </r>
  <r>
    <x v="23"/>
    <x v="3"/>
    <x v="3"/>
    <x v="1"/>
    <x v="2"/>
    <n v="3803.37"/>
    <n v="994767"/>
    <n v="49401"/>
    <n v="147129.25"/>
    <n v="40"/>
    <n v="4.9660875360762871E-2"/>
    <n v="7.6989737049857287E-2"/>
    <n v="3.8233777356908702"/>
    <n v="38.683917157678586"/>
    <n v="37.683917157678586"/>
    <n v="2023"/>
    <s v="September"/>
    <s v="Q3"/>
    <x v="8"/>
    <n v="2.9782646100281371"/>
    <n v="0.14790322758997837"/>
    <n v="95.084249999999997"/>
    <n v="3678.2312499999998"/>
    <n v="1235.0250000000001"/>
    <n v="24869.174999999999"/>
    <s v="Medium"/>
    <x v="0"/>
  </r>
  <r>
    <x v="50"/>
    <x v="1"/>
    <x v="1"/>
    <x v="5"/>
    <x v="0"/>
    <n v="888.62"/>
    <n v="673393"/>
    <n v="3374"/>
    <n v="226642.28"/>
    <n v="50"/>
    <n v="5.010447094044637E-3"/>
    <n v="0.26337285121517484"/>
    <n v="1.3196157370213235"/>
    <n v="255.0497175395557"/>
    <n v="254.04971753955573"/>
    <n v="2023"/>
    <s v="September"/>
    <s v="Q3"/>
    <x v="8"/>
    <n v="67.173171310017779"/>
    <n v="0.33656762098804116"/>
    <n v="17.772400000000001"/>
    <n v="4532.8455999999996"/>
    <n v="67.48"/>
    <n v="13467.86"/>
    <s v="Low"/>
    <x v="0"/>
  </r>
  <r>
    <x v="23"/>
    <x v="3"/>
    <x v="2"/>
    <x v="3"/>
    <x v="1"/>
    <n v="29864.48"/>
    <n v="707309"/>
    <n v="16375"/>
    <n v="201355.69"/>
    <n v="19"/>
    <n v="2.3151126311131344E-2"/>
    <n v="1.8237850381679388"/>
    <n v="42.222677782977456"/>
    <n v="6.7423136113536888"/>
    <n v="5.7423136113536879"/>
    <n v="2023"/>
    <s v="September"/>
    <s v="Q3"/>
    <x v="8"/>
    <n v="12.296530687022901"/>
    <n v="0.28467853512396984"/>
    <n v="1571.8147368421053"/>
    <n v="10597.667894736842"/>
    <n v="861.84210526315792"/>
    <n v="37226.789473684214"/>
    <s v="Medium"/>
    <x v="0"/>
  </r>
  <r>
    <x v="15"/>
    <x v="3"/>
    <x v="1"/>
    <x v="2"/>
    <x v="0"/>
    <n v="3179.59"/>
    <n v="154495"/>
    <n v="7783"/>
    <n v="240702.74"/>
    <n v="19"/>
    <n v="5.0377034855496938E-2"/>
    <n v="0.40853012977001157"/>
    <n v="20.580536586944561"/>
    <n v="75.702445912837817"/>
    <n v="74.702445912837817"/>
    <n v="2023"/>
    <s v="September"/>
    <s v="Q3"/>
    <x v="8"/>
    <n v="30.926730052678913"/>
    <n v="1.5579969578303505"/>
    <n v="167.34684210526316"/>
    <n v="12668.565263157894"/>
    <n v="409.63157894736844"/>
    <n v="8131.3157894736842"/>
    <s v="Good"/>
    <x v="0"/>
  </r>
  <r>
    <x v="2"/>
    <x v="0"/>
    <x v="1"/>
    <x v="0"/>
    <x v="1"/>
    <n v="21710.25"/>
    <n v="678933"/>
    <n v="15359"/>
    <n v="17860.32"/>
    <n v="9"/>
    <n v="2.2622261695925815E-2"/>
    <n v="1.4135197604010679"/>
    <n v="31.977013932155309"/>
    <n v="0.82266763395170484"/>
    <n v="-0.17733236604829516"/>
    <n v="2023"/>
    <s v="September"/>
    <s v="Q3"/>
    <x v="8"/>
    <n v="1.1628569568331271"/>
    <n v="2.6306454392406909E-2"/>
    <n v="2412.25"/>
    <n v="1984.48"/>
    <n v="1706.5555555555557"/>
    <n v="75437"/>
    <s v="Medium"/>
    <x v="0"/>
  </r>
  <r>
    <x v="11"/>
    <x v="1"/>
    <x v="3"/>
    <x v="3"/>
    <x v="1"/>
    <n v="11922.93"/>
    <n v="389547"/>
    <n v="15231"/>
    <n v="116676.19"/>
    <n v="27"/>
    <n v="3.9099261449837885E-2"/>
    <n v="0.7828067756549143"/>
    <n v="30.607166786036089"/>
    <n v="9.7858655548594182"/>
    <n v="8.7858655548594182"/>
    <n v="2023"/>
    <s v="September"/>
    <s v="Q3"/>
    <x v="8"/>
    <n v="7.6604418619919903"/>
    <n v="0.29951761918330777"/>
    <n v="441.59000000000003"/>
    <n v="4321.3403703703707"/>
    <n v="564.11111111111109"/>
    <n v="14427.666666666666"/>
    <s v="Medium"/>
    <x v="0"/>
  </r>
  <r>
    <x v="15"/>
    <x v="1"/>
    <x v="3"/>
    <x v="1"/>
    <x v="2"/>
    <n v="10600.54"/>
    <n v="743907"/>
    <n v="5961"/>
    <n v="30840.07"/>
    <n v="19"/>
    <n v="8.0130984114949854E-3"/>
    <n v="1.7783157188391212"/>
    <n v="14.249818861766324"/>
    <n v="2.9092923568044644"/>
    <n v="1.9092923568044644"/>
    <n v="2023"/>
    <s v="September"/>
    <s v="Q3"/>
    <x v="8"/>
    <n v="5.1736403288038924"/>
    <n v="4.1456889100384857E-2"/>
    <n v="557.92315789473685"/>
    <n v="1623.1615789473683"/>
    <n v="313.73684210526318"/>
    <n v="39153"/>
    <s v="Low"/>
    <x v="0"/>
  </r>
  <r>
    <x v="53"/>
    <x v="3"/>
    <x v="0"/>
    <x v="0"/>
    <x v="1"/>
    <n v="6853.4"/>
    <n v="652039"/>
    <n v="40000"/>
    <n v="18482.009999999998"/>
    <n v="11"/>
    <n v="6.1346023780786116E-2"/>
    <n v="0.17133499999999999"/>
    <n v="10.510720984480988"/>
    <n v="2.6967651092888199"/>
    <n v="1.6967651092888201"/>
    <n v="2023"/>
    <s v="September"/>
    <s v="Q3"/>
    <x v="8"/>
    <n v="0.46205024999999994"/>
    <n v="2.834494562441817E-2"/>
    <n v="623.0363636363636"/>
    <n v="1680.1827272727271"/>
    <n v="3636.3636363636365"/>
    <n v="59276.272727272728"/>
    <s v="Good"/>
    <x v="0"/>
  </r>
  <r>
    <x v="0"/>
    <x v="3"/>
    <x v="0"/>
    <x v="5"/>
    <x v="2"/>
    <n v="20478.509999999998"/>
    <n v="492134"/>
    <n v="39389"/>
    <n v="85472.02"/>
    <n v="48"/>
    <n v="8.0037144354992748E-2"/>
    <n v="0.51990428799918753"/>
    <n v="41.611654549370698"/>
    <n v="4.1737421326063275"/>
    <n v="3.173742132606328"/>
    <n v="2023"/>
    <s v="September"/>
    <s v="Q3"/>
    <x v="8"/>
    <n v="2.1699464317449033"/>
    <n v="0.17367631580016826"/>
    <n v="426.63562499999995"/>
    <n v="1780.6670833333335"/>
    <n v="820.60416666666663"/>
    <n v="10252.791666666666"/>
    <s v="Good"/>
    <x v="0"/>
  </r>
  <r>
    <x v="37"/>
    <x v="0"/>
    <x v="1"/>
    <x v="3"/>
    <x v="2"/>
    <n v="11963.69"/>
    <n v="558141"/>
    <n v="40064"/>
    <n v="43892.82"/>
    <n v="51"/>
    <n v="7.1781144907827957E-2"/>
    <n v="0.29861446685303517"/>
    <n v="21.434888316751504"/>
    <n v="3.6688362871321472"/>
    <n v="2.6688362871321472"/>
    <n v="2023"/>
    <s v="September"/>
    <s v="Q3"/>
    <x v="8"/>
    <n v="1.0955675918530352"/>
    <n v="7.8641096067122829E-2"/>
    <n v="234.58215686274511"/>
    <n v="860.64352941176469"/>
    <n v="785.56862745098044"/>
    <n v="10943.941176470587"/>
    <s v="Good"/>
    <x v="0"/>
  </r>
  <r>
    <x v="7"/>
    <x v="2"/>
    <x v="1"/>
    <x v="2"/>
    <x v="1"/>
    <n v="23426.99"/>
    <n v="179268"/>
    <n v="908"/>
    <n v="33599.01"/>
    <n v="44"/>
    <n v="5.0650422830622313E-3"/>
    <n v="25.800649779735686"/>
    <n v="130.68138206484147"/>
    <n v="1.4342008939261937"/>
    <n v="0.43420089392619365"/>
    <n v="2023"/>
    <s v="September"/>
    <s v="Q3"/>
    <x v="8"/>
    <n v="37.003314977973574"/>
    <n v="0.1874233549769061"/>
    <n v="532.43159090909091"/>
    <n v="763.6138636363637"/>
    <n v="20.636363636363637"/>
    <n v="4074.2727272727275"/>
    <s v="Low"/>
    <x v="0"/>
  </r>
  <r>
    <x v="8"/>
    <x v="2"/>
    <x v="2"/>
    <x v="0"/>
    <x v="0"/>
    <n v="6071.1"/>
    <n v="992946"/>
    <n v="47615"/>
    <n v="192545.03"/>
    <n v="35"/>
    <n v="4.7953262312351329E-2"/>
    <n v="0.12750393783471595"/>
    <n v="6.1142297768458711"/>
    <n v="31.715015400833455"/>
    <n v="30.715015400833455"/>
    <n v="2023"/>
    <s v="September"/>
    <s v="Q3"/>
    <x v="8"/>
    <n v="4.0437893520949277"/>
    <n v="0.19391289153690131"/>
    <n v="173.46"/>
    <n v="5501.2865714285717"/>
    <n v="1360.4285714285713"/>
    <n v="28369.885714285716"/>
    <s v="Medium"/>
    <x v="0"/>
  </r>
  <r>
    <x v="0"/>
    <x v="1"/>
    <x v="1"/>
    <x v="0"/>
    <x v="0"/>
    <n v="6119.82"/>
    <n v="982532"/>
    <n v="38882"/>
    <n v="236831.83"/>
    <n v="26"/>
    <n v="3.957326580711875E-2"/>
    <n v="0.15739468134355228"/>
    <n v="6.2286215614351486"/>
    <n v="38.699149648192268"/>
    <n v="37.699149648192268"/>
    <n v="2023"/>
    <s v="September"/>
    <s v="Q3"/>
    <x v="8"/>
    <n v="6.0910403271436655"/>
    <n v="0.24104235790793582"/>
    <n v="235.37769230769229"/>
    <n v="9108.9165384615371"/>
    <n v="1495.4615384615386"/>
    <n v="37789.692307692305"/>
    <s v="Medium"/>
    <x v="0"/>
  </r>
  <r>
    <x v="44"/>
    <x v="3"/>
    <x v="1"/>
    <x v="2"/>
    <x v="2"/>
    <n v="31566.38"/>
    <n v="260132"/>
    <n v="8372"/>
    <n v="121022.46"/>
    <n v="18"/>
    <n v="3.2183660603078437E-2"/>
    <n v="3.7704706163401815"/>
    <n v="121.34754663017237"/>
    <n v="3.8339036658622243"/>
    <n v="2.8339036658622243"/>
    <n v="2023"/>
    <s v="September"/>
    <s v="Q3"/>
    <x v="8"/>
    <n v="14.455621118012424"/>
    <n v="0.46523480386880511"/>
    <n v="1753.6877777777779"/>
    <n v="6723.47"/>
    <n v="465.11111111111109"/>
    <n v="14451.777777777777"/>
    <s v="Medium"/>
    <x v="0"/>
  </r>
  <r>
    <x v="46"/>
    <x v="1"/>
    <x v="1"/>
    <x v="5"/>
    <x v="0"/>
    <n v="5613.18"/>
    <n v="452374"/>
    <n v="12125"/>
    <n v="73243.56"/>
    <n v="18"/>
    <n v="2.6803043499405359E-2"/>
    <n v="0.46294268041237113"/>
    <n v="12.408272800824097"/>
    <n v="13.048496574134447"/>
    <n v="12.048496574134449"/>
    <n v="2023"/>
    <s v="September"/>
    <s v="Q3"/>
    <x v="8"/>
    <n v="6.0407059793814435"/>
    <n v="0.16190930513247886"/>
    <n v="311.84333333333336"/>
    <n v="4069.0866666666666"/>
    <n v="673.61111111111109"/>
    <n v="25131.888888888891"/>
    <s v="Medium"/>
    <x v="0"/>
  </r>
  <r>
    <x v="37"/>
    <x v="0"/>
    <x v="4"/>
    <x v="2"/>
    <x v="1"/>
    <n v="11361.86"/>
    <n v="423769"/>
    <n v="2630"/>
    <n v="155809.07999999999"/>
    <n v="55"/>
    <n v="6.2062114029105483E-3"/>
    <n v="4.32009885931559"/>
    <n v="26.811446802385262"/>
    <n v="13.713342709732384"/>
    <n v="12.713342709732382"/>
    <n v="2023"/>
    <s v="September"/>
    <s v="Q3"/>
    <x v="8"/>
    <n v="59.242996197718625"/>
    <n v="0.36767455854486758"/>
    <n v="206.57927272727275"/>
    <n v="2832.8923636363634"/>
    <n v="47.81818181818182"/>
    <n v="7704.8909090909092"/>
    <s v="Low"/>
    <x v="0"/>
  </r>
  <r>
    <x v="36"/>
    <x v="0"/>
    <x v="1"/>
    <x v="3"/>
    <x v="2"/>
    <n v="35711.33"/>
    <n v="808462"/>
    <n v="44417"/>
    <n v="101211.68"/>
    <n v="15"/>
    <n v="5.4940120871481903E-2"/>
    <n v="0.80400139586194475"/>
    <n v="44.171933869495419"/>
    <n v="2.8341615952136197"/>
    <n v="1.8341615952136197"/>
    <n v="2023"/>
    <s v="September"/>
    <s v="Q3"/>
    <x v="8"/>
    <n v="2.2786698786500663"/>
    <n v="0.12519039855923964"/>
    <n v="2380.7553333333335"/>
    <n v="6747.4453333333331"/>
    <n v="2961.1333333333332"/>
    <n v="53897.466666666667"/>
    <s v="Good"/>
    <x v="0"/>
  </r>
  <r>
    <x v="42"/>
    <x v="3"/>
    <x v="1"/>
    <x v="2"/>
    <x v="0"/>
    <n v="20863.68"/>
    <n v="183565"/>
    <n v="3493"/>
    <n v="102103.67999999999"/>
    <n v="11"/>
    <n v="1.9028681938277996E-2"/>
    <n v="5.9729974234182652"/>
    <n v="113.65826818838013"/>
    <n v="4.8938480651543728"/>
    <n v="3.8938480651543736"/>
    <n v="2023"/>
    <s v="September"/>
    <s v="Q3"/>
    <x v="8"/>
    <n v="29.230941883767532"/>
    <n v="0.55622629586250094"/>
    <n v="1896.6981818181819"/>
    <n v="9282.1527272727271"/>
    <n v="317.54545454545456"/>
    <n v="16687.727272727272"/>
    <s v="Low"/>
    <x v="0"/>
  </r>
  <r>
    <x v="55"/>
    <x v="3"/>
    <x v="3"/>
    <x v="4"/>
    <x v="1"/>
    <n v="1653.38"/>
    <n v="135362"/>
    <n v="48785"/>
    <n v="136286.67000000001"/>
    <n v="20"/>
    <n v="0.36040395384228957"/>
    <n v="3.3891155068156195E-2"/>
    <n v="12.214506286845644"/>
    <n v="82.429127000447565"/>
    <n v="81.429127000447565"/>
    <n v="2023"/>
    <s v="September"/>
    <s v="Q3"/>
    <x v="8"/>
    <n v="2.7936183253049096"/>
    <n v="1.006831089966165"/>
    <n v="82.669000000000011"/>
    <n v="6814.3335000000006"/>
    <n v="2439.25"/>
    <n v="6768.1"/>
    <s v="Excellent"/>
    <x v="0"/>
  </r>
  <r>
    <x v="44"/>
    <x v="2"/>
    <x v="0"/>
    <x v="1"/>
    <x v="2"/>
    <n v="44937.05"/>
    <n v="473518"/>
    <n v="42717"/>
    <n v="231419.39"/>
    <n v="36"/>
    <n v="9.0211987717467967E-2"/>
    <n v="1.0519711122035724"/>
    <n v="94.900405053239794"/>
    <n v="5.1498571891123248"/>
    <n v="4.1498571891123248"/>
    <n v="2023"/>
    <s v="September"/>
    <s v="Q3"/>
    <x v="8"/>
    <n v="5.4175009949200552"/>
    <n v="0.48872353321309858"/>
    <n v="1248.2513888888889"/>
    <n v="6428.3163888888894"/>
    <n v="1186.5833333333333"/>
    <n v="13153.277777777777"/>
    <s v="Good"/>
    <x v="0"/>
  </r>
  <r>
    <x v="16"/>
    <x v="1"/>
    <x v="3"/>
    <x v="0"/>
    <x v="1"/>
    <n v="7085.58"/>
    <n v="192971"/>
    <n v="9727"/>
    <n v="218453.6"/>
    <n v="61"/>
    <n v="5.040653776992398E-2"/>
    <n v="0.72844453582810731"/>
    <n v="36.718367008514235"/>
    <n v="30.830729453340446"/>
    <n v="29.830729453340449"/>
    <n v="2023"/>
    <s v="September"/>
    <s v="Q3"/>
    <x v="8"/>
    <n v="22.458476405880539"/>
    <n v="1.1320540392079639"/>
    <n v="116.15704918032787"/>
    <n v="3581.2065573770492"/>
    <n v="159.45901639344262"/>
    <n v="3163.4590163934427"/>
    <s v="Good"/>
    <x v="0"/>
  </r>
  <r>
    <x v="25"/>
    <x v="0"/>
    <x v="2"/>
    <x v="2"/>
    <x v="0"/>
    <n v="4068.95"/>
    <n v="803310"/>
    <n v="42761"/>
    <n v="235629.04"/>
    <n v="46"/>
    <n v="5.323100670973846E-2"/>
    <n v="9.5155632468838416E-2"/>
    <n v="5.0652301104181445"/>
    <n v="57.909052704014556"/>
    <n v="56.909052704014549"/>
    <n v="2023"/>
    <s v="September"/>
    <s v="Q3"/>
    <x v="8"/>
    <n v="5.5103725357218032"/>
    <n v="0.29332267742216578"/>
    <n v="88.455434782608691"/>
    <n v="5122.3704347826088"/>
    <n v="929.58695652173913"/>
    <n v="17463.260869565216"/>
    <s v="Good"/>
    <x v="0"/>
  </r>
  <r>
    <x v="9"/>
    <x v="1"/>
    <x v="2"/>
    <x v="5"/>
    <x v="2"/>
    <n v="45424.91"/>
    <n v="774305"/>
    <n v="18078"/>
    <n v="52003.63"/>
    <n v="42"/>
    <n v="2.3347388948799244E-2"/>
    <n v="2.5127176678836158"/>
    <n v="58.665396710598543"/>
    <n v="1.1448262638274902"/>
    <n v="0.14482626382749011"/>
    <n v="2023"/>
    <s v="September"/>
    <s v="Q3"/>
    <x v="8"/>
    <n v="2.8766251797765237"/>
    <n v="6.7161686932152062E-2"/>
    <n v="1081.5454761904762"/>
    <n v="1238.1816666666666"/>
    <n v="430.42857142857144"/>
    <n v="18435.833333333332"/>
    <s v="Medium"/>
    <x v="0"/>
  </r>
  <r>
    <x v="25"/>
    <x v="0"/>
    <x v="3"/>
    <x v="0"/>
    <x v="0"/>
    <n v="15827.33"/>
    <n v="744764"/>
    <n v="48292"/>
    <n v="84931.63"/>
    <n v="60"/>
    <n v="6.4842017068494184E-2"/>
    <n v="0.32774227615340012"/>
    <n v="21.251470264405906"/>
    <n v="5.3661375607888386"/>
    <n v="4.3661375607888386"/>
    <n v="2023"/>
    <s v="September"/>
    <s v="Q3"/>
    <x v="8"/>
    <n v="1.7587101383251886"/>
    <n v="0.11403831280781564"/>
    <n v="263.78883333333334"/>
    <n v="1415.5271666666667"/>
    <n v="804.86666666666667"/>
    <n v="12412.733333333334"/>
    <s v="Good"/>
    <x v="0"/>
  </r>
  <r>
    <x v="34"/>
    <x v="2"/>
    <x v="2"/>
    <x v="2"/>
    <x v="2"/>
    <n v="5421.58"/>
    <n v="710224"/>
    <n v="7847"/>
    <n v="119021.77"/>
    <n v="47"/>
    <n v="1.104862691207281E-2"/>
    <n v="0.69091117624569898"/>
    <n v="7.6336198157201105"/>
    <n v="21.953336481247167"/>
    <n v="20.953336481247163"/>
    <n v="2023"/>
    <s v="September"/>
    <s v="Q3"/>
    <x v="8"/>
    <n v="15.167805530776093"/>
    <n v="0.16758342438441956"/>
    <n v="115.35276595744681"/>
    <n v="2532.378085106383"/>
    <n v="166.95744680851064"/>
    <n v="15111.148936170213"/>
    <s v="Low"/>
    <x v="0"/>
  </r>
  <r>
    <x v="6"/>
    <x v="2"/>
    <x v="2"/>
    <x v="0"/>
    <x v="2"/>
    <n v="27605.74"/>
    <n v="680153"/>
    <n v="20639"/>
    <n v="151257.85"/>
    <n v="48"/>
    <n v="3.0344643043550494E-2"/>
    <n v="1.3375522069867727"/>
    <n v="40.587544273126781"/>
    <n v="5.4792173656638079"/>
    <n v="4.479217365663807"/>
    <n v="2023"/>
    <s v="September"/>
    <s v="Q3"/>
    <x v="8"/>
    <n v="7.3287392800038766"/>
    <n v="0.22238797741096489"/>
    <n v="575.11958333333337"/>
    <n v="3151.2052083333333"/>
    <n v="429.97916666666669"/>
    <n v="14169.854166666666"/>
    <s v="Medium"/>
    <x v="0"/>
  </r>
  <r>
    <x v="23"/>
    <x v="1"/>
    <x v="3"/>
    <x v="0"/>
    <x v="2"/>
    <n v="3626.17"/>
    <n v="69830"/>
    <n v="48664"/>
    <n v="198694.71"/>
    <n v="49"/>
    <n v="0.69689245310038661"/>
    <n v="7.4514425447969754E-2"/>
    <n v="51.92854074180152"/>
    <n v="54.794648347981479"/>
    <n v="53.794648347981472"/>
    <n v="2023"/>
    <s v="September"/>
    <s v="Q3"/>
    <x v="8"/>
    <n v="4.0829917392733845"/>
    <n v="2.8454061291708435"/>
    <n v="74.003469387755104"/>
    <n v="4054.994081632653"/>
    <n v="993.14285714285711"/>
    <n v="1425.1020408163265"/>
    <s v="Excellent"/>
    <x v="0"/>
  </r>
  <r>
    <x v="37"/>
    <x v="0"/>
    <x v="1"/>
    <x v="2"/>
    <x v="0"/>
    <n v="3376.91"/>
    <n v="926602"/>
    <n v="2685"/>
    <n v="213800.93"/>
    <n v="35"/>
    <n v="2.8976842268848978E-3"/>
    <n v="1.2576945996275604"/>
    <n v="3.6444018035790986"/>
    <n v="63.312593465623898"/>
    <n v="62.312593465623898"/>
    <n v="2023"/>
    <s v="September"/>
    <s v="Q3"/>
    <x v="8"/>
    <n v="79.627906890130348"/>
    <n v="0.23073652981538997"/>
    <n v="96.483142857142852"/>
    <n v="6108.598"/>
    <n v="76.714285714285708"/>
    <n v="26474.342857142856"/>
    <s v="Low"/>
    <x v="0"/>
  </r>
  <r>
    <x v="50"/>
    <x v="0"/>
    <x v="1"/>
    <x v="0"/>
    <x v="2"/>
    <n v="645.54"/>
    <n v="841131"/>
    <n v="20259"/>
    <n v="150785.79"/>
    <n v="58"/>
    <n v="2.4085427834665468E-2"/>
    <n v="3.1864356582259737E-2"/>
    <n v="0.76746666096006444"/>
    <n v="233.58086253369274"/>
    <n v="232.58086253369274"/>
    <n v="2023"/>
    <s v="September"/>
    <s v="Q3"/>
    <x v="8"/>
    <n v="7.4429038945653785"/>
    <n v="0.17926552463290499"/>
    <n v="11.129999999999999"/>
    <n v="2599.7550000000001"/>
    <n v="349.29310344827587"/>
    <n v="14502.258620689656"/>
    <s v="Medium"/>
    <x v="0"/>
  </r>
  <r>
    <x v="55"/>
    <x v="2"/>
    <x v="3"/>
    <x v="4"/>
    <x v="2"/>
    <n v="18162.97"/>
    <n v="670016"/>
    <n v="43681"/>
    <n v="65135.56"/>
    <n v="29"/>
    <n v="6.5193965517241381E-2"/>
    <n v="0.41580939081064999"/>
    <n v="27.108263086254656"/>
    <n v="3.5861734066620157"/>
    <n v="2.5861734066620157"/>
    <n v="2023"/>
    <s v="September"/>
    <s v="Q3"/>
    <x v="8"/>
    <n v="1.491164579565486"/>
    <n v="9.7214932180724037E-2"/>
    <n v="626.30931034482762"/>
    <n v="2246.0537931034482"/>
    <n v="1506.2413793103449"/>
    <n v="23104"/>
    <s v="Good"/>
    <x v="0"/>
  </r>
  <r>
    <x v="4"/>
    <x v="2"/>
    <x v="2"/>
    <x v="4"/>
    <x v="2"/>
    <n v="32836.43"/>
    <n v="578373"/>
    <n v="49696"/>
    <n v="15194.58"/>
    <n v="55"/>
    <n v="8.5923789665146882E-2"/>
    <n v="0.66074593528654213"/>
    <n v="56.773794765661606"/>
    <n v="0.46273544353024976"/>
    <n v="-0.53726455646975013"/>
    <n v="2023"/>
    <s v="October"/>
    <s v="Q4"/>
    <x v="9"/>
    <n v="0.30575056342562784"/>
    <n v="2.6271247101783798E-2"/>
    <n v="597.02599999999995"/>
    <n v="276.26509090909093"/>
    <n v="903.56363636363642"/>
    <n v="10515.872727272726"/>
    <s v="Good"/>
    <x v="0"/>
  </r>
  <r>
    <x v="37"/>
    <x v="1"/>
    <x v="0"/>
    <x v="0"/>
    <x v="2"/>
    <n v="18497.740000000002"/>
    <n v="171771"/>
    <n v="48574"/>
    <n v="100457.38"/>
    <n v="15"/>
    <n v="0.28278347334532605"/>
    <n v="0.38081566270021"/>
    <n v="107.68837580266752"/>
    <n v="5.4307920859521213"/>
    <n v="4.4307920859521213"/>
    <n v="2023"/>
    <s v="October"/>
    <s v="Q4"/>
    <x v="9"/>
    <n v="2.0681306871989129"/>
    <n v="0.58483317905816468"/>
    <n v="1233.1826666666668"/>
    <n v="6697.1586666666672"/>
    <n v="3238.2666666666669"/>
    <n v="11451.4"/>
    <s v="Excellent"/>
    <x v="0"/>
  </r>
  <r>
    <x v="50"/>
    <x v="2"/>
    <x v="1"/>
    <x v="5"/>
    <x v="2"/>
    <n v="16670.490000000002"/>
    <n v="207064"/>
    <n v="29048"/>
    <n v="56790.67"/>
    <n v="52"/>
    <n v="0.14028512923540548"/>
    <n v="0.57389458826769491"/>
    <n v="80.508876482633397"/>
    <n v="3.4066587124913541"/>
    <n v="2.4066587124913537"/>
    <n v="2023"/>
    <s v="October"/>
    <s v="Q4"/>
    <x v="9"/>
    <n v="1.9550629991737813"/>
    <n v="0.27426626550245337"/>
    <n v="320.58634615384619"/>
    <n v="1092.1282692307691"/>
    <n v="558.61538461538464"/>
    <n v="3982"/>
    <s v="Excellent"/>
    <x v="0"/>
  </r>
  <r>
    <x v="28"/>
    <x v="1"/>
    <x v="3"/>
    <x v="4"/>
    <x v="2"/>
    <n v="1956.96"/>
    <n v="327776"/>
    <n v="20478"/>
    <n v="73684.929999999993"/>
    <n v="29"/>
    <n v="6.2475593087962508E-2"/>
    <n v="9.5564019923820687E-2"/>
    <n v="5.9704188226105641"/>
    <n v="37.652752227945378"/>
    <n v="36.652752227945378"/>
    <n v="2023"/>
    <s v="October"/>
    <s v="Q4"/>
    <x v="9"/>
    <n v="3.598248364098056"/>
    <n v="0.22480270062481691"/>
    <n v="67.481379310344835"/>
    <n v="2540.8596551724136"/>
    <n v="706.13793103448279"/>
    <n v="11302.620689655172"/>
    <s v="Good"/>
    <x v="0"/>
  </r>
  <r>
    <x v="24"/>
    <x v="3"/>
    <x v="2"/>
    <x v="3"/>
    <x v="1"/>
    <n v="1625.37"/>
    <n v="493072"/>
    <n v="7957"/>
    <n v="35940.730000000003"/>
    <n v="50"/>
    <n v="1.6137602621929453E-2"/>
    <n v="0.20426919693351764"/>
    <n v="3.2964151280137584"/>
    <n v="22.112337498538796"/>
    <n v="21.112337498538796"/>
    <n v="2023"/>
    <s v="October"/>
    <s v="Q4"/>
    <x v="9"/>
    <n v="4.5168694231494282"/>
    <n v="7.2891443845929202E-2"/>
    <n v="32.507399999999997"/>
    <n v="718.81460000000004"/>
    <n v="159.13999999999999"/>
    <n v="9861.44"/>
    <s v="Low"/>
    <x v="0"/>
  </r>
  <r>
    <x v="52"/>
    <x v="3"/>
    <x v="2"/>
    <x v="0"/>
    <x v="2"/>
    <n v="2184.75"/>
    <n v="536428"/>
    <n v="44227"/>
    <n v="225975.55"/>
    <n v="58"/>
    <n v="8.2447224977070549E-2"/>
    <n v="4.9398557442286384E-2"/>
    <n v="4.0727739789869277"/>
    <n v="103.43313880306671"/>
    <n v="102.43313880306671"/>
    <n v="2023"/>
    <s v="October"/>
    <s v="Q4"/>
    <x v="9"/>
    <n v="5.109447848599272"/>
    <n v="0.42125979628207327"/>
    <n v="37.668103448275865"/>
    <n v="3896.1301724137929"/>
    <n v="762.5344827586207"/>
    <n v="9248.7586206896558"/>
    <s v="Good"/>
    <x v="0"/>
  </r>
  <r>
    <x v="11"/>
    <x v="0"/>
    <x v="2"/>
    <x v="1"/>
    <x v="0"/>
    <n v="14578.04"/>
    <n v="637086"/>
    <n v="2712"/>
    <n v="222908.61"/>
    <n v="38"/>
    <n v="4.2568821163861707E-3"/>
    <n v="5.3753834808259588"/>
    <n v="22.882373808245671"/>
    <n v="15.290711920120946"/>
    <n v="14.290711920120946"/>
    <n v="2023"/>
    <s v="October"/>
    <s v="Q4"/>
    <x v="9"/>
    <n v="82.193440265486714"/>
    <n v="0.34988778595040543"/>
    <n v="383.63263157894738"/>
    <n v="5866.0160526315785"/>
    <n v="71.368421052631575"/>
    <n v="16765.42105263158"/>
    <s v="Low"/>
    <x v="0"/>
  </r>
  <r>
    <x v="23"/>
    <x v="3"/>
    <x v="3"/>
    <x v="0"/>
    <x v="2"/>
    <n v="10879.41"/>
    <n v="155095"/>
    <n v="9984"/>
    <n v="61659.06"/>
    <n v="27"/>
    <n v="6.4373448531545183E-2"/>
    <n v="1.0896844951923077"/>
    <n v="70.146748766884812"/>
    <n v="5.6675003515815652"/>
    <n v="4.6675003515815652"/>
    <n v="2023"/>
    <s v="October"/>
    <s v="Q4"/>
    <x v="9"/>
    <n v="6.175787259615384"/>
    <n v="0.3975567232986234"/>
    <n v="402.94111111111113"/>
    <n v="2283.6688888888889"/>
    <n v="369.77777777777777"/>
    <n v="5744.2592592592591"/>
    <s v="Good"/>
    <x v="0"/>
  </r>
  <r>
    <x v="35"/>
    <x v="2"/>
    <x v="4"/>
    <x v="0"/>
    <x v="0"/>
    <n v="26470.07"/>
    <n v="223487"/>
    <n v="45155"/>
    <n v="160388.29999999999"/>
    <n v="24"/>
    <n v="0.20204754638972289"/>
    <n v="0.58620462850182709"/>
    <n v="118.44120687109317"/>
    <n v="6.0592321818567152"/>
    <n v="5.0592321818567152"/>
    <n v="2023"/>
    <s v="October"/>
    <s v="Q4"/>
    <x v="9"/>
    <n v="3.5519499501716307"/>
    <n v="0.71766277233127651"/>
    <n v="1102.9195833333333"/>
    <n v="6682.8458333333328"/>
    <n v="1881.4583333333333"/>
    <n v="9311.9583333333339"/>
    <s v="Excellent"/>
    <x v="0"/>
  </r>
  <r>
    <x v="16"/>
    <x v="2"/>
    <x v="4"/>
    <x v="5"/>
    <x v="0"/>
    <n v="35845.35"/>
    <n v="199893"/>
    <n v="25263"/>
    <n v="123626.91"/>
    <n v="50"/>
    <n v="0.12638261469886389"/>
    <n v="1.4188873055456597"/>
    <n v="179.32268763788625"/>
    <n v="3.44889671882127"/>
    <n v="2.4488967188212696"/>
    <n v="2023"/>
    <s v="October"/>
    <s v="Q4"/>
    <x v="9"/>
    <n v="4.8935957724735779"/>
    <n v="0.6184654290045174"/>
    <n v="716.90699999999993"/>
    <n v="2472.5382"/>
    <n v="505.26"/>
    <n v="3997.86"/>
    <s v="Excellent"/>
    <x v="0"/>
  </r>
  <r>
    <x v="14"/>
    <x v="3"/>
    <x v="1"/>
    <x v="3"/>
    <x v="1"/>
    <n v="21969.56"/>
    <n v="79986"/>
    <n v="45847"/>
    <n v="183001.75"/>
    <n v="46"/>
    <n v="0.57318780786637658"/>
    <n v="0.47919296791502175"/>
    <n v="274.66756682419424"/>
    <n v="8.3297867594981412"/>
    <n v="7.3297867594981421"/>
    <n v="2023"/>
    <s v="October"/>
    <s v="Q4"/>
    <x v="9"/>
    <n v="3.9915752393831658"/>
    <n v="2.2879222613957442"/>
    <n v="477.59913043478264"/>
    <n v="3978.2989130434785"/>
    <n v="996.67391304347825"/>
    <n v="1738.8260869565217"/>
    <s v="Excellent"/>
    <x v="0"/>
  </r>
  <r>
    <x v="20"/>
    <x v="2"/>
    <x v="1"/>
    <x v="5"/>
    <x v="2"/>
    <n v="1285.06"/>
    <n v="752479"/>
    <n v="36242"/>
    <n v="164721.51"/>
    <n v="36"/>
    <n v="4.8163470342693949E-2"/>
    <n v="3.5457756194470502E-2"/>
    <n v="1.7077685888908527"/>
    <n v="128.18196037539104"/>
    <n v="127.18196037539104"/>
    <n v="2023"/>
    <s v="October"/>
    <s v="Q4"/>
    <x v="9"/>
    <n v="4.5450446995198943"/>
    <n v="0.21890512559154476"/>
    <n v="35.696111111111108"/>
    <n v="4575.5974999999999"/>
    <n v="1006.7222222222222"/>
    <n v="20902.194444444445"/>
    <s v="Medium"/>
    <x v="0"/>
  </r>
  <r>
    <x v="51"/>
    <x v="2"/>
    <x v="0"/>
    <x v="4"/>
    <x v="2"/>
    <n v="3547"/>
    <n v="697919"/>
    <n v="37861"/>
    <n v="120493.09"/>
    <n v="35"/>
    <n v="5.4248415647087989E-2"/>
    <n v="9.3684794379440592E-2"/>
    <n v="5.0822516653078651"/>
    <n v="33.970422892585283"/>
    <n v="32.970422892585283"/>
    <n v="2023"/>
    <s v="October"/>
    <s v="Q4"/>
    <x v="9"/>
    <n v="3.1825120836744936"/>
    <n v="0.17264623831705397"/>
    <n v="101.34285714285714"/>
    <n v="3442.659714285714"/>
    <n v="1081.7428571428572"/>
    <n v="19940.542857142857"/>
    <s v="Good"/>
    <x v="0"/>
  </r>
  <r>
    <x v="55"/>
    <x v="2"/>
    <x v="0"/>
    <x v="0"/>
    <x v="1"/>
    <n v="32582.99"/>
    <n v="741295"/>
    <n v="8375"/>
    <n v="161278.07"/>
    <n v="8"/>
    <n v="1.1297796423825873E-2"/>
    <n v="3.8905062686567167"/>
    <n v="43.954147808901993"/>
    <n v="4.9497627443030856"/>
    <n v="3.9497627443030856"/>
    <n v="2023"/>
    <s v="October"/>
    <s v="Q4"/>
    <x v="9"/>
    <n v="19.257082985074629"/>
    <n v="0.21756260328209417"/>
    <n v="4072.8737500000002"/>
    <n v="20159.758750000001"/>
    <n v="1046.875"/>
    <n v="92661.875"/>
    <s v="Low"/>
    <x v="0"/>
  </r>
  <r>
    <x v="56"/>
    <x v="1"/>
    <x v="0"/>
    <x v="5"/>
    <x v="1"/>
    <n v="8899.85"/>
    <n v="133365"/>
    <n v="17968"/>
    <n v="41583.58"/>
    <n v="40"/>
    <n v="0.13472800209950136"/>
    <n v="0.49531667408726626"/>
    <n v="66.733025906347251"/>
    <n v="4.6723911077152982"/>
    <n v="3.6723911077152986"/>
    <n v="2023"/>
    <s v="October"/>
    <s v="Q4"/>
    <x v="9"/>
    <n v="2.3143132235084596"/>
    <n v="0.31180279683575152"/>
    <n v="222.49625"/>
    <n v="1039.5895"/>
    <n v="449.2"/>
    <n v="3334.125"/>
    <s v="Excellent"/>
    <x v="0"/>
  </r>
  <r>
    <x v="44"/>
    <x v="2"/>
    <x v="2"/>
    <x v="2"/>
    <x v="1"/>
    <n v="1727.42"/>
    <n v="519845"/>
    <n v="32963"/>
    <n v="134037.24"/>
    <n v="9"/>
    <n v="6.340928546008906E-2"/>
    <n v="5.2404817522676943E-2"/>
    <n v="3.3229520337792997"/>
    <n v="77.593891468201122"/>
    <n v="76.593891468201122"/>
    <n v="2023"/>
    <s v="October"/>
    <s v="Q4"/>
    <x v="9"/>
    <n v="4.0662937232654794"/>
    <n v="0.25784077946310918"/>
    <n v="191.93555555555557"/>
    <n v="14893.026666666665"/>
    <n v="3662.5555555555557"/>
    <n v="57760.555555555555"/>
    <s v="Good"/>
    <x v="0"/>
  </r>
  <r>
    <x v="14"/>
    <x v="2"/>
    <x v="2"/>
    <x v="0"/>
    <x v="0"/>
    <n v="21395.45"/>
    <n v="907412"/>
    <n v="33078"/>
    <n v="56641.13"/>
    <n v="6"/>
    <n v="3.6453121625017085E-2"/>
    <n v="0.64681812685168394"/>
    <n v="23.578539847390161"/>
    <n v="2.6473446457073817"/>
    <n v="1.6473446457073813"/>
    <n v="2023"/>
    <s v="October"/>
    <s v="Q4"/>
    <x v="9"/>
    <n v="1.7123505048672834"/>
    <n v="6.2420521218586482E-2"/>
    <n v="3565.9083333333333"/>
    <n v="9440.1883333333335"/>
    <n v="5513"/>
    <n v="151235.33333333334"/>
    <s v="Medium"/>
    <x v="0"/>
  </r>
  <r>
    <x v="45"/>
    <x v="1"/>
    <x v="4"/>
    <x v="2"/>
    <x v="2"/>
    <n v="10010.69"/>
    <n v="223068"/>
    <n v="10282"/>
    <n v="136415.59"/>
    <n v="11"/>
    <n v="4.6093567880646259E-2"/>
    <n v="0.97361311028982689"/>
    <n v="44.877301988631267"/>
    <n v="13.626991745823714"/>
    <n v="12.626991745823712"/>
    <n v="2023"/>
    <s v="October"/>
    <s v="Q4"/>
    <x v="9"/>
    <n v="13.267417817545224"/>
    <n v="0.61154262377391644"/>
    <n v="910.06272727272733"/>
    <n v="12401.417272727273"/>
    <n v="934.72727272727275"/>
    <n v="20278.909090909092"/>
    <s v="Medium"/>
    <x v="0"/>
  </r>
  <r>
    <x v="27"/>
    <x v="3"/>
    <x v="0"/>
    <x v="1"/>
    <x v="1"/>
    <n v="1900.73"/>
    <n v="556302"/>
    <n v="15208"/>
    <n v="79710.100000000006"/>
    <n v="11"/>
    <n v="2.7337669107786778E-2"/>
    <n v="0.12498224618621778"/>
    <n v="3.4167232905867677"/>
    <n v="41.936571738226895"/>
    <n v="40.936571738226895"/>
    <n v="2023"/>
    <s v="October"/>
    <s v="Q4"/>
    <x v="9"/>
    <n v="5.241326933193057"/>
    <n v="0.14328566138536264"/>
    <n v="172.79363636363635"/>
    <n v="7246.3727272727274"/>
    <n v="1382.5454545454545"/>
    <n v="50572.909090909088"/>
    <s v="Medium"/>
    <x v="0"/>
  </r>
  <r>
    <x v="50"/>
    <x v="2"/>
    <x v="0"/>
    <x v="1"/>
    <x v="1"/>
    <n v="38581.660000000003"/>
    <n v="229242"/>
    <n v="567"/>
    <n v="53041.26"/>
    <n v="37"/>
    <n v="2.4733687544167297E-3"/>
    <n v="68.04525573192241"/>
    <n v="168.30100941363276"/>
    <n v="1.3747791048907694"/>
    <n v="0.37477910489076927"/>
    <n v="2023"/>
    <s v="October"/>
    <s v="Q4"/>
    <x v="9"/>
    <n v="93.547195767195774"/>
    <n v="0.23137671107388699"/>
    <n v="1042.7475675675676"/>
    <n v="1433.5475675675675"/>
    <n v="15.324324324324325"/>
    <n v="6195.72972972973"/>
    <s v="Low"/>
    <x v="0"/>
  </r>
  <r>
    <x v="31"/>
    <x v="0"/>
    <x v="2"/>
    <x v="4"/>
    <x v="1"/>
    <n v="3634.61"/>
    <n v="448539"/>
    <n v="11319"/>
    <n v="191283.20000000001"/>
    <n v="14"/>
    <n v="2.5235263823212697E-2"/>
    <n v="0.3211069882498454"/>
    <n v="8.1032195639621083"/>
    <n v="52.628259978374572"/>
    <n v="51.628259978374579"/>
    <n v="2023"/>
    <s v="October"/>
    <s v="Q4"/>
    <x v="9"/>
    <n v="16.899302058485734"/>
    <n v="0.42645834587404891"/>
    <n v="259.61500000000001"/>
    <n v="13663.085714285715"/>
    <n v="808.5"/>
    <n v="32038.5"/>
    <s v="Medium"/>
    <x v="0"/>
  </r>
  <r>
    <x v="15"/>
    <x v="1"/>
    <x v="4"/>
    <x v="5"/>
    <x v="1"/>
    <n v="12547.21"/>
    <n v="542623"/>
    <n v="6845"/>
    <n v="104393.07"/>
    <n v="55"/>
    <n v="1.261465142465395E-2"/>
    <n v="1.8330474799123446"/>
    <n v="23.123255003934592"/>
    <n v="8.3200225388751772"/>
    <n v="7.3200225388751781"/>
    <n v="2023"/>
    <s v="October"/>
    <s v="Q4"/>
    <x v="9"/>
    <n v="15.250996347699051"/>
    <n v="0.19238600280489401"/>
    <n v="228.13109090909089"/>
    <n v="1898.0558181818183"/>
    <n v="124.45454545454545"/>
    <n v="9865.8727272727265"/>
    <s v="Low"/>
    <x v="0"/>
  </r>
  <r>
    <x v="14"/>
    <x v="3"/>
    <x v="4"/>
    <x v="2"/>
    <x v="2"/>
    <n v="28436.13"/>
    <n v="286570"/>
    <n v="33980"/>
    <n v="81687.53"/>
    <n v="22"/>
    <n v="0.11857486826953274"/>
    <n v="0.83684902884049439"/>
    <n v="99.22926335624804"/>
    <n v="2.8726669205690083"/>
    <n v="1.8726669205690083"/>
    <n v="2023"/>
    <s v="October"/>
    <s v="Q4"/>
    <x v="9"/>
    <n v="2.4039885226603883"/>
    <n v="0.28505262239592422"/>
    <n v="1292.5513636363637"/>
    <n v="3713.0695454545453"/>
    <n v="1544.5454545454545"/>
    <n v="13025.90909090909"/>
    <s v="Excellent"/>
    <x v="0"/>
  </r>
  <r>
    <x v="53"/>
    <x v="0"/>
    <x v="2"/>
    <x v="4"/>
    <x v="1"/>
    <n v="1062.28"/>
    <n v="519462"/>
    <n v="29633"/>
    <n v="85444.79"/>
    <n v="45"/>
    <n v="5.7045558674166733E-2"/>
    <n v="3.5847872304525359E-2"/>
    <n v="2.044961902891838"/>
    <n v="80.435280716948441"/>
    <n v="79.435280716948441"/>
    <n v="2023"/>
    <s v="October"/>
    <s v="Q4"/>
    <x v="9"/>
    <n v="2.883433671919819"/>
    <n v="0.16448708471457008"/>
    <n v="23.606222222222222"/>
    <n v="1898.7731111111109"/>
    <n v="658.51111111111106"/>
    <n v="11543.6"/>
    <s v="Good"/>
    <x v="0"/>
  </r>
  <r>
    <x v="31"/>
    <x v="3"/>
    <x v="4"/>
    <x v="0"/>
    <x v="1"/>
    <n v="307.24"/>
    <n v="943572"/>
    <n v="19881"/>
    <n v="6609.36"/>
    <n v="44"/>
    <n v="2.1069934249850569E-2"/>
    <n v="1.5453951008500579E-2"/>
    <n v="0.32561373164951907"/>
    <n v="21.512042702773076"/>
    <n v="20.512042702773076"/>
    <n v="2023"/>
    <s v="October"/>
    <s v="Q4"/>
    <x v="9"/>
    <n v="0.33244605402142746"/>
    <n v="7.0046164998537469E-3"/>
    <n v="6.9827272727272733"/>
    <n v="150.21272727272728"/>
    <n v="451.84090909090907"/>
    <n v="21444.81818181818"/>
    <s v="Medium"/>
    <x v="0"/>
  </r>
  <r>
    <x v="11"/>
    <x v="3"/>
    <x v="1"/>
    <x v="5"/>
    <x v="2"/>
    <n v="18059.36"/>
    <n v="160152"/>
    <n v="2848"/>
    <n v="204426.86"/>
    <n v="26"/>
    <n v="1.7783106049253209E-2"/>
    <n v="6.3410674157303371"/>
    <n v="112.76387431939658"/>
    <n v="11.319717863755969"/>
    <n v="10.319717863755969"/>
    <n v="2023"/>
    <s v="October"/>
    <s v="Q4"/>
    <x v="9"/>
    <n v="71.77909410112359"/>
    <n v="1.2764552425196063"/>
    <n v="694.5907692307693"/>
    <n v="7862.5715384615378"/>
    <n v="109.53846153846153"/>
    <n v="6159.6923076923076"/>
    <s v="Low"/>
    <x v="0"/>
  </r>
  <r>
    <x v="46"/>
    <x v="3"/>
    <x v="4"/>
    <x v="5"/>
    <x v="0"/>
    <n v="25913.96"/>
    <n v="40271"/>
    <n v="41389"/>
    <n v="154173.56"/>
    <n v="34"/>
    <n v="1.0277619130391598"/>
    <n v="0.62610741984585272"/>
    <n v="643.48935958878599"/>
    <n v="5.9494403788537147"/>
    <n v="4.9494403788537147"/>
    <n v="2023"/>
    <s v="October"/>
    <s v="Q4"/>
    <x v="9"/>
    <n v="3.7249887651308318"/>
    <n v="3.8284015793002406"/>
    <n v="762.17529411764701"/>
    <n v="4534.5164705882353"/>
    <n v="1217.3235294117646"/>
    <n v="1184.4411764705883"/>
    <s v="Excellent"/>
    <x v="1"/>
  </r>
  <r>
    <x v="33"/>
    <x v="3"/>
    <x v="4"/>
    <x v="0"/>
    <x v="2"/>
    <n v="19101.48"/>
    <n v="949272"/>
    <n v="25956"/>
    <n v="205502.48"/>
    <n v="13"/>
    <n v="2.7343058680757464E-2"/>
    <n v="0.7359177068885806"/>
    <n v="20.122241043662932"/>
    <n v="10.758458506880096"/>
    <n v="9.7584585068800962"/>
    <n v="2023"/>
    <s v="October"/>
    <s v="Q4"/>
    <x v="9"/>
    <n v="7.9173401140391437"/>
    <n v="0.21648429533368729"/>
    <n v="1469.3446153846153"/>
    <n v="15807.883076923077"/>
    <n v="1996.6153846153845"/>
    <n v="73020.923076923078"/>
    <s v="Medium"/>
    <x v="0"/>
  </r>
  <r>
    <x v="30"/>
    <x v="0"/>
    <x v="4"/>
    <x v="0"/>
    <x v="2"/>
    <n v="46278.29"/>
    <n v="586818"/>
    <n v="2504"/>
    <n v="116432.35"/>
    <n v="48"/>
    <n v="4.2670811052149052E-3"/>
    <n v="18.481745207667732"/>
    <n v="78.863105767035094"/>
    <n v="2.5159172908074177"/>
    <n v="1.5159172908074174"/>
    <n v="2023"/>
    <s v="October"/>
    <s v="Q4"/>
    <x v="9"/>
    <n v="46.498542332268372"/>
    <n v="0.19841305140605778"/>
    <n v="964.13104166666665"/>
    <n v="2425.6739583333333"/>
    <n v="52.166666666666664"/>
    <n v="12225.375"/>
    <s v="Low"/>
    <x v="0"/>
  </r>
  <r>
    <x v="36"/>
    <x v="0"/>
    <x v="2"/>
    <x v="5"/>
    <x v="1"/>
    <n v="29281.88"/>
    <n v="728826"/>
    <n v="9742"/>
    <n v="119247.78"/>
    <n v="13"/>
    <n v="1.3366702066062407E-2"/>
    <n v="3.0057359885033876"/>
    <n v="40.176777447566366"/>
    <n v="4.0724086021799142"/>
    <n v="3.0724086021799142"/>
    <n v="2023"/>
    <s v="October"/>
    <s v="Q4"/>
    <x v="9"/>
    <n v="12.240585095462944"/>
    <n v="0.16361625408533723"/>
    <n v="2252.4523076923078"/>
    <n v="9172.9061538461538"/>
    <n v="749.38461538461536"/>
    <n v="56063.538461538461"/>
    <s v="Low"/>
    <x v="0"/>
  </r>
  <r>
    <x v="41"/>
    <x v="2"/>
    <x v="4"/>
    <x v="2"/>
    <x v="0"/>
    <n v="33979.57"/>
    <n v="164228"/>
    <n v="37143"/>
    <n v="183493.23"/>
    <n v="54"/>
    <n v="0.22616727963562852"/>
    <n v="0.91483105834208334"/>
    <n v="206.90485179141194"/>
    <n v="5.4001045334005111"/>
    <n v="4.4001045334005111"/>
    <n v="2023"/>
    <s v="October"/>
    <s v="Q4"/>
    <x v="9"/>
    <n v="4.9401833454486717"/>
    <n v="1.1173078281413644"/>
    <n v="629.25129629629635"/>
    <n v="3398.0227777777782"/>
    <n v="687.83333333333337"/>
    <n v="3041.2592592592591"/>
    <s v="Excellent"/>
    <x v="0"/>
  </r>
  <r>
    <x v="3"/>
    <x v="2"/>
    <x v="0"/>
    <x v="1"/>
    <x v="1"/>
    <n v="14536.9"/>
    <n v="953881"/>
    <n v="44618"/>
    <n v="204719.32"/>
    <n v="42"/>
    <n v="4.6775226679218899E-2"/>
    <n v="0.32580796987762783"/>
    <n v="15.239741644922166"/>
    <n v="14.082735658909398"/>
    <n v="13.082735658909398"/>
    <n v="2023"/>
    <s v="October"/>
    <s v="Q4"/>
    <x v="9"/>
    <n v="4.5882675153525483"/>
    <n v="0.21461725309551191"/>
    <n v="346.11666666666667"/>
    <n v="4874.2695238095239"/>
    <n v="1062.3333333333333"/>
    <n v="22711.452380952382"/>
    <s v="Medium"/>
    <x v="0"/>
  </r>
  <r>
    <x v="19"/>
    <x v="0"/>
    <x v="3"/>
    <x v="2"/>
    <x v="1"/>
    <n v="545.77"/>
    <n v="770835"/>
    <n v="38149"/>
    <n v="124361.65"/>
    <n v="48"/>
    <n v="4.9490487588134943E-2"/>
    <n v="1.430627277254974E-2"/>
    <n v="0.70802441508234581"/>
    <n v="227.86457665316891"/>
    <n v="226.86457665316891"/>
    <n v="2023"/>
    <s v="October"/>
    <s v="Q4"/>
    <x v="9"/>
    <n v="3.2598927888018032"/>
    <n v="0.16133368360284625"/>
    <n v="11.370208333333332"/>
    <n v="2590.8677083333332"/>
    <n v="794.77083333333337"/>
    <n v="16059.0625"/>
    <s v="Medium"/>
    <x v="0"/>
  </r>
  <r>
    <x v="3"/>
    <x v="0"/>
    <x v="3"/>
    <x v="5"/>
    <x v="2"/>
    <n v="24440.19"/>
    <n v="510811"/>
    <n v="19786"/>
    <n v="41408.6"/>
    <n v="35"/>
    <n v="3.8734483008392537E-2"/>
    <n v="1.2352264227231375"/>
    <n v="47.845856882486871"/>
    <n v="1.694283064084199"/>
    <n v="0.69428306408419904"/>
    <n v="2023"/>
    <s v="October"/>
    <s v="Q4"/>
    <x v="9"/>
    <n v="2.0928232083291216"/>
    <n v="8.1064425002593907E-2"/>
    <n v="698.29114285714286"/>
    <n v="1183.1028571428571"/>
    <n v="565.31428571428569"/>
    <n v="14594.6"/>
    <s v="Medium"/>
    <x v="0"/>
  </r>
  <r>
    <x v="33"/>
    <x v="0"/>
    <x v="4"/>
    <x v="2"/>
    <x v="2"/>
    <n v="27649.11"/>
    <n v="830854"/>
    <n v="26904"/>
    <n v="19896.8"/>
    <n v="23"/>
    <n v="3.2381140368825327E-2"/>
    <n v="1.0276951382694024"/>
    <n v="33.277940528660871"/>
    <n v="0.71961809982310454"/>
    <n v="-0.2803819001768954"/>
    <n v="2023"/>
    <s v="October"/>
    <s v="Q4"/>
    <x v="9"/>
    <n v="0.73954802259886998"/>
    <n v="2.3947408329261215E-2"/>
    <n v="1202.1352173913044"/>
    <n v="865.07826086956516"/>
    <n v="1169.7391304347825"/>
    <n v="36124.086956521736"/>
    <s v="Medium"/>
    <x v="0"/>
  </r>
  <r>
    <x v="43"/>
    <x v="0"/>
    <x v="2"/>
    <x v="0"/>
    <x v="1"/>
    <n v="7635.67"/>
    <n v="877823"/>
    <n v="18837"/>
    <n v="118030.06"/>
    <n v="34"/>
    <n v="2.1458767883730547E-2"/>
    <n v="0.40535488665923447"/>
    <n v="8.6984164233564165"/>
    <n v="15.457721457318087"/>
    <n v="14.457721457318087"/>
    <n v="2023"/>
    <s v="October"/>
    <s v="Q4"/>
    <x v="9"/>
    <n v="6.26586292934119"/>
    <n v="0.13445769819200454"/>
    <n v="224.57852941176472"/>
    <n v="3471.4723529411763"/>
    <n v="554.02941176470586"/>
    <n v="25818.323529411766"/>
    <s v="Medium"/>
    <x v="0"/>
  </r>
  <r>
    <x v="33"/>
    <x v="2"/>
    <x v="2"/>
    <x v="5"/>
    <x v="0"/>
    <n v="9401.17"/>
    <n v="186379"/>
    <n v="30071"/>
    <n v="143584.35999999999"/>
    <n v="8"/>
    <n v="0.16134328438289722"/>
    <n v="0.3126324365667919"/>
    <n v="50.441144120313979"/>
    <n v="15.273030909982479"/>
    <n v="14.273030909982477"/>
    <n v="2023"/>
    <s v="October"/>
    <s v="Q4"/>
    <x v="9"/>
    <n v="4.7748448671477499"/>
    <n v="0.77038915328443647"/>
    <n v="1175.14625"/>
    <n v="17948.044999999998"/>
    <n v="3758.875"/>
    <n v="23297.375"/>
    <s v="Excellent"/>
    <x v="0"/>
  </r>
  <r>
    <x v="44"/>
    <x v="3"/>
    <x v="3"/>
    <x v="2"/>
    <x v="1"/>
    <n v="27241.64"/>
    <n v="375509"/>
    <n v="5800"/>
    <n v="112572.13"/>
    <n v="61"/>
    <n v="1.5445701700891323E-2"/>
    <n v="4.6968344827586206"/>
    <n v="72.545904359149844"/>
    <n v="4.1323551005005577"/>
    <n v="3.1323551005005577"/>
    <n v="2023"/>
    <s v="November"/>
    <s v="Q4"/>
    <x v="10"/>
    <n v="19.408987931034485"/>
    <n v="0.29978543789895851"/>
    <n v="446.58426229508194"/>
    <n v="1845.4447540983608"/>
    <n v="95.081967213114751"/>
    <n v="6155.8852459016398"/>
    <s v="Low"/>
    <x v="0"/>
  </r>
  <r>
    <x v="11"/>
    <x v="3"/>
    <x v="1"/>
    <x v="4"/>
    <x v="2"/>
    <n v="21539.119999999999"/>
    <n v="886325"/>
    <n v="27560"/>
    <n v="136864.04"/>
    <n v="54"/>
    <n v="3.1094688742842637E-2"/>
    <n v="0.7815355587808418"/>
    <n v="24.301604941753869"/>
    <n v="6.3542075999390883"/>
    <n v="5.3542075999390883"/>
    <n v="2023"/>
    <s v="November"/>
    <s v="Q4"/>
    <x v="10"/>
    <n v="4.9660391872278664"/>
    <n v="0.15441744281160974"/>
    <n v="398.87259259259258"/>
    <n v="2534.5192592592593"/>
    <n v="510.37037037037038"/>
    <n v="16413.425925925927"/>
    <s v="Medium"/>
    <x v="0"/>
  </r>
  <r>
    <x v="37"/>
    <x v="3"/>
    <x v="0"/>
    <x v="4"/>
    <x v="0"/>
    <n v="7448.45"/>
    <n v="744233"/>
    <n v="41892"/>
    <n v="47652.3"/>
    <n v="60"/>
    <n v="5.6288823527040593E-2"/>
    <n v="0.17780125083548171"/>
    <n v="10.008223231165509"/>
    <n v="6.3976129261792725"/>
    <n v="5.3976129261792734"/>
    <n v="2023"/>
    <s v="November"/>
    <s v="Q4"/>
    <x v="10"/>
    <n v="1.1375035806359211"/>
    <n v="6.4028738311792149E-2"/>
    <n v="124.14083333333333"/>
    <n v="794.20500000000004"/>
    <n v="698.2"/>
    <n v="12403.883333333333"/>
    <s v="Good"/>
    <x v="0"/>
  </r>
  <r>
    <x v="54"/>
    <x v="3"/>
    <x v="4"/>
    <x v="3"/>
    <x v="1"/>
    <n v="19573.16"/>
    <n v="427754"/>
    <n v="6586"/>
    <n v="174183.08"/>
    <n v="22"/>
    <n v="1.5396699972414052E-2"/>
    <n v="2.9719344063164286"/>
    <n v="45.757982391748527"/>
    <n v="8.8990781253512452"/>
    <n v="7.8990781253512452"/>
    <n v="2023"/>
    <s v="November"/>
    <s v="Q4"/>
    <x v="10"/>
    <n v="26.447476465229272"/>
    <n v="0.40720386016261678"/>
    <n v="889.68909090909085"/>
    <n v="7917.4127272727264"/>
    <n v="299.36363636363637"/>
    <n v="19443.363636363636"/>
    <s v="Low"/>
    <x v="0"/>
  </r>
  <r>
    <x v="14"/>
    <x v="3"/>
    <x v="3"/>
    <x v="2"/>
    <x v="2"/>
    <n v="187.62"/>
    <n v="139806"/>
    <n v="39539"/>
    <n v="55323.29"/>
    <n v="48"/>
    <n v="0.28281332703889678"/>
    <n v="4.74518829510104E-3"/>
    <n v="1.3420024891635554"/>
    <n v="294.86883061507302"/>
    <n v="293.86883061507302"/>
    <n v="2023"/>
    <s v="November"/>
    <s v="Q4"/>
    <x v="10"/>
    <n v="1.3992081236247755"/>
    <n v="0.39571470466217473"/>
    <n v="3.9087499999999999"/>
    <n v="1152.5685416666668"/>
    <n v="823.72916666666663"/>
    <n v="2912.625"/>
    <s v="Excellent"/>
    <x v="0"/>
  </r>
  <r>
    <x v="15"/>
    <x v="2"/>
    <x v="1"/>
    <x v="1"/>
    <x v="0"/>
    <n v="34008.07"/>
    <n v="568388"/>
    <n v="15413"/>
    <n v="98051.19"/>
    <n v="36"/>
    <n v="2.7117039768608766E-2"/>
    <n v="2.2064536430286124"/>
    <n v="59.83249118559857"/>
    <n v="2.8831741995355809"/>
    <n v="1.8831741995355809"/>
    <n v="2023"/>
    <s v="November"/>
    <s v="Q4"/>
    <x v="10"/>
    <n v="6.3615902160513853"/>
    <n v="0.17250749488025785"/>
    <n v="944.66861111111109"/>
    <n v="2723.6441666666669"/>
    <n v="428.13888888888891"/>
    <n v="15788.555555555555"/>
    <s v="Medium"/>
    <x v="0"/>
  </r>
  <r>
    <x v="17"/>
    <x v="2"/>
    <x v="0"/>
    <x v="4"/>
    <x v="1"/>
    <n v="3554.46"/>
    <n v="668840"/>
    <n v="30322"/>
    <n v="138728.51999999999"/>
    <n v="25"/>
    <n v="4.5335207224448296E-2"/>
    <n v="0.11722379790251303"/>
    <n v="5.3143651695472762"/>
    <n v="39.029422190712509"/>
    <n v="38.029422190712509"/>
    <n v="2023"/>
    <s v="November"/>
    <s v="Q4"/>
    <x v="10"/>
    <n v="4.5751770991359404"/>
    <n v="0.20741660187787811"/>
    <n v="142.17840000000001"/>
    <n v="5549.1407999999992"/>
    <n v="1212.8800000000001"/>
    <n v="26753.599999999999"/>
    <s v="Medium"/>
    <x v="0"/>
  </r>
  <r>
    <x v="52"/>
    <x v="0"/>
    <x v="3"/>
    <x v="5"/>
    <x v="2"/>
    <n v="5673.49"/>
    <n v="945566"/>
    <n v="36771"/>
    <n v="15075.62"/>
    <n v="31"/>
    <n v="3.888781957050063E-2"/>
    <n v="0.15429251312175354"/>
    <n v="6.0000994113578532"/>
    <n v="2.657203943251861"/>
    <n v="1.657203943251861"/>
    <n v="2023"/>
    <s v="November"/>
    <s v="Q4"/>
    <x v="10"/>
    <n v="0.40998667428136304"/>
    <n v="1.5943487815763258E-2"/>
    <n v="183.01580645161289"/>
    <n v="486.31032258064516"/>
    <n v="1186.1612903225807"/>
    <n v="30502.129032258064"/>
    <s v="Medium"/>
    <x v="0"/>
  </r>
  <r>
    <x v="8"/>
    <x v="3"/>
    <x v="4"/>
    <x v="0"/>
    <x v="1"/>
    <n v="10060.040000000001"/>
    <n v="588972"/>
    <n v="7905"/>
    <n v="46921.73"/>
    <n v="60"/>
    <n v="1.3421690674599132E-2"/>
    <n v="1.2726173308032891"/>
    <n v="17.080676161175745"/>
    <n v="4.6641693273585396"/>
    <n v="3.6641693273585392"/>
    <n v="2023"/>
    <s v="November"/>
    <s v="Q4"/>
    <x v="10"/>
    <n v="5.9357027197975967"/>
    <n v="7.9667165841500104E-2"/>
    <n v="167.66733333333335"/>
    <n v="782.02883333333341"/>
    <n v="131.75"/>
    <n v="9816.2000000000007"/>
    <s v="Low"/>
    <x v="0"/>
  </r>
  <r>
    <x v="46"/>
    <x v="1"/>
    <x v="3"/>
    <x v="5"/>
    <x v="0"/>
    <n v="39370.720000000001"/>
    <n v="675506"/>
    <n v="5308"/>
    <n v="23789.84"/>
    <n v="32"/>
    <n v="7.8578132540643598E-3"/>
    <n v="7.4172418990203468"/>
    <n v="58.283301702723591"/>
    <n v="0.60425209394189383"/>
    <n v="-0.39574790605810611"/>
    <n v="2023"/>
    <s v="November"/>
    <s v="Q4"/>
    <x v="10"/>
    <n v="4.481883948756594"/>
    <n v="3.5217807095717875E-2"/>
    <n v="1230.335"/>
    <n v="743.4325"/>
    <n v="165.875"/>
    <n v="21109.5625"/>
    <s v="Low"/>
    <x v="0"/>
  </r>
  <r>
    <x v="11"/>
    <x v="0"/>
    <x v="4"/>
    <x v="2"/>
    <x v="2"/>
    <n v="16907.23"/>
    <n v="566711"/>
    <n v="22628"/>
    <n v="109248.43"/>
    <n v="48"/>
    <n v="3.9928640876919629E-2"/>
    <n v="0.7471818101467208"/>
    <n v="29.833954167115163"/>
    <n v="6.4616397836901722"/>
    <n v="5.4616397836901731"/>
    <n v="2023"/>
    <s v="November"/>
    <s v="Q4"/>
    <x v="10"/>
    <n v="4.828019710093689"/>
    <n v="0.19277626515102053"/>
    <n v="352.23395833333331"/>
    <n v="2276.0089583333333"/>
    <n v="471.41666666666669"/>
    <n v="11806.479166666666"/>
    <s v="Medium"/>
    <x v="0"/>
  </r>
  <r>
    <x v="57"/>
    <x v="2"/>
    <x v="2"/>
    <x v="0"/>
    <x v="0"/>
    <n v="5609.93"/>
    <n v="774234"/>
    <n v="217"/>
    <n v="237453.09"/>
    <n v="52"/>
    <n v="2.8027702219225715E-4"/>
    <n v="25.852211981566821"/>
    <n v="7.2457809912765399"/>
    <n v="42.327282158600909"/>
    <n v="41.327282158600909"/>
    <n v="2023"/>
    <s v="November"/>
    <s v="Q4"/>
    <x v="10"/>
    <n v="1094.2538709677419"/>
    <n v="0.30669421647718909"/>
    <n v="107.88326923076923"/>
    <n v="4566.4055769230772"/>
    <n v="4.1730769230769234"/>
    <n v="14889.115384615385"/>
    <s v="Low"/>
    <x v="0"/>
  </r>
  <r>
    <x v="21"/>
    <x v="2"/>
    <x v="0"/>
    <x v="3"/>
    <x v="0"/>
    <n v="33538.26"/>
    <n v="898765"/>
    <n v="11816"/>
    <n v="113733.13"/>
    <n v="42"/>
    <n v="1.314692939756221E-2"/>
    <n v="2.838376777251185"/>
    <n v="37.315939094201497"/>
    <n v="3.3911458137661286"/>
    <n v="2.3911458137661281"/>
    <n v="2023"/>
    <s v="November"/>
    <s v="Q4"/>
    <x v="10"/>
    <n v="9.6253495260663513"/>
    <n v="0.1265437906460532"/>
    <n v="798.53000000000009"/>
    <n v="2707.9316666666668"/>
    <n v="281.33333333333331"/>
    <n v="21399.166666666668"/>
    <s v="Low"/>
    <x v="0"/>
  </r>
  <r>
    <x v="44"/>
    <x v="2"/>
    <x v="2"/>
    <x v="4"/>
    <x v="0"/>
    <n v="4682.04"/>
    <n v="937989"/>
    <n v="2644"/>
    <n v="248155.75"/>
    <n v="47"/>
    <n v="2.8187963824735686E-3"/>
    <n v="1.7708169440242056"/>
    <n v="4.9915723958383307"/>
    <n v="53.001629631528139"/>
    <n v="52.001629631528139"/>
    <n v="2023"/>
    <s v="November"/>
    <s v="Q4"/>
    <x v="10"/>
    <n v="93.856183812405447"/>
    <n v="0.26456147140318276"/>
    <n v="99.617872340425535"/>
    <n v="5279.9095744680853"/>
    <n v="56.255319148936174"/>
    <n v="19957.212765957447"/>
    <s v="Low"/>
    <x v="0"/>
  </r>
  <r>
    <x v="5"/>
    <x v="3"/>
    <x v="0"/>
    <x v="0"/>
    <x v="1"/>
    <n v="4569.2299999999996"/>
    <n v="666912"/>
    <n v="8384"/>
    <n v="37162.89"/>
    <n v="20"/>
    <n v="1.2571373734465716E-2"/>
    <n v="0.5449940362595419"/>
    <n v="6.8513237128736613"/>
    <n v="8.133293793483805"/>
    <n v="7.1332937934838041"/>
    <n v="2023"/>
    <s v="November"/>
    <s v="Q4"/>
    <x v="10"/>
    <n v="4.4325966125954199"/>
    <n v="5.5723828631063767E-2"/>
    <n v="228.46149999999997"/>
    <n v="1858.1444999999999"/>
    <n v="419.2"/>
    <n v="33345.599999999999"/>
    <s v="Low"/>
    <x v="0"/>
  </r>
  <r>
    <x v="42"/>
    <x v="3"/>
    <x v="2"/>
    <x v="2"/>
    <x v="1"/>
    <n v="32906.71"/>
    <n v="176494"/>
    <n v="39664"/>
    <n v="145897.39000000001"/>
    <n v="33"/>
    <n v="0.22473285210828697"/>
    <n v="0.82963669826542963"/>
    <n v="186.44662141489229"/>
    <n v="4.4336668721971906"/>
    <n v="3.433666872197191"/>
    <n v="2023"/>
    <s v="November"/>
    <s v="Q4"/>
    <x v="10"/>
    <n v="3.6783327450584915"/>
    <n v="0.82664220880029926"/>
    <n v="997.17303030303026"/>
    <n v="4421.1330303030309"/>
    <n v="1201.939393939394"/>
    <n v="5348.30303030303"/>
    <s v="Excellent"/>
    <x v="0"/>
  </r>
  <r>
    <x v="37"/>
    <x v="3"/>
    <x v="2"/>
    <x v="2"/>
    <x v="1"/>
    <n v="7056.46"/>
    <n v="417000"/>
    <n v="27867"/>
    <n v="83312.53"/>
    <n v="9"/>
    <n v="6.68273381294964E-2"/>
    <n v="0.2532192198657911"/>
    <n v="16.921966426858514"/>
    <n v="11.806561647058157"/>
    <n v="10.806561647058155"/>
    <n v="2023"/>
    <s v="November"/>
    <s v="Q4"/>
    <x v="10"/>
    <n v="2.9896483295654357"/>
    <n v="0.19979023980815347"/>
    <n v="784.05111111111114"/>
    <n v="9256.9477777777774"/>
    <n v="3096.3333333333335"/>
    <n v="46333.333333333336"/>
    <s v="Good"/>
    <x v="0"/>
  </r>
  <r>
    <x v="28"/>
    <x v="3"/>
    <x v="4"/>
    <x v="3"/>
    <x v="2"/>
    <n v="56121.57"/>
    <n v="315605"/>
    <n v="48260"/>
    <n v="175264.65"/>
    <n v="17"/>
    <n v="0.15291265981210692"/>
    <n v="1.1629003315375053"/>
    <n v="177.82218279178085"/>
    <n v="3.1229463110173148"/>
    <n v="2.1229463110173143"/>
    <n v="2023"/>
    <s v="November"/>
    <s v="Q4"/>
    <x v="10"/>
    <n v="3.6316753004558637"/>
    <n v="0.55532912976663862"/>
    <n v="3301.2688235294117"/>
    <n v="10309.685294117648"/>
    <n v="2838.8235294117649"/>
    <n v="18565"/>
    <s v="Excellent"/>
    <x v="0"/>
  </r>
  <r>
    <x v="24"/>
    <x v="0"/>
    <x v="3"/>
    <x v="3"/>
    <x v="2"/>
    <n v="10828.35"/>
    <n v="44455"/>
    <n v="11691"/>
    <n v="141383.29999999999"/>
    <n v="60"/>
    <n v="0.26298504105274995"/>
    <n v="0.92621247113163974"/>
    <n v="243.58002474412328"/>
    <n v="13.056772269089933"/>
    <n v="12.056772269089933"/>
    <n v="2023"/>
    <s v="November"/>
    <s v="Q4"/>
    <x v="10"/>
    <n v="12.093345308356854"/>
    <n v="3.1803689123833085"/>
    <n v="180.4725"/>
    <n v="2356.3883333333333"/>
    <n v="194.85"/>
    <n v="740.91666666666663"/>
    <s v="Excellent"/>
    <x v="0"/>
  </r>
  <r>
    <x v="20"/>
    <x v="1"/>
    <x v="0"/>
    <x v="4"/>
    <x v="1"/>
    <n v="27935.02"/>
    <n v="205472"/>
    <n v="13133"/>
    <n v="127659.45"/>
    <n v="37"/>
    <n v="6.3916251362716087E-2"/>
    <n v="2.1270859666488997"/>
    <n v="135.955361314437"/>
    <n v="4.5698714373571239"/>
    <n v="3.5698714373571234"/>
    <n v="2023"/>
    <s v="November"/>
    <s v="Q4"/>
    <x v="10"/>
    <n v="9.7205094037919739"/>
    <n v="0.62129852242641337"/>
    <n v="755.00054054054056"/>
    <n v="3450.2554054054053"/>
    <n v="354.94594594594594"/>
    <n v="5553.2972972972975"/>
    <s v="Good"/>
    <x v="0"/>
  </r>
  <r>
    <x v="25"/>
    <x v="0"/>
    <x v="2"/>
    <x v="5"/>
    <x v="2"/>
    <n v="5015.26"/>
    <n v="685958"/>
    <n v="26016"/>
    <n v="71455.78"/>
    <n v="47"/>
    <n v="3.79265202825829E-2"/>
    <n v="0.19277598400984011"/>
    <n v="7.3113222675440772"/>
    <n v="14.247672104736344"/>
    <n v="13.247672104736345"/>
    <n v="2023"/>
    <s v="November"/>
    <s v="Q4"/>
    <x v="10"/>
    <n v="2.7466090098400984"/>
    <n v="0.10416932232002542"/>
    <n v="106.7076595744681"/>
    <n v="1520.3357446808511"/>
    <n v="553.531914893617"/>
    <n v="14594.851063829787"/>
    <s v="Medium"/>
    <x v="0"/>
  </r>
  <r>
    <x v="21"/>
    <x v="2"/>
    <x v="4"/>
    <x v="2"/>
    <x v="0"/>
    <n v="36091.79"/>
    <n v="854654"/>
    <n v="28851"/>
    <n v="184631.26"/>
    <n v="41"/>
    <n v="3.3757520587278593E-2"/>
    <n v="1.250971890055804"/>
    <n v="42.229709332665614"/>
    <n v="5.1156027451118389"/>
    <n v="4.115602745111838"/>
    <n v="2023"/>
    <s v="November"/>
    <s v="Q4"/>
    <x v="10"/>
    <n v="6.3994752348272161"/>
    <n v="0.21603041698745926"/>
    <n v="880.28756097560972"/>
    <n v="4503.2014634146344"/>
    <n v="703.68292682926824"/>
    <n v="20845.219512195123"/>
    <s v="Medium"/>
    <x v="0"/>
  </r>
  <r>
    <x v="36"/>
    <x v="2"/>
    <x v="4"/>
    <x v="3"/>
    <x v="2"/>
    <n v="34712.839999999997"/>
    <n v="962575"/>
    <n v="43797"/>
    <n v="93460.89"/>
    <n v="44"/>
    <n v="4.549983118198582E-2"/>
    <n v="0.79258488024293894"/>
    <n v="36.062478248448166"/>
    <n v="2.692401140327326"/>
    <n v="1.6924011403273258"/>
    <n v="2023"/>
    <s v="November"/>
    <s v="Q4"/>
    <x v="10"/>
    <n v="2.1339564353722857"/>
    <n v="9.709465755915124E-2"/>
    <n v="788.92818181818177"/>
    <n v="2124.1111363636364"/>
    <n v="995.38636363636363"/>
    <n v="21876.704545454544"/>
    <s v="Medium"/>
    <x v="0"/>
  </r>
  <r>
    <x v="9"/>
    <x v="2"/>
    <x v="2"/>
    <x v="4"/>
    <x v="1"/>
    <n v="4764.04"/>
    <n v="868835"/>
    <n v="25494"/>
    <n v="51518.02"/>
    <n v="52"/>
    <n v="2.9342740566390628E-2"/>
    <n v="0.18686906723150545"/>
    <n v="5.4832505596574723"/>
    <n v="10.813935231442221"/>
    <n v="9.8139352314422208"/>
    <n v="2023"/>
    <s v="November"/>
    <s v="Q4"/>
    <x v="10"/>
    <n v="2.0207899898015218"/>
    <n v="5.9295516409905213E-2"/>
    <n v="91.61615384615385"/>
    <n v="990.7311538461538"/>
    <n v="490.26923076923077"/>
    <n v="16708.365384615383"/>
    <s v="Medium"/>
    <x v="0"/>
  </r>
  <r>
    <x v="43"/>
    <x v="3"/>
    <x v="1"/>
    <x v="1"/>
    <x v="2"/>
    <n v="3921.47"/>
    <n v="331384"/>
    <n v="29323"/>
    <n v="152642.29999999999"/>
    <n v="12"/>
    <n v="8.8486468869951471E-2"/>
    <n v="0.13373358796848889"/>
    <n v="11.833612968640608"/>
    <n v="38.924765457851265"/>
    <n v="37.924765457851265"/>
    <n v="2023"/>
    <s v="November"/>
    <s v="Q4"/>
    <x v="10"/>
    <n v="5.2055485455103501"/>
    <n v="0.46062060932332277"/>
    <n v="326.78916666666663"/>
    <n v="12720.191666666666"/>
    <n v="2443.5833333333335"/>
    <n v="27615.333333333332"/>
    <s v="Good"/>
    <x v="0"/>
  </r>
  <r>
    <x v="51"/>
    <x v="0"/>
    <x v="3"/>
    <x v="2"/>
    <x v="2"/>
    <n v="9841.99"/>
    <n v="33205"/>
    <n v="12285"/>
    <n v="243221.49"/>
    <n v="7"/>
    <n v="0.36997440144556543"/>
    <n v="0.80113878713878717"/>
    <n v="296.40084324649899"/>
    <n v="24.712633319074698"/>
    <n v="23.712633319074701"/>
    <n v="2023"/>
    <s v="November"/>
    <s v="Q4"/>
    <x v="10"/>
    <n v="19.798249084249083"/>
    <n v="7.3248453546152685"/>
    <n v="1405.9985714285715"/>
    <n v="34745.927142857145"/>
    <n v="1755"/>
    <n v="4743.5714285714284"/>
    <s v="Excellent"/>
    <x v="0"/>
  </r>
  <r>
    <x v="20"/>
    <x v="2"/>
    <x v="4"/>
    <x v="0"/>
    <x v="2"/>
    <n v="14621.44"/>
    <n v="302477"/>
    <n v="29643"/>
    <n v="64746.54"/>
    <n v="60"/>
    <n v="9.800083973326898E-2"/>
    <n v="0.49325102047700975"/>
    <n v="48.339014206038811"/>
    <n v="4.4281917512912541"/>
    <n v="3.4281917512912541"/>
    <n v="2023"/>
    <s v="November"/>
    <s v="Q4"/>
    <x v="10"/>
    <n v="2.1842101001922885"/>
    <n v="0.21405442397273181"/>
    <n v="243.69066666666669"/>
    <n v="1079.1089999999999"/>
    <n v="494.05"/>
    <n v="5041.2833333333338"/>
    <s v="Good"/>
    <x v="0"/>
  </r>
  <r>
    <x v="28"/>
    <x v="0"/>
    <x v="3"/>
    <x v="5"/>
    <x v="2"/>
    <n v="3421.62"/>
    <n v="734423"/>
    <n v="44344"/>
    <n v="55447.54"/>
    <n v="42"/>
    <n v="6.0379372650366345E-2"/>
    <n v="7.71608334836731E-2"/>
    <n v="4.6589227189235629"/>
    <n v="16.205054915507858"/>
    <n v="15.205054915507858"/>
    <n v="2023"/>
    <s v="November"/>
    <s v="Q4"/>
    <x v="10"/>
    <n v="1.2503955439292802"/>
    <n v="7.5498098507263522E-2"/>
    <n v="81.467142857142861"/>
    <n v="1320.1795238095237"/>
    <n v="1055.8095238095239"/>
    <n v="17486.261904761905"/>
    <s v="Good"/>
    <x v="0"/>
  </r>
  <r>
    <x v="40"/>
    <x v="0"/>
    <x v="1"/>
    <x v="4"/>
    <x v="0"/>
    <n v="44353.75"/>
    <n v="805284"/>
    <n v="28105"/>
    <n v="211610.86"/>
    <n v="29"/>
    <n v="3.49007306738989E-2"/>
    <n v="1.5781444582814446"/>
    <n v="55.078394702986778"/>
    <n v="4.7709801313304956"/>
    <n v="3.770980131330496"/>
    <n v="2023"/>
    <s v="November"/>
    <s v="Q4"/>
    <x v="10"/>
    <n v="7.5292958548301012"/>
    <n v="0.26277792679352874"/>
    <n v="1529.4396551724137"/>
    <n v="7296.9262068965509"/>
    <n v="969.13793103448279"/>
    <n v="27768.413793103449"/>
    <s v="Medium"/>
    <x v="0"/>
  </r>
  <r>
    <x v="26"/>
    <x v="2"/>
    <x v="4"/>
    <x v="3"/>
    <x v="1"/>
    <n v="3122.76"/>
    <n v="332998"/>
    <n v="26694"/>
    <n v="22053.87"/>
    <n v="41"/>
    <n v="8.0162643619481194E-2"/>
    <n v="0.11698359181838616"/>
    <n v="9.3777139802641472"/>
    <n v="7.0623006571110167"/>
    <n v="6.0623006571110167"/>
    <n v="2023"/>
    <s v="November"/>
    <s v="Q4"/>
    <x v="10"/>
    <n v="0.82617329737019551"/>
    <n v="6.6228235605018643E-2"/>
    <n v="76.164878048780494"/>
    <n v="537.8992682926829"/>
    <n v="651.07317073170736"/>
    <n v="8121.9024390243903"/>
    <s v="Good"/>
    <x v="0"/>
  </r>
  <r>
    <x v="46"/>
    <x v="2"/>
    <x v="3"/>
    <x v="3"/>
    <x v="2"/>
    <n v="22117.4"/>
    <n v="81551"/>
    <n v="5509"/>
    <n v="139364.99"/>
    <n v="48"/>
    <n v="6.755281970791284E-2"/>
    <n v="4.014775821383191"/>
    <n v="271.20942722958642"/>
    <n v="6.3011470606852518"/>
    <n v="5.3011470606852518"/>
    <n v="2023"/>
    <s v="December"/>
    <s v="Q4"/>
    <x v="11"/>
    <n v="25.297692866218913"/>
    <n v="1.7089304852178391"/>
    <n v="460.7791666666667"/>
    <n v="2903.4372916666666"/>
    <n v="114.77083333333333"/>
    <n v="1698.9791666666667"/>
    <s v="Good"/>
    <x v="0"/>
  </r>
  <r>
    <x v="17"/>
    <x v="2"/>
    <x v="4"/>
    <x v="1"/>
    <x v="1"/>
    <n v="3817.55"/>
    <n v="597354"/>
    <n v="25871"/>
    <n v="97440.84"/>
    <n v="25"/>
    <n v="4.3309327467464853E-2"/>
    <n v="0.14756097560975612"/>
    <n v="6.3907666141015209"/>
    <n v="25.524443687705464"/>
    <n v="24.524443687705464"/>
    <n v="2023"/>
    <s v="December"/>
    <s v="Q4"/>
    <x v="11"/>
    <n v="3.7664118124540988"/>
    <n v="0.16312076256290239"/>
    <n v="152.702"/>
    <n v="3897.6335999999997"/>
    <n v="1034.8399999999999"/>
    <n v="23894.16"/>
    <s v="Medium"/>
    <x v="0"/>
  </r>
  <r>
    <x v="41"/>
    <x v="1"/>
    <x v="4"/>
    <x v="4"/>
    <x v="0"/>
    <n v="17584.29"/>
    <n v="137916"/>
    <n v="25932"/>
    <n v="96521.79"/>
    <n v="7"/>
    <n v="0.18802749499695467"/>
    <n v="0.67809231837112449"/>
    <n v="127.5"/>
    <n v="5.4890922522319636"/>
    <n v="4.4890922522319636"/>
    <n v="2023"/>
    <s v="December"/>
    <s v="Q4"/>
    <x v="11"/>
    <n v="3.7221112910689493"/>
    <n v="0.69985926215957539"/>
    <n v="2512.0414285714287"/>
    <n v="13788.827142857142"/>
    <n v="3704.5714285714284"/>
    <n v="19702.285714285714"/>
    <s v="Excellent"/>
    <x v="0"/>
  </r>
  <r>
    <x v="49"/>
    <x v="0"/>
    <x v="4"/>
    <x v="1"/>
    <x v="0"/>
    <n v="24226.52"/>
    <n v="591028"/>
    <n v="47419"/>
    <n v="231765.53"/>
    <n v="19"/>
    <n v="8.0231393436520776E-2"/>
    <n v="0.5109032244458972"/>
    <n v="40.990477608505863"/>
    <n v="9.5666042832400198"/>
    <n v="8.5666042832400198"/>
    <n v="2023"/>
    <s v="December"/>
    <s v="Q4"/>
    <x v="11"/>
    <n v="4.8876089753052572"/>
    <n v="0.39213967866158628"/>
    <n v="1275.08"/>
    <n v="12198.185789473684"/>
    <n v="2495.7368421052633"/>
    <n v="31106.736842105263"/>
    <s v="Good"/>
    <x v="0"/>
  </r>
  <r>
    <x v="21"/>
    <x v="0"/>
    <x v="3"/>
    <x v="1"/>
    <x v="0"/>
    <n v="5914.45"/>
    <n v="813398"/>
    <n v="43287"/>
    <n v="187660.91"/>
    <n v="35"/>
    <n v="5.3217490084804732E-2"/>
    <n v="0.13663340032804305"/>
    <n v="7.2712866272107872"/>
    <n v="31.729224188216996"/>
    <n v="30.729224188216993"/>
    <n v="2023"/>
    <s v="December"/>
    <s v="Q4"/>
    <x v="11"/>
    <n v="4.3352717906068801"/>
    <n v="0.23071228353155529"/>
    <n v="168.9842857142857"/>
    <n v="5361.7402857142861"/>
    <n v="1236.7714285714285"/>
    <n v="23239.942857142858"/>
    <s v="Good"/>
    <x v="0"/>
  </r>
  <r>
    <x v="11"/>
    <x v="0"/>
    <x v="0"/>
    <x v="3"/>
    <x v="2"/>
    <n v="6143.28"/>
    <n v="462762"/>
    <n v="27342"/>
    <n v="212910.98"/>
    <n v="6"/>
    <n v="5.9084367342175891E-2"/>
    <n v="0.22468290542023259"/>
    <n v="13.275247319356385"/>
    <n v="34.657541248323376"/>
    <n v="33.657541248323376"/>
    <n v="2023"/>
    <s v="December"/>
    <s v="Q4"/>
    <x v="11"/>
    <n v="7.7869570623948512"/>
    <n v="0.46008743155228826"/>
    <n v="1023.88"/>
    <n v="35485.163333333338"/>
    <n v="4557"/>
    <n v="77127"/>
    <s v="Good"/>
    <x v="0"/>
  </r>
  <r>
    <x v="56"/>
    <x v="0"/>
    <x v="4"/>
    <x v="3"/>
    <x v="0"/>
    <n v="1023.05"/>
    <n v="880161"/>
    <n v="27302"/>
    <n v="182197.15"/>
    <n v="47"/>
    <n v="3.1019324873517457E-2"/>
    <n v="3.7471613801186722E-2"/>
    <n v="1.1623441620339916"/>
    <n v="178.09212648453155"/>
    <n v="177.09212648453155"/>
    <n v="2023"/>
    <s v="December"/>
    <s v="Q4"/>
    <x v="11"/>
    <n v="6.6733993846604642"/>
    <n v="0.20700434352351443"/>
    <n v="21.767021276595745"/>
    <n v="3876.5351063829785"/>
    <n v="580.89361702127655"/>
    <n v="18726.829787234041"/>
    <s v="Medium"/>
    <x v="0"/>
  </r>
  <r>
    <x v="33"/>
    <x v="2"/>
    <x v="0"/>
    <x v="2"/>
    <x v="2"/>
    <n v="1492.55"/>
    <n v="842685"/>
    <n v="15615"/>
    <n v="236169.16"/>
    <n v="59"/>
    <n v="1.8530055714768862E-2"/>
    <n v="9.5584373999359581E-2"/>
    <n v="1.7711837756694375"/>
    <n v="158.23199222806608"/>
    <n v="157.23199222806608"/>
    <n v="2023"/>
    <s v="December"/>
    <s v="Q4"/>
    <x v="11"/>
    <n v="15.124505923791226"/>
    <n v="0.28025793742620314"/>
    <n v="25.297457627118643"/>
    <n v="4002.8671186440679"/>
    <n v="264.66101694915255"/>
    <n v="14282.796610169491"/>
    <s v="Low"/>
    <x v="0"/>
  </r>
  <r>
    <x v="12"/>
    <x v="3"/>
    <x v="2"/>
    <x v="3"/>
    <x v="1"/>
    <n v="39590.720000000001"/>
    <n v="773660"/>
    <n v="42189"/>
    <n v="134397.85"/>
    <n v="17"/>
    <n v="5.4531706434351006E-2"/>
    <n v="0.93841333048899001"/>
    <n v="51.173280252307215"/>
    <n v="3.394680622125589"/>
    <n v="2.394680622125589"/>
    <n v="2023"/>
    <s v="December"/>
    <s v="Q4"/>
    <x v="11"/>
    <n v="3.185613548555311"/>
    <n v="0.17371694284310937"/>
    <n v="2328.8658823529413"/>
    <n v="7905.7558823529416"/>
    <n v="2481.705882352941"/>
    <n v="45509.411764705881"/>
    <s v="Good"/>
    <x v="0"/>
  </r>
  <r>
    <x v="49"/>
    <x v="3"/>
    <x v="1"/>
    <x v="1"/>
    <x v="1"/>
    <n v="3829.56"/>
    <n v="997697"/>
    <n v="27566"/>
    <n v="122998.19"/>
    <n v="54"/>
    <n v="2.7629631040285776E-2"/>
    <n v="0.13892331132554597"/>
    <n v="3.8383998348195894"/>
    <n v="32.118099729472839"/>
    <n v="31.118099729472839"/>
    <n v="2023"/>
    <s v="December"/>
    <s v="Q4"/>
    <x v="11"/>
    <n v="4.4619527679024884"/>
    <n v="0.12328210869632765"/>
    <n v="70.917777777777772"/>
    <n v="2277.7442592592593"/>
    <n v="510.48148148148147"/>
    <n v="18475.870370370369"/>
    <s v="Medium"/>
    <x v="0"/>
  </r>
  <r>
    <x v="31"/>
    <x v="1"/>
    <x v="4"/>
    <x v="0"/>
    <x v="2"/>
    <n v="12096.47"/>
    <n v="198550"/>
    <n v="1808"/>
    <n v="83125"/>
    <n v="42"/>
    <n v="9.1060186351045076E-3"/>
    <n v="6.6905254424778757"/>
    <n v="60.924049357844368"/>
    <n v="6.8718394705232191"/>
    <n v="5.8718394705232191"/>
    <n v="2023"/>
    <s v="December"/>
    <s v="Q4"/>
    <x v="11"/>
    <n v="45.976216814159294"/>
    <n v="0.41866028708133973"/>
    <n v="288.01119047619045"/>
    <n v="1979.1666666666667"/>
    <n v="43.047619047619051"/>
    <n v="4727.3809523809523"/>
    <s v="Low"/>
    <x v="0"/>
  </r>
  <r>
    <x v="18"/>
    <x v="2"/>
    <x v="1"/>
    <x v="3"/>
    <x v="2"/>
    <n v="8695.16"/>
    <n v="598285"/>
    <n v="5840"/>
    <n v="57845.31"/>
    <n v="28"/>
    <n v="9.7612341944056762E-3"/>
    <n v="1.4888972602739725"/>
    <n v="14.533474848943229"/>
    <n v="6.6525871864347517"/>
    <n v="5.6525871864347517"/>
    <n v="2023"/>
    <s v="December"/>
    <s v="Q4"/>
    <x v="11"/>
    <n v="9.9050188356164384"/>
    <n v="9.6685208554451466E-2"/>
    <n v="310.54142857142858"/>
    <n v="2065.9039285714284"/>
    <n v="208.57142857142858"/>
    <n v="21367.321428571428"/>
    <s v="Low"/>
    <x v="0"/>
  </r>
  <r>
    <x v="4"/>
    <x v="3"/>
    <x v="4"/>
    <x v="1"/>
    <x v="2"/>
    <n v="8915.5300000000007"/>
    <n v="975264"/>
    <n v="5726"/>
    <n v="33436.99"/>
    <n v="7"/>
    <n v="5.8712307641828262E-3"/>
    <n v="1.5570258470136222"/>
    <n v="9.1416580536142025"/>
    <n v="3.7504208947757447"/>
    <n v="2.7504208947757451"/>
    <n v="2023"/>
    <s v="December"/>
    <s v="Q4"/>
    <x v="11"/>
    <n v="5.8395022703457906"/>
    <n v="3.4285065377169667E-2"/>
    <n v="1273.6471428571429"/>
    <n v="4776.7128571428566"/>
    <n v="818"/>
    <n v="139323.42857142858"/>
    <s v="Low"/>
    <x v="0"/>
  </r>
  <r>
    <x v="57"/>
    <x v="1"/>
    <x v="4"/>
    <x v="4"/>
    <x v="2"/>
    <n v="10643.96"/>
    <n v="213974"/>
    <n v="29903"/>
    <n v="232779.89"/>
    <n v="58"/>
    <n v="0.13975062390757756"/>
    <n v="0.35594957027722968"/>
    <n v="49.744174525876971"/>
    <n v="21.869669746973873"/>
    <n v="20.869669746973873"/>
    <n v="2023"/>
    <s v="December"/>
    <s v="Q4"/>
    <x v="11"/>
    <n v="7.784499548540281"/>
    <n v="1.0878886687167602"/>
    <n v="183.51655172413791"/>
    <n v="4013.446379310345"/>
    <n v="515.56896551724139"/>
    <n v="3689.2068965517242"/>
    <s v="Excellent"/>
    <x v="0"/>
  </r>
  <r>
    <x v="41"/>
    <x v="3"/>
    <x v="2"/>
    <x v="3"/>
    <x v="0"/>
    <n v="1926.88"/>
    <n v="772057"/>
    <n v="18649"/>
    <n v="74179.199999999997"/>
    <n v="54"/>
    <n v="2.4154952289792076E-2"/>
    <n v="0.10332350260067565"/>
    <n v="2.4957742757335275"/>
    <n v="38.497052229510913"/>
    <n v="37.497052229510913"/>
    <n v="2023"/>
    <s v="December"/>
    <s v="Q4"/>
    <x v="11"/>
    <n v="3.9776502761542174"/>
    <n v="9.6079952645983388E-2"/>
    <n v="35.682962962962968"/>
    <n v="1373.6888888888889"/>
    <n v="345.35185185185185"/>
    <n v="14297.351851851852"/>
    <s v="Medium"/>
    <x v="0"/>
  </r>
  <r>
    <x v="55"/>
    <x v="2"/>
    <x v="2"/>
    <x v="2"/>
    <x v="0"/>
    <n v="35402.58"/>
    <n v="357148"/>
    <n v="23745"/>
    <n v="76925.72"/>
    <n v="20"/>
    <n v="6.6485042615386333E-2"/>
    <n v="1.4909488313329122"/>
    <n v="99.125796588529127"/>
    <n v="2.1728845750789914"/>
    <n v="1.1728845750789914"/>
    <n v="2023"/>
    <s v="December"/>
    <s v="Q4"/>
    <x v="11"/>
    <n v="3.2396597178353339"/>
    <n v="0.21538891439963265"/>
    <n v="1770.1290000000001"/>
    <n v="3846.2860000000001"/>
    <n v="1187.25"/>
    <n v="17857.400000000001"/>
    <s v="Good"/>
    <x v="0"/>
  </r>
  <r>
    <x v="41"/>
    <x v="3"/>
    <x v="3"/>
    <x v="2"/>
    <x v="2"/>
    <n v="39825.980000000003"/>
    <n v="663453"/>
    <n v="9656"/>
    <n v="112913.54"/>
    <n v="45"/>
    <n v="1.4554158320182439E-2"/>
    <n v="4.1244801159900586"/>
    <n v="60.02833659656374"/>
    <n v="2.8351729197875355"/>
    <n v="1.8351729197875355"/>
    <n v="2023"/>
    <s v="December"/>
    <s v="Q4"/>
    <x v="11"/>
    <n v="11.693614333057166"/>
    <n v="0.17019071433846858"/>
    <n v="885.02177777777786"/>
    <n v="2509.1897777777776"/>
    <n v="214.57777777777778"/>
    <n v="14743.4"/>
    <s v="Low"/>
    <x v="0"/>
  </r>
  <r>
    <x v="7"/>
    <x v="0"/>
    <x v="2"/>
    <x v="3"/>
    <x v="1"/>
    <n v="40728.49"/>
    <n v="420997"/>
    <n v="8550"/>
    <n v="150785.1"/>
    <n v="25"/>
    <n v="2.0308933317814616E-2"/>
    <n v="4.7635660818713452"/>
    <n v="96.742945911728583"/>
    <n v="3.702202070344371"/>
    <n v="2.7022020703443714"/>
    <n v="2023"/>
    <s v="December"/>
    <s v="Q4"/>
    <x v="11"/>
    <n v="17.635684210526318"/>
    <n v="0.35816193464561508"/>
    <n v="1629.1396"/>
    <n v="6031.4040000000005"/>
    <n v="342"/>
    <n v="16839.88"/>
    <s v="Medium"/>
    <x v="0"/>
  </r>
  <r>
    <x v="11"/>
    <x v="1"/>
    <x v="4"/>
    <x v="0"/>
    <x v="2"/>
    <n v="22586.16"/>
    <n v="545118"/>
    <n v="18536"/>
    <n v="16143.76"/>
    <n v="59"/>
    <n v="3.4003646916814338E-2"/>
    <n v="1.2185023737591714"/>
    <n v="41.433524484606998"/>
    <n v="0.71476337721861527"/>
    <n v="-0.28523662278138467"/>
    <n v="2023"/>
    <s v="December"/>
    <s v="Q4"/>
    <x v="11"/>
    <n v="0.87094087181700475"/>
    <n v="2.9615165890687887E-2"/>
    <n v="382.8162711864407"/>
    <n v="273.62305084745765"/>
    <n v="314.16949152542372"/>
    <n v="9239.2881355932204"/>
    <s v="Medium"/>
    <x v="0"/>
  </r>
  <r>
    <x v="54"/>
    <x v="0"/>
    <x v="3"/>
    <x v="1"/>
    <x v="2"/>
    <n v="8392.2900000000009"/>
    <n v="59866"/>
    <n v="12011"/>
    <n v="15017.84"/>
    <n v="51"/>
    <n v="0.2006314101493335"/>
    <n v="0.69871700940804271"/>
    <n v="140.18457889286074"/>
    <n v="1.7894805827729974"/>
    <n v="0.78948058277299737"/>
    <n v="2023"/>
    <s v="December"/>
    <s v="Q4"/>
    <x v="11"/>
    <n v="1.2503405211889103"/>
    <n v="0.25085758193298369"/>
    <n v="164.55470588235295"/>
    <n v="294.46745098039219"/>
    <n v="235.50980392156862"/>
    <n v="1173.8431372549019"/>
    <s v="Excellent"/>
    <x v="0"/>
  </r>
  <r>
    <x v="21"/>
    <x v="1"/>
    <x v="4"/>
    <x v="4"/>
    <x v="1"/>
    <n v="21251.58"/>
    <n v="894642"/>
    <n v="35241"/>
    <n v="86131.72"/>
    <n v="47"/>
    <n v="3.9391175464599248E-2"/>
    <n v="0.60303566868136549"/>
    <n v="23.754283836439605"/>
    <n v="4.0529560625609955"/>
    <n v="3.0529560625609951"/>
    <n v="2023"/>
    <s v="December"/>
    <s v="Q4"/>
    <x v="11"/>
    <n v="2.4440770693226641"/>
    <n v="9.6275068686692555E-2"/>
    <n v="452.16127659574471"/>
    <n v="1832.5897872340427"/>
    <n v="749.80851063829789"/>
    <n v="19034.936170212764"/>
    <s v="Medium"/>
    <x v="0"/>
  </r>
  <r>
    <x v="47"/>
    <x v="3"/>
    <x v="0"/>
    <x v="2"/>
    <x v="2"/>
    <n v="2905.87"/>
    <n v="154408"/>
    <n v="23051"/>
    <n v="220286.91"/>
    <n v="48"/>
    <n v="0.14928630640899435"/>
    <n v="0.12606264370309314"/>
    <n v="18.819426454587845"/>
    <n v="75.807558493669717"/>
    <n v="74.807558493669717"/>
    <n v="2023"/>
    <s v="December"/>
    <s v="Q4"/>
    <x v="11"/>
    <n v="9.5565012363888773"/>
    <n v="1.4266547717734832"/>
    <n v="60.538958333333333"/>
    <n v="4589.3106250000001"/>
    <n v="480.22916666666669"/>
    <n v="3216.8333333333335"/>
    <s v="Excellent"/>
    <x v="0"/>
  </r>
  <r>
    <x v="58"/>
    <x v="1"/>
    <x v="0"/>
    <x v="3"/>
    <x v="2"/>
    <n v="14107.44"/>
    <n v="415537"/>
    <n v="11712"/>
    <n v="210590.72"/>
    <n v="58"/>
    <n v="2.8185215756960272E-2"/>
    <n v="1.2045286885245903"/>
    <n v="33.949900971513969"/>
    <n v="14.927635347022564"/>
    <n v="13.927635347022564"/>
    <n v="2023"/>
    <s v="December"/>
    <s v="Q4"/>
    <x v="11"/>
    <n v="17.980765027322406"/>
    <n v="0.50679174177028763"/>
    <n v="243.23172413793105"/>
    <n v="3630.8744827586206"/>
    <n v="201.93103448275863"/>
    <n v="7164.4310344827591"/>
    <s v="Medium"/>
    <x v="0"/>
  </r>
  <r>
    <x v="23"/>
    <x v="1"/>
    <x v="0"/>
    <x v="3"/>
    <x v="0"/>
    <n v="12515.36"/>
    <n v="688569"/>
    <n v="48286"/>
    <n v="214686.55"/>
    <n v="41"/>
    <n v="7.0125143594904793E-2"/>
    <n v="0.25919231247152386"/>
    <n v="18.175898130761045"/>
    <n v="17.153845354827986"/>
    <n v="16.153845354827986"/>
    <n v="2023"/>
    <s v="December"/>
    <s v="Q4"/>
    <x v="11"/>
    <n v="4.4461448452967733"/>
    <n v="0.311786545720182"/>
    <n v="305.25268292682927"/>
    <n v="5236.2573170731703"/>
    <n v="1177.7073170731708"/>
    <n v="16794.365853658535"/>
    <s v="Good"/>
    <x v="0"/>
  </r>
  <r>
    <x v="41"/>
    <x v="3"/>
    <x v="3"/>
    <x v="4"/>
    <x v="2"/>
    <n v="29881.599999999999"/>
    <n v="660810"/>
    <n v="49217"/>
    <n v="42865.57"/>
    <n v="55"/>
    <n v="7.4479805087695403E-2"/>
    <n v="0.60713980941544587"/>
    <n v="45.219654666242938"/>
    <n v="1.4345138814521312"/>
    <n v="0.43451388145213116"/>
    <n v="2023"/>
    <s v="December"/>
    <s v="Q4"/>
    <x v="11"/>
    <n v="0.87095048458865842"/>
    <n v="6.486822233319714E-2"/>
    <n v="543.30181818181813"/>
    <n v="779.37400000000002"/>
    <n v="894.85454545454547"/>
    <n v="12014.727272727272"/>
    <s v="Good"/>
    <x v="0"/>
  </r>
  <r>
    <x v="16"/>
    <x v="1"/>
    <x v="0"/>
    <x v="3"/>
    <x v="1"/>
    <n v="21947.48"/>
    <n v="66802"/>
    <n v="44229"/>
    <n v="165096.59"/>
    <n v="33"/>
    <n v="0.66209095536061791"/>
    <n v="0.49622374460195801"/>
    <n v="328.54525313613362"/>
    <n v="7.5223483516102991"/>
    <n v="6.5223483516102982"/>
    <n v="2023"/>
    <s v="December"/>
    <s v="Q4"/>
    <x v="11"/>
    <n v="3.7327678672364284"/>
    <n v="2.4714318433579834"/>
    <n v="665.07515151515145"/>
    <n v="5002.9269696969695"/>
    <n v="1340.2727272727273"/>
    <n v="2024.3030303030303"/>
    <s v="Excellent"/>
    <x v="0"/>
  </r>
  <r>
    <x v="37"/>
    <x v="2"/>
    <x v="1"/>
    <x v="2"/>
    <x v="2"/>
    <n v="40843.47"/>
    <n v="358048"/>
    <n v="18005"/>
    <n v="35496.379999999997"/>
    <n v="61"/>
    <n v="5.0286553758155328E-2"/>
    <n v="2.2684515412385449"/>
    <n v="114.0726103762624"/>
    <n v="0.86908335653165603"/>
    <n v="-0.130916643468344"/>
    <n v="2024"/>
    <s v="January"/>
    <s v="Q1"/>
    <x v="12"/>
    <n v="1.971473479589003"/>
    <n v="9.9138607114129945E-2"/>
    <n v="669.56508196721313"/>
    <n v="581.90786885245893"/>
    <n v="295.1639344262295"/>
    <n v="5869.6393442622948"/>
    <s v="Good"/>
    <x v="0"/>
  </r>
  <r>
    <x v="44"/>
    <x v="0"/>
    <x v="0"/>
    <x v="4"/>
    <x v="2"/>
    <n v="15798.89"/>
    <n v="127955"/>
    <n v="47270"/>
    <n v="217385.43"/>
    <n v="51"/>
    <n v="0.36942675159235666"/>
    <n v="0.33422657076369788"/>
    <n v="123.47223633308585"/>
    <n v="13.759538170086632"/>
    <n v="12.759538170086632"/>
    <n v="2024"/>
    <s v="January"/>
    <s v="Q1"/>
    <x v="12"/>
    <n v="4.5988032578802622"/>
    <n v="1.6989209487710524"/>
    <n v="309.78215686274507"/>
    <n v="4262.4594117647057"/>
    <n v="926.86274509803923"/>
    <n v="2508.9215686274511"/>
    <s v="Excellent"/>
    <x v="0"/>
  </r>
  <r>
    <x v="20"/>
    <x v="3"/>
    <x v="0"/>
    <x v="2"/>
    <x v="2"/>
    <n v="4644.3900000000003"/>
    <n v="341601"/>
    <n v="885"/>
    <n v="100350.73"/>
    <n v="26"/>
    <n v="2.5907418303810588E-3"/>
    <n v="5.2478983050847461"/>
    <n v="13.595949660568911"/>
    <n v="21.606869793449729"/>
    <n v="20.606869793449729"/>
    <n v="2024"/>
    <s v="January"/>
    <s v="Q1"/>
    <x v="12"/>
    <n v="113.39065536723163"/>
    <n v="0.29376591403420949"/>
    <n v="178.63038461538463"/>
    <n v="3859.6434615384615"/>
    <n v="34.03846153846154"/>
    <n v="13138.5"/>
    <s v="Low"/>
    <x v="0"/>
  </r>
  <r>
    <x v="23"/>
    <x v="2"/>
    <x v="4"/>
    <x v="4"/>
    <x v="0"/>
    <n v="4232.47"/>
    <n v="584765"/>
    <n v="32629"/>
    <n v="228037.37"/>
    <n v="51"/>
    <n v="5.57984831513514E-2"/>
    <n v="0.12971497747402619"/>
    <n v="7.2378989850623761"/>
    <n v="53.878083010629723"/>
    <n v="52.878083010629723"/>
    <n v="2024"/>
    <s v="January"/>
    <s v="Q1"/>
    <x v="12"/>
    <n v="6.9887943240675474"/>
    <n v="0.38996412233974331"/>
    <n v="82.989607843137264"/>
    <n v="4471.3209803921563"/>
    <n v="639.78431372549016"/>
    <n v="11465.980392156862"/>
    <s v="Good"/>
    <x v="0"/>
  </r>
  <r>
    <x v="23"/>
    <x v="1"/>
    <x v="2"/>
    <x v="2"/>
    <x v="1"/>
    <n v="592.46"/>
    <n v="717835"/>
    <n v="34984"/>
    <n v="57960.79"/>
    <n v="17"/>
    <n v="4.8735433630291085E-2"/>
    <n v="1.6935170363594786E-2"/>
    <n v="0.82534287127264627"/>
    <n v="97.830722749215127"/>
    <n v="96.830722749215127"/>
    <n v="2024"/>
    <s v="January"/>
    <s v="Q1"/>
    <x v="12"/>
    <n v="1.6567799565515664"/>
    <n v="8.0743889612515413E-2"/>
    <n v="34.850588235294119"/>
    <n v="3409.4582352941179"/>
    <n v="2057.8823529411766"/>
    <n v="42225.588235294119"/>
    <s v="Medium"/>
    <x v="0"/>
  </r>
  <r>
    <x v="9"/>
    <x v="3"/>
    <x v="1"/>
    <x v="0"/>
    <x v="0"/>
    <n v="7724.03"/>
    <n v="605990"/>
    <n v="27681"/>
    <n v="94526.05"/>
    <n v="26"/>
    <n v="4.5678971600191423E-2"/>
    <n v="0.2790372457642426"/>
    <n v="12.746134424660474"/>
    <n v="12.237918547701137"/>
    <n v="11.237918547701137"/>
    <n v="2024"/>
    <s v="January"/>
    <s v="Q1"/>
    <x v="12"/>
    <n v="3.414835085437665"/>
    <n v="0.15598615488704434"/>
    <n v="297.07807692307694"/>
    <n v="3635.6173076923078"/>
    <n v="1064.6538461538462"/>
    <n v="23307.307692307691"/>
    <s v="Medium"/>
    <x v="0"/>
  </r>
  <r>
    <x v="20"/>
    <x v="1"/>
    <x v="3"/>
    <x v="1"/>
    <x v="0"/>
    <n v="41022.93"/>
    <n v="529886"/>
    <n v="39015"/>
    <n v="156083.85"/>
    <n v="22"/>
    <n v="7.3629044737924768E-2"/>
    <n v="1.0514655901576317"/>
    <n v="77.418406978104727"/>
    <n v="3.8047952693773945"/>
    <n v="2.804795269377395"/>
    <n v="2024"/>
    <s v="January"/>
    <s v="Q1"/>
    <x v="12"/>
    <n v="4.0006113033448676"/>
    <n v="0.29456118863302672"/>
    <n v="1864.6786363636363"/>
    <n v="7094.7204545454551"/>
    <n v="1773.409090909091"/>
    <n v="24085.727272727272"/>
    <s v="Good"/>
    <x v="0"/>
  </r>
  <r>
    <x v="30"/>
    <x v="1"/>
    <x v="3"/>
    <x v="1"/>
    <x v="1"/>
    <n v="11661.54"/>
    <n v="128414"/>
    <n v="15564"/>
    <n v="160062.70000000001"/>
    <n v="9"/>
    <n v="0.12120173812824146"/>
    <n v="0.74926368542791066"/>
    <n v="90.812060990234713"/>
    <n v="13.725691460990573"/>
    <n v="12.725691460990571"/>
    <n v="2024"/>
    <s v="January"/>
    <s v="Q1"/>
    <x v="12"/>
    <n v="10.2841621691082"/>
    <n v="1.2464583300886196"/>
    <n v="1295.7266666666667"/>
    <n v="17784.744444444445"/>
    <n v="1729.3333333333333"/>
    <n v="14268.222222222223"/>
    <s v="Excellent"/>
    <x v="0"/>
  </r>
  <r>
    <x v="2"/>
    <x v="2"/>
    <x v="4"/>
    <x v="0"/>
    <x v="2"/>
    <n v="40548.51"/>
    <n v="245455"/>
    <n v="3177"/>
    <n v="73093.59"/>
    <n v="39"/>
    <n v="1.2943309364241918E-2"/>
    <n v="12.763144475920681"/>
    <n v="165.19732741235666"/>
    <n v="1.8026208607911856"/>
    <n v="0.80262086079118544"/>
    <n v="2024"/>
    <s v="January"/>
    <s v="Q1"/>
    <x v="12"/>
    <n v="23.007110481586402"/>
    <n v="0.29778814854046565"/>
    <n v="1039.7053846153847"/>
    <n v="1874.1946153846152"/>
    <n v="81.461538461538467"/>
    <n v="6293.7179487179483"/>
    <s v="Low"/>
    <x v="0"/>
  </r>
  <r>
    <x v="12"/>
    <x v="0"/>
    <x v="0"/>
    <x v="0"/>
    <x v="0"/>
    <n v="210.81"/>
    <n v="130784"/>
    <n v="9432"/>
    <n v="76191.17"/>
    <n v="6"/>
    <n v="7.2118913628578418E-2"/>
    <n v="2.2350508905852419E-2"/>
    <n v="1.6118944213359434"/>
    <n v="361.42104264503581"/>
    <n v="360.42104264503581"/>
    <n v="2024"/>
    <s v="January"/>
    <s v="Q1"/>
    <x v="12"/>
    <n v="8.0779442324003394"/>
    <n v="0.5825725623929533"/>
    <n v="35.134999999999998"/>
    <n v="12698.528333333334"/>
    <n v="1572"/>
    <n v="21797.333333333332"/>
    <s v="Good"/>
    <x v="0"/>
  </r>
  <r>
    <x v="6"/>
    <x v="2"/>
    <x v="4"/>
    <x v="2"/>
    <x v="2"/>
    <n v="1007.46"/>
    <n v="486535"/>
    <n v="21856"/>
    <n v="142236.96"/>
    <n v="58"/>
    <n v="4.4921742526231413E-2"/>
    <n v="4.6095351390922405E-2"/>
    <n v="2.0706835068391793"/>
    <n v="141.18372937883387"/>
    <n v="140.1837293788339"/>
    <n v="2024"/>
    <s v="January"/>
    <s v="Q1"/>
    <x v="12"/>
    <n v="6.507913616398243"/>
    <n v="0.2923468198587974"/>
    <n v="17.37"/>
    <n v="2452.3613793103445"/>
    <n v="376.82758620689657"/>
    <n v="8388.5344827586214"/>
    <s v="Medium"/>
    <x v="0"/>
  </r>
  <r>
    <x v="46"/>
    <x v="1"/>
    <x v="2"/>
    <x v="2"/>
    <x v="1"/>
    <n v="3902.66"/>
    <n v="998977"/>
    <n v="47563"/>
    <n v="211473.82"/>
    <n v="48"/>
    <n v="4.7611706776031881E-2"/>
    <n v="8.205243571683872E-2"/>
    <n v="3.9066565096093302"/>
    <n v="54.18709803057402"/>
    <n v="53.18709803057402"/>
    <n v="2024"/>
    <s v="January"/>
    <s v="Q1"/>
    <x v="12"/>
    <n v="4.4461833778357125"/>
    <n v="0.21169037925798093"/>
    <n v="81.305416666666659"/>
    <n v="4405.7045833333332"/>
    <n v="990.89583333333337"/>
    <n v="20812.020833333332"/>
    <s v="Medium"/>
    <x v="0"/>
  </r>
  <r>
    <x v="0"/>
    <x v="2"/>
    <x v="3"/>
    <x v="1"/>
    <x v="0"/>
    <n v="10278.32"/>
    <n v="909138"/>
    <n v="2417"/>
    <n v="140451.87"/>
    <n v="30"/>
    <n v="2.6585622864735607E-3"/>
    <n v="4.2525113777410013"/>
    <n v="11.305566371661948"/>
    <n v="13.664866437316604"/>
    <n v="12.664866437316604"/>
    <n v="2024"/>
    <s v="January"/>
    <s v="Q1"/>
    <x v="12"/>
    <n v="58.11"/>
    <n v="0.15448905446697861"/>
    <n v="342.61066666666665"/>
    <n v="4681.7290000000003"/>
    <n v="80.566666666666663"/>
    <n v="30304.6"/>
    <s v="Low"/>
    <x v="0"/>
  </r>
  <r>
    <x v="2"/>
    <x v="0"/>
    <x v="0"/>
    <x v="2"/>
    <x v="0"/>
    <n v="1558.08"/>
    <n v="728596"/>
    <n v="19778"/>
    <n v="211809.89"/>
    <n v="35"/>
    <n v="2.7145359019264449E-2"/>
    <n v="7.8778440691677623E-2"/>
    <n v="2.1384690555534203"/>
    <n v="135.94288483261451"/>
    <n v="134.94288483261451"/>
    <n v="2024"/>
    <s v="January"/>
    <s v="Q1"/>
    <x v="12"/>
    <n v="10.709368490241683"/>
    <n v="0.29070965253720854"/>
    <n v="44.516571428571424"/>
    <n v="6051.7111428571434"/>
    <n v="565.08571428571429"/>
    <n v="20817.028571428571"/>
    <s v="Medium"/>
    <x v="0"/>
  </r>
  <r>
    <x v="22"/>
    <x v="1"/>
    <x v="3"/>
    <x v="5"/>
    <x v="2"/>
    <n v="4769.95"/>
    <n v="467311"/>
    <n v="4537"/>
    <n v="123291.05"/>
    <n v="34"/>
    <n v="9.7087378640776691E-3"/>
    <n v="1.0513445007714348"/>
    <n v="10.207228162829464"/>
    <n v="25.847451231144984"/>
    <n v="24.847451231144984"/>
    <n v="2024"/>
    <s v="January"/>
    <s v="Q1"/>
    <x v="12"/>
    <n v="27.174575710822129"/>
    <n v="0.26383083214390418"/>
    <n v="140.29264705882352"/>
    <n v="3626.2073529411764"/>
    <n v="133.44117647058823"/>
    <n v="13744.441176470587"/>
    <s v="Low"/>
    <x v="0"/>
  </r>
  <r>
    <x v="40"/>
    <x v="2"/>
    <x v="2"/>
    <x v="3"/>
    <x v="1"/>
    <n v="14204.79"/>
    <n v="214110"/>
    <n v="23858"/>
    <n v="140539.62"/>
    <n v="8"/>
    <n v="0.11142870487132782"/>
    <n v="0.59538896806102781"/>
    <n v="66.343421605716699"/>
    <n v="9.8938189160135401"/>
    <n v="8.8938189160135401"/>
    <n v="2024"/>
    <s v="January"/>
    <s v="Q1"/>
    <x v="12"/>
    <n v="5.8906706345879787"/>
    <n v="0.65638979963570121"/>
    <n v="1775.5987500000001"/>
    <n v="17567.452499999999"/>
    <n v="2982.25"/>
    <n v="26763.75"/>
    <s v="Excellent"/>
    <x v="0"/>
  </r>
  <r>
    <x v="35"/>
    <x v="1"/>
    <x v="4"/>
    <x v="0"/>
    <x v="2"/>
    <n v="8499.6299999999992"/>
    <n v="35918"/>
    <n v="11868"/>
    <n v="113213.68"/>
    <n v="57"/>
    <n v="0.33041928837908568"/>
    <n v="0.71618048533872591"/>
    <n v="236.63984631661003"/>
    <n v="13.319836275226098"/>
    <n v="12.319836275226098"/>
    <n v="2024"/>
    <s v="January"/>
    <s v="Q1"/>
    <x v="12"/>
    <n v="9.5394068082237951"/>
    <n v="3.1520040091319115"/>
    <n v="149.11631578947367"/>
    <n v="1986.2049122807016"/>
    <n v="208.21052631578948"/>
    <n v="630.14035087719299"/>
    <s v="Excellent"/>
    <x v="0"/>
  </r>
  <r>
    <x v="13"/>
    <x v="0"/>
    <x v="1"/>
    <x v="2"/>
    <x v="1"/>
    <n v="13586.58"/>
    <n v="511410"/>
    <n v="10139"/>
    <n v="116469.77"/>
    <n v="45"/>
    <n v="1.9825580258501008E-2"/>
    <n v="1.3400315612979583"/>
    <n v="26.566903267437084"/>
    <n v="8.5724126306988229"/>
    <n v="7.572412630698822"/>
    <n v="2024"/>
    <s v="January"/>
    <s v="Q1"/>
    <x v="12"/>
    <n v="11.487303481605682"/>
    <n v="0.22774245712833149"/>
    <n v="301.92399999999998"/>
    <n v="2588.2171111111111"/>
    <n v="225.3111111111111"/>
    <n v="11364.666666666666"/>
    <s v="Low"/>
    <x v="0"/>
  </r>
  <r>
    <x v="31"/>
    <x v="1"/>
    <x v="0"/>
    <x v="0"/>
    <x v="0"/>
    <n v="1788.84"/>
    <n v="611790"/>
    <n v="44279"/>
    <n v="182080.7"/>
    <n v="16"/>
    <n v="7.2376142140276892E-2"/>
    <n v="4.0399286343413353E-2"/>
    <n v="2.9239444907566319"/>
    <n v="101.78702399320231"/>
    <n v="100.78702399320231"/>
    <n v="2024"/>
    <s v="January"/>
    <s v="Q1"/>
    <x v="12"/>
    <n v="4.1121231283452655"/>
    <n v="0.29761960803543702"/>
    <n v="111.80249999999999"/>
    <n v="11380.043750000001"/>
    <n v="2767.4375"/>
    <n v="38236.875"/>
    <s v="Good"/>
    <x v="0"/>
  </r>
  <r>
    <x v="16"/>
    <x v="2"/>
    <x v="1"/>
    <x v="0"/>
    <x v="1"/>
    <n v="653.74"/>
    <n v="296290"/>
    <n v="2297"/>
    <n v="163568.44"/>
    <n v="22"/>
    <n v="7.7525397414695066E-3"/>
    <n v="0.28460600783630824"/>
    <n v="2.2064193864119614"/>
    <n v="250.20411784501485"/>
    <n v="249.20411784501485"/>
    <n v="2024"/>
    <s v="January"/>
    <s v="Q1"/>
    <x v="12"/>
    <n v="71.20959512407488"/>
    <n v="0.55205521617334374"/>
    <n v="29.715454545454545"/>
    <n v="7434.9290909090914"/>
    <n v="104.40909090909091"/>
    <n v="13467.727272727272"/>
    <s v="Low"/>
    <x v="0"/>
  </r>
  <r>
    <x v="30"/>
    <x v="2"/>
    <x v="3"/>
    <x v="2"/>
    <x v="2"/>
    <n v="19170.55"/>
    <n v="20821"/>
    <n v="30828"/>
    <n v="37635.21"/>
    <n v="43"/>
    <n v="1.4806205273521924"/>
    <n v="0.62185513169845597"/>
    <n v="920.73147303203496"/>
    <n v="1.963178416894664"/>
    <n v="0.96317841689466399"/>
    <n v="2024"/>
    <s v="January"/>
    <s v="Q1"/>
    <x v="12"/>
    <n v="1.2208125729855974"/>
    <n v="1.8075601556121224"/>
    <n v="445.82674418604648"/>
    <n v="875.23744186046508"/>
    <n v="716.93023255813955"/>
    <n v="484.2093023255814"/>
    <s v="Excellent"/>
    <x v="1"/>
  </r>
  <r>
    <x v="36"/>
    <x v="0"/>
    <x v="1"/>
    <x v="5"/>
    <x v="0"/>
    <n v="9411.2999999999993"/>
    <n v="707883"/>
    <n v="20871"/>
    <n v="244615.53"/>
    <n v="17"/>
    <n v="2.9483685863341824E-2"/>
    <n v="0.45092712376024147"/>
    <n v="13.294993664207221"/>
    <n v="25.99168340186797"/>
    <n v="24.99168340186797"/>
    <n v="2024"/>
    <s v="January"/>
    <s v="Q1"/>
    <x v="12"/>
    <n v="11.720355038091132"/>
    <n v="0.34555926614991461"/>
    <n v="553.60588235294108"/>
    <n v="14389.148823529411"/>
    <n v="1227.7058823529412"/>
    <n v="41640.176470588238"/>
    <s v="Medium"/>
    <x v="0"/>
  </r>
  <r>
    <x v="53"/>
    <x v="3"/>
    <x v="4"/>
    <x v="0"/>
    <x v="0"/>
    <n v="25308.32"/>
    <n v="405833"/>
    <n v="24718"/>
    <n v="24661.25"/>
    <n v="30"/>
    <n v="6.0906826206838773E-2"/>
    <n v="1.023882191115786"/>
    <n v="62.361414670566461"/>
    <n v="0.97443251863418834"/>
    <n v="-2.5567481365811707E-2"/>
    <n v="2024"/>
    <s v="January"/>
    <s v="Q1"/>
    <x v="12"/>
    <n v="0.9977041022736467"/>
    <n v="6.0766990363031098E-2"/>
    <n v="843.6106666666667"/>
    <n v="822.04166666666663"/>
    <n v="823.93333333333328"/>
    <n v="13527.766666666666"/>
    <s v="Good"/>
    <x v="0"/>
  </r>
  <r>
    <x v="44"/>
    <x v="0"/>
    <x v="4"/>
    <x v="2"/>
    <x v="0"/>
    <n v="5639.72"/>
    <n v="645111"/>
    <n v="25630"/>
    <n v="50907.83"/>
    <n v="46"/>
    <n v="3.9729596922080078E-2"/>
    <n v="0.22004369879047991"/>
    <n v="8.7422474581893663"/>
    <n v="9.0266591249210961"/>
    <n v="8.0266591249210943"/>
    <n v="2024"/>
    <s v="January"/>
    <s v="Q1"/>
    <x v="12"/>
    <n v="1.9862594615684745"/>
    <n v="7.8913287790783299E-2"/>
    <n v="122.60260869565218"/>
    <n v="1106.6919565217393"/>
    <n v="557.17391304347825"/>
    <n v="14024.152173913044"/>
    <s v="Medium"/>
    <x v="0"/>
  </r>
  <r>
    <x v="17"/>
    <x v="3"/>
    <x v="2"/>
    <x v="3"/>
    <x v="2"/>
    <n v="13864.98"/>
    <n v="951858"/>
    <n v="5201"/>
    <n v="131582.41"/>
    <n v="47"/>
    <n v="5.4640503100252345E-3"/>
    <n v="2.6658296481445873"/>
    <n v="14.566227315418898"/>
    <n v="9.4902704511654541"/>
    <n v="8.4902704511654559"/>
    <n v="2024"/>
    <s v="January"/>
    <s v="Q1"/>
    <x v="12"/>
    <n v="25.299444337627381"/>
    <n v="0.13823743667647906"/>
    <n v="294.99957446808509"/>
    <n v="2799.6257446808513"/>
    <n v="110.65957446808511"/>
    <n v="20252.297872340427"/>
    <s v="Low"/>
    <x v="0"/>
  </r>
  <r>
    <x v="12"/>
    <x v="0"/>
    <x v="0"/>
    <x v="3"/>
    <x v="1"/>
    <n v="28912.69"/>
    <n v="277865"/>
    <n v="11262"/>
    <n v="19726.96"/>
    <n v="43"/>
    <n v="4.0530473431342556E-2"/>
    <n v="2.5672784585331203"/>
    <n v="104.0530113544347"/>
    <n v="0.68229417601752029"/>
    <n v="-0.31770582398247965"/>
    <n v="2024"/>
    <s v="January"/>
    <s v="Q1"/>
    <x v="12"/>
    <n v="1.751639140472385"/>
    <n v="7.0994763644215711E-2"/>
    <n v="672.38813953488363"/>
    <n v="458.76651162790694"/>
    <n v="261.90697674418607"/>
    <n v="6461.9767441860467"/>
    <s v="Medium"/>
    <x v="0"/>
  </r>
  <r>
    <x v="0"/>
    <x v="2"/>
    <x v="2"/>
    <x v="4"/>
    <x v="2"/>
    <n v="2112.9899999999998"/>
    <n v="667343"/>
    <n v="44585"/>
    <n v="138504.51999999999"/>
    <n v="46"/>
    <n v="6.68097215375002E-2"/>
    <n v="4.7392396545923511E-2"/>
    <n v="3.1662728162279361"/>
    <n v="65.549065542193759"/>
    <n v="64.549065542193773"/>
    <n v="2024"/>
    <s v="January"/>
    <s v="Q1"/>
    <x v="12"/>
    <n v="3.1065273073903779"/>
    <n v="0.20754622435539144"/>
    <n v="45.934565217391302"/>
    <n v="3010.9678260869564"/>
    <n v="969.23913043478262"/>
    <n v="14507.45652173913"/>
    <s v="Good"/>
    <x v="0"/>
  </r>
  <r>
    <x v="46"/>
    <x v="0"/>
    <x v="4"/>
    <x v="2"/>
    <x v="0"/>
    <n v="5624.79"/>
    <n v="991586"/>
    <n v="13878"/>
    <n v="79742.73"/>
    <n v="47"/>
    <n v="1.3995760327394699E-2"/>
    <n v="0.40530263726761778"/>
    <n v="5.6725185712585695"/>
    <n v="14.177014608545385"/>
    <n v="13.177014608545386"/>
    <n v="2024"/>
    <s v="January"/>
    <s v="Q1"/>
    <x v="12"/>
    <n v="5.7459814094249886"/>
    <n v="8.0419378651977735E-2"/>
    <n v="119.67638297872341"/>
    <n v="1696.6538297872339"/>
    <n v="295.27659574468083"/>
    <n v="21097.574468085106"/>
    <s v="Low"/>
    <x v="0"/>
  </r>
  <r>
    <x v="5"/>
    <x v="1"/>
    <x v="3"/>
    <x v="0"/>
    <x v="2"/>
    <n v="38183.89"/>
    <n v="594004"/>
    <n v="14492"/>
    <n v="172730.49"/>
    <n v="23"/>
    <n v="2.4397142106787159E-2"/>
    <n v="2.6348254209218878"/>
    <n v="64.28221022080659"/>
    <n v="4.5236483239397556"/>
    <n v="3.5236483239397551"/>
    <n v="2024"/>
    <s v="January"/>
    <s v="Q1"/>
    <x v="12"/>
    <n v="11.91902359922716"/>
    <n v="0.29079011252449477"/>
    <n v="1660.1691304347826"/>
    <n v="7510.0213043478261"/>
    <n v="630.08695652173913"/>
    <n v="25826.260869565216"/>
    <s v="Medium"/>
    <x v="0"/>
  </r>
  <r>
    <x v="23"/>
    <x v="1"/>
    <x v="2"/>
    <x v="2"/>
    <x v="0"/>
    <n v="14845.81"/>
    <n v="644836"/>
    <n v="28293"/>
    <n v="29298.720000000001"/>
    <n v="44"/>
    <n v="4.3876272416552425E-2"/>
    <n v="0.52471671438164913"/>
    <n v="23.022613501727569"/>
    <n v="1.9735346202059707"/>
    <n v="0.9735346202059707"/>
    <n v="2024"/>
    <s v="January"/>
    <s v="Q1"/>
    <x v="12"/>
    <n v="1.0355466016329127"/>
    <n v="4.5435924793280777E-2"/>
    <n v="337.4047727272727"/>
    <n v="665.88"/>
    <n v="643.02272727272725"/>
    <n v="14655.363636363636"/>
    <s v="Medium"/>
    <x v="0"/>
  </r>
  <r>
    <x v="51"/>
    <x v="0"/>
    <x v="3"/>
    <x v="0"/>
    <x v="1"/>
    <n v="278.64999999999998"/>
    <n v="289947"/>
    <n v="49264"/>
    <n v="197455.39"/>
    <n v="15"/>
    <n v="0.16990691402221786"/>
    <n v="5.6562601493991551E-3"/>
    <n v="0.96103770689125934"/>
    <n v="708.61435492553392"/>
    <n v="707.61435492553392"/>
    <n v="2024"/>
    <s v="January"/>
    <s v="Q1"/>
    <x v="12"/>
    <n v="4.0081071370574861"/>
    <n v="0.68100511472786407"/>
    <n v="18.576666666666664"/>
    <n v="13163.692666666668"/>
    <n v="3284.2666666666669"/>
    <n v="19329.8"/>
    <s v="Excellent"/>
    <x v="0"/>
  </r>
  <r>
    <x v="31"/>
    <x v="1"/>
    <x v="2"/>
    <x v="0"/>
    <x v="2"/>
    <n v="9282.69"/>
    <n v="626005"/>
    <n v="46278"/>
    <n v="247153.31"/>
    <n v="38"/>
    <n v="7.3925927109208395E-2"/>
    <n v="0.20058537534033452"/>
    <n v="14.828459836582775"/>
    <n v="26.625181924636067"/>
    <n v="25.625181924636067"/>
    <n v="2024"/>
    <s v="January"/>
    <s v="Q1"/>
    <x v="12"/>
    <n v="5.3406221098578159"/>
    <n v="0.39481044081117561"/>
    <n v="244.28131578947369"/>
    <n v="6504.0344736842108"/>
    <n v="1217.8421052631579"/>
    <n v="16473.815789473683"/>
    <s v="Good"/>
    <x v="0"/>
  </r>
  <r>
    <x v="40"/>
    <x v="2"/>
    <x v="3"/>
    <x v="5"/>
    <x v="2"/>
    <n v="1409.96"/>
    <n v="862283"/>
    <n v="17445"/>
    <n v="48592.72"/>
    <n v="30"/>
    <n v="2.0231177003373603E-2"/>
    <n v="8.082315849813701E-2"/>
    <n v="1.6351476255475292"/>
    <n v="34.463899685097452"/>
    <n v="33.463899685097452"/>
    <n v="2024"/>
    <s v="January"/>
    <s v="Q1"/>
    <x v="12"/>
    <n v="2.7854812267125251"/>
    <n v="5.6353563737195328E-2"/>
    <n v="46.998666666666665"/>
    <n v="1619.7573333333335"/>
    <n v="581.5"/>
    <n v="28742.766666666666"/>
    <s v="Medium"/>
    <x v="0"/>
  </r>
  <r>
    <x v="22"/>
    <x v="3"/>
    <x v="0"/>
    <x v="5"/>
    <x v="2"/>
    <n v="8791.2099999999991"/>
    <n v="21190"/>
    <n v="12934"/>
    <n v="113309.74"/>
    <n v="29"/>
    <n v="0.61038225578102878"/>
    <n v="0.6796976959950517"/>
    <n v="414.87541293062765"/>
    <n v="12.888981152765094"/>
    <n v="11.888981152765092"/>
    <n v="2024"/>
    <s v="January"/>
    <s v="Q1"/>
    <x v="12"/>
    <n v="8.7606107932580795"/>
    <n v="5.3473213780084947"/>
    <n v="303.14517241379309"/>
    <n v="3907.2324137931037"/>
    <n v="446"/>
    <n v="730.68965517241384"/>
    <s v="Excellent"/>
    <x v="0"/>
  </r>
  <r>
    <x v="41"/>
    <x v="0"/>
    <x v="3"/>
    <x v="4"/>
    <x v="2"/>
    <n v="9514.2800000000007"/>
    <n v="917340"/>
    <n v="10566"/>
    <n v="204302.07"/>
    <n v="61"/>
    <n v="1.1518084897638826E-2"/>
    <n v="0.90046185879235285"/>
    <n v="10.371596136655985"/>
    <n v="21.47320343735942"/>
    <n v="20.47320343735942"/>
    <n v="2024"/>
    <s v="January"/>
    <s v="Q1"/>
    <x v="12"/>
    <n v="19.335800681431007"/>
    <n v="0.22271139381254498"/>
    <n v="155.97180327868853"/>
    <n v="3349.2142622950819"/>
    <n v="173.21311475409837"/>
    <n v="15038.360655737704"/>
    <s v="Low"/>
    <x v="0"/>
  </r>
  <r>
    <x v="13"/>
    <x v="3"/>
    <x v="4"/>
    <x v="3"/>
    <x v="2"/>
    <n v="32264.54"/>
    <n v="538597"/>
    <n v="25309"/>
    <n v="107572.86"/>
    <n v="48"/>
    <n v="4.6990607077276703E-2"/>
    <n v="1.2748247658935556"/>
    <n v="59.904789666485335"/>
    <n v="3.3340893748988827"/>
    <n v="2.3340893748988831"/>
    <n v="2024"/>
    <s v="February"/>
    <s v="Q1"/>
    <x v="13"/>
    <n v="4.2503797068236597"/>
    <n v="0.19972792273258114"/>
    <n v="672.17791666666665"/>
    <n v="2241.1012500000002"/>
    <n v="527.27083333333337"/>
    <n v="11220.770833333334"/>
    <s v="Medium"/>
    <x v="0"/>
  </r>
  <r>
    <x v="21"/>
    <x v="0"/>
    <x v="1"/>
    <x v="4"/>
    <x v="2"/>
    <n v="14637.27"/>
    <n v="702165"/>
    <n v="23707"/>
    <n v="216749.16"/>
    <n v="48"/>
    <n v="3.3762719588700661E-2"/>
    <n v="0.61742396760450502"/>
    <n v="20.845912285573903"/>
    <n v="14.808031825606824"/>
    <n v="13.808031825606825"/>
    <n v="2024"/>
    <s v="February"/>
    <s v="Q1"/>
    <x v="13"/>
    <n v="9.1428337621799471"/>
    <n v="0.30868693255858665"/>
    <n v="304.94312500000001"/>
    <n v="4515.6075000000001"/>
    <n v="493.89583333333331"/>
    <n v="14628.4375"/>
    <s v="Medium"/>
    <x v="0"/>
  </r>
  <r>
    <x v="15"/>
    <x v="0"/>
    <x v="4"/>
    <x v="5"/>
    <x v="1"/>
    <n v="48689.85"/>
    <n v="51843"/>
    <n v="42601"/>
    <n v="84397.42"/>
    <n v="36"/>
    <n v="0.82173099550566131"/>
    <n v="1.1429273960705146"/>
    <n v="939.17886696371738"/>
    <n v="1.7333678374445598"/>
    <n v="0.7333678374445598"/>
    <n v="2024"/>
    <s v="February"/>
    <s v="Q1"/>
    <x v="13"/>
    <n v="1.9811135888828901"/>
    <n v="1.6279424416025308"/>
    <n v="1352.4958333333334"/>
    <n v="2344.3727777777776"/>
    <n v="1183.3611111111111"/>
    <n v="1440.0833333333333"/>
    <s v="Excellent"/>
    <x v="0"/>
  </r>
  <r>
    <x v="22"/>
    <x v="0"/>
    <x v="2"/>
    <x v="0"/>
    <x v="2"/>
    <n v="25582.48"/>
    <n v="334348"/>
    <n v="12589"/>
    <n v="15069.49"/>
    <n v="43"/>
    <n v="3.7652386136600192E-2"/>
    <n v="2.0321296369846693"/>
    <n v="76.514529771375933"/>
    <n v="0.58905508770064519"/>
    <n v="-0.41094491229935487"/>
    <n v="2024"/>
    <s v="February"/>
    <s v="Q1"/>
    <x v="13"/>
    <n v="1.1970363015330845"/>
    <n v="4.5071273044851472E-2"/>
    <n v="594.9413953488372"/>
    <n v="350.45325581395349"/>
    <n v="292.76744186046511"/>
    <n v="7775.5348837209303"/>
    <s v="Medium"/>
    <x v="0"/>
  </r>
  <r>
    <x v="51"/>
    <x v="0"/>
    <x v="0"/>
    <x v="0"/>
    <x v="1"/>
    <n v="29412.02"/>
    <n v="656908"/>
    <n v="44434"/>
    <n v="91427.12"/>
    <n v="22"/>
    <n v="6.7641130873729652E-2"/>
    <n v="0.66192600261061352"/>
    <n v="44.773423371309228"/>
    <n v="3.108495098262547"/>
    <n v="2.1084950982625466"/>
    <n v="2024"/>
    <s v="February"/>
    <s v="Q1"/>
    <x v="13"/>
    <n v="2.0575937345276141"/>
    <n v="0.1391779670821485"/>
    <n v="1336.91"/>
    <n v="4155.778181818182"/>
    <n v="2019.7272727272727"/>
    <n v="29859.454545454544"/>
    <s v="Good"/>
    <x v="0"/>
  </r>
  <r>
    <x v="7"/>
    <x v="0"/>
    <x v="2"/>
    <x v="3"/>
    <x v="0"/>
    <n v="16598.07"/>
    <n v="67152"/>
    <n v="23747"/>
    <n v="5934.82"/>
    <n v="42"/>
    <n v="0.35363056945437216"/>
    <n v="0.6989543942392723"/>
    <n v="247.17164045746961"/>
    <n v="0.35756084894207579"/>
    <n v="-0.64243915105792426"/>
    <n v="2024"/>
    <s v="February"/>
    <s v="Q1"/>
    <x v="13"/>
    <n v="0.24991872657598854"/>
    <n v="8.8378901596378359E-2"/>
    <n v="395.19214285714287"/>
    <n v="141.30523809523808"/>
    <n v="565.40476190476193"/>
    <n v="1598.8571428571429"/>
    <s v="Excellent"/>
    <x v="0"/>
  </r>
  <r>
    <x v="26"/>
    <x v="2"/>
    <x v="1"/>
    <x v="4"/>
    <x v="0"/>
    <n v="8141.08"/>
    <n v="201031"/>
    <n v="35255"/>
    <n v="203828.24"/>
    <n v="29"/>
    <n v="0.17537096268734673"/>
    <n v="0.23091986952205359"/>
    <n v="40.496639821719043"/>
    <n v="25.037002461589861"/>
    <n v="24.037002461589864"/>
    <n v="2024"/>
    <s v="February"/>
    <s v="Q1"/>
    <x v="13"/>
    <n v="5.7815413416536661"/>
    <n v="1.0139144709024976"/>
    <n v="280.72689655172411"/>
    <n v="7028.5599999999995"/>
    <n v="1215.6896551724137"/>
    <n v="6932.1034482758623"/>
    <s v="Excellent"/>
    <x v="0"/>
  </r>
  <r>
    <x v="53"/>
    <x v="2"/>
    <x v="4"/>
    <x v="5"/>
    <x v="1"/>
    <n v="1305.69"/>
    <n v="492515"/>
    <n v="45438"/>
    <n v="104247.44"/>
    <n v="13"/>
    <n v="9.2257088616590363E-2"/>
    <n v="2.8735639772877328E-2"/>
    <n v="2.6510664649807625"/>
    <n v="79.840881066715681"/>
    <n v="78.840881066715681"/>
    <n v="2024"/>
    <s v="February"/>
    <s v="Q1"/>
    <x v="13"/>
    <n v="2.2942787974822836"/>
    <n v="0.2116634823304874"/>
    <n v="100.43769230769232"/>
    <n v="8019.0338461538468"/>
    <n v="3495.2307692307691"/>
    <n v="37885.769230769234"/>
    <s v="Good"/>
    <x v="0"/>
  </r>
  <r>
    <x v="10"/>
    <x v="1"/>
    <x v="2"/>
    <x v="5"/>
    <x v="0"/>
    <n v="6708.23"/>
    <n v="359247"/>
    <n v="11118"/>
    <n v="23712.95"/>
    <n v="61"/>
    <n v="3.0948066372161773E-2"/>
    <n v="0.60336661270012593"/>
    <n v="18.67302997658992"/>
    <n v="3.5349041401383081"/>
    <n v="2.5349041401383081"/>
    <n v="2024"/>
    <s v="February"/>
    <s v="Q1"/>
    <x v="13"/>
    <n v="2.1328431372549019"/>
    <n v="6.6007370973174453E-2"/>
    <n v="109.97098360655737"/>
    <n v="388.73688524590165"/>
    <n v="182.26229508196721"/>
    <n v="5889.2950819672133"/>
    <s v="Medium"/>
    <x v="0"/>
  </r>
  <r>
    <x v="45"/>
    <x v="2"/>
    <x v="2"/>
    <x v="2"/>
    <x v="1"/>
    <n v="1242.52"/>
    <n v="869926"/>
    <n v="11494"/>
    <n v="12615.11"/>
    <n v="38"/>
    <n v="1.3212618084756635E-2"/>
    <n v="0.10810161823560119"/>
    <n v="1.4283053960911618"/>
    <n v="10.152842610179313"/>
    <n v="9.152842610179313"/>
    <n v="2024"/>
    <s v="February"/>
    <s v="Q1"/>
    <x v="13"/>
    <n v="1.0975387158517489"/>
    <n v="1.4501359885783389E-2"/>
    <n v="32.697894736842102"/>
    <n v="331.97657894736841"/>
    <n v="302.4736842105263"/>
    <n v="22892.78947368421"/>
    <s v="Low"/>
    <x v="0"/>
  </r>
  <r>
    <x v="55"/>
    <x v="3"/>
    <x v="1"/>
    <x v="4"/>
    <x v="0"/>
    <n v="20449.11"/>
    <n v="899173"/>
    <n v="40341"/>
    <n v="172619.61"/>
    <n v="29"/>
    <n v="4.486455887799122E-2"/>
    <n v="0.50690637316873655"/>
    <n v="22.742130824657767"/>
    <n v="8.4414241010977982"/>
    <n v="7.4414241010977982"/>
    <n v="2024"/>
    <s v="February"/>
    <s v="Q1"/>
    <x v="13"/>
    <n v="4.2790116754666467"/>
    <n v="0.19197597125358523"/>
    <n v="705.14172413793108"/>
    <n v="5952.4003448275853"/>
    <n v="1391.0689655172414"/>
    <n v="31005.96551724138"/>
    <s v="Medium"/>
    <x v="0"/>
  </r>
  <r>
    <x v="38"/>
    <x v="0"/>
    <x v="4"/>
    <x v="1"/>
    <x v="1"/>
    <n v="26169.61"/>
    <n v="409152"/>
    <n v="30656"/>
    <n v="135744.28"/>
    <n v="21"/>
    <n v="7.4925699984357885E-2"/>
    <n v="0.8536537708768267"/>
    <n v="63.96060632723291"/>
    <n v="5.1870960247401472"/>
    <n v="4.1870960247401472"/>
    <n v="2024"/>
    <s v="February"/>
    <s v="Q1"/>
    <x v="13"/>
    <n v="4.4279840814196243"/>
    <n v="0.33176980681995932"/>
    <n v="1246.1719047619049"/>
    <n v="6464.0133333333333"/>
    <n v="1459.8095238095239"/>
    <n v="19483.428571428572"/>
    <s v="Good"/>
    <x v="0"/>
  </r>
  <r>
    <x v="31"/>
    <x v="1"/>
    <x v="4"/>
    <x v="0"/>
    <x v="1"/>
    <n v="17450.03"/>
    <n v="552717"/>
    <n v="29688"/>
    <n v="34646.03"/>
    <n v="48"/>
    <n v="5.3712840386671658E-2"/>
    <n v="0.58778058474804629"/>
    <n v="31.571364730956347"/>
    <n v="1.9854424319041286"/>
    <n v="0.98544243190412861"/>
    <n v="2024"/>
    <s v="February"/>
    <s v="Q1"/>
    <x v="13"/>
    <n v="1.1670045136081919"/>
    <n v="6.2683127169962202E-2"/>
    <n v="363.54229166666664"/>
    <n v="721.79229166666664"/>
    <n v="618.5"/>
    <n v="11514.9375"/>
    <s v="Good"/>
    <x v="0"/>
  </r>
  <r>
    <x v="23"/>
    <x v="1"/>
    <x v="2"/>
    <x v="3"/>
    <x v="1"/>
    <n v="3275.44"/>
    <n v="177775"/>
    <n v="37579"/>
    <n v="58362.89"/>
    <n v="44"/>
    <n v="0.21138517789340458"/>
    <n v="8.7161446552595861E-2"/>
    <n v="18.424637884966955"/>
    <n v="17.818335857167281"/>
    <n v="16.818335857167281"/>
    <n v="2024"/>
    <s v="February"/>
    <s v="Q1"/>
    <x v="13"/>
    <n v="1.5530719284706884"/>
    <n v="0.32829638588102938"/>
    <n v="74.441818181818178"/>
    <n v="1326.4293181818182"/>
    <n v="854.06818181818187"/>
    <n v="4040.340909090909"/>
    <s v="Excellent"/>
    <x v="0"/>
  </r>
  <r>
    <x v="58"/>
    <x v="2"/>
    <x v="3"/>
    <x v="0"/>
    <x v="0"/>
    <n v="16059.09"/>
    <n v="414452"/>
    <n v="45313"/>
    <n v="213414.54"/>
    <n v="31"/>
    <n v="0.10933232316408173"/>
    <n v="0.35440359278794165"/>
    <n v="38.747768137202861"/>
    <n v="13.289329594640792"/>
    <n v="12.289329594640792"/>
    <n v="2024"/>
    <s v="February"/>
    <s v="Q1"/>
    <x v="13"/>
    <n v="4.7097861540838171"/>
    <n v="0.51493186183200956"/>
    <n v="518.03516129032255"/>
    <n v="6884.34"/>
    <n v="1461.7096774193549"/>
    <n v="13369.41935483871"/>
    <s v="Excellent"/>
    <x v="0"/>
  </r>
  <r>
    <x v="16"/>
    <x v="3"/>
    <x v="2"/>
    <x v="0"/>
    <x v="1"/>
    <n v="752.21"/>
    <n v="806070"/>
    <n v="2530"/>
    <n v="166743.16"/>
    <n v="55"/>
    <n v="3.1386852258488717E-3"/>
    <n v="0.29731620553359683"/>
    <n v="0.933181981713747"/>
    <n v="221.67102271971922"/>
    <n v="220.67102271971922"/>
    <n v="2024"/>
    <s v="February"/>
    <s v="Q1"/>
    <x v="13"/>
    <n v="65.906387351778662"/>
    <n v="0.20685940427010061"/>
    <n v="13.676545454545455"/>
    <n v="3031.6938181818182"/>
    <n v="46"/>
    <n v="14655.818181818182"/>
    <s v="Low"/>
    <x v="0"/>
  </r>
  <r>
    <x v="28"/>
    <x v="0"/>
    <x v="2"/>
    <x v="0"/>
    <x v="1"/>
    <n v="31577.33"/>
    <n v="929933"/>
    <n v="24287"/>
    <n v="116400.43"/>
    <n v="38"/>
    <n v="2.6116935306091944E-2"/>
    <n v="1.3001741672499691"/>
    <n v="33.956564612719411"/>
    <n v="3.6862024116668506"/>
    <n v="2.6862024116668506"/>
    <n v="2024"/>
    <s v="February"/>
    <s v="Q1"/>
    <x v="13"/>
    <n v="4.7927051509037755"/>
    <n v="0.12517077036732754"/>
    <n v="830.98236842105268"/>
    <n v="3063.1692105263155"/>
    <n v="639.13157894736844"/>
    <n v="24471.92105263158"/>
    <s v="Medium"/>
    <x v="0"/>
  </r>
  <r>
    <x v="6"/>
    <x v="0"/>
    <x v="2"/>
    <x v="5"/>
    <x v="0"/>
    <n v="1828.17"/>
    <n v="876028"/>
    <n v="6056"/>
    <n v="198986.9"/>
    <n v="32"/>
    <n v="6.9130210449894298E-3"/>
    <n v="0.30187747688243066"/>
    <n v="2.0868853506965532"/>
    <n v="108.84485578474649"/>
    <n v="107.84485578474649"/>
    <n v="2024"/>
    <s v="February"/>
    <s v="Q1"/>
    <x v="13"/>
    <n v="32.857810435931306"/>
    <n v="0.22714673503586644"/>
    <n v="57.130312500000002"/>
    <n v="6218.3406249999998"/>
    <n v="189.25"/>
    <n v="27375.875"/>
    <s v="Low"/>
    <x v="0"/>
  </r>
  <r>
    <x v="7"/>
    <x v="2"/>
    <x v="2"/>
    <x v="5"/>
    <x v="1"/>
    <n v="32426.37"/>
    <n v="617040"/>
    <n v="39062"/>
    <n v="14736.71"/>
    <n v="13"/>
    <n v="6.3305458317126931E-2"/>
    <n v="0.8301256976089294"/>
    <n v="52.551487747957985"/>
    <n v="0.45446684288127226"/>
    <n v="-0.54553315711872774"/>
    <n v="2024"/>
    <s v="February"/>
    <s v="Q1"/>
    <x v="13"/>
    <n v="0.37726460498694381"/>
    <n v="2.3882908725528326E-2"/>
    <n v="2494.3361538461536"/>
    <n v="1133.5930769230768"/>
    <n v="3004.7692307692309"/>
    <n v="47464.615384615383"/>
    <s v="Good"/>
    <x v="0"/>
  </r>
  <r>
    <x v="55"/>
    <x v="3"/>
    <x v="1"/>
    <x v="4"/>
    <x v="0"/>
    <n v="23234.13"/>
    <n v="504932"/>
    <n v="42966"/>
    <n v="130598.51"/>
    <n v="58"/>
    <n v="8.5092646138489936E-2"/>
    <n v="0.54075617930456643"/>
    <n v="46.01437421276529"/>
    <n v="5.6209769851507243"/>
    <n v="4.6209769851507234"/>
    <n v="2024"/>
    <s v="February"/>
    <s v="Q1"/>
    <x v="13"/>
    <n v="3.0395780384490059"/>
    <n v="0.25864573843606664"/>
    <n v="400.58844827586211"/>
    <n v="2251.6984482758621"/>
    <n v="740.79310344827582"/>
    <n v="8705.7241379310344"/>
    <s v="Good"/>
    <x v="0"/>
  </r>
  <r>
    <x v="59"/>
    <x v="1"/>
    <x v="0"/>
    <x v="0"/>
    <x v="2"/>
    <n v="34089.379999999997"/>
    <n v="246828"/>
    <n v="19759"/>
    <n v="172590.2"/>
    <n v="35"/>
    <n v="8.0051695917805116E-2"/>
    <n v="1.7252583632774936"/>
    <n v="138.10985787674008"/>
    <n v="5.0628729533948702"/>
    <n v="4.0628729533948702"/>
    <n v="2024"/>
    <s v="February"/>
    <s v="Q1"/>
    <x v="13"/>
    <n v="8.7347639050559245"/>
    <n v="0.69923266404135676"/>
    <n v="973.98228571428569"/>
    <n v="4931.1485714285718"/>
    <n v="564.54285714285709"/>
    <n v="7052.2285714285717"/>
    <s v="Good"/>
    <x v="0"/>
  </r>
  <r>
    <x v="23"/>
    <x v="0"/>
    <x v="3"/>
    <x v="2"/>
    <x v="1"/>
    <n v="34130.660000000003"/>
    <n v="792150"/>
    <n v="577"/>
    <n v="179969.22"/>
    <n v="6"/>
    <n v="7.283973994824213E-4"/>
    <n v="59.151923743500873"/>
    <n v="43.086107429148527"/>
    <n v="5.272948721179139"/>
    <n v="4.272948721179139"/>
    <n v="2024"/>
    <s v="February"/>
    <s v="Q1"/>
    <x v="13"/>
    <n v="311.90506065857886"/>
    <n v="0.22719083506911569"/>
    <n v="5688.4433333333336"/>
    <n v="29994.87"/>
    <n v="96.166666666666671"/>
    <n v="132025"/>
    <s v="Low"/>
    <x v="0"/>
  </r>
  <r>
    <x v="3"/>
    <x v="3"/>
    <x v="0"/>
    <x v="4"/>
    <x v="0"/>
    <n v="2089.0100000000002"/>
    <n v="700897"/>
    <n v="4469"/>
    <n v="15725.43"/>
    <n v="47"/>
    <n v="6.3761151781217499E-3"/>
    <n v="0.4674446184828821"/>
    <n v="2.9804807268400353"/>
    <n v="7.5276949368361086"/>
    <n v="6.5276949368361086"/>
    <n v="2024"/>
    <s v="February"/>
    <s v="Q1"/>
    <x v="13"/>
    <n v="3.5187804878048783"/>
    <n v="2.2436149676771339E-2"/>
    <n v="44.447021276595748"/>
    <n v="334.58361702127661"/>
    <n v="95.085106382978722"/>
    <n v="14912.702127659575"/>
    <s v="Low"/>
    <x v="0"/>
  </r>
  <r>
    <x v="55"/>
    <x v="3"/>
    <x v="3"/>
    <x v="4"/>
    <x v="2"/>
    <n v="23054.22"/>
    <n v="592813"/>
    <n v="30385"/>
    <n v="179010.52"/>
    <n v="46"/>
    <n v="5.1255623611493002E-2"/>
    <n v="0.75873687674839563"/>
    <n v="38.88953177477552"/>
    <n v="7.7647615057026425"/>
    <n v="6.7647615057026425"/>
    <n v="2024"/>
    <s v="February"/>
    <s v="Q1"/>
    <x v="13"/>
    <n v="5.891410893532993"/>
    <n v="0.30196793929957677"/>
    <n v="501.17869565217393"/>
    <n v="3891.5330434782604"/>
    <n v="660.54347826086962"/>
    <n v="12887.239130434782"/>
    <s v="Good"/>
    <x v="0"/>
  </r>
  <r>
    <x v="37"/>
    <x v="1"/>
    <x v="2"/>
    <x v="3"/>
    <x v="1"/>
    <n v="1456.22"/>
    <n v="49704"/>
    <n v="37334"/>
    <n v="123400.69"/>
    <n v="40"/>
    <n v="0.75112666988572352"/>
    <n v="3.9005196335779722E-2"/>
    <n v="29.297843231933044"/>
    <n v="84.740416969963334"/>
    <n v="83.740416969963334"/>
    <n v="2024"/>
    <s v="February"/>
    <s v="Q1"/>
    <x v="13"/>
    <n v="3.3053166014892592"/>
    <n v="2.482711451794624"/>
    <n v="36.405500000000004"/>
    <n v="3085.0172499999999"/>
    <n v="933.35"/>
    <n v="1242.5999999999999"/>
    <s v="Excellent"/>
    <x v="0"/>
  </r>
  <r>
    <x v="51"/>
    <x v="0"/>
    <x v="4"/>
    <x v="0"/>
    <x v="1"/>
    <n v="49497.26"/>
    <n v="453481"/>
    <n v="47355"/>
    <n v="17604.29"/>
    <n v="28"/>
    <n v="0.10442554373832641"/>
    <n v="1.0452383064090383"/>
    <n v="109.14957848289124"/>
    <n v="0.35566190936629621"/>
    <n v="-0.64433809063370373"/>
    <n v="2024"/>
    <s v="February"/>
    <s v="Q1"/>
    <x v="13"/>
    <n v="0.37175145180023228"/>
    <n v="3.8820347489751501E-2"/>
    <n v="1767.7592857142859"/>
    <n v="628.72464285714284"/>
    <n v="1691.25"/>
    <n v="16195.75"/>
    <s v="Excellent"/>
    <x v="0"/>
  </r>
  <r>
    <x v="6"/>
    <x v="2"/>
    <x v="4"/>
    <x v="2"/>
    <x v="1"/>
    <n v="9724.56"/>
    <n v="313662"/>
    <n v="7332"/>
    <n v="161038.71"/>
    <n v="18"/>
    <n v="2.3375480612889032E-2"/>
    <n v="1.3263175122749591"/>
    <n v="31.003309294718516"/>
    <n v="16.559999629803301"/>
    <n v="15.559999629803302"/>
    <n v="2024"/>
    <s v="February"/>
    <s v="Q1"/>
    <x v="13"/>
    <n v="21.963817512274957"/>
    <n v="0.51341479044321592"/>
    <n v="540.25333333333333"/>
    <n v="8946.5949999999993"/>
    <n v="407.33333333333331"/>
    <n v="17425.666666666668"/>
    <s v="Medium"/>
    <x v="0"/>
  </r>
  <r>
    <x v="10"/>
    <x v="2"/>
    <x v="2"/>
    <x v="3"/>
    <x v="0"/>
    <n v="9739.51"/>
    <n v="630407"/>
    <n v="48282"/>
    <n v="228336.53"/>
    <n v="25"/>
    <n v="7.6588616560412562E-2"/>
    <n v="0.20172134542893833"/>
    <n v="15.449558777107487"/>
    <n v="23.4443550034858"/>
    <n v="22.4443550034858"/>
    <n v="2024"/>
    <s v="February"/>
    <s v="Q1"/>
    <x v="13"/>
    <n v="4.729226834016818"/>
    <n v="0.3622049406177279"/>
    <n v="389.5804"/>
    <n v="9133.4611999999997"/>
    <n v="1931.28"/>
    <n v="25216.28"/>
    <s v="Good"/>
    <x v="0"/>
  </r>
  <r>
    <x v="12"/>
    <x v="0"/>
    <x v="4"/>
    <x v="0"/>
    <x v="2"/>
    <n v="11748.15"/>
    <n v="678470"/>
    <n v="14015"/>
    <n v="7767.83"/>
    <n v="8"/>
    <n v="2.0656771854319276E-2"/>
    <n v="0.83825544059935786"/>
    <n v="17.315651392102819"/>
    <n v="0.66119601809646622"/>
    <n v="-0.33880398190353372"/>
    <n v="2024"/>
    <s v="February"/>
    <s v="Q1"/>
    <x v="13"/>
    <n v="0.55425115947199433"/>
    <n v="1.1449039751204917E-2"/>
    <n v="1468.51875"/>
    <n v="970.97874999999999"/>
    <n v="1751.875"/>
    <n v="84808.75"/>
    <s v="Medium"/>
    <x v="0"/>
  </r>
  <r>
    <x v="13"/>
    <x v="2"/>
    <x v="4"/>
    <x v="2"/>
    <x v="1"/>
    <n v="17354.27"/>
    <n v="924462"/>
    <n v="45191"/>
    <n v="159168.82"/>
    <n v="43"/>
    <n v="4.888356687457137E-2"/>
    <n v="0.38402049080569139"/>
    <n v="18.772291343505739"/>
    <n v="9.1717381370694362"/>
    <n v="8.1717381370694362"/>
    <n v="2024"/>
    <s v="March"/>
    <s v="Q1"/>
    <x v="14"/>
    <n v="3.5221353809386828"/>
    <n v="0.17217454043541"/>
    <n v="403.58767441860465"/>
    <n v="3701.6004651162793"/>
    <n v="1050.953488372093"/>
    <n v="21499.116279069767"/>
    <s v="Medium"/>
    <x v="0"/>
  </r>
  <r>
    <x v="49"/>
    <x v="3"/>
    <x v="3"/>
    <x v="2"/>
    <x v="0"/>
    <n v="15044.78"/>
    <n v="337557"/>
    <n v="39773"/>
    <n v="85674.76"/>
    <n v="21"/>
    <n v="0.11782602641924178"/>
    <n v="0.37826616046061401"/>
    <n v="44.569598615937458"/>
    <n v="5.6946502374910093"/>
    <n v="4.6946502374910093"/>
    <n v="2024"/>
    <s v="March"/>
    <s v="Q1"/>
    <x v="14"/>
    <n v="2.1540934805018477"/>
    <n v="0.25380827534312722"/>
    <n v="716.41809523809525"/>
    <n v="4079.7504761904761"/>
    <n v="1893.952380952381"/>
    <n v="16074.142857142857"/>
    <s v="Excellent"/>
    <x v="0"/>
  </r>
  <r>
    <x v="19"/>
    <x v="3"/>
    <x v="2"/>
    <x v="2"/>
    <x v="2"/>
    <n v="1041.32"/>
    <n v="752464"/>
    <n v="37589"/>
    <n v="204923.6"/>
    <n v="31"/>
    <n v="4.9954549320631952E-2"/>
    <n v="2.7702785389342625E-2"/>
    <n v="1.3838801590507985"/>
    <n v="196.79214842699653"/>
    <n v="195.7921484269965"/>
    <n v="2024"/>
    <s v="March"/>
    <s v="Q1"/>
    <x v="14"/>
    <n v="5.4516906541807444"/>
    <n v="0.27233674966510024"/>
    <n v="33.590967741935479"/>
    <n v="6610.4387096774199"/>
    <n v="1212.5483870967741"/>
    <n v="24273.032258064515"/>
    <s v="Medium"/>
    <x v="0"/>
  </r>
  <r>
    <x v="24"/>
    <x v="3"/>
    <x v="1"/>
    <x v="2"/>
    <x v="1"/>
    <n v="6753.35"/>
    <n v="565953"/>
    <n v="6370"/>
    <n v="156635.63"/>
    <n v="6"/>
    <n v="1.125535159280011E-2"/>
    <n v="1.0601805337519623"/>
    <n v="11.932704659220819"/>
    <n v="23.193767537592453"/>
    <n v="22.193767537592453"/>
    <n v="2024"/>
    <s v="March"/>
    <s v="Q1"/>
    <x v="14"/>
    <n v="24.589580847723706"/>
    <n v="0.27676437796071407"/>
    <n v="1125.5583333333334"/>
    <n v="26105.938333333335"/>
    <n v="1061.6666666666667"/>
    <n v="94325.5"/>
    <s v="Low"/>
    <x v="0"/>
  </r>
  <r>
    <x v="8"/>
    <x v="3"/>
    <x v="2"/>
    <x v="3"/>
    <x v="1"/>
    <n v="56144.88"/>
    <n v="159289"/>
    <n v="46738"/>
    <n v="73557.19"/>
    <n v="37"/>
    <n v="0.29341636898969797"/>
    <n v="1.2012683469553682"/>
    <n v="352.47179654590082"/>
    <n v="1.3101317519959079"/>
    <n v="0.31013175199590781"/>
    <n v="2024"/>
    <s v="March"/>
    <s v="Q1"/>
    <x v="14"/>
    <n v="1.5738198040138647"/>
    <n v="0.4617844923378262"/>
    <n v="1517.4291891891892"/>
    <n v="1988.0321621621622"/>
    <n v="1263.1891891891892"/>
    <n v="4305.1081081081084"/>
    <s v="Excellent"/>
    <x v="0"/>
  </r>
  <r>
    <x v="30"/>
    <x v="1"/>
    <x v="2"/>
    <x v="0"/>
    <x v="0"/>
    <n v="16955.169999999998"/>
    <n v="826466"/>
    <n v="45353"/>
    <n v="136712.98000000001"/>
    <n v="33"/>
    <n v="5.4875820662918982E-2"/>
    <n v="0.37384891848389296"/>
    <n v="20.515266205748329"/>
    <n v="8.0632031409888558"/>
    <n v="7.0632031409888558"/>
    <n v="2024"/>
    <s v="March"/>
    <s v="Q1"/>
    <x v="14"/>
    <n v="3.0144197737746126"/>
    <n v="0.16541875890841246"/>
    <n v="513.79303030303026"/>
    <n v="4142.8175757575764"/>
    <n v="1374.3333333333333"/>
    <n v="25044.424242424244"/>
    <s v="Good"/>
    <x v="0"/>
  </r>
  <r>
    <x v="30"/>
    <x v="0"/>
    <x v="0"/>
    <x v="1"/>
    <x v="1"/>
    <n v="37472"/>
    <n v="925979"/>
    <n v="20044"/>
    <n v="181780.01"/>
    <n v="31"/>
    <n v="2.1646279235274235E-2"/>
    <n v="1.869487128317701"/>
    <n v="40.467440406315909"/>
    <n v="4.8510890798462851"/>
    <n v="3.8510890798462856"/>
    <n v="2024"/>
    <s v="March"/>
    <s v="Q1"/>
    <x v="14"/>
    <n v="9.0690485930951912"/>
    <n v="0.19631115824440945"/>
    <n v="1208.7741935483871"/>
    <n v="5863.8712903225805"/>
    <n v="646.58064516129036"/>
    <n v="29870.290322580644"/>
    <s v="Medium"/>
    <x v="0"/>
  </r>
  <r>
    <x v="49"/>
    <x v="1"/>
    <x v="1"/>
    <x v="2"/>
    <x v="2"/>
    <n v="31148.13"/>
    <n v="271250"/>
    <n v="41437"/>
    <n v="248551.38"/>
    <n v="18"/>
    <n v="0.15276313364055299"/>
    <n v="0.75169848203296574"/>
    <n v="114.83181566820278"/>
    <n v="7.9796565636524566"/>
    <n v="6.9796565636524566"/>
    <n v="2024"/>
    <s v="March"/>
    <s v="Q1"/>
    <x v="14"/>
    <n v="5.9982957260419436"/>
    <n v="0.91631845161290326"/>
    <n v="1730.4516666666668"/>
    <n v="13808.41"/>
    <n v="2302.0555555555557"/>
    <n v="15069.444444444445"/>
    <s v="Excellent"/>
    <x v="0"/>
  </r>
  <r>
    <x v="31"/>
    <x v="1"/>
    <x v="3"/>
    <x v="2"/>
    <x v="0"/>
    <n v="20344.22"/>
    <n v="211485"/>
    <n v="44661"/>
    <n v="168892.62"/>
    <n v="7"/>
    <n v="0.21117809773742818"/>
    <n v="0.45552540247643358"/>
    <n v="96.196987966049619"/>
    <n v="8.3017495878436218"/>
    <n v="7.3017495878436227"/>
    <n v="2024"/>
    <s v="March"/>
    <s v="Q1"/>
    <x v="14"/>
    <n v="3.7816578222610331"/>
    <n v="0.79860330519895029"/>
    <n v="2906.3171428571432"/>
    <n v="24127.517142857141"/>
    <n v="6380.1428571428569"/>
    <n v="30212.142857142859"/>
    <s v="Excellent"/>
    <x v="0"/>
  </r>
  <r>
    <x v="46"/>
    <x v="1"/>
    <x v="4"/>
    <x v="1"/>
    <x v="2"/>
    <n v="8891.26"/>
    <n v="128733"/>
    <n v="22248"/>
    <n v="228941.07"/>
    <n v="37"/>
    <n v="0.17282281932371654"/>
    <n v="0.39964311398777419"/>
    <n v="69.067449682676539"/>
    <n v="25.749001828762179"/>
    <n v="24.749001828762175"/>
    <n v="2024"/>
    <s v="March"/>
    <s v="Q1"/>
    <x v="14"/>
    <n v="10.290411272923409"/>
    <n v="1.7784178881871782"/>
    <n v="240.30432432432434"/>
    <n v="6187.5964864864864"/>
    <n v="601.29729729729729"/>
    <n v="3479.2702702702704"/>
    <s v="Excellent"/>
    <x v="0"/>
  </r>
  <r>
    <x v="19"/>
    <x v="3"/>
    <x v="1"/>
    <x v="2"/>
    <x v="1"/>
    <n v="2626.82"/>
    <n v="962631"/>
    <n v="13289"/>
    <n v="197389.63"/>
    <n v="28"/>
    <n v="1.3804874349569046E-2"/>
    <n v="0.19766874858905864"/>
    <n v="2.7287922371085078"/>
    <n v="75.143949718671237"/>
    <n v="74.143949718671237"/>
    <n v="2024"/>
    <s v="March"/>
    <s v="Q1"/>
    <x v="14"/>
    <n v="14.85361050492889"/>
    <n v="0.20505222665798215"/>
    <n v="93.815000000000012"/>
    <n v="7049.6296428571432"/>
    <n v="474.60714285714283"/>
    <n v="34379.678571428572"/>
    <s v="Low"/>
    <x v="0"/>
  </r>
  <r>
    <x v="22"/>
    <x v="2"/>
    <x v="2"/>
    <x v="0"/>
    <x v="0"/>
    <n v="23765.16"/>
    <n v="238808"/>
    <n v="30685"/>
    <n v="79025.55"/>
    <n v="30"/>
    <n v="0.12849234531506482"/>
    <n v="0.77448786051816854"/>
    <n v="99.515761616026268"/>
    <n v="3.3252690072358027"/>
    <n v="2.3252690072358022"/>
    <n v="2024"/>
    <s v="March"/>
    <s v="Q1"/>
    <x v="14"/>
    <n v="2.575380479061431"/>
    <n v="0.33091667783323842"/>
    <n v="792.17200000000003"/>
    <n v="2634.1849999999999"/>
    <n v="1022.8333333333334"/>
    <n v="7960.2666666666664"/>
    <s v="Excellent"/>
    <x v="0"/>
  </r>
  <r>
    <x v="20"/>
    <x v="3"/>
    <x v="3"/>
    <x v="0"/>
    <x v="2"/>
    <n v="33527.279999999999"/>
    <n v="282735"/>
    <n v="10752"/>
    <n v="240274.73"/>
    <n v="42"/>
    <n v="3.802854262825614E-2"/>
    <n v="3.1182366071428569"/>
    <n v="118.58199373972093"/>
    <n v="7.1665440799253632"/>
    <n v="6.1665440799253632"/>
    <n v="2024"/>
    <s v="March"/>
    <s v="Q1"/>
    <x v="14"/>
    <n v="22.346980096726192"/>
    <n v="0.84982308522114347"/>
    <n v="798.26857142857136"/>
    <n v="5720.8269047619051"/>
    <n v="256"/>
    <n v="6731.7857142857147"/>
    <s v="Medium"/>
    <x v="0"/>
  </r>
  <r>
    <x v="46"/>
    <x v="1"/>
    <x v="2"/>
    <x v="0"/>
    <x v="1"/>
    <n v="19785.2"/>
    <n v="740494"/>
    <n v="6522"/>
    <n v="115848.14"/>
    <n v="39"/>
    <n v="8.8076338228263839E-3"/>
    <n v="3.033609322293775"/>
    <n v="26.718920072276077"/>
    <n v="5.8552928451569857"/>
    <n v="4.8552928451569857"/>
    <n v="2024"/>
    <s v="March"/>
    <s v="Q1"/>
    <x v="14"/>
    <n v="17.762670959828274"/>
    <n v="0.15644710152951949"/>
    <n v="507.31282051282051"/>
    <n v="2970.4651282051282"/>
    <n v="167.23076923076923"/>
    <n v="18987.025641025641"/>
    <s v="Low"/>
    <x v="0"/>
  </r>
  <r>
    <x v="18"/>
    <x v="2"/>
    <x v="4"/>
    <x v="4"/>
    <x v="0"/>
    <n v="12412.53"/>
    <n v="964293"/>
    <n v="5593"/>
    <n v="74400.33"/>
    <n v="14"/>
    <n v="5.8001043251376914E-3"/>
    <n v="2.2192973359556589"/>
    <n v="12.872156077042973"/>
    <n v="5.9939698030941315"/>
    <n v="4.9939698030941315"/>
    <n v="2024"/>
    <s v="March"/>
    <s v="Q1"/>
    <x v="14"/>
    <n v="13.302401215805471"/>
    <n v="7.7155314826510196E-2"/>
    <n v="886.60928571428576"/>
    <n v="5314.3092857142856"/>
    <n v="399.5"/>
    <n v="68878.071428571435"/>
    <s v="Low"/>
    <x v="0"/>
  </r>
  <r>
    <x v="3"/>
    <x v="2"/>
    <x v="2"/>
    <x v="2"/>
    <x v="1"/>
    <n v="13570.93"/>
    <n v="613080"/>
    <n v="40944"/>
    <n v="91694.07"/>
    <n v="44"/>
    <n v="6.678410647876297E-2"/>
    <n v="0.33145100625244239"/>
    <n v="22.135659294056239"/>
    <n v="6.756653376002971"/>
    <n v="5.7566533760029719"/>
    <n v="2024"/>
    <s v="March"/>
    <s v="Q1"/>
    <x v="14"/>
    <n v="2.2394995603751466"/>
    <n v="0.14956297709923666"/>
    <n v="308.43022727272728"/>
    <n v="2083.9561363636367"/>
    <n v="930.5454545454545"/>
    <n v="13933.636363636364"/>
    <s v="Good"/>
    <x v="0"/>
  </r>
  <r>
    <x v="51"/>
    <x v="3"/>
    <x v="3"/>
    <x v="5"/>
    <x v="1"/>
    <n v="50832.47"/>
    <n v="959173"/>
    <n v="6683"/>
    <n v="184898.05"/>
    <n v="36"/>
    <n v="6.9674605102520611E-3"/>
    <n v="7.6062352237019306"/>
    <n v="52.996143552831448"/>
    <n v="3.6374004647029738"/>
    <n v="2.6374004647029738"/>
    <n v="2024"/>
    <s v="March"/>
    <s v="Q1"/>
    <x v="14"/>
    <n v="27.666923537333531"/>
    <n v="0.19276819718653465"/>
    <n v="1412.0130555555556"/>
    <n v="5136.0569444444445"/>
    <n v="185.63888888888889"/>
    <n v="26643.694444444445"/>
    <s v="Low"/>
    <x v="0"/>
  </r>
  <r>
    <x v="59"/>
    <x v="2"/>
    <x v="4"/>
    <x v="2"/>
    <x v="1"/>
    <n v="6940.56"/>
    <n v="579128"/>
    <n v="28665"/>
    <n v="98483.01"/>
    <n v="29"/>
    <n v="4.9496829716401208E-2"/>
    <n v="0.24212663526949244"/>
    <n v="11.984500835739251"/>
    <n v="14.189490473391194"/>
    <n v="13.189490473391196"/>
    <n v="2024"/>
    <s v="March"/>
    <s v="Q1"/>
    <x v="14"/>
    <n v="3.4356535845107272"/>
    <n v="0.17005396043707091"/>
    <n v="239.32965517241379"/>
    <n v="3395.9658620689652"/>
    <n v="988.44827586206895"/>
    <n v="19969.931034482757"/>
    <s v="Medium"/>
    <x v="0"/>
  </r>
  <r>
    <x v="55"/>
    <x v="1"/>
    <x v="2"/>
    <x v="1"/>
    <x v="2"/>
    <n v="2363"/>
    <n v="934065"/>
    <n v="5144"/>
    <n v="46827.65"/>
    <n v="27"/>
    <n v="5.5071113894643309E-3"/>
    <n v="0.45937013996889581"/>
    <n v="2.52980252980253"/>
    <n v="19.817033432077867"/>
    <n v="18.817033432077867"/>
    <n v="2024"/>
    <s v="March"/>
    <s v="Q1"/>
    <x v="14"/>
    <n v="9.1033534214618985"/>
    <n v="5.01331813096519E-2"/>
    <n v="87.518518518518519"/>
    <n v="1734.3574074074074"/>
    <n v="190.5185185185185"/>
    <n v="34595"/>
    <s v="Low"/>
    <x v="0"/>
  </r>
  <r>
    <x v="36"/>
    <x v="0"/>
    <x v="0"/>
    <x v="0"/>
    <x v="2"/>
    <n v="3052.16"/>
    <n v="235636"/>
    <n v="43154"/>
    <n v="96056.77"/>
    <n v="56"/>
    <n v="0.18313839990493813"/>
    <n v="7.0727163183018957E-2"/>
    <n v="12.952859495153541"/>
    <n v="31.471734771440556"/>
    <n v="30.471734771440556"/>
    <n v="2024"/>
    <s v="March"/>
    <s v="Q1"/>
    <x v="14"/>
    <n v="2.2259065208323681"/>
    <n v="0.40764895856320765"/>
    <n v="54.502857142857138"/>
    <n v="1715.2994642857143"/>
    <n v="770.60714285714289"/>
    <n v="4207.7857142857147"/>
    <s v="Excellent"/>
    <x v="0"/>
  </r>
  <r>
    <x v="53"/>
    <x v="1"/>
    <x v="2"/>
    <x v="4"/>
    <x v="2"/>
    <n v="7944.39"/>
    <n v="360520"/>
    <n v="20046"/>
    <n v="32324.51"/>
    <n v="17"/>
    <n v="5.5603017863086655E-2"/>
    <n v="0.39630799161927566"/>
    <n v="22.03592033729058"/>
    <n v="4.0688473249676811"/>
    <n v="3.0688473249676815"/>
    <n v="2024"/>
    <s v="March"/>
    <s v="Q1"/>
    <x v="14"/>
    <n v="1.612516711563404"/>
    <n v="8.9660795517585712E-2"/>
    <n v="467.31705882352941"/>
    <n v="1901.4417647058822"/>
    <n v="1179.1764705882354"/>
    <n v="21207.058823529413"/>
    <s v="Good"/>
    <x v="0"/>
  </r>
  <r>
    <x v="46"/>
    <x v="2"/>
    <x v="1"/>
    <x v="3"/>
    <x v="0"/>
    <n v="16378.72"/>
    <n v="43697"/>
    <n v="31110"/>
    <n v="233569.02"/>
    <n v="43"/>
    <n v="0.71194818866283727"/>
    <n v="0.52647765991642559"/>
    <n v="374.82481634894845"/>
    <n v="14.260517305381617"/>
    <n v="13.260517305381617"/>
    <n v="2024"/>
    <s v="March"/>
    <s v="Q1"/>
    <x v="14"/>
    <n v="7.5078437801350049"/>
    <n v="5.3451957800306653"/>
    <n v="380.90046511627907"/>
    <n v="5431.8376744186044"/>
    <n v="723.48837209302326"/>
    <n v="1016.2093023255813"/>
    <s v="Excellent"/>
    <x v="0"/>
  </r>
  <r>
    <x v="38"/>
    <x v="1"/>
    <x v="3"/>
    <x v="2"/>
    <x v="0"/>
    <n v="14428.69"/>
    <n v="301979"/>
    <n v="48048"/>
    <n v="168835.32"/>
    <n v="37"/>
    <n v="0.15911040171667568"/>
    <n v="0.30029741092241091"/>
    <n v="47.780441686342428"/>
    <n v="11.70136166207743"/>
    <n v="10.70136166207743"/>
    <n v="2024"/>
    <s v="March"/>
    <s v="Q1"/>
    <x v="14"/>
    <n v="3.5138886113886114"/>
    <n v="0.55909622854569363"/>
    <n v="389.96459459459459"/>
    <n v="4563.1167567567572"/>
    <n v="1298.5945945945946"/>
    <n v="8161.594594594595"/>
    <s v="Excellent"/>
    <x v="0"/>
  </r>
  <r>
    <x v="34"/>
    <x v="3"/>
    <x v="1"/>
    <x v="3"/>
    <x v="2"/>
    <n v="7396.72"/>
    <n v="868311"/>
    <n v="48898"/>
    <n v="166079.01"/>
    <n v="15"/>
    <n v="5.6313924388842244E-2"/>
    <n v="0.15126835453392778"/>
    <n v="8.5185146796481916"/>
    <n v="22.453061627315893"/>
    <n v="21.453061627315893"/>
    <n v="2024"/>
    <s v="March"/>
    <s v="Q1"/>
    <x v="14"/>
    <n v="3.3964376866129498"/>
    <n v="0.19126673507533593"/>
    <n v="493.11466666666666"/>
    <n v="11071.934000000001"/>
    <n v="3259.8666666666668"/>
    <n v="57887.4"/>
    <s v="Good"/>
    <x v="0"/>
  </r>
  <r>
    <x v="36"/>
    <x v="1"/>
    <x v="0"/>
    <x v="2"/>
    <x v="0"/>
    <n v="21359.57"/>
    <n v="705951"/>
    <n v="44421"/>
    <n v="162144.09"/>
    <n v="48"/>
    <n v="6.292363067691667E-2"/>
    <n v="0.48084397019427749"/>
    <n v="30.256448393727041"/>
    <n v="7.5911682679005246"/>
    <n v="6.5911682679005237"/>
    <n v="2024"/>
    <s v="March"/>
    <s v="Q1"/>
    <x v="14"/>
    <n v="3.6501674883501045"/>
    <n v="0.22968179094583052"/>
    <n v="444.99104166666666"/>
    <n v="3378.0018749999999"/>
    <n v="925.4375"/>
    <n v="14707.3125"/>
    <s v="Good"/>
    <x v="0"/>
  </r>
  <r>
    <x v="12"/>
    <x v="3"/>
    <x v="1"/>
    <x v="0"/>
    <x v="0"/>
    <n v="20802.29"/>
    <n v="955169"/>
    <n v="32224"/>
    <n v="93016.47"/>
    <n v="49"/>
    <n v="3.3736438263804625E-2"/>
    <n v="0.64555269364448864"/>
    <n v="21.778648595170072"/>
    <n v="4.471453383257324"/>
    <n v="3.4714533832573236"/>
    <n v="2024"/>
    <s v="March"/>
    <s v="Q1"/>
    <x v="14"/>
    <n v="2.8865587760675275"/>
    <n v="9.7382211943645575E-2"/>
    <n v="424.53653061224492"/>
    <n v="1898.2953061224489"/>
    <n v="657.63265306122446"/>
    <n v="19493.244897959183"/>
    <s v="Medium"/>
    <x v="0"/>
  </r>
  <r>
    <x v="36"/>
    <x v="3"/>
    <x v="3"/>
    <x v="1"/>
    <x v="0"/>
    <n v="8932.66"/>
    <n v="807861"/>
    <n v="28211"/>
    <n v="65698.09"/>
    <n v="36"/>
    <n v="3.4920611342792882E-2"/>
    <n v="0.31663748183332741"/>
    <n v="11.057174439662267"/>
    <n v="7.3548181616674091"/>
    <n v="6.3548181616674082"/>
    <n v="2024"/>
    <s v="March"/>
    <s v="Q1"/>
    <x v="14"/>
    <n v="2.3288111020523909"/>
    <n v="8.1323507385552704E-2"/>
    <n v="248.12944444444443"/>
    <n v="1824.9469444444444"/>
    <n v="783.63888888888891"/>
    <n v="22440.583333333332"/>
    <s v="Medium"/>
    <x v="0"/>
  </r>
  <r>
    <x v="11"/>
    <x v="1"/>
    <x v="2"/>
    <x v="4"/>
    <x v="0"/>
    <n v="16826"/>
    <n v="805248"/>
    <n v="29797"/>
    <n v="15612.78"/>
    <n v="22"/>
    <n v="3.7003506994118585E-2"/>
    <n v="0.56468772024029268"/>
    <n v="20.895426005404545"/>
    <n v="0.92789611315820753"/>
    <n v="-7.2103886841792419E-2"/>
    <n v="2024"/>
    <s v="March"/>
    <s v="Q1"/>
    <x v="14"/>
    <n v="0.52397154075913688"/>
    <n v="1.938878457319981E-2"/>
    <n v="764.81818181818187"/>
    <n v="709.67181818181825"/>
    <n v="1354.409090909091"/>
    <n v="36602.181818181816"/>
    <s v="Medium"/>
    <x v="0"/>
  </r>
  <r>
    <x v="49"/>
    <x v="2"/>
    <x v="1"/>
    <x v="3"/>
    <x v="1"/>
    <n v="42828.27"/>
    <n v="293201"/>
    <n v="40464"/>
    <n v="203008.81"/>
    <n v="17"/>
    <n v="0.13800771484408306"/>
    <n v="1.0584289739027282"/>
    <n v="146.07136401308315"/>
    <n v="4.7400656155385219"/>
    <n v="3.7400656155385219"/>
    <n v="2024"/>
    <s v="March"/>
    <s v="Q1"/>
    <x v="14"/>
    <n v="5.0170227856860414"/>
    <n v="0.69238784997322655"/>
    <n v="2519.31"/>
    <n v="11941.694705882353"/>
    <n v="2380.2352941176468"/>
    <n v="17247.117647058825"/>
    <s v="Excellent"/>
    <x v="0"/>
  </r>
  <r>
    <x v="20"/>
    <x v="3"/>
    <x v="1"/>
    <x v="3"/>
    <x v="0"/>
    <n v="30096.22"/>
    <n v="210188"/>
    <n v="5742"/>
    <n v="78724.88"/>
    <n v="59"/>
    <n v="2.7318400669876491E-2"/>
    <n v="5.2414176245210733"/>
    <n v="143.1871467448189"/>
    <n v="2.6157730106970245"/>
    <n v="1.6157730106970245"/>
    <n v="2024"/>
    <s v="March"/>
    <s v="Q1"/>
    <x v="14"/>
    <n v="13.710358760013934"/>
    <n v="0.37454507393381165"/>
    <n v="510.10542372881361"/>
    <n v="1334.3200000000002"/>
    <n v="97.322033898305079"/>
    <n v="3562.5084745762711"/>
    <s v="Medium"/>
    <x v="0"/>
  </r>
  <r>
    <x v="47"/>
    <x v="2"/>
    <x v="4"/>
    <x v="5"/>
    <x v="0"/>
    <n v="5664.14"/>
    <n v="538751"/>
    <n v="7857"/>
    <n v="159703.06"/>
    <n v="20"/>
    <n v="1.4583731631124582E-2"/>
    <n v="0.72090365279368718"/>
    <n v="10.51346540424055"/>
    <n v="28.19546480136437"/>
    <n v="27.19546480136437"/>
    <n v="2024"/>
    <s v="March"/>
    <s v="Q1"/>
    <x v="14"/>
    <n v="20.32621356751941"/>
    <n v="0.29643204374562643"/>
    <n v="283.20699999999999"/>
    <n v="7985.1530000000002"/>
    <n v="392.85"/>
    <n v="26937.55"/>
    <s v="Low"/>
    <x v="0"/>
  </r>
  <r>
    <x v="42"/>
    <x v="1"/>
    <x v="1"/>
    <x v="2"/>
    <x v="2"/>
    <n v="1959.98"/>
    <n v="155699"/>
    <n v="37947"/>
    <n v="219068.79999999999"/>
    <n v="34"/>
    <n v="0.24372025510761147"/>
    <n v="5.16504598518987E-2"/>
    <n v="12.588263251530197"/>
    <n v="111.77093643812691"/>
    <n v="110.77093643812691"/>
    <n v="2024"/>
    <s v="March"/>
    <s v="Q1"/>
    <x v="14"/>
    <n v="5.773020265106596"/>
    <n v="1.4070019717531903"/>
    <n v="57.646470588235296"/>
    <n v="6443.2"/>
    <n v="1116.0882352941176"/>
    <n v="4579.3823529411766"/>
    <s v="Excellent"/>
    <x v="0"/>
  </r>
  <r>
    <x v="27"/>
    <x v="0"/>
    <x v="3"/>
    <x v="0"/>
    <x v="1"/>
    <n v="7869.49"/>
    <n v="221883"/>
    <n v="35396"/>
    <n v="71427.520000000004"/>
    <n v="47"/>
    <n v="0.15952551569971563"/>
    <n v="0.22232709910724374"/>
    <n v="35.466845139104841"/>
    <n v="9.076511946771646"/>
    <n v="8.0765119467716477"/>
    <n v="2024"/>
    <s v="March"/>
    <s v="Q1"/>
    <x v="14"/>
    <n v="2.0179545711379818"/>
    <n v="0.32191524361938501"/>
    <n v="167.43595744680852"/>
    <n v="1519.7344680851065"/>
    <n v="753.10638297872345"/>
    <n v="4720.9148936170213"/>
    <s v="Excellent"/>
    <x v="0"/>
  </r>
  <r>
    <x v="42"/>
    <x v="2"/>
    <x v="1"/>
    <x v="0"/>
    <x v="0"/>
    <n v="5335.89"/>
    <n v="68900"/>
    <n v="23164"/>
    <n v="129297.54"/>
    <n v="46"/>
    <n v="0.33619738751814221"/>
    <n v="0.230352702469349"/>
    <n v="77.443976777939042"/>
    <n v="24.231672691903317"/>
    <n v="23.231672691903317"/>
    <n v="2024"/>
    <s v="March"/>
    <s v="Q1"/>
    <x v="14"/>
    <n v="5.5818312899326541"/>
    <n v="1.8765970972423802"/>
    <n v="115.99760869565218"/>
    <n v="2810.8160869565218"/>
    <n v="503.56521739130437"/>
    <n v="1497.8260869565217"/>
    <s v="Excellent"/>
    <x v="0"/>
  </r>
  <r>
    <x v="36"/>
    <x v="3"/>
    <x v="3"/>
    <x v="0"/>
    <x v="0"/>
    <n v="1354.54"/>
    <n v="83384"/>
    <n v="12713"/>
    <n v="17766.18"/>
    <n v="46"/>
    <n v="0.15246330231219418"/>
    <n v="0.10654762841186187"/>
    <n v="16.244603281205027"/>
    <n v="13.116024628287095"/>
    <n v="12.116024628287093"/>
    <n v="2024"/>
    <s v="March"/>
    <s v="Q1"/>
    <x v="14"/>
    <n v="1.3974813183355621"/>
    <n v="0.21306461671303847"/>
    <n v="29.446521739130436"/>
    <n v="386.22130434782611"/>
    <n v="276.36956521739131"/>
    <n v="1812.695652173913"/>
    <s v="Excellent"/>
    <x v="0"/>
  </r>
  <r>
    <x v="42"/>
    <x v="2"/>
    <x v="3"/>
    <x v="1"/>
    <x v="1"/>
    <n v="13477.29"/>
    <n v="480735"/>
    <n v="15435"/>
    <n v="135832.73000000001"/>
    <n v="45"/>
    <n v="3.2107086024524945E-2"/>
    <n v="0.87316423712342084"/>
    <n v="28.034759274860374"/>
    <n v="10.078638212875141"/>
    <n v="9.0786382128751395"/>
    <n v="2024"/>
    <s v="March"/>
    <s v="Q1"/>
    <x v="14"/>
    <n v="8.8003064463880794"/>
    <n v="0.28255219611636351"/>
    <n v="299.49533333333335"/>
    <n v="3018.5051111111115"/>
    <n v="343"/>
    <n v="10683"/>
    <s v="Medium"/>
    <x v="0"/>
  </r>
  <r>
    <x v="41"/>
    <x v="2"/>
    <x v="2"/>
    <x v="1"/>
    <x v="2"/>
    <n v="1298.42"/>
    <n v="534344"/>
    <n v="10197"/>
    <n v="51601.86"/>
    <n v="38"/>
    <n v="1.9083212312667495E-2"/>
    <n v="0.12733352946945181"/>
    <n v="2.4299327773868522"/>
    <n v="39.742040325934596"/>
    <n v="38.742040325934596"/>
    <n v="2024"/>
    <s v="March"/>
    <s v="Q1"/>
    <x v="14"/>
    <n v="5.0604942630185352"/>
    <n v="9.6570486428218527E-2"/>
    <n v="34.168947368421051"/>
    <n v="1357.9436842105263"/>
    <n v="268.34210526315792"/>
    <n v="14061.684210526315"/>
    <s v="Low"/>
    <x v="0"/>
  </r>
  <r>
    <x v="14"/>
    <x v="0"/>
    <x v="0"/>
    <x v="3"/>
    <x v="2"/>
    <n v="48909.36"/>
    <n v="114180"/>
    <n v="45036"/>
    <n v="94997.06"/>
    <n v="34"/>
    <n v="0.39442984760903838"/>
    <n v="1.0860058619770849"/>
    <n v="428.35312664214399"/>
    <n v="1.9423083843256177"/>
    <n v="0.94230838432561781"/>
    <n v="2024"/>
    <s v="March"/>
    <s v="Q1"/>
    <x v="14"/>
    <n v="2.1093582911448618"/>
    <n v="0.83199386932912944"/>
    <n v="1438.5105882352941"/>
    <n v="2794.031176470588"/>
    <n v="1324.5882352941176"/>
    <n v="3358.2352941176468"/>
    <s v="Excellent"/>
    <x v="0"/>
  </r>
  <r>
    <x v="17"/>
    <x v="2"/>
    <x v="3"/>
    <x v="5"/>
    <x v="2"/>
    <n v="10072.379999999999"/>
    <n v="344232"/>
    <n v="40923"/>
    <n v="31351.98"/>
    <n v="33"/>
    <n v="0.1188820330474796"/>
    <n v="0.24613004911663366"/>
    <n v="29.260440633061421"/>
    <n v="3.1126685053582173"/>
    <n v="2.1126685053582173"/>
    <n v="2024"/>
    <s v="April"/>
    <s v="Q2"/>
    <x v="15"/>
    <n v="0.76612125210761672"/>
    <n v="9.1078052011434152E-2"/>
    <n v="305.22363636363633"/>
    <n v="950.06"/>
    <n v="1240.090909090909"/>
    <n v="10431.272727272728"/>
    <s v="Excellent"/>
    <x v="0"/>
  </r>
  <r>
    <x v="9"/>
    <x v="0"/>
    <x v="1"/>
    <x v="0"/>
    <x v="2"/>
    <n v="33550.639999999999"/>
    <n v="661303"/>
    <n v="16079"/>
    <n v="239929.72"/>
    <n v="21"/>
    <n v="2.4314119246396888E-2"/>
    <n v="2.0866123515143977"/>
    <n v="50.734141535725684"/>
    <n v="7.1512710338759558"/>
    <n v="6.1512710338759566"/>
    <n v="2024"/>
    <s v="April"/>
    <s v="Q2"/>
    <x v="15"/>
    <n v="14.921930468312706"/>
    <n v="0.36281359679299807"/>
    <n v="1597.6495238095238"/>
    <n v="11425.224761904761"/>
    <n v="765.66666666666663"/>
    <n v="31490.619047619046"/>
    <s v="Medium"/>
    <x v="0"/>
  </r>
  <r>
    <x v="2"/>
    <x v="2"/>
    <x v="0"/>
    <x v="0"/>
    <x v="2"/>
    <n v="2014.73"/>
    <n v="267724"/>
    <n v="42520"/>
    <n v="77300.759999999995"/>
    <n v="15"/>
    <n v="0.15882027759931869"/>
    <n v="4.7383113828786454E-2"/>
    <n v="7.5253992918079815"/>
    <n v="38.367801144570237"/>
    <n v="37.367801144570237"/>
    <n v="2024"/>
    <s v="April"/>
    <s v="Q2"/>
    <x v="15"/>
    <n v="1.8179858889934148"/>
    <n v="0.28873302356157832"/>
    <n v="134.31533333333334"/>
    <n v="5153.384"/>
    <n v="2834.6666666666665"/>
    <n v="17848.266666666666"/>
    <s v="Excellent"/>
    <x v="0"/>
  </r>
  <r>
    <x v="25"/>
    <x v="3"/>
    <x v="2"/>
    <x v="4"/>
    <x v="1"/>
    <n v="4519.8"/>
    <n v="771485"/>
    <n v="12696"/>
    <n v="119963.91"/>
    <n v="50"/>
    <n v="1.6456574009864094E-2"/>
    <n v="0.35600189035916824"/>
    <n v="5.8585714563471756"/>
    <n v="26.541862471790786"/>
    <n v="25.541862471790786"/>
    <n v="2024"/>
    <s v="April"/>
    <s v="Q2"/>
    <x v="15"/>
    <n v="9.4489532136105865"/>
    <n v="0.15549739787552577"/>
    <n v="90.396000000000001"/>
    <n v="2399.2782000000002"/>
    <n v="253.92"/>
    <n v="15429.7"/>
    <s v="Low"/>
    <x v="0"/>
  </r>
  <r>
    <x v="22"/>
    <x v="0"/>
    <x v="2"/>
    <x v="3"/>
    <x v="1"/>
    <n v="547.05999999999995"/>
    <n v="574139"/>
    <n v="13985"/>
    <n v="54931.33"/>
    <n v="36"/>
    <n v="2.4358212906630625E-2"/>
    <n v="3.9117626027887015E-2"/>
    <n v="0.95283546318922763"/>
    <n v="100.41189266259644"/>
    <n v="99.411892662596443"/>
    <n v="2024"/>
    <s v="April"/>
    <s v="Q2"/>
    <x v="15"/>
    <n v="3.9278748659277798"/>
    <n v="9.5676012254872086E-2"/>
    <n v="15.19611111111111"/>
    <n v="1525.8702777777778"/>
    <n v="388.47222222222223"/>
    <n v="15948.305555555555"/>
    <s v="Medium"/>
    <x v="0"/>
  </r>
  <r>
    <x v="13"/>
    <x v="0"/>
    <x v="1"/>
    <x v="0"/>
    <x v="0"/>
    <n v="51274.94"/>
    <n v="275356"/>
    <n v="38561"/>
    <n v="105403.03"/>
    <n v="16"/>
    <n v="0.14004052935109459"/>
    <n v="1.3297098104302274"/>
    <n v="186.21326573599271"/>
    <n v="2.0556441411730564"/>
    <n v="1.0556441411730564"/>
    <n v="2024"/>
    <s v="April"/>
    <s v="Q2"/>
    <x v="15"/>
    <n v="2.7334101812712324"/>
    <n v="0.3827882087188948"/>
    <n v="3204.6837500000001"/>
    <n v="6587.6893749999999"/>
    <n v="2410.0625"/>
    <n v="17209.75"/>
    <s v="Excellent"/>
    <x v="0"/>
  </r>
  <r>
    <x v="47"/>
    <x v="3"/>
    <x v="0"/>
    <x v="3"/>
    <x v="0"/>
    <n v="168.49"/>
    <n v="682758"/>
    <n v="12141"/>
    <n v="159388.29999999999"/>
    <n v="50"/>
    <n v="1.7782288892989901E-2"/>
    <n v="1.3877769541223953E-2"/>
    <n v="0.24677850717238028"/>
    <n v="945.98077037212875"/>
    <n v="944.98077037212886"/>
    <n v="2024"/>
    <s v="April"/>
    <s v="Q2"/>
    <x v="15"/>
    <n v="13.128103121653899"/>
    <n v="0.23344772232621219"/>
    <n v="3.3698000000000001"/>
    <n v="3187.7659999999996"/>
    <n v="242.82"/>
    <n v="13655.16"/>
    <s v="Low"/>
    <x v="0"/>
  </r>
  <r>
    <x v="56"/>
    <x v="3"/>
    <x v="0"/>
    <x v="4"/>
    <x v="0"/>
    <n v="16431.68"/>
    <n v="16892"/>
    <n v="16137"/>
    <n v="221131.13"/>
    <n v="32"/>
    <n v="0.95530428605256923"/>
    <n v="1.0182611389973353"/>
    <n v="972.74923040492547"/>
    <n v="13.457609325400689"/>
    <n v="12.457609325400689"/>
    <n v="2024"/>
    <s v="April"/>
    <s v="Q2"/>
    <x v="15"/>
    <n v="13.703360599863668"/>
    <n v="13.090879114373669"/>
    <n v="513.49"/>
    <n v="6910.3478125000001"/>
    <n v="504.28125"/>
    <n v="527.875"/>
    <s v="Excellent"/>
    <x v="0"/>
  </r>
  <r>
    <x v="16"/>
    <x v="1"/>
    <x v="1"/>
    <x v="5"/>
    <x v="2"/>
    <n v="12333.8"/>
    <n v="660338"/>
    <n v="40681"/>
    <n v="29813.09"/>
    <n v="30"/>
    <n v="6.1606328880058396E-2"/>
    <n v="0.30318330424522505"/>
    <n v="18.678010352274139"/>
    <n v="2.4171861064716471"/>
    <n v="1.4171861064716471"/>
    <n v="2024"/>
    <s v="April"/>
    <s v="Q2"/>
    <x v="15"/>
    <n v="0.73285047073572429"/>
    <n v="4.5148227120050642E-2"/>
    <n v="411.12666666666667"/>
    <n v="993.76966666666669"/>
    <n v="1356.0333333333333"/>
    <n v="22011.266666666666"/>
    <s v="Good"/>
    <x v="0"/>
  </r>
  <r>
    <x v="19"/>
    <x v="3"/>
    <x v="4"/>
    <x v="2"/>
    <x v="2"/>
    <n v="6882.4"/>
    <n v="445810"/>
    <n v="31835"/>
    <n v="118788.33"/>
    <n v="10"/>
    <n v="7.1409344788138443E-2"/>
    <n v="0.21618972828647715"/>
    <n v="15.437966846863013"/>
    <n v="17.259724805300479"/>
    <n v="16.259724805300479"/>
    <n v="2024"/>
    <s v="April"/>
    <s v="Q2"/>
    <x v="15"/>
    <n v="3.7313752159572799"/>
    <n v="0.26645505933020797"/>
    <n v="688.24"/>
    <n v="11878.833000000001"/>
    <n v="3183.5"/>
    <n v="44581"/>
    <s v="Good"/>
    <x v="0"/>
  </r>
  <r>
    <x v="43"/>
    <x v="1"/>
    <x v="2"/>
    <x v="3"/>
    <x v="1"/>
    <n v="21474.98"/>
    <n v="413402"/>
    <n v="23385"/>
    <n v="60306.53"/>
    <n v="38"/>
    <n v="5.6567215446466153E-2"/>
    <n v="0.91832285653196488"/>
    <n v="51.946966874857885"/>
    <n v="2.8082228714531983"/>
    <n v="1.8082228714531983"/>
    <n v="2024"/>
    <s v="April"/>
    <s v="Q2"/>
    <x v="15"/>
    <n v="2.5788552490912977"/>
    <n v="0.14587866048059758"/>
    <n v="565.13105263157888"/>
    <n v="1587.013947368421"/>
    <n v="615.39473684210532"/>
    <n v="10879"/>
    <s v="Good"/>
    <x v="0"/>
  </r>
  <r>
    <x v="37"/>
    <x v="2"/>
    <x v="0"/>
    <x v="2"/>
    <x v="0"/>
    <n v="40772.559999999998"/>
    <n v="435051"/>
    <n v="12220"/>
    <n v="198515.38"/>
    <n v="35"/>
    <n v="2.8088660869645166E-2"/>
    <n v="3.3365433715220947"/>
    <n v="93.719035239546628"/>
    <n v="4.8688475778808105"/>
    <n v="3.8688475778808105"/>
    <n v="2024"/>
    <s v="April"/>
    <s v="Q2"/>
    <x v="15"/>
    <n v="16.245121112929624"/>
    <n v="0.45630369772739288"/>
    <n v="1164.9302857142857"/>
    <n v="5671.8680000000004"/>
    <n v="349.14285714285717"/>
    <n v="12430.028571428571"/>
    <s v="Medium"/>
    <x v="0"/>
  </r>
  <r>
    <x v="45"/>
    <x v="3"/>
    <x v="3"/>
    <x v="2"/>
    <x v="1"/>
    <n v="30872.39"/>
    <n v="763240"/>
    <n v="45736"/>
    <n v="99074.72"/>
    <n v="32"/>
    <n v="5.9923484094125047E-2"/>
    <n v="0.67501290012244186"/>
    <n v="40.449124783816359"/>
    <n v="3.2091690989910404"/>
    <n v="2.2091690989910404"/>
    <n v="2024"/>
    <s v="April"/>
    <s v="Q2"/>
    <x v="15"/>
    <n v="2.1662305404932658"/>
    <n v="0.12980808133745611"/>
    <n v="964.76218749999998"/>
    <n v="3096.085"/>
    <n v="1429.25"/>
    <n v="23851.25"/>
    <s v="Good"/>
    <x v="0"/>
  </r>
  <r>
    <x v="17"/>
    <x v="0"/>
    <x v="2"/>
    <x v="1"/>
    <x v="1"/>
    <n v="18953.689999999999"/>
    <n v="904787"/>
    <n v="31767"/>
    <n v="31130.05"/>
    <n v="60"/>
    <n v="3.5109920898509818E-2"/>
    <n v="0.59664714955771714"/>
    <n v="20.948234225292801"/>
    <n v="1.6424268836305755"/>
    <n v="0.64242688363057543"/>
    <n v="2024"/>
    <s v="April"/>
    <s v="Q2"/>
    <x v="15"/>
    <n v="0.9799493184751471"/>
    <n v="3.4405943056211016E-2"/>
    <n v="315.89483333333334"/>
    <n v="518.83416666666665"/>
    <n v="529.45000000000005"/>
    <n v="15079.783333333333"/>
    <s v="Medium"/>
    <x v="0"/>
  </r>
  <r>
    <x v="32"/>
    <x v="2"/>
    <x v="0"/>
    <x v="2"/>
    <x v="0"/>
    <n v="39017.019999999997"/>
    <n v="297286"/>
    <n v="24240"/>
    <n v="206759.04000000001"/>
    <n v="9"/>
    <n v="8.1537643885013084E-2"/>
    <n v="1.6096130363036303"/>
    <n v="131.24405454680004"/>
    <n v="5.2992012203904864"/>
    <n v="4.2992012203904872"/>
    <n v="2024"/>
    <s v="April"/>
    <s v="Q2"/>
    <x v="15"/>
    <n v="8.5296633663366332"/>
    <n v="0.69548865402339832"/>
    <n v="4335.2244444444441"/>
    <n v="22973.226666666669"/>
    <n v="2693.3333333333335"/>
    <n v="33031.777777777781"/>
    <s v="Good"/>
    <x v="0"/>
  </r>
  <r>
    <x v="33"/>
    <x v="1"/>
    <x v="2"/>
    <x v="0"/>
    <x v="0"/>
    <n v="21606.45"/>
    <n v="999583"/>
    <n v="2050"/>
    <n v="113431.78"/>
    <n v="60"/>
    <n v="2.050855206621161E-3"/>
    <n v="10.539731707317074"/>
    <n v="21.615463648341358"/>
    <n v="5.2499036167440742"/>
    <n v="4.2499036167440742"/>
    <n v="2024"/>
    <s v="April"/>
    <s v="Q2"/>
    <x v="15"/>
    <n v="55.332575609756098"/>
    <n v="0.11347910078502736"/>
    <n v="360.10750000000002"/>
    <n v="1890.5296666666666"/>
    <n v="34.166666666666664"/>
    <n v="16659.716666666667"/>
    <s v="Low"/>
    <x v="0"/>
  </r>
  <r>
    <x v="50"/>
    <x v="3"/>
    <x v="2"/>
    <x v="4"/>
    <x v="2"/>
    <n v="6876.28"/>
    <n v="563081"/>
    <n v="27537"/>
    <n v="241735.7"/>
    <n v="55"/>
    <n v="4.8904154109266698E-2"/>
    <n v="0.24971057123143406"/>
    <n v="12.21188425821507"/>
    <n v="35.155011139744168"/>
    <n v="34.155011139744168"/>
    <n v="2024"/>
    <s v="April"/>
    <s v="Q2"/>
    <x v="15"/>
    <n v="8.7785779133529438"/>
    <n v="0.42930892713481722"/>
    <n v="125.02327272727273"/>
    <n v="4395.1945454545457"/>
    <n v="500.67272727272729"/>
    <n v="10237.836363636363"/>
    <s v="Medium"/>
    <x v="0"/>
  </r>
  <r>
    <x v="56"/>
    <x v="1"/>
    <x v="4"/>
    <x v="5"/>
    <x v="0"/>
    <n v="24045.48"/>
    <n v="889962"/>
    <n v="3661"/>
    <n v="25741.48"/>
    <n v="57"/>
    <n v="4.1136587854312878E-3"/>
    <n v="6.5680087407812069"/>
    <n v="27.018546859304106"/>
    <n v="1.0705330066191234"/>
    <n v="7.0533006619123428E-2"/>
    <n v="2024"/>
    <s v="April"/>
    <s v="Q2"/>
    <x v="15"/>
    <n v="7.0312701447691888"/>
    <n v="2.8924246203770498E-2"/>
    <n v="421.85052631578947"/>
    <n v="451.60491228070174"/>
    <n v="64.228070175438603"/>
    <n v="15613.368421052632"/>
    <s v="Low"/>
    <x v="0"/>
  </r>
  <r>
    <x v="13"/>
    <x v="1"/>
    <x v="4"/>
    <x v="4"/>
    <x v="1"/>
    <n v="6939.01"/>
    <n v="588469"/>
    <n v="7232"/>
    <n v="48063.69"/>
    <n v="34"/>
    <n v="1.2289517374747013E-2"/>
    <n v="0.95948700221238936"/>
    <n v="11.791632184533086"/>
    <n v="6.9265918337053849"/>
    <n v="5.926591833705384"/>
    <n v="2024"/>
    <s v="April"/>
    <s v="Q2"/>
    <x v="15"/>
    <n v="6.6459748340707971"/>
    <n v="8.1675823195444461E-2"/>
    <n v="204.08852941176471"/>
    <n v="1413.6379411764706"/>
    <n v="212.70588235294119"/>
    <n v="17307.911764705881"/>
    <s v="Low"/>
    <x v="0"/>
  </r>
  <r>
    <x v="31"/>
    <x v="3"/>
    <x v="3"/>
    <x v="3"/>
    <x v="2"/>
    <n v="7124.96"/>
    <n v="22537"/>
    <n v="4141"/>
    <n v="208441.22"/>
    <n v="12"/>
    <n v="0.18374229045569507"/>
    <n v="1.7205892296546728"/>
    <n v="316.14500599014957"/>
    <n v="29.255072309177876"/>
    <n v="28.255072309177876"/>
    <n v="2024"/>
    <s v="April"/>
    <s v="Q2"/>
    <x v="15"/>
    <n v="50.335962327940109"/>
    <n v="9.2488450104272975"/>
    <n v="593.74666666666667"/>
    <n v="17370.101666666666"/>
    <n v="345.08333333333331"/>
    <n v="1878.0833333333333"/>
    <s v="Excellent"/>
    <x v="0"/>
  </r>
  <r>
    <x v="48"/>
    <x v="3"/>
    <x v="1"/>
    <x v="3"/>
    <x v="2"/>
    <n v="3840.69"/>
    <n v="534977"/>
    <n v="7516"/>
    <n v="49043.99"/>
    <n v="59"/>
    <n v="1.4049202115231122E-2"/>
    <n v="0.5110018626929218"/>
    <n v="7.1791684502324404"/>
    <n v="12.769577862311198"/>
    <n v="11.769577862311198"/>
    <n v="2024"/>
    <s v="April"/>
    <s v="Q2"/>
    <x v="15"/>
    <n v="6.5252780734433209"/>
    <n v="9.167495051189116E-2"/>
    <n v="65.0964406779661"/>
    <n v="831.25406779661012"/>
    <n v="127.38983050847457"/>
    <n v="9067.4067796610161"/>
    <s v="Low"/>
    <x v="0"/>
  </r>
  <r>
    <x v="49"/>
    <x v="3"/>
    <x v="3"/>
    <x v="0"/>
    <x v="2"/>
    <n v="17908.740000000002"/>
    <n v="820143"/>
    <n v="12907"/>
    <n v="184453.52"/>
    <n v="29"/>
    <n v="1.5737499436073953E-2"/>
    <n v="1.3875214999612615"/>
    <n v="21.836118823180836"/>
    <n v="10.299636937048612"/>
    <n v="9.2996369370486125"/>
    <n v="2024"/>
    <s v="April"/>
    <s v="Q2"/>
    <x v="15"/>
    <n v="14.290967691950105"/>
    <n v="0.22490409599301583"/>
    <n v="617.54275862068971"/>
    <n v="6360.4662068965517"/>
    <n v="445.06896551724139"/>
    <n v="28280.793103448275"/>
    <s v="Low"/>
    <x v="0"/>
  </r>
  <r>
    <x v="7"/>
    <x v="0"/>
    <x v="2"/>
    <x v="2"/>
    <x v="1"/>
    <n v="5990.58"/>
    <n v="506171"/>
    <n v="48331"/>
    <n v="46574.39"/>
    <n v="34"/>
    <n v="9.5483542123116494E-2"/>
    <n v="0.1239490182284662"/>
    <n v="11.835091303136686"/>
    <n v="7.7746044623392061"/>
    <n v="6.7746044623392052"/>
    <n v="2024"/>
    <s v="April"/>
    <s v="Q2"/>
    <x v="15"/>
    <n v="0.96365459022159694"/>
    <n v="9.2013153657558411E-2"/>
    <n v="176.1935294117647"/>
    <n v="1369.835"/>
    <n v="1421.5"/>
    <n v="14887.382352941177"/>
    <s v="Good"/>
    <x v="0"/>
  </r>
  <r>
    <x v="33"/>
    <x v="0"/>
    <x v="1"/>
    <x v="5"/>
    <x v="1"/>
    <n v="2698.89"/>
    <n v="983737"/>
    <n v="21243"/>
    <n v="151235.68"/>
    <n v="51"/>
    <n v="2.1594186251000014E-2"/>
    <n v="0.12704843948594829"/>
    <n v="2.743507665158472"/>
    <n v="56.036251940612622"/>
    <n v="55.036251940612615"/>
    <n v="2024"/>
    <s v="April"/>
    <s v="Q2"/>
    <x v="15"/>
    <n v="7.1193183636962765"/>
    <n v="0.15373588672582203"/>
    <n v="52.919411764705877"/>
    <n v="2965.4054901960785"/>
    <n v="416.52941176470586"/>
    <n v="19288.960784313724"/>
    <s v="Medium"/>
    <x v="0"/>
  </r>
  <r>
    <x v="23"/>
    <x v="0"/>
    <x v="4"/>
    <x v="4"/>
    <x v="0"/>
    <n v="36096.839999999997"/>
    <n v="977516"/>
    <n v="18213"/>
    <n v="193492.99"/>
    <n v="48"/>
    <n v="1.8631920091333545E-2"/>
    <n v="1.9819271948608135"/>
    <n v="36.927109121487518"/>
    <n v="5.360385839868532"/>
    <n v="4.360385839868532"/>
    <n v="2024"/>
    <s v="April"/>
    <s v="Q2"/>
    <x v="15"/>
    <n v="10.623894470982265"/>
    <n v="0.1979435528421018"/>
    <n v="752.01749999999993"/>
    <n v="4031.1039583333331"/>
    <n v="379.4375"/>
    <n v="20364.916666666668"/>
    <s v="Low"/>
    <x v="0"/>
  </r>
  <r>
    <x v="9"/>
    <x v="3"/>
    <x v="0"/>
    <x v="4"/>
    <x v="1"/>
    <n v="10892.7"/>
    <n v="18474"/>
    <n v="34026"/>
    <n v="148677.78"/>
    <n v="25"/>
    <n v="1.8418317635595973"/>
    <n v="0.32012872509257628"/>
    <n v="589.62325430334533"/>
    <n v="13.649304580131647"/>
    <n v="12.649304580131647"/>
    <n v="2024"/>
    <s v="April"/>
    <s v="Q2"/>
    <x v="15"/>
    <n v="4.3695344736378061"/>
    <n v="8.0479473855147781"/>
    <n v="435.70800000000003"/>
    <n v="5947.1112000000003"/>
    <n v="1361.04"/>
    <n v="738.96"/>
    <s v="Excellent"/>
    <x v="1"/>
  </r>
  <r>
    <x v="22"/>
    <x v="0"/>
    <x v="3"/>
    <x v="2"/>
    <x v="2"/>
    <n v="23152.93"/>
    <n v="982462"/>
    <n v="33325"/>
    <n v="194972.51"/>
    <n v="44"/>
    <n v="3.3919886977816956E-2"/>
    <n v="0.69476159039759944"/>
    <n v="23.566234622814932"/>
    <n v="8.42107284045691"/>
    <n v="7.42107284045691"/>
    <n v="2024"/>
    <s v="April"/>
    <s v="Q2"/>
    <x v="15"/>
    <n v="5.8506379594898723"/>
    <n v="0.19845297833402209"/>
    <n v="526.20295454545453"/>
    <n v="4431.193409090909"/>
    <n v="757.38636363636363"/>
    <n v="22328.68181818182"/>
    <s v="Medium"/>
    <x v="0"/>
  </r>
  <r>
    <x v="54"/>
    <x v="3"/>
    <x v="3"/>
    <x v="4"/>
    <x v="2"/>
    <n v="26603.03"/>
    <n v="410209"/>
    <n v="34823"/>
    <n v="78097.16"/>
    <n v="18"/>
    <n v="8.4890872701476563E-2"/>
    <n v="0.7639499755908451"/>
    <n v="64.852380128178567"/>
    <n v="2.9356490595244229"/>
    <n v="1.9356490595244229"/>
    <n v="2024"/>
    <s v="April"/>
    <s v="Q2"/>
    <x v="15"/>
    <n v="2.2426890273669704"/>
    <n v="0.19038382873120777"/>
    <n v="1477.9461111111111"/>
    <n v="4338.7311111111112"/>
    <n v="1934.6111111111111"/>
    <n v="22789.388888888891"/>
    <s v="Good"/>
    <x v="0"/>
  </r>
  <r>
    <x v="8"/>
    <x v="1"/>
    <x v="4"/>
    <x v="3"/>
    <x v="1"/>
    <n v="13116.6"/>
    <n v="348756"/>
    <n v="10494"/>
    <n v="159145.24"/>
    <n v="30"/>
    <n v="3.0089804906582251E-2"/>
    <n v="1.2499142367066896"/>
    <n v="37.60967553246396"/>
    <n v="12.133116813808455"/>
    <n v="11.133116813808455"/>
    <n v="2024"/>
    <s v="April"/>
    <s v="Q2"/>
    <x v="15"/>
    <n v="15.165355441204497"/>
    <n v="0.45632258656481894"/>
    <n v="437.22"/>
    <n v="5304.8413333333328"/>
    <n v="349.8"/>
    <n v="11625.2"/>
    <s v="Medium"/>
    <x v="0"/>
  </r>
  <r>
    <x v="21"/>
    <x v="3"/>
    <x v="2"/>
    <x v="2"/>
    <x v="2"/>
    <n v="19166.54"/>
    <n v="32525"/>
    <n v="19204"/>
    <n v="51319.86"/>
    <n v="28"/>
    <n v="0.59043812451960032"/>
    <n v="0.99804936471568428"/>
    <n v="589.28639508070717"/>
    <n v="2.6775756083257591"/>
    <n v="1.6775756083257594"/>
    <n v="2024"/>
    <s v="April"/>
    <s v="Q2"/>
    <x v="15"/>
    <n v="2.6723526348677358"/>
    <n v="1.5778588777863183"/>
    <n v="684.51928571428573"/>
    <n v="1832.8521428571428"/>
    <n v="685.85714285714289"/>
    <n v="1161.6071428571429"/>
    <s v="Excellent"/>
    <x v="0"/>
  </r>
  <r>
    <x v="6"/>
    <x v="3"/>
    <x v="1"/>
    <x v="2"/>
    <x v="2"/>
    <n v="14680.86"/>
    <n v="803237"/>
    <n v="27791"/>
    <n v="203693.62"/>
    <n v="23"/>
    <n v="3.4598754788437283E-2"/>
    <n v="0.52825950847396641"/>
    <n v="18.277121198351171"/>
    <n v="13.87477436607937"/>
    <n v="12.874774366079372"/>
    <n v="2024"/>
    <s v="May"/>
    <s v="Q2"/>
    <x v="16"/>
    <n v="7.3294814868122771"/>
    <n v="0.25359093268860872"/>
    <n v="638.2982608695653"/>
    <n v="8856.2443478260866"/>
    <n v="1208.304347826087"/>
    <n v="34923.34782608696"/>
    <s v="Medium"/>
    <x v="0"/>
  </r>
  <r>
    <x v="7"/>
    <x v="1"/>
    <x v="3"/>
    <x v="4"/>
    <x v="1"/>
    <n v="2374.66"/>
    <n v="179054"/>
    <n v="10031"/>
    <n v="172181.63"/>
    <n v="43"/>
    <n v="5.6022205591609232E-2"/>
    <n v="0.23673213039577309"/>
    <n v="13.262256079171644"/>
    <n v="72.507908500585359"/>
    <n v="71.507908500585359"/>
    <n v="2024"/>
    <s v="May"/>
    <s v="Q2"/>
    <x v="16"/>
    <n v="17.164951649885356"/>
    <n v="0.96161845029990956"/>
    <n v="55.224651162790693"/>
    <n v="4004.223953488372"/>
    <n v="233.27906976744185"/>
    <n v="4164.0465116279074"/>
    <s v="Good"/>
    <x v="0"/>
  </r>
  <r>
    <x v="53"/>
    <x v="3"/>
    <x v="4"/>
    <x v="5"/>
    <x v="2"/>
    <n v="20311.48"/>
    <n v="750880"/>
    <n v="44430"/>
    <n v="11922.74"/>
    <n v="8"/>
    <n v="5.9170573194118899E-2"/>
    <n v="0.45715687598469501"/>
    <n v="27.050234391647134"/>
    <n v="0.58699513772506973"/>
    <n v="-0.41300486227493022"/>
    <n v="2024"/>
    <s v="May"/>
    <s v="Q2"/>
    <x v="16"/>
    <n v="0.26834886338059871"/>
    <n v="1.5878356062220329E-2"/>
    <n v="2538.9349999999999"/>
    <n v="1490.3425"/>
    <n v="5553.75"/>
    <n v="93860"/>
    <s v="Good"/>
    <x v="0"/>
  </r>
  <r>
    <x v="40"/>
    <x v="2"/>
    <x v="1"/>
    <x v="0"/>
    <x v="1"/>
    <n v="20506.259999999998"/>
    <n v="274742"/>
    <n v="31408"/>
    <n v="32951.35"/>
    <n v="34"/>
    <n v="0.1143181603104003"/>
    <n v="0.65289926133469178"/>
    <n v="74.638242423801245"/>
    <n v="1.6068922368096377"/>
    <n v="0.60689223680963766"/>
    <n v="2024"/>
    <s v="May"/>
    <s v="Q2"/>
    <x v="16"/>
    <n v="1.0491387544574631"/>
    <n v="0.11993561231992196"/>
    <n v="603.12529411764706"/>
    <n v="969.15735294117644"/>
    <n v="923.76470588235293"/>
    <n v="8080.6470588235297"/>
    <s v="Excellent"/>
    <x v="0"/>
  </r>
  <r>
    <x v="12"/>
    <x v="1"/>
    <x v="1"/>
    <x v="4"/>
    <x v="1"/>
    <n v="17712.03"/>
    <n v="963149"/>
    <n v="1104"/>
    <n v="56892.9"/>
    <n v="19"/>
    <n v="1.1462400936926686E-3"/>
    <n v="16.043505434782606"/>
    <n v="18.389709172724054"/>
    <n v="3.2121049930470988"/>
    <n v="2.2121049930470988"/>
    <n v="2024"/>
    <s v="May"/>
    <s v="Q2"/>
    <x v="16"/>
    <n v="51.533423913043478"/>
    <n v="5.906967665439096E-2"/>
    <n v="932.21210526315781"/>
    <n v="2994.363157894737"/>
    <n v="58.10526315789474"/>
    <n v="50692.052631578947"/>
    <s v="Low"/>
    <x v="0"/>
  </r>
  <r>
    <x v="11"/>
    <x v="3"/>
    <x v="3"/>
    <x v="0"/>
    <x v="2"/>
    <n v="5143.8"/>
    <n v="609083"/>
    <n v="12951"/>
    <n v="142486.06"/>
    <n v="41"/>
    <n v="2.1263111923990656E-2"/>
    <n v="0.39717396340050964"/>
    <n v="8.4451544370800047"/>
    <n v="27.700544344647923"/>
    <n v="26.700544344647927"/>
    <n v="2024"/>
    <s v="May"/>
    <s v="Q2"/>
    <x v="16"/>
    <n v="11.001934985715389"/>
    <n v="0.23393537498173483"/>
    <n v="125.45853658536586"/>
    <n v="3475.2697560975607"/>
    <n v="315.8780487804878"/>
    <n v="14855.682926829268"/>
    <s v="Medium"/>
    <x v="0"/>
  </r>
  <r>
    <x v="28"/>
    <x v="2"/>
    <x v="4"/>
    <x v="5"/>
    <x v="1"/>
    <n v="29309.040000000001"/>
    <n v="266496"/>
    <n v="25161"/>
    <n v="9217.07"/>
    <n v="24"/>
    <n v="9.4414175072046108E-2"/>
    <n v="1.1648599022296411"/>
    <n v="109.97928674351586"/>
    <n v="0.31447874103007123"/>
    <n v="-0.68552125896992877"/>
    <n v="2024"/>
    <s v="May"/>
    <s v="Q2"/>
    <x v="16"/>
    <n v="0.36632367552958944"/>
    <n v="3.4586147634486072E-2"/>
    <n v="1221.21"/>
    <n v="384.04458333333332"/>
    <n v="1048.375"/>
    <n v="11104"/>
    <s v="Good"/>
    <x v="0"/>
  </r>
  <r>
    <x v="52"/>
    <x v="0"/>
    <x v="4"/>
    <x v="2"/>
    <x v="2"/>
    <n v="8093.21"/>
    <n v="740897"/>
    <n v="32218"/>
    <n v="51495.08"/>
    <n v="51"/>
    <n v="4.34851268124989E-2"/>
    <n v="0.25120150226581417"/>
    <n v="10.923529181519159"/>
    <n v="6.362750997441065"/>
    <n v="5.362750997441065"/>
    <n v="2024"/>
    <s v="May"/>
    <s v="Q2"/>
    <x v="16"/>
    <n v="1.5983326091005028"/>
    <n v="6.9503696195287609E-2"/>
    <n v="158.69039215686274"/>
    <n v="1009.7074509803922"/>
    <n v="631.72549019607845"/>
    <n v="14527.392156862745"/>
    <s v="Medium"/>
    <x v="0"/>
  </r>
  <r>
    <x v="28"/>
    <x v="3"/>
    <x v="3"/>
    <x v="0"/>
    <x v="0"/>
    <n v="13549.58"/>
    <n v="123284"/>
    <n v="8107"/>
    <n v="66419.02"/>
    <n v="38"/>
    <n v="6.5758735926803147E-2"/>
    <n v="1.6713432835820896"/>
    <n v="109.9054216281107"/>
    <n v="4.9019246353023496"/>
    <n v="3.9019246353023491"/>
    <n v="2024"/>
    <s v="May"/>
    <s v="Q2"/>
    <x v="16"/>
    <n v="8.1927988158381648"/>
    <n v="0.53874809383212752"/>
    <n v="356.56789473684211"/>
    <n v="1747.8689473684212"/>
    <n v="213.34210526315789"/>
    <n v="3244.3157894736842"/>
    <s v="Good"/>
    <x v="0"/>
  </r>
  <r>
    <x v="13"/>
    <x v="3"/>
    <x v="1"/>
    <x v="3"/>
    <x v="2"/>
    <n v="41607.29"/>
    <n v="369502"/>
    <n v="5631"/>
    <n v="241999.68"/>
    <n v="17"/>
    <n v="1.5239430368441848E-2"/>
    <n v="7.3889699875688155"/>
    <n v="112.60369362006161"/>
    <n v="5.8162807527238609"/>
    <n v="4.8162807527238609"/>
    <n v="2024"/>
    <s v="May"/>
    <s v="Q2"/>
    <x v="16"/>
    <n v="42.976323921150772"/>
    <n v="0.65493469588797892"/>
    <n v="2447.4876470588238"/>
    <n v="14235.275294117646"/>
    <n v="331.23529411764707"/>
    <n v="21735.411764705881"/>
    <s v="Low"/>
    <x v="0"/>
  </r>
  <r>
    <x v="56"/>
    <x v="3"/>
    <x v="0"/>
    <x v="1"/>
    <x v="2"/>
    <n v="25391.47"/>
    <n v="959648"/>
    <n v="2525"/>
    <n v="54487.67"/>
    <n v="41"/>
    <n v="2.6311730968021606E-3"/>
    <n v="10.056027722772278"/>
    <n v="26.459149604855114"/>
    <n v="2.145904510451738"/>
    <n v="1.1459045104517382"/>
    <n v="2024"/>
    <s v="May"/>
    <s v="Q2"/>
    <x v="16"/>
    <n v="21.579275247524752"/>
    <n v="5.6778808479775913E-2"/>
    <n v="619.30414634146348"/>
    <n v="1328.9675609756098"/>
    <n v="61.585365853658537"/>
    <n v="23406.048780487807"/>
    <s v="Low"/>
    <x v="0"/>
  </r>
  <r>
    <x v="19"/>
    <x v="0"/>
    <x v="3"/>
    <x v="1"/>
    <x v="1"/>
    <n v="27774.26"/>
    <n v="362898"/>
    <n v="24399"/>
    <n v="172055.7"/>
    <n v="36"/>
    <n v="6.7233768166261601E-2"/>
    <n v="1.1383359973769416"/>
    <n v="76.534618542951463"/>
    <n v="6.1947897081686429"/>
    <n v="5.1947897081686429"/>
    <n v="2024"/>
    <s v="May"/>
    <s v="Q2"/>
    <x v="16"/>
    <n v="7.0517521209885654"/>
    <n v="0.4741158672684887"/>
    <n v="771.50722222222214"/>
    <n v="4779.3250000000007"/>
    <n v="677.75"/>
    <n v="10080.5"/>
    <s v="Good"/>
    <x v="0"/>
  </r>
  <r>
    <x v="50"/>
    <x v="1"/>
    <x v="0"/>
    <x v="3"/>
    <x v="2"/>
    <n v="1502.75"/>
    <n v="485904"/>
    <n v="2783"/>
    <n v="58244.7"/>
    <n v="24"/>
    <n v="5.727468800421482E-3"/>
    <n v="0.53997484728710021"/>
    <n v="3.0926890908492215"/>
    <n v="38.758742305772749"/>
    <n v="37.758742305772749"/>
    <n v="2024"/>
    <s v="May"/>
    <s v="Q2"/>
    <x v="16"/>
    <n v="20.928745957599713"/>
    <n v="0.11986873950409957"/>
    <n v="62.614583333333336"/>
    <n v="2426.8624999999997"/>
    <n v="115.95833333333333"/>
    <n v="20246"/>
    <s v="Low"/>
    <x v="0"/>
  </r>
  <r>
    <x v="54"/>
    <x v="3"/>
    <x v="3"/>
    <x v="1"/>
    <x v="2"/>
    <n v="3618.68"/>
    <n v="604639"/>
    <n v="14031"/>
    <n v="50481.32"/>
    <n v="17"/>
    <n v="2.3205582173826036E-2"/>
    <n v="0.25790606514147246"/>
    <n v="5.9848603877685687"/>
    <n v="13.950202836393382"/>
    <n v="12.950202836393382"/>
    <n v="2024"/>
    <s v="May"/>
    <s v="Q2"/>
    <x v="16"/>
    <n v="3.5978419214596249"/>
    <n v="8.349001635686748E-2"/>
    <n v="212.86352941176469"/>
    <n v="2969.4894117647059"/>
    <n v="825.35294117647061"/>
    <n v="35567"/>
    <s v="Medium"/>
    <x v="0"/>
  </r>
  <r>
    <x v="21"/>
    <x v="3"/>
    <x v="1"/>
    <x v="3"/>
    <x v="0"/>
    <n v="23572.26"/>
    <n v="208667"/>
    <n v="9271"/>
    <n v="13746.08"/>
    <n v="11"/>
    <n v="4.4429641486195708E-2"/>
    <n v="2.5425800884478478"/>
    <n v="112.96592177967767"/>
    <n v="0.58314646113694657"/>
    <n v="-0.41685353886305337"/>
    <n v="2024"/>
    <s v="May"/>
    <s v="Q2"/>
    <x v="16"/>
    <n v="1.4826965807356272"/>
    <n v="6.587567751489215E-2"/>
    <n v="2142.9327272727273"/>
    <n v="1249.6436363636365"/>
    <n v="842.81818181818187"/>
    <n v="18969.727272727272"/>
    <s v="Medium"/>
    <x v="0"/>
  </r>
  <r>
    <x v="56"/>
    <x v="1"/>
    <x v="2"/>
    <x v="4"/>
    <x v="0"/>
    <n v="5835.85"/>
    <n v="303243"/>
    <n v="39169"/>
    <n v="176790.02"/>
    <n v="19"/>
    <n v="0.12916703765626905"/>
    <n v="0.14899154943960785"/>
    <n v="19.2447970769317"/>
    <n v="30.293790964469611"/>
    <n v="29.293790964469611"/>
    <n v="2024"/>
    <s v="May"/>
    <s v="Q2"/>
    <x v="16"/>
    <n v="4.5135188541959197"/>
    <n v="0.58299785980220475"/>
    <n v="307.15000000000003"/>
    <n v="9304.7378947368416"/>
    <n v="2061.5263157894738"/>
    <n v="15960.157894736842"/>
    <s v="Excellent"/>
    <x v="0"/>
  </r>
  <r>
    <x v="1"/>
    <x v="3"/>
    <x v="4"/>
    <x v="5"/>
    <x v="1"/>
    <n v="23776.58"/>
    <n v="76412"/>
    <n v="17245"/>
    <n v="165468.51999999999"/>
    <n v="13"/>
    <n v="0.22568444746898392"/>
    <n v="1.3787521020585678"/>
    <n v="311.16290634978799"/>
    <n v="6.9593070155590073"/>
    <n v="5.9593070155590073"/>
    <n v="2024"/>
    <s v="May"/>
    <s v="Q2"/>
    <x v="16"/>
    <n v="9.5951591765729187"/>
    <n v="2.1654781971418102"/>
    <n v="1828.9676923076925"/>
    <n v="12728.347692307692"/>
    <n v="1326.5384615384614"/>
    <n v="5877.8461538461543"/>
    <s v="Excellent"/>
    <x v="0"/>
  </r>
  <r>
    <x v="51"/>
    <x v="3"/>
    <x v="2"/>
    <x v="5"/>
    <x v="0"/>
    <n v="1840.55"/>
    <n v="868706"/>
    <n v="1239"/>
    <n v="143980.35"/>
    <n v="61"/>
    <n v="1.4262592868012883E-3"/>
    <n v="1.4855125100887812"/>
    <n v="2.1187260131736165"/>
    <n v="78.226807204368271"/>
    <n v="77.226807204368271"/>
    <n v="2024"/>
    <s v="May"/>
    <s v="Q2"/>
    <x v="16"/>
    <n v="116.20690072639226"/>
    <n v="0.16574117135141234"/>
    <n v="30.172950819672131"/>
    <n v="2360.3336065573772"/>
    <n v="20.311475409836067"/>
    <n v="14241.081967213115"/>
    <s v="Low"/>
    <x v="0"/>
  </r>
  <r>
    <x v="38"/>
    <x v="3"/>
    <x v="4"/>
    <x v="2"/>
    <x v="1"/>
    <n v="26356.51"/>
    <n v="507635"/>
    <n v="38561"/>
    <n v="140076.76"/>
    <n v="44"/>
    <n v="7.5962059353669467E-2"/>
    <n v="0.68350172454033864"/>
    <n v="51.920198567868638"/>
    <n v="5.3146930302987769"/>
    <n v="4.3146930302987769"/>
    <n v="2024"/>
    <s v="May"/>
    <s v="Q2"/>
    <x v="16"/>
    <n v="3.6326018516117324"/>
    <n v="0.27593991746037999"/>
    <n v="599.01159090909084"/>
    <n v="3183.5627272727274"/>
    <n v="876.38636363636363"/>
    <n v="11537.15909090909"/>
    <s v="Good"/>
    <x v="0"/>
  </r>
  <r>
    <x v="47"/>
    <x v="1"/>
    <x v="0"/>
    <x v="1"/>
    <x v="0"/>
    <n v="31733.23"/>
    <n v="687278"/>
    <n v="46751"/>
    <n v="125251.23"/>
    <n v="41"/>
    <n v="6.8023419926143427E-2"/>
    <n v="0.6787711492802293"/>
    <n v="46.172334921240022"/>
    <n v="3.9470053946604238"/>
    <n v="2.9470053946604238"/>
    <n v="2024"/>
    <s v="May"/>
    <s v="Q2"/>
    <x v="16"/>
    <n v="2.6791133879489206"/>
    <n v="0.18224245501820224"/>
    <n v="773.98121951219514"/>
    <n v="3054.9080487804877"/>
    <n v="1140.2682926829268"/>
    <n v="16762.878048780487"/>
    <s v="Good"/>
    <x v="0"/>
  </r>
  <r>
    <x v="46"/>
    <x v="1"/>
    <x v="0"/>
    <x v="2"/>
    <x v="2"/>
    <n v="2864.18"/>
    <n v="882064"/>
    <n v="20253"/>
    <n v="63665.82"/>
    <n v="7"/>
    <n v="2.2960918935587441E-2"/>
    <n v="0.14142003653779686"/>
    <n v="3.2471339948121676"/>
    <n v="22.228288724870644"/>
    <n v="21.228288724870644"/>
    <n v="2024"/>
    <s v="May"/>
    <s v="Q2"/>
    <x v="16"/>
    <n v="3.1435254036439044"/>
    <n v="7.2178231965027484E-2"/>
    <n v="409.1685714285714"/>
    <n v="9095.1171428571433"/>
    <n v="2893.2857142857142"/>
    <n v="126009.14285714286"/>
    <s v="Medium"/>
    <x v="0"/>
  </r>
  <r>
    <x v="42"/>
    <x v="3"/>
    <x v="2"/>
    <x v="1"/>
    <x v="0"/>
    <n v="1195.46"/>
    <n v="727552"/>
    <n v="23162"/>
    <n v="92067.64"/>
    <n v="31"/>
    <n v="3.1835525158339199E-2"/>
    <n v="5.1612986788705642E-2"/>
    <n v="1.6431265394088672"/>
    <n v="77.0144044970137"/>
    <n v="76.0144044970137"/>
    <n v="2024"/>
    <s v="May"/>
    <s v="Q2"/>
    <x v="16"/>
    <n v="3.9749434418444003"/>
    <n v="0.12654441194581281"/>
    <n v="38.563225806451612"/>
    <n v="2969.923870967742"/>
    <n v="747.16129032258061"/>
    <n v="23469.419354838708"/>
    <s v="Medium"/>
    <x v="0"/>
  </r>
  <r>
    <x v="40"/>
    <x v="3"/>
    <x v="4"/>
    <x v="5"/>
    <x v="1"/>
    <n v="4443.6000000000004"/>
    <n v="94714"/>
    <n v="21209"/>
    <n v="154032.87"/>
    <n v="51"/>
    <n v="0.22392676900986128"/>
    <n v="0.20951482861049556"/>
    <n v="46.91597863040311"/>
    <n v="34.663981906562242"/>
    <n v="33.663981906562242"/>
    <n v="2024"/>
    <s v="May"/>
    <s v="Q2"/>
    <x v="16"/>
    <n v="7.2626182281107079"/>
    <n v="1.6262946343729543"/>
    <n v="87.129411764705893"/>
    <n v="3020.2523529411765"/>
    <n v="415.86274509803923"/>
    <n v="1857.1372549019609"/>
    <s v="Excellent"/>
    <x v="0"/>
  </r>
  <r>
    <x v="28"/>
    <x v="1"/>
    <x v="3"/>
    <x v="2"/>
    <x v="2"/>
    <n v="3204.82"/>
    <n v="171177"/>
    <n v="27016"/>
    <n v="35341.449999999997"/>
    <n v="18"/>
    <n v="0.15782494143488904"/>
    <n v="0.1186267397098016"/>
    <n v="18.722258247311263"/>
    <n v="11.027592813324928"/>
    <n v="10.027592813324928"/>
    <n v="2024"/>
    <s v="May"/>
    <s v="Q2"/>
    <x v="16"/>
    <n v="1.308167382291975"/>
    <n v="0.20646144049726306"/>
    <n v="178.04555555555555"/>
    <n v="1963.4138888888888"/>
    <n v="1500.8888888888889"/>
    <n v="9509.8333333333339"/>
    <s v="Excellent"/>
    <x v="0"/>
  </r>
  <r>
    <x v="20"/>
    <x v="2"/>
    <x v="0"/>
    <x v="3"/>
    <x v="0"/>
    <n v="17729.38"/>
    <n v="130671"/>
    <n v="17748"/>
    <n v="19854.830000000002"/>
    <n v="38"/>
    <n v="0.13582202631035195"/>
    <n v="0.99895086770340324"/>
    <n v="135.67953103596057"/>
    <n v="1.1198829287882599"/>
    <n v="0.11988292878825997"/>
    <n v="2024"/>
    <s v="May"/>
    <s v="Q2"/>
    <x v="16"/>
    <n v="1.1187080234392608"/>
    <n v="0.1519451905931691"/>
    <n v="466.56263157894739"/>
    <n v="522.49552631578956"/>
    <n v="467.05263157894734"/>
    <n v="3438.7105263157896"/>
    <s v="Excellent"/>
    <x v="0"/>
  </r>
  <r>
    <x v="0"/>
    <x v="1"/>
    <x v="4"/>
    <x v="5"/>
    <x v="0"/>
    <n v="1207.23"/>
    <n v="486663"/>
    <n v="32431"/>
    <n v="212924.72"/>
    <n v="45"/>
    <n v="6.6639543174640353E-2"/>
    <n v="3.7224569085134593E-2"/>
    <n v="2.4806282787062095"/>
    <n v="176.37460964356418"/>
    <n v="175.37460964356418"/>
    <n v="2024"/>
    <s v="May"/>
    <s v="Q2"/>
    <x v="16"/>
    <n v="6.5654688415405014"/>
    <n v="0.43751984432759428"/>
    <n v="26.827333333333335"/>
    <n v="4731.6604444444447"/>
    <n v="720.68888888888887"/>
    <n v="10814.733333333334"/>
    <s v="Good"/>
    <x v="0"/>
  </r>
  <r>
    <x v="5"/>
    <x v="2"/>
    <x v="3"/>
    <x v="5"/>
    <x v="2"/>
    <n v="10995.29"/>
    <n v="781934"/>
    <n v="20547"/>
    <n v="173326.41"/>
    <n v="13"/>
    <n v="2.6277153826282013E-2"/>
    <n v="0.53512872925487909"/>
    <n v="14.061659935493278"/>
    <n v="15.763696091690168"/>
    <n v="14.763696091690168"/>
    <n v="2024"/>
    <s v="May"/>
    <s v="Q2"/>
    <x v="16"/>
    <n v="8.4356066579062645"/>
    <n v="0.22166373376781162"/>
    <n v="845.79153846153849"/>
    <n v="13332.800769230769"/>
    <n v="1580.5384615384614"/>
    <n v="60148.769230769234"/>
    <s v="Medium"/>
    <x v="0"/>
  </r>
  <r>
    <x v="59"/>
    <x v="1"/>
    <x v="1"/>
    <x v="4"/>
    <x v="2"/>
    <n v="34883.43"/>
    <n v="503446"/>
    <n v="18826"/>
    <n v="136489.23000000001"/>
    <n v="44"/>
    <n v="3.7394278631670524E-2"/>
    <n v="1.852939020503559"/>
    <n v="69.289318020204746"/>
    <n v="3.9127238921172607"/>
    <n v="2.9127238921172607"/>
    <n v="2024"/>
    <s v="May"/>
    <s v="Q2"/>
    <x v="16"/>
    <n v="7.2500387761606291"/>
    <n v="0.27110997008616616"/>
    <n v="792.80522727272728"/>
    <n v="3102.0279545454546"/>
    <n v="427.86363636363637"/>
    <n v="11441.954545454546"/>
    <s v="Medium"/>
    <x v="0"/>
  </r>
  <r>
    <x v="15"/>
    <x v="3"/>
    <x v="3"/>
    <x v="2"/>
    <x v="1"/>
    <n v="16270.97"/>
    <n v="859566"/>
    <n v="21932"/>
    <n v="42412.05"/>
    <n v="24"/>
    <n v="2.5515201857681667E-2"/>
    <n v="0.74188263724238557"/>
    <n v="18.929285243948687"/>
    <n v="2.6066085795745431"/>
    <n v="1.6066085795745431"/>
    <n v="2024"/>
    <s v="May"/>
    <s v="Q2"/>
    <x v="16"/>
    <n v="1.9337976472733907"/>
    <n v="4.9341237322090455E-2"/>
    <n v="677.95708333333334"/>
    <n v="1767.16875"/>
    <n v="913.83333333333337"/>
    <n v="35815.25"/>
    <s v="Medium"/>
    <x v="0"/>
  </r>
  <r>
    <x v="51"/>
    <x v="1"/>
    <x v="0"/>
    <x v="4"/>
    <x v="1"/>
    <n v="2366.6799999999998"/>
    <n v="677837"/>
    <n v="18973"/>
    <n v="177934.07"/>
    <n v="19"/>
    <n v="2.7990505091932131E-2"/>
    <n v="0.12473936646813892"/>
    <n v="3.4915178722908307"/>
    <n v="75.182986293034972"/>
    <n v="74.182986293034986"/>
    <n v="2024"/>
    <s v="May"/>
    <s v="Q2"/>
    <x v="16"/>
    <n v="9.3782780793759564"/>
    <n v="0.26250274033432819"/>
    <n v="124.56210526315789"/>
    <n v="9364.9510526315789"/>
    <n v="998.57894736842104"/>
    <n v="35675.631578947367"/>
    <s v="Medium"/>
    <x v="0"/>
  </r>
  <r>
    <x v="48"/>
    <x v="2"/>
    <x v="3"/>
    <x v="3"/>
    <x v="0"/>
    <n v="1969.53"/>
    <n v="855872"/>
    <n v="20639"/>
    <n v="85675.05"/>
    <n v="11"/>
    <n v="2.4114587227996708E-2"/>
    <n v="9.5427588545956676E-2"/>
    <n v="2.3011969079488521"/>
    <n v="43.500251328997273"/>
    <n v="42.50025132899728"/>
    <n v="2024"/>
    <s v="May"/>
    <s v="Q2"/>
    <x v="16"/>
    <n v="4.1511240854692577"/>
    <n v="0.10010264385328647"/>
    <n v="179.0481818181818"/>
    <n v="7788.6409090909092"/>
    <n v="1876.2727272727273"/>
    <n v="77806.545454545456"/>
    <s v="Medium"/>
    <x v="0"/>
  </r>
  <r>
    <x v="27"/>
    <x v="0"/>
    <x v="0"/>
    <x v="3"/>
    <x v="1"/>
    <n v="3618.11"/>
    <n v="568453"/>
    <n v="46215"/>
    <n v="61377.13"/>
    <n v="53"/>
    <n v="8.1299597328187201E-2"/>
    <n v="7.8288650870929358E-2"/>
    <n v="6.3648357911735882"/>
    <n v="16.963865111895437"/>
    <n v="15.963865111895435"/>
    <n v="2024"/>
    <s v="May"/>
    <s v="Q2"/>
    <x v="16"/>
    <n v="1.3280781131667208"/>
    <n v="0.10797221582083302"/>
    <n v="68.266226415094337"/>
    <n v="1158.0590566037736"/>
    <n v="871.98113207547169"/>
    <n v="10725.528301886792"/>
    <s v="Good"/>
    <x v="0"/>
  </r>
  <r>
    <x v="42"/>
    <x v="1"/>
    <x v="0"/>
    <x v="2"/>
    <x v="1"/>
    <n v="515.52"/>
    <n v="643952"/>
    <n v="44612"/>
    <n v="85104.19"/>
    <n v="49"/>
    <n v="6.9278455537058664E-2"/>
    <n v="1.1555635255088317E-2"/>
    <n v="0.80055656322210356"/>
    <n v="165.08416744258227"/>
    <n v="164.08416744258224"/>
    <n v="2024"/>
    <s v="May"/>
    <s v="Q2"/>
    <x v="16"/>
    <n v="1.9076524253564064"/>
    <n v="0.13215921373021591"/>
    <n v="10.520816326530612"/>
    <n v="1736.8202040816327"/>
    <n v="910.44897959183675"/>
    <n v="13141.877551020409"/>
    <s v="Good"/>
    <x v="0"/>
  </r>
  <r>
    <x v="46"/>
    <x v="3"/>
    <x v="2"/>
    <x v="1"/>
    <x v="0"/>
    <n v="2973.5"/>
    <n v="422344"/>
    <n v="33224"/>
    <n v="117021.51"/>
    <n v="25"/>
    <n v="7.8665732199344612E-2"/>
    <n v="8.9498555261256926E-2"/>
    <n v="7.0404693804102818"/>
    <n v="39.354804102909029"/>
    <n v="38.354804102909029"/>
    <n v="2024"/>
    <s v="May"/>
    <s v="Q2"/>
    <x v="16"/>
    <n v="3.5221981098001445"/>
    <n v="0.27707629325857591"/>
    <n v="118.94"/>
    <n v="4680.8603999999996"/>
    <n v="1328.96"/>
    <n v="16893.759999999998"/>
    <s v="Good"/>
    <x v="0"/>
  </r>
  <r>
    <x v="57"/>
    <x v="0"/>
    <x v="4"/>
    <x v="0"/>
    <x v="0"/>
    <n v="4936.55"/>
    <n v="319967"/>
    <n v="10682"/>
    <n v="21699.65"/>
    <n v="12"/>
    <n v="3.3384692796444633E-2"/>
    <n v="0.46213724021718783"/>
    <n v="15.428309794447552"/>
    <n v="4.3957115799495599"/>
    <n v="3.3957115799495603"/>
    <n v="2024"/>
    <s v="May"/>
    <s v="Q2"/>
    <x v="16"/>
    <n v="2.031422018348624"/>
    <n v="6.781840002250232E-2"/>
    <n v="411.37916666666666"/>
    <n v="1808.3041666666668"/>
    <n v="890.16666666666663"/>
    <n v="26663.916666666668"/>
    <s v="Medium"/>
    <x v="0"/>
  </r>
  <r>
    <x v="29"/>
    <x v="3"/>
    <x v="2"/>
    <x v="4"/>
    <x v="1"/>
    <n v="1829.78"/>
    <n v="990741"/>
    <n v="28464"/>
    <n v="210509.95"/>
    <n v="6"/>
    <n v="2.8730011173455021E-2"/>
    <n v="6.4284007869589654E-2"/>
    <n v="1.8468802643677813"/>
    <n v="115.04659030047328"/>
    <n v="114.04659030047328"/>
    <n v="2024"/>
    <s v="May"/>
    <s v="Q2"/>
    <x v="16"/>
    <n v="7.3956559162450821"/>
    <n v="0.21247727710874992"/>
    <n v="304.96333333333331"/>
    <n v="35084.991666666669"/>
    <n v="4744"/>
    <n v="165123.5"/>
    <s v="Medium"/>
    <x v="0"/>
  </r>
  <r>
    <x v="19"/>
    <x v="1"/>
    <x v="1"/>
    <x v="0"/>
    <x v="0"/>
    <n v="47123.95"/>
    <n v="27215"/>
    <n v="2527"/>
    <n v="88124.85"/>
    <n v="40"/>
    <n v="9.2853205952599674E-2"/>
    <n v="18.648179659675503"/>
    <n v="1731.5432665809296"/>
    <n v="1.8700650094060454"/>
    <n v="0.87006500940604536"/>
    <n v="2024"/>
    <s v="May"/>
    <s v="Q2"/>
    <x v="16"/>
    <n v="34.873308270676695"/>
    <n v="3.2380984751056405"/>
    <n v="1178.0987499999999"/>
    <n v="2203.1212500000001"/>
    <n v="63.174999999999997"/>
    <n v="680.375"/>
    <s v="Good"/>
    <x v="0"/>
  </r>
  <r>
    <x v="3"/>
    <x v="0"/>
    <x v="4"/>
    <x v="1"/>
    <x v="1"/>
    <n v="36442.15"/>
    <n v="558706"/>
    <n v="22474"/>
    <n v="114632.65"/>
    <n v="39"/>
    <n v="4.0225091550833536E-2"/>
    <n v="1.6215248731867937"/>
    <n v="65.225986475892512"/>
    <n v="3.1456061181900625"/>
    <n v="2.145606118190063"/>
    <n v="2024"/>
    <s v="May"/>
    <s v="Q2"/>
    <x v="16"/>
    <n v="5.1006785618937434"/>
    <n v="0.20517526212354975"/>
    <n v="934.41410256410256"/>
    <n v="2939.2987179487177"/>
    <n v="576.25641025641028"/>
    <n v="14325.794871794871"/>
    <s v="Medium"/>
    <x v="0"/>
  </r>
  <r>
    <x v="2"/>
    <x v="2"/>
    <x v="0"/>
    <x v="5"/>
    <x v="0"/>
    <n v="20379.490000000002"/>
    <n v="458443"/>
    <n v="30675"/>
    <n v="108023.89"/>
    <n v="49"/>
    <n v="6.691126268696436E-2"/>
    <n v="0.66436805215973926"/>
    <n v="44.453705258887148"/>
    <n v="5.3006179251786962"/>
    <n v="4.3006179251786962"/>
    <n v="2024"/>
    <s v="May"/>
    <s v="Q2"/>
    <x v="16"/>
    <n v="3.5215612061939692"/>
    <n v="0.2356321069358677"/>
    <n v="415.90795918367348"/>
    <n v="2204.5691836734695"/>
    <n v="626.0204081632653"/>
    <n v="9355.9795918367345"/>
    <s v="Good"/>
    <x v="0"/>
  </r>
  <r>
    <x v="35"/>
    <x v="2"/>
    <x v="2"/>
    <x v="4"/>
    <x v="0"/>
    <n v="12548.58"/>
    <n v="338574"/>
    <n v="13212"/>
    <n v="106506.99"/>
    <n v="57"/>
    <n v="3.9022488436796683E-2"/>
    <n v="0.9497865576748411"/>
    <n v="37.063034964291411"/>
    <n v="8.4875730959200162"/>
    <n v="7.4875730959200171"/>
    <n v="2024"/>
    <s v="May"/>
    <s v="Q2"/>
    <x v="16"/>
    <n v="8.0613828337874658"/>
    <n v="0.31457521841606267"/>
    <n v="220.15052631578948"/>
    <n v="1868.5436842105264"/>
    <n v="231.78947368421052"/>
    <n v="5939.894736842105"/>
    <s v="Medium"/>
    <x v="0"/>
  </r>
  <r>
    <x v="30"/>
    <x v="1"/>
    <x v="2"/>
    <x v="2"/>
    <x v="1"/>
    <n v="12863.73"/>
    <n v="480888"/>
    <n v="9863"/>
    <n v="217254.66"/>
    <n v="46"/>
    <n v="2.0509973216216667E-2"/>
    <n v="1.3042411031126431"/>
    <n v="26.74995009232919"/>
    <n v="16.888931903887908"/>
    <n v="15.888931903887908"/>
    <n v="2024"/>
    <s v="May"/>
    <s v="Q2"/>
    <x v="16"/>
    <n v="22.027239176721078"/>
    <n v="0.45177808554174775"/>
    <n v="279.64630434782606"/>
    <n v="4722.927391304348"/>
    <n v="214.41304347826087"/>
    <n v="10454.08695652174"/>
    <s v="Medium"/>
    <x v="0"/>
  </r>
  <r>
    <x v="17"/>
    <x v="2"/>
    <x v="0"/>
    <x v="1"/>
    <x v="1"/>
    <n v="33858.1"/>
    <n v="869416"/>
    <n v="31688"/>
    <n v="9853.7099999999991"/>
    <n v="45"/>
    <n v="3.6447454383172151E-2"/>
    <n v="1.068483337541025"/>
    <n v="38.943497704206038"/>
    <n v="0.29102962068160942"/>
    <n v="-0.70897037931839058"/>
    <n v="2024"/>
    <s v="June"/>
    <s v="Q2"/>
    <x v="17"/>
    <n v="0.31096030042918454"/>
    <n v="1.133371136487021E-2"/>
    <n v="752.40222222222224"/>
    <n v="218.97133333333332"/>
    <n v="704.17777777777781"/>
    <n v="19320.355555555554"/>
    <s v="Medium"/>
    <x v="0"/>
  </r>
  <r>
    <x v="42"/>
    <x v="1"/>
    <x v="2"/>
    <x v="1"/>
    <x v="1"/>
    <n v="12378.01"/>
    <n v="453601"/>
    <n v="43233"/>
    <n v="5020.96"/>
    <n v="25"/>
    <n v="9.5310636440395849E-2"/>
    <n v="0.28630930076561883"/>
    <n v="27.288321674775851"/>
    <n v="0.40563547775450171"/>
    <n v="-0.59436452224549829"/>
    <n v="2024"/>
    <s v="June"/>
    <s v="Q2"/>
    <x v="17"/>
    <n v="0.11613721000161914"/>
    <n v="1.1069111399666227E-2"/>
    <n v="495.12040000000002"/>
    <n v="200.83840000000001"/>
    <n v="1729.32"/>
    <n v="18144.04"/>
    <s v="Good"/>
    <x v="0"/>
  </r>
  <r>
    <x v="15"/>
    <x v="0"/>
    <x v="0"/>
    <x v="3"/>
    <x v="0"/>
    <n v="11048.07"/>
    <n v="547756"/>
    <n v="44145"/>
    <n v="195376.16"/>
    <n v="27"/>
    <n v="8.0592453574219181E-2"/>
    <n v="0.25026775399252466"/>
    <n v="20.169692344766649"/>
    <n v="17.684189184174251"/>
    <n v="16.684189184174251"/>
    <n v="2024"/>
    <s v="June"/>
    <s v="Q2"/>
    <x v="17"/>
    <n v="4.4257823083021863"/>
    <n v="0.35668465521144455"/>
    <n v="409.18777777777774"/>
    <n v="7236.1540740740738"/>
    <n v="1635"/>
    <n v="20287.259259259259"/>
    <s v="Good"/>
    <x v="0"/>
  </r>
  <r>
    <x v="36"/>
    <x v="0"/>
    <x v="3"/>
    <x v="5"/>
    <x v="1"/>
    <n v="15938.59"/>
    <n v="679987"/>
    <n v="33370"/>
    <n v="154197.70000000001"/>
    <n v="12"/>
    <n v="4.9074467600115884E-2"/>
    <n v="0.47763230446508842"/>
    <n v="23.439551050240667"/>
    <n v="9.6744881448108018"/>
    <n v="8.6744881448108035"/>
    <n v="2024"/>
    <s v="June"/>
    <s v="Q2"/>
    <x v="17"/>
    <n v="4.6208480671261611"/>
    <n v="0.22676565875524093"/>
    <n v="1328.2158333333334"/>
    <n v="12849.808333333334"/>
    <n v="2780.8333333333335"/>
    <n v="56665.583333333336"/>
    <s v="Medium"/>
    <x v="0"/>
  </r>
  <r>
    <x v="19"/>
    <x v="1"/>
    <x v="2"/>
    <x v="5"/>
    <x v="1"/>
    <n v="33820.239999999998"/>
    <n v="111605"/>
    <n v="15321"/>
    <n v="77850.39"/>
    <n v="52"/>
    <n v="0.13727879575287846"/>
    <n v="2.207443378369558"/>
    <n v="303.03516867523854"/>
    <n v="2.3018875679179098"/>
    <n v="1.3018875679179096"/>
    <n v="2024"/>
    <s v="June"/>
    <s v="Q2"/>
    <x v="17"/>
    <n v="5.0812864695515962"/>
    <n v="0.69755288741543842"/>
    <n v="650.38923076923072"/>
    <n v="1497.1228846153847"/>
    <n v="294.63461538461536"/>
    <n v="2146.25"/>
    <s v="Excellent"/>
    <x v="0"/>
  </r>
  <r>
    <x v="4"/>
    <x v="2"/>
    <x v="3"/>
    <x v="1"/>
    <x v="0"/>
    <n v="1205.4100000000001"/>
    <n v="112564"/>
    <n v="3320"/>
    <n v="163912.32999999999"/>
    <n v="27"/>
    <n v="2.9494332113286663E-2"/>
    <n v="0.36307530120481929"/>
    <n v="10.70866351586653"/>
    <n v="135.98056263014243"/>
    <n v="134.98056263014243"/>
    <n v="2024"/>
    <s v="June"/>
    <s v="Q2"/>
    <x v="17"/>
    <n v="49.371183734939756"/>
    <n v="1.4561700899044099"/>
    <n v="44.644814814814815"/>
    <n v="6070.8270370370365"/>
    <n v="122.96296296296296"/>
    <n v="4169.0370370370374"/>
    <s v="Medium"/>
    <x v="0"/>
  </r>
  <r>
    <x v="41"/>
    <x v="2"/>
    <x v="1"/>
    <x v="0"/>
    <x v="0"/>
    <n v="16140.44"/>
    <n v="667233"/>
    <n v="12522"/>
    <n v="158044.97"/>
    <n v="12"/>
    <n v="1.8767057384751654E-2"/>
    <n v="1.2889666187509983"/>
    <n v="24.19011050112929"/>
    <n v="9.7918625514546065"/>
    <n v="8.7918625514546065"/>
    <n v="2024"/>
    <s v="June"/>
    <s v="Q2"/>
    <x v="17"/>
    <n v="12.621383964222968"/>
    <n v="0.23686623713155674"/>
    <n v="1345.0366666666666"/>
    <n v="13170.414166666667"/>
    <n v="1043.5"/>
    <n v="55602.75"/>
    <s v="Low"/>
    <x v="0"/>
  </r>
  <r>
    <x v="41"/>
    <x v="2"/>
    <x v="2"/>
    <x v="2"/>
    <x v="1"/>
    <n v="39682.61"/>
    <n v="689068"/>
    <n v="45073"/>
    <n v="179840.69"/>
    <n v="27"/>
    <n v="6.5411541386336328E-2"/>
    <n v="0.88040756106760143"/>
    <n v="57.588815617616838"/>
    <n v="4.5319773573361228"/>
    <n v="3.5319773573361233"/>
    <n v="2024"/>
    <s v="June"/>
    <s v="Q2"/>
    <x v="17"/>
    <n v="3.9899871319858895"/>
    <n v="0.26099120841484441"/>
    <n v="1469.7262962962964"/>
    <n v="6660.7662962962968"/>
    <n v="1669.3703703703704"/>
    <n v="25521.037037037036"/>
    <s v="Good"/>
    <x v="0"/>
  </r>
  <r>
    <x v="2"/>
    <x v="3"/>
    <x v="4"/>
    <x v="4"/>
    <x v="0"/>
    <n v="1296.9100000000001"/>
    <n v="476428"/>
    <n v="38943"/>
    <n v="147041.64000000001"/>
    <n v="13"/>
    <n v="8.1739528323272345E-2"/>
    <n v="3.3302775851886089E-2"/>
    <n v="2.722153189988834"/>
    <n v="113.37844569014041"/>
    <n v="112.37844569014041"/>
    <n v="2024"/>
    <s v="June"/>
    <s v="Q2"/>
    <x v="17"/>
    <n v="3.7758169632539871"/>
    <n v="0.30863349761139147"/>
    <n v="99.762307692307701"/>
    <n v="11310.895384615385"/>
    <n v="2995.6153846153848"/>
    <n v="36648.307692307695"/>
    <s v="Good"/>
    <x v="0"/>
  </r>
  <r>
    <x v="21"/>
    <x v="0"/>
    <x v="3"/>
    <x v="4"/>
    <x v="0"/>
    <n v="10237.969999999999"/>
    <n v="392615"/>
    <n v="7622"/>
    <n v="225150.23"/>
    <n v="38"/>
    <n v="1.9413420271767508E-2"/>
    <n v="1.3432130674363683"/>
    <n v="26.076359792672211"/>
    <n v="21.991686828541209"/>
    <n v="20.991686828541209"/>
    <n v="2024"/>
    <s v="June"/>
    <s v="Q2"/>
    <x v="17"/>
    <n v="29.539521123064812"/>
    <n v="0.57346313818881089"/>
    <n v="269.42026315789474"/>
    <n v="5925.0060526315792"/>
    <n v="200.57894736842104"/>
    <n v="10331.973684210527"/>
    <s v="Low"/>
    <x v="0"/>
  </r>
  <r>
    <x v="55"/>
    <x v="3"/>
    <x v="0"/>
    <x v="4"/>
    <x v="1"/>
    <n v="25482.38"/>
    <n v="838446"/>
    <n v="42809"/>
    <n v="35401.89"/>
    <n v="59"/>
    <n v="5.1057551708756435E-2"/>
    <n v="0.59525753930248315"/>
    <n v="30.392392592963652"/>
    <n v="1.3892693696585641"/>
    <n v="0.38926936965856401"/>
    <n v="2024"/>
    <s v="June"/>
    <s v="Q2"/>
    <x v="17"/>
    <n v="0.82697306641126866"/>
    <n v="4.2223220100042223E-2"/>
    <n v="431.90474576271185"/>
    <n v="600.03203389830503"/>
    <n v="725.57627118644064"/>
    <n v="14210.949152542373"/>
    <s v="Good"/>
    <x v="0"/>
  </r>
  <r>
    <x v="10"/>
    <x v="0"/>
    <x v="2"/>
    <x v="5"/>
    <x v="0"/>
    <n v="13083.32"/>
    <n v="675905"/>
    <n v="36199"/>
    <n v="72240.5"/>
    <n v="24"/>
    <n v="5.3556342977193541E-2"/>
    <n v="0.36142766374761731"/>
    <n v="19.356743921113175"/>
    <n v="5.5215725060611529"/>
    <n v="4.5215725060611529"/>
    <n v="2024"/>
    <s v="June"/>
    <s v="Q2"/>
    <x v="17"/>
    <n v="1.995649051078759"/>
    <n v="0.10687966504168485"/>
    <n v="545.13833333333332"/>
    <n v="3010.0208333333335"/>
    <n v="1508.2916666666667"/>
    <n v="28162.708333333332"/>
    <s v="Good"/>
    <x v="0"/>
  </r>
  <r>
    <x v="1"/>
    <x v="1"/>
    <x v="0"/>
    <x v="3"/>
    <x v="0"/>
    <n v="40772.74"/>
    <n v="338487"/>
    <n v="35988"/>
    <n v="7591.61"/>
    <n v="27"/>
    <n v="0.10632018364073066"/>
    <n v="1.1329537623652328"/>
    <n v="120.45585207112829"/>
    <n v="0.18619327521280149"/>
    <n v="-0.81380672478719851"/>
    <n v="2024"/>
    <s v="June"/>
    <s v="Q2"/>
    <x v="17"/>
    <n v="0.21094837167944869"/>
    <n v="2.2428069615672092E-2"/>
    <n v="1510.1014814814814"/>
    <n v="281.17074074074071"/>
    <n v="1332.8888888888889"/>
    <n v="12536.555555555555"/>
    <s v="Excellent"/>
    <x v="0"/>
  </r>
  <r>
    <x v="26"/>
    <x v="3"/>
    <x v="1"/>
    <x v="2"/>
    <x v="1"/>
    <n v="4929.37"/>
    <n v="853356"/>
    <n v="20802"/>
    <n v="105167.03999999999"/>
    <n v="6"/>
    <n v="2.437669624400602E-2"/>
    <n v="0.23696615710027882"/>
    <n v="5.7764520317429069"/>
    <n v="21.334783146730718"/>
    <n v="20.334783146730718"/>
    <n v="2024"/>
    <s v="June"/>
    <s v="Q2"/>
    <x v="17"/>
    <n v="5.0556215748485718"/>
    <n v="0.12323935145472698"/>
    <n v="821.56166666666661"/>
    <n v="17527.84"/>
    <n v="3467"/>
    <n v="142226"/>
    <s v="Medium"/>
    <x v="0"/>
  </r>
  <r>
    <x v="40"/>
    <x v="0"/>
    <x v="0"/>
    <x v="2"/>
    <x v="0"/>
    <n v="2280.02"/>
    <n v="767065"/>
    <n v="45763"/>
    <n v="115849.56"/>
    <n v="36"/>
    <n v="5.9659872370659589E-2"/>
    <n v="4.9822345563009421E-2"/>
    <n v="2.97239477749604"/>
    <n v="50.810764817852473"/>
    <n v="49.810764817852473"/>
    <n v="2024"/>
    <s v="June"/>
    <s v="Q2"/>
    <x v="17"/>
    <n v="2.5315114830758474"/>
    <n v="0.15102965198516421"/>
    <n v="63.333888888888886"/>
    <n v="3218.0433333333331"/>
    <n v="1271.1944444444443"/>
    <n v="21307.361111111109"/>
    <s v="Good"/>
    <x v="0"/>
  </r>
  <r>
    <x v="46"/>
    <x v="0"/>
    <x v="1"/>
    <x v="5"/>
    <x v="0"/>
    <n v="7634.29"/>
    <n v="39246"/>
    <n v="35485"/>
    <n v="150163.38"/>
    <n v="27"/>
    <n v="0.90416857768944603"/>
    <n v="0.2151413273214034"/>
    <n v="194.52402792641288"/>
    <n v="19.669593374105517"/>
    <n v="18.669593374105517"/>
    <n v="2024"/>
    <s v="June"/>
    <s v="Q2"/>
    <x v="17"/>
    <n v="4.2317424263773429"/>
    <n v="3.8262085308056872"/>
    <n v="282.75148148148151"/>
    <n v="5561.6066666666666"/>
    <n v="1314.2592592592594"/>
    <n v="1453.5555555555557"/>
    <s v="Excellent"/>
    <x v="0"/>
  </r>
  <r>
    <x v="45"/>
    <x v="1"/>
    <x v="2"/>
    <x v="3"/>
    <x v="1"/>
    <n v="22992.41"/>
    <n v="54476"/>
    <n v="16203"/>
    <n v="132082.15"/>
    <n v="12"/>
    <n v="0.29743373228577724"/>
    <n v="1.4190217860889958"/>
    <n v="422.06494603127982"/>
    <n v="5.7445978912171451"/>
    <n v="4.7445978912171451"/>
    <n v="2024"/>
    <s v="June"/>
    <s v="Q2"/>
    <x v="17"/>
    <n v="8.1517095599580323"/>
    <n v="2.4245933989279682"/>
    <n v="1916.0341666666666"/>
    <n v="11006.845833333333"/>
    <n v="1350.25"/>
    <n v="4539.666666666667"/>
    <s v="Excellent"/>
    <x v="0"/>
  </r>
  <r>
    <x v="4"/>
    <x v="2"/>
    <x v="3"/>
    <x v="0"/>
    <x v="2"/>
    <n v="7399.06"/>
    <n v="523911"/>
    <n v="18485"/>
    <n v="83868.28"/>
    <n v="39"/>
    <n v="3.5282710231317918E-2"/>
    <n v="0.40027373546118478"/>
    <n v="14.122742221484184"/>
    <n v="11.334991201585066"/>
    <n v="10.334991201585066"/>
    <n v="2024"/>
    <s v="June"/>
    <s v="Q2"/>
    <x v="17"/>
    <n v="4.5370992696781176"/>
    <n v="0.16008115882277715"/>
    <n v="189.7194871794872"/>
    <n v="2150.4687179487178"/>
    <n v="473.97435897435895"/>
    <n v="13433.615384615385"/>
    <s v="Medium"/>
    <x v="0"/>
  </r>
  <r>
    <x v="58"/>
    <x v="1"/>
    <x v="1"/>
    <x v="1"/>
    <x v="2"/>
    <n v="12239.51"/>
    <n v="374032"/>
    <n v="31665"/>
    <n v="137218.69"/>
    <n v="46"/>
    <n v="8.4658531890319549E-2"/>
    <n v="0.38653118585188695"/>
    <n v="32.723162724045004"/>
    <n v="11.21112609900233"/>
    <n v="10.21112609900233"/>
    <n v="2024"/>
    <s v="June"/>
    <s v="Q2"/>
    <x v="17"/>
    <n v="4.3334498657824101"/>
    <n v="0.36686350365744108"/>
    <n v="266.07630434782607"/>
    <n v="2983.0149999999999"/>
    <n v="688.36956521739125"/>
    <n v="8131.130434782609"/>
    <s v="Good"/>
    <x v="0"/>
  </r>
  <r>
    <x v="4"/>
    <x v="1"/>
    <x v="1"/>
    <x v="2"/>
    <x v="1"/>
    <n v="22381.02"/>
    <n v="651784"/>
    <n v="3913"/>
    <n v="31779.05"/>
    <n v="32"/>
    <n v="6.0035226394020104E-3"/>
    <n v="5.7196575517505748"/>
    <n v="34.338093601561255"/>
    <n v="1.4199107100570036"/>
    <n v="0.41991071005700359"/>
    <n v="2024"/>
    <s v="June"/>
    <s v="Q2"/>
    <x v="17"/>
    <n v="8.1214030155890615"/>
    <n v="4.8757026867796691E-2"/>
    <n v="699.40687500000001"/>
    <n v="993.09531249999998"/>
    <n v="122.28125"/>
    <n v="20368.25"/>
    <s v="Low"/>
    <x v="0"/>
  </r>
  <r>
    <x v="4"/>
    <x v="1"/>
    <x v="3"/>
    <x v="5"/>
    <x v="1"/>
    <n v="41756.550000000003"/>
    <n v="190117"/>
    <n v="49515"/>
    <n v="136595.99"/>
    <n v="19"/>
    <n v="0.26044488393988963"/>
    <n v="0.84331111784307788"/>
    <n v="219.63606621185903"/>
    <n v="3.2712470259156943"/>
    <n v="2.2712470259156943"/>
    <n v="2024"/>
    <s v="June"/>
    <s v="Q2"/>
    <x v="17"/>
    <n v="2.7586789861658083"/>
    <n v="0.71848382837936631"/>
    <n v="2197.7131578947369"/>
    <n v="7189.2626315789466"/>
    <n v="2606.0526315789475"/>
    <n v="10006.157894736842"/>
    <s v="Excellent"/>
    <x v="0"/>
  </r>
  <r>
    <x v="42"/>
    <x v="2"/>
    <x v="2"/>
    <x v="3"/>
    <x v="1"/>
    <n v="10082.89"/>
    <n v="13642"/>
    <n v="49656"/>
    <n v="10570.16"/>
    <n v="14"/>
    <n v="3.6399354933294239"/>
    <n v="0.20305481714193652"/>
    <n v="739.10643600645062"/>
    <n v="1.0483264222856741"/>
    <n v="4.8326422285674096E-2"/>
    <n v="2024"/>
    <s v="June"/>
    <s v="Q2"/>
    <x v="17"/>
    <n v="0.21286772998227807"/>
    <n v="0.77482480574695789"/>
    <n v="720.20642857142855"/>
    <n v="755.01142857142861"/>
    <n v="3546.8571428571427"/>
    <n v="974.42857142857144"/>
    <s v="Excellent"/>
    <x v="1"/>
  </r>
  <r>
    <x v="10"/>
    <x v="3"/>
    <x v="1"/>
    <x v="5"/>
    <x v="1"/>
    <n v="1108.8599999999999"/>
    <n v="471477"/>
    <n v="23115"/>
    <n v="181995.85"/>
    <n v="42"/>
    <n v="4.9026781794233865E-2"/>
    <n v="4.797144711226476E-2"/>
    <n v="2.3518856699266348"/>
    <n v="164.12878992839495"/>
    <n v="163.12878992839495"/>
    <n v="2024"/>
    <s v="June"/>
    <s v="Q2"/>
    <x v="17"/>
    <n v="7.8734955656500114"/>
    <n v="0.38601214905499104"/>
    <n v="26.401428571428568"/>
    <n v="4333.234523809524"/>
    <n v="550.35714285714289"/>
    <n v="11225.642857142857"/>
    <s v="Medium"/>
    <x v="0"/>
  </r>
  <r>
    <x v="47"/>
    <x v="3"/>
    <x v="0"/>
    <x v="5"/>
    <x v="2"/>
    <n v="14071.26"/>
    <n v="741963"/>
    <n v="40240"/>
    <n v="137896.6"/>
    <n v="8"/>
    <n v="5.4234510346203246E-2"/>
    <n v="0.3496833996023857"/>
    <n v="18.964907953631112"/>
    <n v="9.7998757751615706"/>
    <n v="8.7998757751615706"/>
    <n v="2024"/>
    <s v="June"/>
    <s v="Q2"/>
    <x v="17"/>
    <n v="3.4268538767395627"/>
    <n v="0.18585374203295851"/>
    <n v="1758.9075"/>
    <n v="17237.075000000001"/>
    <n v="5030"/>
    <n v="92745.375"/>
    <s v="Good"/>
    <x v="0"/>
  </r>
  <r>
    <x v="29"/>
    <x v="2"/>
    <x v="0"/>
    <x v="1"/>
    <x v="0"/>
    <n v="10361.290000000001"/>
    <n v="661034"/>
    <n v="16070"/>
    <n v="139247.51"/>
    <n v="35"/>
    <n v="2.4310398557411569E-2"/>
    <n v="0.64475980087118856"/>
    <n v="15.674367732975915"/>
    <n v="13.439205928991466"/>
    <n v="12.439205928991466"/>
    <n v="2024"/>
    <s v="June"/>
    <s v="Q2"/>
    <x v="17"/>
    <n v="8.6650597386434356"/>
    <n v="0.21065105577020246"/>
    <n v="296.03685714285717"/>
    <n v="3978.5002857142858"/>
    <n v="459.14285714285717"/>
    <n v="18886.685714285715"/>
    <s v="Medium"/>
    <x v="0"/>
  </r>
  <r>
    <x v="2"/>
    <x v="2"/>
    <x v="0"/>
    <x v="3"/>
    <x v="2"/>
    <n v="3077.48"/>
    <n v="688998"/>
    <n v="22462"/>
    <n v="8099.78"/>
    <n v="33"/>
    <n v="3.2600965459986822E-2"/>
    <n v="0.13700828065176743"/>
    <n v="4.4666022252604511"/>
    <n v="2.6319521166668833"/>
    <n v="1.6319521166668831"/>
    <n v="2024"/>
    <s v="June"/>
    <s v="Q2"/>
    <x v="17"/>
    <n v="0.36059923426230966"/>
    <n v="1.1755883181083254E-2"/>
    <n v="93.256969696969691"/>
    <n v="245.44787878787878"/>
    <n v="680.66666666666663"/>
    <n v="20878.727272727272"/>
    <s v="Medium"/>
    <x v="0"/>
  </r>
  <r>
    <x v="0"/>
    <x v="0"/>
    <x v="4"/>
    <x v="0"/>
    <x v="0"/>
    <n v="6750.62"/>
    <n v="18248"/>
    <n v="25854"/>
    <n v="232239.31"/>
    <n v="61"/>
    <n v="1.4168128014028936"/>
    <n v="0.2611054382300611"/>
    <n v="369.93752740026304"/>
    <n v="34.402663755329144"/>
    <n v="33.402663755329144"/>
    <n v="2024"/>
    <s v="July"/>
    <s v="Q3"/>
    <x v="18"/>
    <n v="8.9827225961166555"/>
    <n v="12.72683636562911"/>
    <n v="110.66590163934426"/>
    <n v="3807.2018032786887"/>
    <n v="423.8360655737705"/>
    <n v="299.14754098360658"/>
    <s v="Excellent"/>
    <x v="1"/>
  </r>
  <r>
    <x v="37"/>
    <x v="1"/>
    <x v="0"/>
    <x v="4"/>
    <x v="1"/>
    <n v="48327.97"/>
    <n v="448620"/>
    <n v="35728"/>
    <n v="14007.47"/>
    <n v="38"/>
    <n v="7.9639784227185595E-2"/>
    <n v="1.3526637371249441"/>
    <n v="107.72584815656903"/>
    <n v="0.28984188659279503"/>
    <n v="-0.71015811340720492"/>
    <n v="2024"/>
    <s v="July"/>
    <s v="Q3"/>
    <x v="18"/>
    <n v="0.39205860949395432"/>
    <n v="3.1223463064508936E-2"/>
    <n v="1271.7886842105263"/>
    <n v="368.61763157894734"/>
    <n v="940.21052631578948"/>
    <n v="11805.78947368421"/>
    <s v="Good"/>
    <x v="0"/>
  </r>
  <r>
    <x v="23"/>
    <x v="1"/>
    <x v="4"/>
    <x v="5"/>
    <x v="0"/>
    <n v="24186.080000000002"/>
    <n v="802682"/>
    <n v="48986"/>
    <n v="148473.96"/>
    <n v="6"/>
    <n v="6.1027903952000917E-2"/>
    <n v="0.49373453639815462"/>
    <n v="30.131583865092278"/>
    <n v="6.1388186924048869"/>
    <n v="5.1388186924048869"/>
    <n v="2024"/>
    <s v="July"/>
    <s v="Q3"/>
    <x v="18"/>
    <n v="3.0309468011268526"/>
    <n v="0.18497233026279397"/>
    <n v="4031.0133333333338"/>
    <n v="24745.66"/>
    <n v="8164.333333333333"/>
    <n v="133780.33333333334"/>
    <s v="Good"/>
    <x v="0"/>
  </r>
  <r>
    <x v="7"/>
    <x v="2"/>
    <x v="0"/>
    <x v="5"/>
    <x v="1"/>
    <n v="24999.74"/>
    <n v="934481"/>
    <n v="15543"/>
    <n v="121684.26"/>
    <n v="49"/>
    <n v="1.6632761928813963E-2"/>
    <n v="1.6084243710995305"/>
    <n v="26.752539645000809"/>
    <n v="4.86742102117862"/>
    <n v="3.8674210211786195"/>
    <n v="2024"/>
    <s v="July"/>
    <s v="Q3"/>
    <x v="18"/>
    <n v="7.8288785948658557"/>
    <n v="0.13021587383799135"/>
    <n v="510.19877551020409"/>
    <n v="2483.3522448979593"/>
    <n v="317.20408163265307"/>
    <n v="19071.040816326531"/>
    <s v="Low"/>
    <x v="0"/>
  </r>
  <r>
    <x v="53"/>
    <x v="2"/>
    <x v="4"/>
    <x v="1"/>
    <x v="0"/>
    <n v="7325.4"/>
    <n v="846979"/>
    <n v="3470"/>
    <n v="153739.99"/>
    <n v="52"/>
    <n v="4.0969138550070311E-3"/>
    <n v="2.1110662824207491"/>
    <n v="8.6488567012877535"/>
    <n v="20.987248477898817"/>
    <n v="19.987248477898817"/>
    <n v="2024"/>
    <s v="July"/>
    <s v="Q3"/>
    <x v="18"/>
    <n v="44.305472622478383"/>
    <n v="0.18151570463966638"/>
    <n v="140.87307692307692"/>
    <n v="2956.5382692307689"/>
    <n v="66.730769230769226"/>
    <n v="16288.057692307691"/>
    <s v="Low"/>
    <x v="0"/>
  </r>
  <r>
    <x v="17"/>
    <x v="1"/>
    <x v="0"/>
    <x v="3"/>
    <x v="2"/>
    <n v="155.11000000000001"/>
    <n v="957170"/>
    <n v="44369"/>
    <n v="17361.72"/>
    <n v="34"/>
    <n v="4.6354357115245985E-2"/>
    <n v="3.4959093060470152E-3"/>
    <n v="0.16205062841501511"/>
    <n v="111.93166140158597"/>
    <n v="110.93166140158597"/>
    <n v="2024"/>
    <s v="July"/>
    <s v="Q3"/>
    <x v="18"/>
    <n v="0.39130293673510785"/>
    <n v="1.8138596069663698E-2"/>
    <n v="4.5620588235294122"/>
    <n v="510.63882352941181"/>
    <n v="1304.9705882352941"/>
    <n v="28152.058823529413"/>
    <s v="Medium"/>
    <x v="0"/>
  </r>
  <r>
    <x v="53"/>
    <x v="2"/>
    <x v="4"/>
    <x v="0"/>
    <x v="0"/>
    <n v="26860.99"/>
    <n v="20060"/>
    <n v="22055"/>
    <n v="5358.2"/>
    <n v="28"/>
    <n v="1.0994516450648055"/>
    <n v="1.2179093176150533"/>
    <n v="1339.0324027916251"/>
    <n v="0.19947887252107982"/>
    <n v="-0.80052112747892012"/>
    <n v="2024"/>
    <s v="July"/>
    <s v="Q3"/>
    <x v="18"/>
    <n v="0.24294717751076852"/>
    <n v="0.26710867397806581"/>
    <n v="959.32107142857149"/>
    <n v="191.3642857142857"/>
    <n v="787.67857142857144"/>
    <n v="716.42857142857144"/>
    <s v="Excellent"/>
    <x v="1"/>
  </r>
  <r>
    <x v="2"/>
    <x v="3"/>
    <x v="0"/>
    <x v="5"/>
    <x v="2"/>
    <n v="3406.96"/>
    <n v="815625"/>
    <n v="5973"/>
    <n v="42785.71"/>
    <n v="16"/>
    <n v="7.3232183908045973E-3"/>
    <n v="0.57039343713376867"/>
    <n v="4.177115708812261"/>
    <n v="12.558324723507173"/>
    <n v="11.558324723507173"/>
    <n v="2024"/>
    <s v="July"/>
    <s v="Q3"/>
    <x v="18"/>
    <n v="7.1631860036832409"/>
    <n v="5.2457575478927203E-2"/>
    <n v="212.935"/>
    <n v="2674.1068749999999"/>
    <n v="373.3125"/>
    <n v="50976.5625"/>
    <s v="Low"/>
    <x v="0"/>
  </r>
  <r>
    <x v="48"/>
    <x v="1"/>
    <x v="2"/>
    <x v="3"/>
    <x v="2"/>
    <n v="5473.61"/>
    <n v="450552"/>
    <n v="25624"/>
    <n v="226685.43"/>
    <n v="35"/>
    <n v="5.6872458672916779E-2"/>
    <n v="0.21361262878551357"/>
    <n v="12.148675402617235"/>
    <n v="41.414245808524903"/>
    <n v="40.41424580852491"/>
    <n v="2024"/>
    <s v="July"/>
    <s v="Q3"/>
    <x v="18"/>
    <n v="8.846605916328441"/>
    <n v="0.50312822937197033"/>
    <n v="156.38885714285712"/>
    <n v="6476.7265714285713"/>
    <n v="732.11428571428576"/>
    <n v="12872.914285714285"/>
    <s v="Good"/>
    <x v="0"/>
  </r>
  <r>
    <x v="33"/>
    <x v="0"/>
    <x v="3"/>
    <x v="3"/>
    <x v="1"/>
    <n v="22504.11"/>
    <n v="393588"/>
    <n v="25822"/>
    <n v="59710.13"/>
    <n v="40"/>
    <n v="6.5606675000254078E-2"/>
    <n v="0.87150917822012242"/>
    <n v="57.17681941522607"/>
    <n v="2.6532988862923261"/>
    <n v="1.6532988862923259"/>
    <n v="2024"/>
    <s v="July"/>
    <s v="Q3"/>
    <x v="18"/>
    <n v="2.3123743319649912"/>
    <n v="0.15170719127615678"/>
    <n v="562.60275000000001"/>
    <n v="1492.75325"/>
    <n v="645.54999999999995"/>
    <n v="9839.7000000000007"/>
    <s v="Good"/>
    <x v="0"/>
  </r>
  <r>
    <x v="2"/>
    <x v="2"/>
    <x v="4"/>
    <x v="4"/>
    <x v="1"/>
    <n v="4186.1099999999997"/>
    <n v="933685"/>
    <n v="49577"/>
    <n v="192164.47"/>
    <n v="36"/>
    <n v="5.3098207639621503E-2"/>
    <n v="8.4436533069770253E-2"/>
    <n v="4.4834285653084276"/>
    <n v="45.905260492438089"/>
    <n v="44.905260492438096"/>
    <n v="2024"/>
    <s v="July"/>
    <s v="Q3"/>
    <x v="18"/>
    <n v="3.8760810456461665"/>
    <n v="0.20581295618972137"/>
    <n v="116.28083333333332"/>
    <n v="5337.9019444444448"/>
    <n v="1377.1388888888889"/>
    <n v="25935.694444444445"/>
    <s v="Good"/>
    <x v="0"/>
  </r>
  <r>
    <x v="32"/>
    <x v="1"/>
    <x v="0"/>
    <x v="3"/>
    <x v="1"/>
    <n v="12839.87"/>
    <n v="347471"/>
    <n v="30336"/>
    <n v="178672.7"/>
    <n v="37"/>
    <n v="8.7305127622161277E-2"/>
    <n v="0.42325520833333335"/>
    <n v="36.952349980286122"/>
    <n v="13.91546020325751"/>
    <n v="12.91546020325751"/>
    <n v="2024"/>
    <s v="July"/>
    <s v="Q3"/>
    <x v="18"/>
    <n v="5.889791007383967"/>
    <n v="0.514208955567515"/>
    <n v="347.02351351351354"/>
    <n v="4828.991891891892"/>
    <n v="819.89189189189187"/>
    <n v="9391.1081081081084"/>
    <s v="Good"/>
    <x v="0"/>
  </r>
  <r>
    <x v="42"/>
    <x v="0"/>
    <x v="0"/>
    <x v="1"/>
    <x v="0"/>
    <n v="29460.68"/>
    <n v="165287"/>
    <n v="28266"/>
    <n v="36224.15"/>
    <n v="8"/>
    <n v="0.17101163430880831"/>
    <n v="1.0422656194721573"/>
    <n v="178.23954696981613"/>
    <n v="1.2295761672846655"/>
    <n v="0.22957616728466557"/>
    <n v="2024"/>
    <s v="July"/>
    <s v="Q3"/>
    <x v="18"/>
    <n v="1.281544965683153"/>
    <n v="0.21915909902170166"/>
    <n v="3682.585"/>
    <n v="4528.0187500000002"/>
    <n v="3533.25"/>
    <n v="20660.875"/>
    <s v="Excellent"/>
    <x v="0"/>
  </r>
  <r>
    <x v="40"/>
    <x v="1"/>
    <x v="4"/>
    <x v="0"/>
    <x v="2"/>
    <n v="41017.94"/>
    <n v="705558"/>
    <n v="4184"/>
    <n v="62726.21"/>
    <n v="58"/>
    <n v="5.9300581950739702E-3"/>
    <n v="9.8035229445506697"/>
    <n v="58.135461577928389"/>
    <n v="1.5292384259180249"/>
    <n v="0.52923842591802506"/>
    <n v="2024"/>
    <s v="July"/>
    <s v="Q3"/>
    <x v="18"/>
    <n v="14.991923996175908"/>
    <n v="8.8902981753449045E-2"/>
    <n v="707.20586206896553"/>
    <n v="1081.4863793103448"/>
    <n v="72.137931034482762"/>
    <n v="12164.793103448275"/>
    <s v="Low"/>
    <x v="0"/>
  </r>
  <r>
    <x v="55"/>
    <x v="1"/>
    <x v="0"/>
    <x v="0"/>
    <x v="1"/>
    <n v="7579.66"/>
    <n v="836596"/>
    <n v="22627"/>
    <n v="224067.89"/>
    <n v="42"/>
    <n v="2.7046507513782042E-2"/>
    <n v="0.33498298492950901"/>
    <n v="9.0601198188851004"/>
    <n v="29.561733639767485"/>
    <n v="28.561733639767485"/>
    <n v="2024"/>
    <s v="July"/>
    <s v="Q3"/>
    <x v="18"/>
    <n v="9.9026777743403898"/>
    <n v="0.26783284883025976"/>
    <n v="180.46809523809523"/>
    <n v="5334.9497619047625"/>
    <n v="538.73809523809518"/>
    <n v="19918.952380952382"/>
    <s v="Medium"/>
    <x v="0"/>
  </r>
  <r>
    <x v="43"/>
    <x v="3"/>
    <x v="2"/>
    <x v="3"/>
    <x v="0"/>
    <n v="20764.2"/>
    <n v="946615"/>
    <n v="31736"/>
    <n v="177603.64"/>
    <n v="11"/>
    <n v="3.3525773413689834E-2"/>
    <n v="0.6542790521804891"/>
    <n v="21.935211252726823"/>
    <n v="8.553358183797112"/>
    <n v="7.553358183797112"/>
    <n v="2024"/>
    <s v="July"/>
    <s v="Q3"/>
    <x v="18"/>
    <n v="5.5962830854550045"/>
    <n v="0.18761971868182947"/>
    <n v="1887.6545454545455"/>
    <n v="16145.785454545456"/>
    <n v="2885.090909090909"/>
    <n v="86055.909090909088"/>
    <s v="Medium"/>
    <x v="0"/>
  </r>
  <r>
    <x v="28"/>
    <x v="2"/>
    <x v="3"/>
    <x v="3"/>
    <x v="1"/>
    <n v="7204.66"/>
    <n v="652865"/>
    <n v="22585"/>
    <n v="94651.42"/>
    <n v="22"/>
    <n v="3.459367556845596E-2"/>
    <n v="0.31900199247288025"/>
    <n v="11.035451433297849"/>
    <n v="13.13752765571172"/>
    <n v="12.13752765571172"/>
    <n v="2024"/>
    <s v="July"/>
    <s v="Q3"/>
    <x v="18"/>
    <n v="4.1908974983396057"/>
    <n v="0.14497854839821403"/>
    <n v="327.48454545454547"/>
    <n v="4302.3372727272726"/>
    <n v="1026.590909090909"/>
    <n v="29675.68181818182"/>
    <s v="Medium"/>
    <x v="0"/>
  </r>
  <r>
    <x v="16"/>
    <x v="2"/>
    <x v="1"/>
    <x v="4"/>
    <x v="1"/>
    <n v="19444.490000000002"/>
    <n v="810441"/>
    <n v="32122"/>
    <n v="241794.53"/>
    <n v="47"/>
    <n v="3.9635210953049019E-2"/>
    <n v="0.60533248241080884"/>
    <n v="23.992480637085244"/>
    <n v="12.435118123437539"/>
    <n v="11.435118123437539"/>
    <n v="2024"/>
    <s v="July"/>
    <s v="Q3"/>
    <x v="18"/>
    <n v="7.5273809227320836"/>
    <n v="0.29834933079644294"/>
    <n v="413.71255319148941"/>
    <n v="5144.5644680851065"/>
    <n v="683.44680851063833"/>
    <n v="17243.425531914894"/>
    <s v="Medium"/>
    <x v="0"/>
  </r>
  <r>
    <x v="12"/>
    <x v="0"/>
    <x v="4"/>
    <x v="1"/>
    <x v="1"/>
    <n v="23507.62"/>
    <n v="931068"/>
    <n v="31275"/>
    <n v="121974.89"/>
    <n v="16"/>
    <n v="3.3590457410199899E-2"/>
    <n v="0.75164252597921655"/>
    <n v="25.248016256599946"/>
    <n v="5.1887383750460492"/>
    <n v="4.1887383750460492"/>
    <n v="2024"/>
    <s v="July"/>
    <s v="Q3"/>
    <x v="18"/>
    <n v="3.900076418864908"/>
    <n v="0.13100535084440665"/>
    <n v="1469.2262499999999"/>
    <n v="7623.430625"/>
    <n v="1954.6875"/>
    <n v="58191.75"/>
    <s v="Medium"/>
    <x v="0"/>
  </r>
  <r>
    <x v="32"/>
    <x v="3"/>
    <x v="4"/>
    <x v="3"/>
    <x v="2"/>
    <n v="15726.56"/>
    <n v="53768"/>
    <n v="6919"/>
    <n v="13722.02"/>
    <n v="36"/>
    <n v="0.12868248772504093"/>
    <n v="2.2729527388350919"/>
    <n v="292.48921291474483"/>
    <n v="0.87253792310587952"/>
    <n v="-0.12746207689412045"/>
    <n v="2024"/>
    <s v="July"/>
    <s v="Q3"/>
    <x v="18"/>
    <n v="1.9832374620609916"/>
    <n v="0.25520793036750483"/>
    <n v="436.84888888888889"/>
    <n v="381.16722222222222"/>
    <n v="192.19444444444446"/>
    <n v="1493.5555555555557"/>
    <s v="Excellent"/>
    <x v="0"/>
  </r>
  <r>
    <x v="20"/>
    <x v="0"/>
    <x v="4"/>
    <x v="1"/>
    <x v="1"/>
    <n v="28533.58"/>
    <n v="545456"/>
    <n v="27947"/>
    <n v="106189.75"/>
    <n v="10"/>
    <n v="5.1236030037253237E-2"/>
    <n v="1.0209890149211007"/>
    <n v="52.311423836203112"/>
    <n v="3.7215712153890257"/>
    <n v="2.7215712153890257"/>
    <n v="2024"/>
    <s v="July"/>
    <s v="Q3"/>
    <x v="18"/>
    <n v="3.7996833291587646"/>
    <n v="0.19468068918482884"/>
    <n v="2853.3580000000002"/>
    <n v="10618.975"/>
    <n v="2794.7"/>
    <n v="54545.599999999999"/>
    <s v="Good"/>
    <x v="0"/>
  </r>
  <r>
    <x v="46"/>
    <x v="2"/>
    <x v="3"/>
    <x v="3"/>
    <x v="0"/>
    <n v="15247.93"/>
    <n v="347408"/>
    <n v="12463"/>
    <n v="245289.78"/>
    <n v="54"/>
    <n v="3.5874245843503891E-2"/>
    <n v="1.2234558292545936"/>
    <n v="43.890555197347211"/>
    <n v="16.086759317494241"/>
    <n v="15.086759317494243"/>
    <n v="2024"/>
    <s v="July"/>
    <s v="Q3"/>
    <x v="18"/>
    <n v="19.681439460803979"/>
    <n v="0.70605679777092067"/>
    <n v="282.36907407407409"/>
    <n v="4542.4033333333336"/>
    <n v="230.7962962962963"/>
    <n v="6433.4814814814818"/>
    <s v="Medium"/>
    <x v="0"/>
  </r>
  <r>
    <x v="43"/>
    <x v="0"/>
    <x v="2"/>
    <x v="0"/>
    <x v="1"/>
    <n v="79.489999999999995"/>
    <n v="189708"/>
    <n v="5518"/>
    <n v="127465.31"/>
    <n v="36"/>
    <n v="2.9086807093006095E-2"/>
    <n v="1.4405581732511779E-2"/>
    <n v="0.4190123769161026"/>
    <n v="1603.5389357151844"/>
    <n v="1602.5389357151844"/>
    <n v="2024"/>
    <s v="July"/>
    <s v="Q3"/>
    <x v="18"/>
    <n v="23.099911199710039"/>
    <n v="0.67190266093153683"/>
    <n v="2.2080555555555552"/>
    <n v="3540.7030555555557"/>
    <n v="153.27777777777777"/>
    <n v="5269.666666666667"/>
    <s v="Medium"/>
    <x v="0"/>
  </r>
  <r>
    <x v="27"/>
    <x v="2"/>
    <x v="0"/>
    <x v="1"/>
    <x v="0"/>
    <n v="4446.21"/>
    <n v="330704"/>
    <n v="29827"/>
    <n v="74390.31"/>
    <n v="52"/>
    <n v="9.0192437950553969E-2"/>
    <n v="0.14906661749421665"/>
    <n v="13.444681648846098"/>
    <n v="16.731173291409988"/>
    <n v="15.731173291409986"/>
    <n v="2024"/>
    <s v="July"/>
    <s v="Q3"/>
    <x v="18"/>
    <n v="2.4940594092600663"/>
    <n v="0.22494529851468381"/>
    <n v="85.504038461538457"/>
    <n v="1430.5828846153845"/>
    <n v="573.59615384615381"/>
    <n v="6359.6923076923076"/>
    <s v="Good"/>
    <x v="0"/>
  </r>
  <r>
    <x v="59"/>
    <x v="0"/>
    <x v="3"/>
    <x v="5"/>
    <x v="1"/>
    <n v="22283.49"/>
    <n v="826808"/>
    <n v="45351"/>
    <n v="11571.98"/>
    <n v="44"/>
    <n v="5.4850702944335326E-2"/>
    <n v="0.49135608917113188"/>
    <n v="26.951226887016094"/>
    <n v="0.51930734368808473"/>
    <n v="-0.48069265631191527"/>
    <n v="2024"/>
    <s v="July"/>
    <s v="Q3"/>
    <x v="18"/>
    <n v="0.25516482547242619"/>
    <n v="1.3995970043831215E-2"/>
    <n v="506.4429545454546"/>
    <n v="262.99954545454545"/>
    <n v="1030.7045454545455"/>
    <n v="18791.090909090908"/>
    <s v="Good"/>
    <x v="0"/>
  </r>
  <r>
    <x v="4"/>
    <x v="3"/>
    <x v="1"/>
    <x v="3"/>
    <x v="1"/>
    <n v="921.82"/>
    <n v="454579"/>
    <n v="44470"/>
    <n v="129627.18"/>
    <n v="37"/>
    <n v="9.7826780383607689E-2"/>
    <n v="2.072903080728581E-2"/>
    <n v="2.0278543443493873"/>
    <n v="140.62092382460781"/>
    <n v="139.62092382460781"/>
    <n v="2024"/>
    <s v="July"/>
    <s v="Q3"/>
    <x v="18"/>
    <n v="2.9149354621092871"/>
    <n v="0.28515875128415519"/>
    <n v="24.914054054054056"/>
    <n v="3503.4372972972969"/>
    <n v="1201.8918918918919"/>
    <n v="12285.918918918918"/>
    <s v="Good"/>
    <x v="0"/>
  </r>
  <r>
    <x v="11"/>
    <x v="3"/>
    <x v="1"/>
    <x v="2"/>
    <x v="0"/>
    <n v="10488.07"/>
    <n v="947758"/>
    <n v="37698"/>
    <n v="70923.570000000007"/>
    <n v="17"/>
    <n v="3.9775976567858043E-2"/>
    <n v="0.27821290254124886"/>
    <n v="11.066189892356489"/>
    <n v="6.7623089853519289"/>
    <n v="5.7623089853519289"/>
    <n v="2024"/>
    <s v="July"/>
    <s v="Q3"/>
    <x v="18"/>
    <n v="1.8813616106955278"/>
    <n v="7.4832995342692971E-2"/>
    <n v="616.94529411764699"/>
    <n v="4171.9747058823532"/>
    <n v="2217.5294117647059"/>
    <n v="55750.470588235294"/>
    <s v="Medium"/>
    <x v="0"/>
  </r>
  <r>
    <x v="34"/>
    <x v="1"/>
    <x v="2"/>
    <x v="1"/>
    <x v="0"/>
    <n v="6291.21"/>
    <n v="145073"/>
    <n v="37788"/>
    <n v="55526.33"/>
    <n v="34"/>
    <n v="0.26047576047920701"/>
    <n v="0.16648697999364878"/>
    <n v="43.365822723732194"/>
    <n v="8.826017570546842"/>
    <n v="7.8260175705468429"/>
    <n v="2024"/>
    <s v="July"/>
    <s v="Q3"/>
    <x v="18"/>
    <n v="1.4694170106912248"/>
    <n v="0.38274751332087986"/>
    <n v="185.03558823529411"/>
    <n v="1633.1273529411765"/>
    <n v="1111.4117647058824"/>
    <n v="4266.8529411764703"/>
    <s v="Excellent"/>
    <x v="0"/>
  </r>
  <r>
    <x v="24"/>
    <x v="0"/>
    <x v="0"/>
    <x v="3"/>
    <x v="0"/>
    <n v="4423.67"/>
    <n v="339861"/>
    <n v="29656"/>
    <n v="156755.44"/>
    <n v="16"/>
    <n v="8.7259203027119911E-2"/>
    <n v="0.14916610466684652"/>
    <n v="13.016115411888977"/>
    <n v="35.435608894876879"/>
    <n v="34.435608894876879"/>
    <n v="2024"/>
    <s v="July"/>
    <s v="Q3"/>
    <x v="18"/>
    <n v="5.2857917453466419"/>
    <n v="0.46123397506627711"/>
    <n v="276.479375"/>
    <n v="9797.2150000000001"/>
    <n v="1853.5"/>
    <n v="21241.3125"/>
    <s v="Good"/>
    <x v="0"/>
  </r>
  <r>
    <x v="59"/>
    <x v="3"/>
    <x v="4"/>
    <x v="3"/>
    <x v="0"/>
    <n v="52998.23"/>
    <n v="72471"/>
    <n v="22994"/>
    <n v="93410.34"/>
    <n v="36"/>
    <n v="0.31728553490361661"/>
    <n v="2.3048721405584067"/>
    <n v="731.30259000151784"/>
    <n v="1.7625181067367719"/>
    <n v="0.76251810673677201"/>
    <n v="2024"/>
    <s v="July"/>
    <s v="Q3"/>
    <x v="18"/>
    <n v="4.0623788814473336"/>
    <n v="1.2889340563811731"/>
    <n v="1472.1730555555557"/>
    <n v="2594.7316666666666"/>
    <n v="638.72222222222217"/>
    <n v="2013.0833333333333"/>
    <s v="Excellent"/>
    <x v="0"/>
  </r>
  <r>
    <x v="33"/>
    <x v="0"/>
    <x v="1"/>
    <x v="4"/>
    <x v="1"/>
    <n v="7308.87"/>
    <n v="918211"/>
    <n v="24065"/>
    <n v="214566.22"/>
    <n v="33"/>
    <n v="2.620857297505693E-2"/>
    <n v="0.30371369208393934"/>
    <n v="7.9599024625058945"/>
    <n v="29.356962156940813"/>
    <n v="28.356962156940813"/>
    <n v="2024"/>
    <s v="July"/>
    <s v="Q3"/>
    <x v="18"/>
    <n v="8.9161113650529824"/>
    <n v="0.23367855536472554"/>
    <n v="221.48090909090908"/>
    <n v="6502.0066666666671"/>
    <n v="729.24242424242425"/>
    <n v="27824.575757575756"/>
    <s v="Medium"/>
    <x v="0"/>
  </r>
  <r>
    <x v="10"/>
    <x v="2"/>
    <x v="1"/>
    <x v="1"/>
    <x v="0"/>
    <n v="8194.74"/>
    <n v="281212"/>
    <n v="26814"/>
    <n v="100067.99"/>
    <n v="10"/>
    <n v="9.5351549720495574E-2"/>
    <n v="0.30561423137167149"/>
    <n v="29.140790577926975"/>
    <n v="12.211246482499751"/>
    <n v="11.21124648249975"/>
    <n v="2024"/>
    <s v="July"/>
    <s v="Q3"/>
    <x v="18"/>
    <n v="3.7319307078391888"/>
    <n v="0.35584537644197262"/>
    <n v="819.47399999999993"/>
    <n v="10006.799000000001"/>
    <n v="2681.4"/>
    <n v="28121.200000000001"/>
    <s v="Good"/>
    <x v="0"/>
  </r>
  <r>
    <x v="45"/>
    <x v="3"/>
    <x v="0"/>
    <x v="2"/>
    <x v="0"/>
    <n v="29306.65"/>
    <n v="615711"/>
    <n v="22667"/>
    <n v="194677.65"/>
    <n v="41"/>
    <n v="3.6814349589336555E-2"/>
    <n v="1.2929214276260643"/>
    <n v="47.598061428170041"/>
    <n v="6.6427807340654761"/>
    <n v="5.6427807340654761"/>
    <n v="2024"/>
    <s v="July"/>
    <s v="Q3"/>
    <x v="18"/>
    <n v="8.5885935500948509"/>
    <n v="0.316183485433913"/>
    <n v="714.79634146341471"/>
    <n v="4748.2353658536585"/>
    <n v="552.85365853658539"/>
    <n v="15017.341463414634"/>
    <s v="Medium"/>
    <x v="0"/>
  </r>
  <r>
    <x v="18"/>
    <x v="0"/>
    <x v="1"/>
    <x v="3"/>
    <x v="1"/>
    <n v="10636.68"/>
    <n v="132692"/>
    <n v="33738"/>
    <n v="239393.79"/>
    <n v="10"/>
    <n v="0.25425798088807161"/>
    <n v="0.31527298595056019"/>
    <n v="80.160672836342812"/>
    <n v="22.506439039249088"/>
    <n v="21.506439039249091"/>
    <n v="2024"/>
    <s v="July"/>
    <s v="Q3"/>
    <x v="18"/>
    <n v="7.0956722390183176"/>
    <n v="1.8041312965363399"/>
    <n v="1063.6680000000001"/>
    <n v="23939.379000000001"/>
    <n v="3373.8"/>
    <n v="13269.2"/>
    <s v="Excellent"/>
    <x v="0"/>
  </r>
  <r>
    <x v="19"/>
    <x v="0"/>
    <x v="4"/>
    <x v="1"/>
    <x v="2"/>
    <n v="10424.86"/>
    <n v="727659"/>
    <n v="7184"/>
    <n v="123025.91"/>
    <n v="47"/>
    <n v="9.8727563322930107E-3"/>
    <n v="1.4511219376391984"/>
    <n v="14.326573298756699"/>
    <n v="11.801205004191903"/>
    <n v="10.801205004191903"/>
    <n v="2024"/>
    <s v="July"/>
    <s v="Q3"/>
    <x v="18"/>
    <n v="17.124987472160356"/>
    <n v="0.16907082850620964"/>
    <n v="221.80553191489363"/>
    <n v="2617.5725531914895"/>
    <n v="152.85106382978722"/>
    <n v="15482.106382978724"/>
    <s v="Low"/>
    <x v="0"/>
  </r>
  <r>
    <x v="55"/>
    <x v="1"/>
    <x v="2"/>
    <x v="5"/>
    <x v="0"/>
    <n v="4773.32"/>
    <n v="211774"/>
    <n v="40647"/>
    <n v="137749.41"/>
    <n v="47"/>
    <n v="0.19193574282017623"/>
    <n v="0.11743351292838339"/>
    <n v="22.539688535892033"/>
    <n v="28.858197229601203"/>
    <n v="27.858197229601203"/>
    <n v="2024"/>
    <s v="July"/>
    <s v="Q3"/>
    <x v="18"/>
    <n v="3.3889194774522107"/>
    <n v="0.65045477726255352"/>
    <n v="101.55999999999999"/>
    <n v="2930.838510638298"/>
    <n v="864.82978723404256"/>
    <n v="4505.8297872340427"/>
    <s v="Excellent"/>
    <x v="0"/>
  </r>
  <r>
    <x v="20"/>
    <x v="0"/>
    <x v="2"/>
    <x v="1"/>
    <x v="1"/>
    <n v="28911.72"/>
    <n v="405129"/>
    <n v="20662"/>
    <n v="239387.95"/>
    <n v="26"/>
    <n v="5.1001039175176302E-2"/>
    <n v="1.3992701577775628"/>
    <n v="71.36423213346859"/>
    <n v="8.2799622436852598"/>
    <n v="7.2799622436852598"/>
    <n v="2024"/>
    <s v="July"/>
    <s v="Q3"/>
    <x v="18"/>
    <n v="11.585904075113737"/>
    <n v="0.59089314761471046"/>
    <n v="1111.9892307692307"/>
    <n v="9207.2288461538465"/>
    <n v="794.69230769230774"/>
    <n v="15581.884615384615"/>
    <s v="Good"/>
    <x v="0"/>
  </r>
  <r>
    <x v="45"/>
    <x v="2"/>
    <x v="2"/>
    <x v="2"/>
    <x v="1"/>
    <n v="12641.64"/>
    <n v="632234"/>
    <n v="16481"/>
    <n v="25552.75"/>
    <n v="16"/>
    <n v="2.6067879930532049E-2"/>
    <n v="0.76704326193798922"/>
    <n v="19.995191653723147"/>
    <n v="2.0213160634221512"/>
    <n v="1.021316063422151"/>
    <n v="2024"/>
    <s v="July"/>
    <s v="Q3"/>
    <x v="18"/>
    <n v="1.5504368666949822"/>
    <n v="4.0416602080875122E-2"/>
    <n v="790.10249999999996"/>
    <n v="1597.046875"/>
    <n v="1030.0625"/>
    <n v="39514.625"/>
    <s v="Medium"/>
    <x v="0"/>
  </r>
  <r>
    <x v="25"/>
    <x v="2"/>
    <x v="3"/>
    <x v="0"/>
    <x v="1"/>
    <n v="16397.91"/>
    <n v="525611"/>
    <n v="27338"/>
    <n v="178984.88"/>
    <n v="38"/>
    <n v="5.2011849067085732E-2"/>
    <n v="0.59982112810008048"/>
    <n v="31.197805981990484"/>
    <n v="10.915103205225545"/>
    <n v="9.9151032052255434"/>
    <n v="2024"/>
    <s v="July"/>
    <s v="Q3"/>
    <x v="18"/>
    <n v="6.5471095178871899"/>
    <n v="0.34052727207002897"/>
    <n v="431.52394736842103"/>
    <n v="4710.1284210526319"/>
    <n v="719.42105263157896"/>
    <n v="13831.868421052632"/>
    <s v="Good"/>
    <x v="0"/>
  </r>
  <r>
    <x v="38"/>
    <x v="0"/>
    <x v="1"/>
    <x v="5"/>
    <x v="0"/>
    <n v="1660.28"/>
    <n v="107738"/>
    <n v="20324"/>
    <n v="7077.29"/>
    <n v="56"/>
    <n v="0.18864281868978447"/>
    <n v="8.1690612084235392E-2"/>
    <n v="15.410347324063933"/>
    <n v="4.2627086997373933"/>
    <n v="3.2627086997373937"/>
    <n v="2024"/>
    <s v="July"/>
    <s v="Q3"/>
    <x v="18"/>
    <n v="0.34822328281834286"/>
    <n v="6.5689821604262191E-2"/>
    <n v="29.647857142857141"/>
    <n v="126.38017857142857"/>
    <n v="362.92857142857144"/>
    <n v="1923.8928571428571"/>
    <s v="Excellent"/>
    <x v="0"/>
  </r>
  <r>
    <x v="19"/>
    <x v="0"/>
    <x v="0"/>
    <x v="4"/>
    <x v="2"/>
    <n v="22959.19"/>
    <n v="29627"/>
    <n v="13748"/>
    <n v="146462.42000000001"/>
    <n v="52"/>
    <n v="0.46403618321126"/>
    <n v="1.6700021821355833"/>
    <n v="774.94143855267146"/>
    <n v="6.3792503132732481"/>
    <n v="5.3792503132732481"/>
    <n v="2024"/>
    <s v="August"/>
    <s v="Q3"/>
    <x v="19"/>
    <n v="10.653361943555428"/>
    <n v="4.9435454146555511"/>
    <n v="441.52288461538461"/>
    <n v="2816.585"/>
    <n v="264.38461538461536"/>
    <n v="569.75"/>
    <s v="Excellent"/>
    <x v="0"/>
  </r>
  <r>
    <x v="11"/>
    <x v="3"/>
    <x v="0"/>
    <x v="5"/>
    <x v="1"/>
    <n v="34767.32"/>
    <n v="576820"/>
    <n v="21840"/>
    <n v="99042.32"/>
    <n v="59"/>
    <n v="3.7862764813980099E-2"/>
    <n v="1.5919102564102563"/>
    <n v="60.274123643424289"/>
    <n v="2.8487188543724398"/>
    <n v="1.8487188543724395"/>
    <n v="2024"/>
    <s v="August"/>
    <s v="Q3"/>
    <x v="19"/>
    <n v="4.5349047619047624"/>
    <n v="0.17170403245379842"/>
    <n v="589.27661016949151"/>
    <n v="1678.6833898305085"/>
    <n v="370.16949152542372"/>
    <n v="9776.6101694915251"/>
    <s v="Medium"/>
    <x v="0"/>
  </r>
  <r>
    <x v="39"/>
    <x v="2"/>
    <x v="0"/>
    <x v="5"/>
    <x v="2"/>
    <n v="44069.54"/>
    <n v="611755"/>
    <n v="25717"/>
    <n v="245142.17"/>
    <n v="46"/>
    <n v="4.2038070796315517E-2"/>
    <n v="1.7136345607963603"/>
    <n v="72.037890985770446"/>
    <n v="5.5626214841362085"/>
    <n v="4.5626214841362085"/>
    <n v="2024"/>
    <s v="August"/>
    <s v="Q3"/>
    <x v="19"/>
    <n v="9.5323004238441502"/>
    <n v="0.40071952006930883"/>
    <n v="958.03347826086963"/>
    <n v="5329.1776086956525"/>
    <n v="559.06521739130437"/>
    <n v="13299.021739130434"/>
    <s v="Medium"/>
    <x v="0"/>
  </r>
  <r>
    <x v="50"/>
    <x v="1"/>
    <x v="2"/>
    <x v="2"/>
    <x v="2"/>
    <n v="32212.43"/>
    <n v="841420"/>
    <n v="31723"/>
    <n v="47361.11"/>
    <n v="19"/>
    <n v="3.770174229279076E-2"/>
    <n v="1.0154282381868045"/>
    <n v="38.283413752941456"/>
    <n v="1.4702743630331521"/>
    <n v="0.47027436303315212"/>
    <n v="2024"/>
    <s v="August"/>
    <s v="Q3"/>
    <x v="19"/>
    <n v="1.49295810610598"/>
    <n v="5.6287121770340613E-2"/>
    <n v="1695.391052631579"/>
    <n v="2492.69"/>
    <n v="1669.6315789473683"/>
    <n v="44285.26315789474"/>
    <s v="Medium"/>
    <x v="0"/>
  </r>
  <r>
    <x v="38"/>
    <x v="2"/>
    <x v="1"/>
    <x v="2"/>
    <x v="1"/>
    <n v="11797.48"/>
    <n v="926622"/>
    <n v="30395"/>
    <n v="168941.89"/>
    <n v="31"/>
    <n v="3.2801940812974439E-2"/>
    <n v="0.38813883862477377"/>
    <n v="12.731707211786468"/>
    <n v="14.320167527302443"/>
    <n v="13.320167527302441"/>
    <n v="2024"/>
    <s v="August"/>
    <s v="Q3"/>
    <x v="19"/>
    <n v="5.5582131929593688"/>
    <n v="0.18232018018134688"/>
    <n v="380.56387096774193"/>
    <n v="5449.7383870967742"/>
    <n v="980.48387096774195"/>
    <n v="29891.032258064515"/>
    <s v="Medium"/>
    <x v="0"/>
  </r>
  <r>
    <x v="39"/>
    <x v="2"/>
    <x v="0"/>
    <x v="5"/>
    <x v="2"/>
    <n v="3341.28"/>
    <n v="555617"/>
    <n v="29056"/>
    <n v="33478.81"/>
    <n v="40"/>
    <n v="5.2295016171211461E-2"/>
    <n v="0.11499449339207049"/>
    <n v="6.0136388915385961"/>
    <n v="10.019755901929798"/>
    <n v="9.0197559019297984"/>
    <n v="2024"/>
    <s v="August"/>
    <s v="Q3"/>
    <x v="19"/>
    <n v="1.1522167538546255"/>
    <n v="6.0255193775568421E-2"/>
    <n v="83.532000000000011"/>
    <n v="836.97024999999996"/>
    <n v="726.4"/>
    <n v="13890.424999999999"/>
    <s v="Good"/>
    <x v="0"/>
  </r>
  <r>
    <x v="3"/>
    <x v="1"/>
    <x v="0"/>
    <x v="3"/>
    <x v="0"/>
    <n v="25566.05"/>
    <n v="125674"/>
    <n v="40293"/>
    <n v="154634.09"/>
    <n v="16"/>
    <n v="0.32061524261183699"/>
    <n v="0.63450351177623898"/>
    <n v="203.43149736620146"/>
    <n v="6.048415378988933"/>
    <n v="5.0484153789889321"/>
    <n v="2024"/>
    <s v="August"/>
    <s v="Q3"/>
    <x v="19"/>
    <n v="3.8377407986498895"/>
    <n v="1.2304381972404792"/>
    <n v="1597.878125"/>
    <n v="9664.6306249999998"/>
    <n v="2518.3125"/>
    <n v="7854.625"/>
    <s v="Excellent"/>
    <x v="0"/>
  </r>
  <r>
    <x v="28"/>
    <x v="1"/>
    <x v="3"/>
    <x v="5"/>
    <x v="0"/>
    <n v="11844.63"/>
    <n v="783199"/>
    <n v="41015"/>
    <n v="11688.03"/>
    <n v="9"/>
    <n v="5.2368555118175585E-2"/>
    <n v="0.28878776057539923"/>
    <n v="15.123397757147288"/>
    <n v="0.98677881875584139"/>
    <n v="-1.3221181244158624E-2"/>
    <n v="2024"/>
    <s v="August"/>
    <s v="Q3"/>
    <x v="19"/>
    <n v="0.28496964525173718"/>
    <n v="1.4923448574372541E-2"/>
    <n v="1316.07"/>
    <n v="1298.67"/>
    <n v="4557.2222222222226"/>
    <n v="87022.111111111109"/>
    <s v="Good"/>
    <x v="0"/>
  </r>
  <r>
    <x v="59"/>
    <x v="1"/>
    <x v="2"/>
    <x v="4"/>
    <x v="0"/>
    <n v="29627.38"/>
    <n v="524514"/>
    <n v="31435"/>
    <n v="111834.13"/>
    <n v="6"/>
    <n v="5.9931670079349644E-2"/>
    <n v="0.94249658024494998"/>
    <n v="56.485394098155631"/>
    <n v="3.7746884807228991"/>
    <n v="2.7746884807228986"/>
    <n v="2024"/>
    <s v="August"/>
    <s v="Q3"/>
    <x v="19"/>
    <n v="3.5576309845713379"/>
    <n v="0.21321476643140128"/>
    <n v="4937.8966666666665"/>
    <n v="18639.021666666667"/>
    <n v="5239.166666666667"/>
    <n v="87419"/>
    <s v="Good"/>
    <x v="0"/>
  </r>
  <r>
    <x v="53"/>
    <x v="2"/>
    <x v="3"/>
    <x v="4"/>
    <x v="0"/>
    <n v="31243.279999999999"/>
    <n v="856514"/>
    <n v="48417"/>
    <n v="218477.46"/>
    <n v="55"/>
    <n v="5.652797268929638E-2"/>
    <n v="0.64529566061507315"/>
    <n v="36.477255479770321"/>
    <n v="6.9927824479376044"/>
    <n v="5.9927824479376044"/>
    <n v="2024"/>
    <s v="August"/>
    <s v="Q3"/>
    <x v="19"/>
    <n v="4.5124121692793855"/>
    <n v="0.2550775118678737"/>
    <n v="568.05963636363629"/>
    <n v="3972.3174545454544"/>
    <n v="880.30909090909086"/>
    <n v="15572.981818181817"/>
    <s v="Good"/>
    <x v="0"/>
  </r>
  <r>
    <x v="1"/>
    <x v="3"/>
    <x v="0"/>
    <x v="3"/>
    <x v="2"/>
    <n v="29739.74"/>
    <n v="953584"/>
    <n v="11890"/>
    <n v="219719.4"/>
    <n v="37"/>
    <n v="1.2468749475662344E-2"/>
    <n v="2.5012396972245585"/>
    <n v="31.187331163274553"/>
    <n v="7.3880740046819504"/>
    <n v="6.3880740046819504"/>
    <n v="2024"/>
    <s v="August"/>
    <s v="Q3"/>
    <x v="19"/>
    <n v="18.479343986543313"/>
    <n v="0.23041431064279602"/>
    <n v="803.77675675675675"/>
    <n v="5938.3621621621623"/>
    <n v="321.35135135135135"/>
    <n v="25772.54054054054"/>
    <s v="Low"/>
    <x v="0"/>
  </r>
  <r>
    <x v="23"/>
    <x v="2"/>
    <x v="1"/>
    <x v="3"/>
    <x v="0"/>
    <n v="8168.38"/>
    <n v="298840"/>
    <n v="14941"/>
    <n v="221237.07"/>
    <n v="23"/>
    <n v="4.9996653727747288E-2"/>
    <n v="0.54670905561876715"/>
    <n v="27.333623343595235"/>
    <n v="27.084571236891527"/>
    <n v="26.084571236891527"/>
    <n v="2024"/>
    <s v="August"/>
    <s v="Q3"/>
    <x v="19"/>
    <n v="14.80738036276019"/>
    <n v="0.74031946861196629"/>
    <n v="355.14695652173913"/>
    <n v="9619.003043478262"/>
    <n v="649.60869565217388"/>
    <n v="12993.04347826087"/>
    <s v="Medium"/>
    <x v="0"/>
  </r>
  <r>
    <x v="59"/>
    <x v="2"/>
    <x v="4"/>
    <x v="3"/>
    <x v="2"/>
    <n v="1974.19"/>
    <n v="758226"/>
    <n v="42644"/>
    <n v="191974.86"/>
    <n v="11"/>
    <n v="5.6241806532616921E-2"/>
    <n v="4.6294672169590094E-2"/>
    <n v="2.6036959956530112"/>
    <n v="97.242342429046843"/>
    <n v="96.242342429046843"/>
    <n v="2024"/>
    <s v="August"/>
    <s v="Q3"/>
    <x v="19"/>
    <n v="4.5018023637557452"/>
    <n v="0.25318949759042819"/>
    <n v="179.47181818181818"/>
    <n v="17452.259999999998"/>
    <n v="3876.7272727272725"/>
    <n v="68929.636363636368"/>
    <s v="Good"/>
    <x v="0"/>
  </r>
  <r>
    <x v="10"/>
    <x v="2"/>
    <x v="2"/>
    <x v="2"/>
    <x v="1"/>
    <n v="13205.92"/>
    <n v="788261"/>
    <n v="30724"/>
    <n v="70644.31"/>
    <n v="37"/>
    <n v="3.8976937841653972E-2"/>
    <n v="0.42982424163520377"/>
    <n v="16.753232749051392"/>
    <n v="5.3494425227473741"/>
    <n v="4.3494425227473741"/>
    <n v="2024"/>
    <s v="August"/>
    <s v="Q3"/>
    <x v="19"/>
    <n v="2.2993200755110013"/>
    <n v="8.9620455661259396E-2"/>
    <n v="356.91675675675674"/>
    <n v="1909.3056756756755"/>
    <n v="830.37837837837833"/>
    <n v="21304.35135135135"/>
    <s v="Medium"/>
    <x v="0"/>
  </r>
  <r>
    <x v="37"/>
    <x v="2"/>
    <x v="1"/>
    <x v="4"/>
    <x v="2"/>
    <n v="12090.11"/>
    <n v="914318"/>
    <n v="31634"/>
    <n v="24603.91"/>
    <n v="34"/>
    <n v="3.4598465741678498E-2"/>
    <n v="0.38218720364165143"/>
    <n v="13.22309087210358"/>
    <n v="2.0350443461639305"/>
    <n v="1.0350443461639305"/>
    <n v="2024"/>
    <s v="August"/>
    <s v="Q3"/>
    <x v="19"/>
    <n v="0.77776790794714545"/>
    <n v="2.6909576318086267E-2"/>
    <n v="355.59147058823532"/>
    <n v="723.64441176470586"/>
    <n v="930.41176470588232"/>
    <n v="26891.705882352941"/>
    <s v="Medium"/>
    <x v="0"/>
  </r>
  <r>
    <x v="0"/>
    <x v="2"/>
    <x v="4"/>
    <x v="4"/>
    <x v="2"/>
    <n v="11614.24"/>
    <n v="907689"/>
    <n v="37832"/>
    <n v="247048.92"/>
    <n v="7"/>
    <n v="4.1679473916726988E-2"/>
    <n v="0.306995136392472"/>
    <n v="12.795395779832079"/>
    <n v="21.271208447560927"/>
    <n v="20.271208447560927"/>
    <n v="2024"/>
    <s v="August"/>
    <s v="Q3"/>
    <x v="19"/>
    <n v="6.530157538591669"/>
    <n v="0.27217353080184953"/>
    <n v="1659.1771428571428"/>
    <n v="35292.70285714286"/>
    <n v="5404.5714285714284"/>
    <n v="129669.85714285714"/>
    <s v="Medium"/>
    <x v="0"/>
  </r>
  <r>
    <x v="39"/>
    <x v="2"/>
    <x v="1"/>
    <x v="1"/>
    <x v="0"/>
    <n v="4842.87"/>
    <n v="908602"/>
    <n v="34294"/>
    <n v="124857.28"/>
    <n v="41"/>
    <n v="3.7743698561086149E-2"/>
    <n v="0.14121624774012947"/>
    <n v="5.3300234866311103"/>
    <n v="25.781670786124756"/>
    <n v="24.781670786124756"/>
    <n v="2024"/>
    <s v="August"/>
    <s v="Q3"/>
    <x v="19"/>
    <n v="3.6407908088878522"/>
    <n v="0.13741691081463611"/>
    <n v="118.11878048780487"/>
    <n v="3045.2995121951221"/>
    <n v="836.43902439024396"/>
    <n v="22161.024390243903"/>
    <s v="Medium"/>
    <x v="0"/>
  </r>
  <r>
    <x v="59"/>
    <x v="3"/>
    <x v="0"/>
    <x v="3"/>
    <x v="2"/>
    <n v="2291.3000000000002"/>
    <n v="248968"/>
    <n v="19065"/>
    <n v="246379.27"/>
    <n v="18"/>
    <n v="7.6576106166254293E-2"/>
    <n v="0.12018358248098611"/>
    <n v="9.203190771504774"/>
    <n v="107.52815868720812"/>
    <n v="106.52815868720813"/>
    <n v="2024"/>
    <s v="August"/>
    <s v="Q3"/>
    <x v="19"/>
    <n v="12.923119328612641"/>
    <n v="0.98960215770701454"/>
    <n v="127.29444444444445"/>
    <n v="13687.737222222222"/>
    <n v="1059.1666666666667"/>
    <n v="13831.555555555555"/>
    <s v="Good"/>
    <x v="0"/>
  </r>
  <r>
    <x v="7"/>
    <x v="3"/>
    <x v="4"/>
    <x v="0"/>
    <x v="0"/>
    <n v="15119.3"/>
    <n v="737186"/>
    <n v="49139"/>
    <n v="58736.83"/>
    <n v="51"/>
    <n v="6.6657532834318606E-2"/>
    <n v="0.30768432406031865"/>
    <n v="20.50947793365582"/>
    <n v="3.8848908348931501"/>
    <n v="2.8848908348931497"/>
    <n v="2024"/>
    <s v="August"/>
    <s v="Q3"/>
    <x v="19"/>
    <n v="1.1953200105822259"/>
    <n v="7.96770828529028E-2"/>
    <n v="296.45686274509802"/>
    <n v="1151.7025490196079"/>
    <n v="963.50980392156862"/>
    <n v="14454.627450980392"/>
    <s v="Good"/>
    <x v="0"/>
  </r>
  <r>
    <x v="2"/>
    <x v="0"/>
    <x v="3"/>
    <x v="1"/>
    <x v="0"/>
    <n v="55451.63"/>
    <n v="694963"/>
    <n v="2064"/>
    <n v="12907.31"/>
    <n v="36"/>
    <n v="2.9699422846971709E-3"/>
    <n v="26.86609980620155"/>
    <n v="79.790765839332451"/>
    <n v="0.23276700793105631"/>
    <n v="-0.76723299206894369"/>
    <n v="2024"/>
    <s v="August"/>
    <s v="Q3"/>
    <x v="19"/>
    <n v="6.2535416666666661"/>
    <n v="1.8572657824948952E-2"/>
    <n v="1540.3230555555556"/>
    <n v="358.53638888888889"/>
    <n v="57.333333333333336"/>
    <n v="19304.527777777777"/>
    <s v="Low"/>
    <x v="0"/>
  </r>
  <r>
    <x v="49"/>
    <x v="2"/>
    <x v="0"/>
    <x v="5"/>
    <x v="2"/>
    <n v="13351.67"/>
    <n v="301427"/>
    <n v="12926"/>
    <n v="10524.42"/>
    <n v="39"/>
    <n v="4.2882688014013341E-2"/>
    <n v="1.0329313012532879"/>
    <n v="44.294870731553573"/>
    <n v="0.78824746267695356"/>
    <n v="-0.21175253732304647"/>
    <n v="2024"/>
    <s v="August"/>
    <s v="Q3"/>
    <x v="19"/>
    <n v="0.81420547733250814"/>
    <n v="3.491531946375076E-2"/>
    <n v="342.35051282051285"/>
    <n v="269.85692307692307"/>
    <n v="331.43589743589746"/>
    <n v="7728.8974358974356"/>
    <s v="Medium"/>
    <x v="0"/>
  </r>
  <r>
    <x v="26"/>
    <x v="1"/>
    <x v="1"/>
    <x v="2"/>
    <x v="2"/>
    <n v="3766.46"/>
    <n v="40955"/>
    <n v="48129"/>
    <n v="43999.02"/>
    <n v="45"/>
    <n v="1.1751678671712855"/>
    <n v="7.8257599368364184E-2"/>
    <n v="91.965816139665492"/>
    <n v="11.681796700349929"/>
    <n v="10.681796700349929"/>
    <n v="2024"/>
    <s v="August"/>
    <s v="Q3"/>
    <x v="19"/>
    <n v="0.91418936607866352"/>
    <n v="1.0743259675253327"/>
    <n v="83.699111111111108"/>
    <n v="977.75599999999997"/>
    <n v="1069.5333333333333"/>
    <n v="910.11111111111109"/>
    <s v="Excellent"/>
    <x v="1"/>
  </r>
  <r>
    <x v="2"/>
    <x v="3"/>
    <x v="3"/>
    <x v="5"/>
    <x v="0"/>
    <n v="38488.74"/>
    <n v="732487"/>
    <n v="32182"/>
    <n v="184270.66"/>
    <n v="37"/>
    <n v="4.3935250727999267E-2"/>
    <n v="1.1959710397116401"/>
    <n v="52.54528749315687"/>
    <n v="4.7876511416066103"/>
    <n v="3.7876511416066108"/>
    <n v="2024"/>
    <s v="August"/>
    <s v="Q3"/>
    <x v="19"/>
    <n v="5.7258921136038783"/>
    <n v="0.25156850565266003"/>
    <n v="1040.2362162162162"/>
    <n v="4980.2881081081086"/>
    <n v="869.78378378378375"/>
    <n v="19796.945945945947"/>
    <s v="Medium"/>
    <x v="0"/>
  </r>
  <r>
    <x v="6"/>
    <x v="2"/>
    <x v="4"/>
    <x v="0"/>
    <x v="1"/>
    <n v="38931.33"/>
    <n v="696735"/>
    <n v="6589"/>
    <n v="209254.81"/>
    <n v="53"/>
    <n v="9.4569671395867867E-3"/>
    <n v="5.9085339201699805"/>
    <n v="55.876811126181401"/>
    <n v="5.3749720340918223"/>
    <n v="4.3749720340918223"/>
    <n v="2024"/>
    <s v="August"/>
    <s v="Q3"/>
    <x v="19"/>
    <n v="31.758204583396569"/>
    <n v="0.30033629715745586"/>
    <n v="734.55339622641509"/>
    <n v="3948.203962264151"/>
    <n v="124.32075471698113"/>
    <n v="13145.943396226416"/>
    <s v="Low"/>
    <x v="0"/>
  </r>
  <r>
    <x v="51"/>
    <x v="0"/>
    <x v="2"/>
    <x v="0"/>
    <x v="0"/>
    <n v="5013.95"/>
    <n v="375848"/>
    <n v="46005"/>
    <n v="145178.73000000001"/>
    <n v="58"/>
    <n v="0.12240320555118027"/>
    <n v="0.10898706662319313"/>
    <n v="13.340366318298887"/>
    <n v="28.954961656977037"/>
    <n v="27.954961656977034"/>
    <n v="2024"/>
    <s v="August"/>
    <s v="Q3"/>
    <x v="19"/>
    <n v="3.155716335180959"/>
    <n v="0.38626979523637217"/>
    <n v="86.447413793103451"/>
    <n v="2503.0815517241381"/>
    <n v="793.18965517241384"/>
    <n v="6480.1379310344828"/>
    <s v="Excellent"/>
    <x v="0"/>
  </r>
  <r>
    <x v="20"/>
    <x v="2"/>
    <x v="1"/>
    <x v="4"/>
    <x v="0"/>
    <n v="6412.38"/>
    <n v="414562"/>
    <n v="45821"/>
    <n v="200964.52"/>
    <n v="37"/>
    <n v="0.11052870258248465"/>
    <n v="0.13994413042054954"/>
    <n v="15.46784316941736"/>
    <n v="31.340082777377507"/>
    <n v="30.340082777377507"/>
    <n v="2024"/>
    <s v="August"/>
    <s v="Q3"/>
    <x v="19"/>
    <n v="4.3858606315881365"/>
    <n v="0.48476348531703339"/>
    <n v="173.30756756756756"/>
    <n v="5431.4735135135134"/>
    <n v="1238.4054054054054"/>
    <n v="11204.378378378378"/>
    <s v="Excellent"/>
    <x v="0"/>
  </r>
  <r>
    <x v="8"/>
    <x v="0"/>
    <x v="0"/>
    <x v="5"/>
    <x v="0"/>
    <n v="1152.6099999999999"/>
    <n v="71733"/>
    <n v="15103"/>
    <n v="21513.08"/>
    <n v="20"/>
    <n v="0.21054465866477073"/>
    <n v="7.6316625835926633E-2"/>
    <n v="16.068057937072197"/>
    <n v="18.664665411544238"/>
    <n v="17.664665411544238"/>
    <n v="2024"/>
    <s v="August"/>
    <s v="Q3"/>
    <x v="19"/>
    <n v="1.4244242865655832"/>
    <n v="0.29990492520876028"/>
    <n v="57.630499999999998"/>
    <n v="1075.654"/>
    <n v="755.15"/>
    <n v="3586.65"/>
    <s v="Excellent"/>
    <x v="0"/>
  </r>
  <r>
    <x v="21"/>
    <x v="0"/>
    <x v="1"/>
    <x v="1"/>
    <x v="0"/>
    <n v="28124.65"/>
    <n v="366470"/>
    <n v="28740"/>
    <n v="49224.46"/>
    <n v="8"/>
    <n v="7.8423881900291981E-2"/>
    <n v="0.978589074460682"/>
    <n v="76.744754004420557"/>
    <n v="1.7502248027975458"/>
    <n v="0.75022480279754578"/>
    <n v="2024"/>
    <s v="August"/>
    <s v="Q3"/>
    <x v="19"/>
    <n v="1.71275086986778"/>
    <n v="0.13432057194313313"/>
    <n v="3515.5812500000002"/>
    <n v="6153.0574999999999"/>
    <n v="3592.5"/>
    <n v="45808.75"/>
    <s v="Good"/>
    <x v="0"/>
  </r>
  <r>
    <x v="41"/>
    <x v="1"/>
    <x v="0"/>
    <x v="0"/>
    <x v="0"/>
    <n v="6792.23"/>
    <n v="765638"/>
    <n v="39758"/>
    <n v="87716.800000000003"/>
    <n v="43"/>
    <n v="5.1927934611395984E-2"/>
    <n v="0.1708393279340007"/>
    <n v="8.8713334500116243"/>
    <n v="12.914285882545204"/>
    <n v="11.914285882545204"/>
    <n v="2024"/>
    <s v="August"/>
    <s v="Q3"/>
    <x v="19"/>
    <n v="2.2062679209215754"/>
    <n v="0.11456693633283614"/>
    <n v="157.95883720930232"/>
    <n v="2039.9255813953489"/>
    <n v="924.60465116279067"/>
    <n v="17805.534883720931"/>
    <s v="Good"/>
    <x v="0"/>
  </r>
  <r>
    <x v="16"/>
    <x v="3"/>
    <x v="0"/>
    <x v="4"/>
    <x v="0"/>
    <n v="16099.08"/>
    <n v="464626"/>
    <n v="7255"/>
    <n v="171884.33"/>
    <n v="23"/>
    <n v="1.5614709465247317E-2"/>
    <n v="2.2190323914541694"/>
    <n v="34.649546086529817"/>
    <n v="10.676655436211261"/>
    <n v="9.6766554362112611"/>
    <n v="2024"/>
    <s v="August"/>
    <s v="Q3"/>
    <x v="19"/>
    <n v="23.691844245348033"/>
    <n v="0.36994126458700111"/>
    <n v="699.96"/>
    <n v="7473.2317391304341"/>
    <n v="315.43478260869563"/>
    <n v="20201.130434782608"/>
    <s v="Low"/>
    <x v="0"/>
  </r>
  <r>
    <x v="2"/>
    <x v="2"/>
    <x v="1"/>
    <x v="0"/>
    <x v="1"/>
    <n v="26337.95"/>
    <n v="30700"/>
    <n v="3261"/>
    <n v="173988.69"/>
    <n v="9"/>
    <n v="0.1062214983713355"/>
    <n v="8.0766482674026374"/>
    <n v="857.91368078175901"/>
    <n v="6.6060073012516156"/>
    <n v="5.6060073012516156"/>
    <n v="2024"/>
    <s v="August"/>
    <s v="Q3"/>
    <x v="19"/>
    <n v="53.354397424103034"/>
    <n v="5.6673840390879482"/>
    <n v="2926.4388888888889"/>
    <n v="19332.076666666668"/>
    <n v="362.33333333333331"/>
    <n v="3411.1111111111113"/>
    <s v="Excellent"/>
    <x v="0"/>
  </r>
  <r>
    <x v="33"/>
    <x v="1"/>
    <x v="2"/>
    <x v="4"/>
    <x v="1"/>
    <n v="40928.239999999998"/>
    <n v="22940"/>
    <n v="19226"/>
    <n v="106383.47"/>
    <n v="44"/>
    <n v="0.83809938971229292"/>
    <n v="2.128796421512535"/>
    <n v="1784.1429816913687"/>
    <n v="2.5992681336895993"/>
    <n v="1.5992681336895993"/>
    <n v="2024"/>
    <s v="September"/>
    <s v="Q3"/>
    <x v="20"/>
    <n v="5.5333127015499848"/>
    <n v="4.6374659982563209"/>
    <n v="930.18727272727267"/>
    <n v="2417.8061363636366"/>
    <n v="436.95454545454544"/>
    <n v="521.36363636363637"/>
    <s v="Excellent"/>
    <x v="0"/>
  </r>
  <r>
    <x v="3"/>
    <x v="3"/>
    <x v="4"/>
    <x v="4"/>
    <x v="2"/>
    <n v="5017.37"/>
    <n v="928481"/>
    <n v="21234"/>
    <n v="202073.16"/>
    <n v="25"/>
    <n v="2.2869611763730223E-2"/>
    <n v="0.23628944146180653"/>
    <n v="5.4038477901001745"/>
    <n v="40.274717630950079"/>
    <n v="39.274717630950079"/>
    <n v="2024"/>
    <s v="September"/>
    <s v="Q3"/>
    <x v="20"/>
    <n v="9.5164905340491668"/>
    <n v="0.21763844386691811"/>
    <n v="200.69479999999999"/>
    <n v="8082.9264000000003"/>
    <n v="849.36"/>
    <n v="37139.24"/>
    <s v="Medium"/>
    <x v="0"/>
  </r>
  <r>
    <x v="29"/>
    <x v="1"/>
    <x v="4"/>
    <x v="5"/>
    <x v="1"/>
    <n v="10894.91"/>
    <n v="467250"/>
    <n v="17002"/>
    <n v="158859.03"/>
    <n v="53"/>
    <n v="3.6387372926698767E-2"/>
    <n v="0.64080167039171865"/>
    <n v="23.317089352594969"/>
    <n v="14.58103187635327"/>
    <n v="13.581031876353268"/>
    <n v="2024"/>
    <s v="September"/>
    <s v="Q3"/>
    <x v="20"/>
    <n v="9.3435495824020709"/>
    <n v="0.33998722311396468"/>
    <n v="205.56433962264151"/>
    <n v="2997.3401886792453"/>
    <n v="320.79245283018867"/>
    <n v="8816.0377358490568"/>
    <s v="Medium"/>
    <x v="0"/>
  </r>
  <r>
    <x v="15"/>
    <x v="2"/>
    <x v="1"/>
    <x v="2"/>
    <x v="2"/>
    <n v="9561.14"/>
    <n v="188386"/>
    <n v="37274"/>
    <n v="33750.879999999997"/>
    <n v="22"/>
    <n v="0.19785971356682555"/>
    <n v="0.25650963137844074"/>
    <n v="50.752922191670287"/>
    <n v="3.5300058361241442"/>
    <n v="2.5300058361241442"/>
    <n v="2024"/>
    <s v="September"/>
    <s v="Q3"/>
    <x v="20"/>
    <n v="0.90548049578794865"/>
    <n v="0.17915811153695071"/>
    <n v="434.5972727272727"/>
    <n v="1534.130909090909"/>
    <n v="1694.2727272727273"/>
    <n v="8563"/>
    <s v="Excellent"/>
    <x v="0"/>
  </r>
  <r>
    <x v="46"/>
    <x v="3"/>
    <x v="4"/>
    <x v="5"/>
    <x v="2"/>
    <n v="1853.58"/>
    <n v="475371"/>
    <n v="7517"/>
    <n v="130203.7"/>
    <n v="21"/>
    <n v="1.581291244101975E-2"/>
    <n v="0.246585073832646"/>
    <n v="3.8992281817780219"/>
    <n v="70.244445883101889"/>
    <n v="69.244445883101889"/>
    <n v="2024"/>
    <s v="September"/>
    <s v="Q3"/>
    <x v="20"/>
    <n v="17.321231874417986"/>
    <n v="0.27389912300077202"/>
    <n v="88.265714285714282"/>
    <n v="6200.1761904761906"/>
    <n v="357.95238095238096"/>
    <n v="22636.714285714286"/>
    <s v="Low"/>
    <x v="0"/>
  </r>
  <r>
    <x v="16"/>
    <x v="1"/>
    <x v="3"/>
    <x v="4"/>
    <x v="0"/>
    <n v="677.2"/>
    <n v="876713"/>
    <n v="988"/>
    <n v="192044.21"/>
    <n v="12"/>
    <n v="1.1269366371891372E-3"/>
    <n v="0.68542510121457489"/>
    <n v="0.77243065860777704"/>
    <n v="283.58566154754868"/>
    <n v="282.58566154754868"/>
    <n v="2024"/>
    <s v="September"/>
    <s v="Q3"/>
    <x v="20"/>
    <n v="194.37673076923076"/>
    <n v="0.2190502593208952"/>
    <n v="56.433333333333337"/>
    <n v="16003.684166666666"/>
    <n v="82.333333333333329"/>
    <n v="73059.416666666672"/>
    <s v="Low"/>
    <x v="0"/>
  </r>
  <r>
    <x v="5"/>
    <x v="2"/>
    <x v="2"/>
    <x v="3"/>
    <x v="2"/>
    <n v="2384.62"/>
    <n v="674555"/>
    <n v="18301"/>
    <n v="179280.18"/>
    <n v="59"/>
    <n v="2.7130478611825572E-2"/>
    <n v="0.13029998360745315"/>
    <n v="3.5351009183832303"/>
    <n v="75.181865454453956"/>
    <n v="74.181865454453956"/>
    <n v="2024"/>
    <s v="September"/>
    <s v="Q3"/>
    <x v="20"/>
    <n v="9.7961958362930979"/>
    <n v="0.26577548161380465"/>
    <n v="40.417288135593218"/>
    <n v="3038.6471186440676"/>
    <n v="310.18644067796612"/>
    <n v="11433.135593220339"/>
    <s v="Medium"/>
    <x v="0"/>
  </r>
  <r>
    <x v="5"/>
    <x v="0"/>
    <x v="0"/>
    <x v="5"/>
    <x v="1"/>
    <n v="29394.38"/>
    <n v="482407"/>
    <n v="6883"/>
    <n v="203686.87"/>
    <n v="36"/>
    <n v="1.4268035082409666E-2"/>
    <n v="4.2705767833793402"/>
    <n v="60.932739367380663"/>
    <n v="6.9294494389743884"/>
    <n v="5.9294494389743884"/>
    <n v="2024"/>
    <s v="September"/>
    <s v="Q3"/>
    <x v="20"/>
    <n v="29.59274589568502"/>
    <n v="0.42223033662446852"/>
    <n v="816.51055555555558"/>
    <n v="5657.9686111111114"/>
    <n v="191.19444444444446"/>
    <n v="13400.194444444445"/>
    <s v="Low"/>
    <x v="0"/>
  </r>
  <r>
    <x v="26"/>
    <x v="1"/>
    <x v="4"/>
    <x v="5"/>
    <x v="1"/>
    <n v="41703.25"/>
    <n v="825573"/>
    <n v="10832"/>
    <n v="241356.59"/>
    <n v="44"/>
    <n v="1.3120584127630144E-2"/>
    <n v="3.8500046159527326"/>
    <n v="50.514309455372207"/>
    <n v="5.7874767554087514"/>
    <n v="4.7874767554087514"/>
    <n v="2024"/>
    <s v="September"/>
    <s v="Q3"/>
    <x v="20"/>
    <n v="22.281812223042834"/>
    <n v="0.29235039178849115"/>
    <n v="947.80113636363637"/>
    <n v="5485.3770454545456"/>
    <n v="246.18181818181819"/>
    <n v="18763.022727272728"/>
    <s v="Low"/>
    <x v="0"/>
  </r>
  <r>
    <x v="44"/>
    <x v="0"/>
    <x v="2"/>
    <x v="3"/>
    <x v="1"/>
    <n v="5675.12"/>
    <n v="547234"/>
    <n v="7559"/>
    <n v="89567.35"/>
    <n v="34"/>
    <n v="1.381310371797074E-2"/>
    <n v="0.7507765577457336"/>
    <n v="10.370554461162865"/>
    <n v="15.782459225531797"/>
    <n v="14.782459225531797"/>
    <n v="2024"/>
    <s v="September"/>
    <s v="Q3"/>
    <x v="20"/>
    <n v="11.849100410107157"/>
    <n v="0.16367285292945979"/>
    <n v="166.91529411764705"/>
    <n v="2634.3338235294118"/>
    <n v="222.3235294117647"/>
    <n v="16095.117647058823"/>
    <s v="Low"/>
    <x v="0"/>
  </r>
  <r>
    <x v="52"/>
    <x v="1"/>
    <x v="4"/>
    <x v="4"/>
    <x v="1"/>
    <n v="39227.18"/>
    <n v="934771"/>
    <n v="34409"/>
    <n v="226430.66"/>
    <n v="34"/>
    <n v="3.6810085036869993E-2"/>
    <n v="1.1400267371908512"/>
    <n v="41.96448114030067"/>
    <n v="5.7722900295152497"/>
    <n v="4.7722900295152497"/>
    <n v="2024"/>
    <s v="September"/>
    <s v="Q3"/>
    <x v="20"/>
    <n v="6.5805649684675522"/>
    <n v="0.24223115607993831"/>
    <n v="1153.7405882352941"/>
    <n v="6659.7252941176475"/>
    <n v="1012.0294117647059"/>
    <n v="27493.264705882353"/>
    <s v="Medium"/>
    <x v="0"/>
  </r>
  <r>
    <x v="21"/>
    <x v="2"/>
    <x v="3"/>
    <x v="5"/>
    <x v="0"/>
    <n v="16463.150000000001"/>
    <n v="409941"/>
    <n v="25994"/>
    <n v="206419.98"/>
    <n v="11"/>
    <n v="6.3409124727704713E-2"/>
    <n v="0.63334423328460421"/>
    <n v="40.159803483915987"/>
    <n v="12.538304030516638"/>
    <n v="11.538304030516638"/>
    <n v="2024"/>
    <s v="September"/>
    <s v="Q3"/>
    <x v="20"/>
    <n v="7.9410625528968231"/>
    <n v="0.50353582588713985"/>
    <n v="1496.65"/>
    <n v="18765.452727272728"/>
    <n v="2363.090909090909"/>
    <n v="37267.36363636364"/>
    <s v="Good"/>
    <x v="0"/>
  </r>
  <r>
    <x v="42"/>
    <x v="0"/>
    <x v="4"/>
    <x v="0"/>
    <x v="0"/>
    <n v="13671.59"/>
    <n v="199179"/>
    <n v="18009"/>
    <n v="177161.2"/>
    <n v="48"/>
    <n v="9.0416158329944415E-2"/>
    <n v="0.75915320117718921"/>
    <n v="68.639716034320884"/>
    <n v="12.958346468845248"/>
    <n v="11.958346468845249"/>
    <n v="2024"/>
    <s v="September"/>
    <s v="Q3"/>
    <x v="20"/>
    <n v="9.8373702037869961"/>
    <n v="0.88945722189588261"/>
    <n v="284.82479166666667"/>
    <n v="3690.8583333333336"/>
    <n v="375.1875"/>
    <n v="4149.5625"/>
    <s v="Good"/>
    <x v="0"/>
  </r>
  <r>
    <x v="35"/>
    <x v="0"/>
    <x v="1"/>
    <x v="3"/>
    <x v="2"/>
    <n v="7566"/>
    <n v="812903"/>
    <n v="36160"/>
    <n v="231906"/>
    <n v="21"/>
    <n v="4.4482552038804135E-2"/>
    <n v="0.20923672566371682"/>
    <n v="9.3073835377652685"/>
    <n v="30.651070578905632"/>
    <n v="29.651070578905632"/>
    <n v="2024"/>
    <s v="September"/>
    <s v="Q3"/>
    <x v="20"/>
    <n v="6.4133296460176989"/>
    <n v="0.28528126972098761"/>
    <n v="360.28571428571428"/>
    <n v="11043.142857142857"/>
    <n v="1721.9047619047619"/>
    <n v="38709.666666666664"/>
    <s v="Medium"/>
    <x v="0"/>
  </r>
  <r>
    <x v="48"/>
    <x v="2"/>
    <x v="1"/>
    <x v="2"/>
    <x v="1"/>
    <n v="17594.080000000002"/>
    <n v="290061"/>
    <n v="6540"/>
    <n v="67559.259999999995"/>
    <n v="47"/>
    <n v="2.2546981496995459E-2"/>
    <n v="2.6902262996941899"/>
    <n v="60.656482601935465"/>
    <n v="3.8398859161718026"/>
    <n v="2.8398859161718026"/>
    <n v="2024"/>
    <s v="September"/>
    <s v="Q3"/>
    <x v="20"/>
    <n v="10.330162079510703"/>
    <n v="0.23291397326769195"/>
    <n v="374.34212765957449"/>
    <n v="1437.431063829787"/>
    <n v="139.14893617021278"/>
    <n v="6171.510638297872"/>
    <s v="Medium"/>
    <x v="0"/>
  </r>
  <r>
    <x v="24"/>
    <x v="2"/>
    <x v="3"/>
    <x v="0"/>
    <x v="1"/>
    <n v="51180.66"/>
    <n v="855435"/>
    <n v="6665"/>
    <n v="5755.74"/>
    <n v="9"/>
    <n v="7.7913576133779886E-3"/>
    <n v="7.6790187546886726"/>
    <n v="59.829981237615954"/>
    <n v="0.11245927660956305"/>
    <n v="-0.88754072339043699"/>
    <n v="2024"/>
    <s v="September"/>
    <s v="Q3"/>
    <x v="20"/>
    <n v="0.86357689422355588"/>
    <n v="6.7284364095460203E-3"/>
    <n v="5686.7400000000007"/>
    <n v="639.52666666666664"/>
    <n v="740.55555555555554"/>
    <n v="95048.333333333328"/>
    <s v="Low"/>
    <x v="0"/>
  </r>
  <r>
    <x v="53"/>
    <x v="1"/>
    <x v="3"/>
    <x v="1"/>
    <x v="0"/>
    <n v="637.77"/>
    <n v="866795"/>
    <n v="36446"/>
    <n v="78347.789999999994"/>
    <n v="57"/>
    <n v="4.204685075479208E-2"/>
    <n v="1.7499039675135816E-2"/>
    <n v="0.73577950957262095"/>
    <n v="122.84646502657698"/>
    <n v="121.84646502657696"/>
    <n v="2024"/>
    <s v="September"/>
    <s v="Q3"/>
    <x v="20"/>
    <n v="2.1496951654502552"/>
    <n v="9.038791178998494E-2"/>
    <n v="11.188947368421053"/>
    <n v="1374.5226315789473"/>
    <n v="639.40350877192986"/>
    <n v="15206.929824561403"/>
    <s v="Medium"/>
    <x v="0"/>
  </r>
  <r>
    <x v="27"/>
    <x v="1"/>
    <x v="0"/>
    <x v="2"/>
    <x v="1"/>
    <n v="3366.36"/>
    <n v="318474"/>
    <n v="4190"/>
    <n v="95459.61"/>
    <n v="38"/>
    <n v="1.3156490011743502E-2"/>
    <n v="0.80342720763723152"/>
    <n v="10.57028203244221"/>
    <n v="28.356922610772465"/>
    <n v="27.356922610772465"/>
    <n v="2024"/>
    <s v="September"/>
    <s v="Q3"/>
    <x v="20"/>
    <n v="22.782723150357995"/>
    <n v="0.29974066956800244"/>
    <n v="88.588421052631588"/>
    <n v="2512.0949999999998"/>
    <n v="110.26315789473684"/>
    <n v="8380.894736842105"/>
    <s v="Low"/>
    <x v="0"/>
  </r>
  <r>
    <x v="14"/>
    <x v="2"/>
    <x v="2"/>
    <x v="2"/>
    <x v="2"/>
    <n v="29279.78"/>
    <n v="21307"/>
    <n v="30827"/>
    <n v="116238.52"/>
    <n v="9"/>
    <n v="1.4468015206270239"/>
    <n v="0.94980958250883962"/>
    <n v="1374.185948279908"/>
    <n v="3.9699246374118933"/>
    <n v="2.9699246374118933"/>
    <n v="2024"/>
    <s v="September"/>
    <s v="Q3"/>
    <x v="20"/>
    <n v="3.7706724624517469"/>
    <n v="5.4554146524616325"/>
    <n v="3253.3088888888888"/>
    <n v="12915.391111111112"/>
    <n v="3425.2222222222222"/>
    <n v="2367.4444444444443"/>
    <s v="Excellent"/>
    <x v="1"/>
  </r>
  <r>
    <x v="50"/>
    <x v="3"/>
    <x v="1"/>
    <x v="3"/>
    <x v="0"/>
    <n v="22730.28"/>
    <n v="636495"/>
    <n v="3865"/>
    <n v="236700.39"/>
    <n v="47"/>
    <n v="6.0723179286561561E-3"/>
    <n v="5.8810556274256145"/>
    <n v="35.711639525840738"/>
    <n v="10.413439253717948"/>
    <n v="9.4134392537179483"/>
    <n v="2024"/>
    <s v="September"/>
    <s v="Q3"/>
    <x v="20"/>
    <n v="61.242015523932736"/>
    <n v="0.37188098885301535"/>
    <n v="483.62297872340423"/>
    <n v="5036.1785106382986"/>
    <n v="82.234042553191486"/>
    <n v="13542.446808510638"/>
    <s v="Low"/>
    <x v="0"/>
  </r>
  <r>
    <x v="45"/>
    <x v="0"/>
    <x v="2"/>
    <x v="2"/>
    <x v="1"/>
    <n v="16999.87"/>
    <n v="70144"/>
    <n v="5017"/>
    <n v="169440.05"/>
    <n v="33"/>
    <n v="7.1524292883211674E-2"/>
    <n v="3.388453258919673"/>
    <n v="242.35672331204378"/>
    <n v="9.9671379839963485"/>
    <n v="8.9671379839963485"/>
    <n v="2024"/>
    <s v="September"/>
    <s v="Q3"/>
    <x v="20"/>
    <n v="33.773181183974486"/>
    <n v="2.4156029026003649"/>
    <n v="515.14757575757574"/>
    <n v="5134.5469696969694"/>
    <n v="152.03030303030303"/>
    <n v="2125.5757575757575"/>
    <s v="Good"/>
    <x v="0"/>
  </r>
  <r>
    <x v="16"/>
    <x v="1"/>
    <x v="0"/>
    <x v="3"/>
    <x v="2"/>
    <n v="39983.339999999997"/>
    <n v="700909"/>
    <n v="34273"/>
    <n v="78899.429999999993"/>
    <n v="8"/>
    <n v="4.889793111516616E-2"/>
    <n v="1.1666133691243836"/>
    <n v="57.044980161476019"/>
    <n v="1.97330763262899"/>
    <n v="0.97330763262899"/>
    <n v="2024"/>
    <s v="September"/>
    <s v="Q3"/>
    <x v="20"/>
    <n v="2.3020870656201673"/>
    <n v="0.11256729475580994"/>
    <n v="4997.9174999999996"/>
    <n v="9862.4287499999991"/>
    <n v="4284.125"/>
    <n v="87613.625"/>
    <s v="Medium"/>
    <x v="0"/>
  </r>
  <r>
    <x v="47"/>
    <x v="0"/>
    <x v="1"/>
    <x v="2"/>
    <x v="2"/>
    <n v="5835.39"/>
    <n v="930047"/>
    <n v="20848"/>
    <n v="78435.16"/>
    <n v="42"/>
    <n v="2.241607144585166E-2"/>
    <n v="0.2799016692248657"/>
    <n v="6.2742958151577284"/>
    <n v="13.441288414313354"/>
    <n v="12.441288414313354"/>
    <n v="2024"/>
    <s v="September"/>
    <s v="Q3"/>
    <x v="20"/>
    <n v="3.7622390636991558"/>
    <n v="8.4334619648254339E-2"/>
    <n v="138.93785714285715"/>
    <n v="1867.5038095238097"/>
    <n v="496.38095238095241"/>
    <n v="22143.976190476191"/>
    <s v="Medium"/>
    <x v="0"/>
  </r>
  <r>
    <x v="15"/>
    <x v="0"/>
    <x v="1"/>
    <x v="0"/>
    <x v="2"/>
    <n v="30298.99"/>
    <n v="541958"/>
    <n v="33504"/>
    <n v="135423.26"/>
    <n v="53"/>
    <n v="6.1820288657054606E-2"/>
    <n v="0.90433948185291313"/>
    <n v="55.906527812118284"/>
    <n v="4.4695635069023751"/>
    <n v="3.4695635069023751"/>
    <n v="2024"/>
    <s v="September"/>
    <s v="Q3"/>
    <x v="20"/>
    <n v="4.0420027459407839"/>
    <n v="0.24987777650666659"/>
    <n v="571.67905660377357"/>
    <n v="2555.155849056604"/>
    <n v="632.15094339622647"/>
    <n v="10225.622641509433"/>
    <s v="Good"/>
    <x v="0"/>
  </r>
  <r>
    <x v="49"/>
    <x v="1"/>
    <x v="1"/>
    <x v="5"/>
    <x v="0"/>
    <n v="16029.07"/>
    <n v="757528"/>
    <n v="49802"/>
    <n v="169363.22"/>
    <n v="28"/>
    <n v="6.5742784425130166E-2"/>
    <n v="0.32185594956025859"/>
    <n v="21.159706307885649"/>
    <n v="10.56600414122591"/>
    <n v="9.5660041412259105"/>
    <n v="2024"/>
    <s v="September"/>
    <s v="Q3"/>
    <x v="20"/>
    <n v="3.4007312959318905"/>
    <n v="0.22357354447624378"/>
    <n v="572.46678571428572"/>
    <n v="6048.6864285714282"/>
    <n v="1778.6428571428571"/>
    <n v="27054.571428571428"/>
    <s v="Good"/>
    <x v="0"/>
  </r>
  <r>
    <x v="9"/>
    <x v="3"/>
    <x v="4"/>
    <x v="0"/>
    <x v="0"/>
    <n v="34746.28"/>
    <n v="321893"/>
    <n v="40370"/>
    <n v="149591.25"/>
    <n v="17"/>
    <n v="0.12541434576085841"/>
    <n v="0.86069556601436703"/>
    <n v="107.94357131096358"/>
    <n v="4.3052450506931965"/>
    <n v="3.3052450506931965"/>
    <n v="2024"/>
    <s v="September"/>
    <s v="Q3"/>
    <x v="20"/>
    <n v="3.7055053257369335"/>
    <n v="0.46472352614067408"/>
    <n v="2043.8988235294116"/>
    <n v="8799.4852941176468"/>
    <n v="2374.705882352941"/>
    <n v="18934.882352941175"/>
    <s v="Excellent"/>
    <x v="0"/>
  </r>
  <r>
    <x v="24"/>
    <x v="1"/>
    <x v="2"/>
    <x v="0"/>
    <x v="0"/>
    <n v="41271.94"/>
    <n v="470197"/>
    <n v="28117"/>
    <n v="158240.32000000001"/>
    <n v="41"/>
    <n v="5.979833984478846E-2"/>
    <n v="1.4678642813955971"/>
    <n v="87.775847144920107"/>
    <n v="3.8340896987153985"/>
    <n v="2.8340896987153985"/>
    <n v="2024"/>
    <s v="September"/>
    <s v="Q3"/>
    <x v="20"/>
    <n v="5.6279233204111394"/>
    <n v="0.33654047133435561"/>
    <n v="1006.6326829268294"/>
    <n v="3859.52"/>
    <n v="685.78048780487802"/>
    <n v="11468.219512195123"/>
    <s v="Good"/>
    <x v="0"/>
  </r>
  <r>
    <x v="18"/>
    <x v="2"/>
    <x v="0"/>
    <x v="0"/>
    <x v="2"/>
    <n v="45621.65"/>
    <n v="858083"/>
    <n v="4400"/>
    <n v="51146.63"/>
    <n v="29"/>
    <n v="5.1277090910786024E-3"/>
    <n v="10.368556818181819"/>
    <n v="53.166943057955933"/>
    <n v="1.1211043440997859"/>
    <n v="0.12110434409978586"/>
    <n v="2024"/>
    <s v="September"/>
    <s v="Q3"/>
    <x v="20"/>
    <n v="11.62423409090909"/>
    <n v="5.9605690824780351E-2"/>
    <n v="1573.1603448275862"/>
    <n v="1763.676896551724"/>
    <n v="151.72413793103448"/>
    <n v="29589.068965517243"/>
    <s v="Low"/>
    <x v="0"/>
  </r>
  <r>
    <x v="7"/>
    <x v="0"/>
    <x v="0"/>
    <x v="3"/>
    <x v="1"/>
    <n v="16232.43"/>
    <n v="923671"/>
    <n v="12367"/>
    <n v="56711.75"/>
    <n v="57"/>
    <n v="1.3388966417696345E-2"/>
    <n v="1.3125600388129701"/>
    <n v="17.573822280877067"/>
    <n v="3.4937313760170228"/>
    <n v="2.4937313760170228"/>
    <n v="2024"/>
    <s v="September"/>
    <s v="Q3"/>
    <x v="20"/>
    <n v="4.5857321905069943"/>
    <n v="6.1398214299247245E-2"/>
    <n v="284.77947368421053"/>
    <n v="994.94298245614038"/>
    <n v="216.96491228070175"/>
    <n v="16204.754385964912"/>
    <s v="Low"/>
    <x v="0"/>
  </r>
  <r>
    <x v="16"/>
    <x v="3"/>
    <x v="2"/>
    <x v="5"/>
    <x v="1"/>
    <n v="6413.84"/>
    <n v="715034"/>
    <n v="8794"/>
    <n v="245427.20000000001"/>
    <n v="51"/>
    <n v="1.2298715865259553E-2"/>
    <n v="0.72934273368205593"/>
    <n v="8.9699790499472751"/>
    <n v="38.26525139386078"/>
    <n v="37.26525139386078"/>
    <n v="2024"/>
    <s v="October"/>
    <s v="Q4"/>
    <x v="21"/>
    <n v="27.908483056629521"/>
    <n v="0.34323850334389694"/>
    <n v="125.76156862745098"/>
    <n v="4812.2980392156869"/>
    <n v="172.43137254901961"/>
    <n v="14020.274509803921"/>
    <s v="Low"/>
    <x v="0"/>
  </r>
  <r>
    <x v="13"/>
    <x v="2"/>
    <x v="1"/>
    <x v="4"/>
    <x v="2"/>
    <n v="48090.31"/>
    <n v="915115"/>
    <n v="47156"/>
    <n v="232255.84"/>
    <n v="9"/>
    <n v="5.153013555673331E-2"/>
    <n v="1.0198131732971414"/>
    <n v="52.551111062544052"/>
    <n v="4.8295766860309284"/>
    <n v="3.8295766860309284"/>
    <n v="2024"/>
    <s v="October"/>
    <s v="Q4"/>
    <x v="21"/>
    <n v="4.9252659258630924"/>
    <n v="0.25379962081268476"/>
    <n v="5343.3677777777775"/>
    <n v="25806.204444444444"/>
    <n v="5239.5555555555557"/>
    <n v="101679.44444444444"/>
    <s v="Good"/>
    <x v="0"/>
  </r>
  <r>
    <x v="10"/>
    <x v="0"/>
    <x v="4"/>
    <x v="4"/>
    <x v="0"/>
    <n v="3335.84"/>
    <n v="857311"/>
    <n v="1674"/>
    <n v="150170.04"/>
    <n v="46"/>
    <n v="1.9526169616393583E-3"/>
    <n v="1.9927359617682199"/>
    <n v="3.8910500390173461"/>
    <n v="45.017159096359535"/>
    <n v="44.017159096359542"/>
    <n v="2024"/>
    <s v="October"/>
    <s v="Q4"/>
    <x v="21"/>
    <n v="89.707311827957"/>
    <n v="0.17516401865833986"/>
    <n v="72.518260869565225"/>
    <n v="3264.5660869565218"/>
    <n v="36.391304347826086"/>
    <n v="18637.195652173912"/>
    <s v="Low"/>
    <x v="0"/>
  </r>
  <r>
    <x v="50"/>
    <x v="0"/>
    <x v="0"/>
    <x v="4"/>
    <x v="0"/>
    <n v="1927.17"/>
    <n v="840116"/>
    <n v="7069"/>
    <n v="137880.69"/>
    <n v="44"/>
    <n v="8.4143142137514341E-3"/>
    <n v="0.27262271891356626"/>
    <n v="2.2939332187459827"/>
    <n v="71.545680972617873"/>
    <n v="70.545680972617873"/>
    <n v="2024"/>
    <s v="October"/>
    <s v="Q4"/>
    <x v="21"/>
    <n v="19.504978073277691"/>
    <n v="0.16412101424089054"/>
    <n v="43.799318181818187"/>
    <n v="3133.6520454545457"/>
    <n v="160.65909090909091"/>
    <n v="19093.545454545456"/>
    <s v="Low"/>
    <x v="0"/>
  </r>
  <r>
    <x v="42"/>
    <x v="0"/>
    <x v="2"/>
    <x v="3"/>
    <x v="2"/>
    <n v="15649.78"/>
    <n v="870623"/>
    <n v="28029"/>
    <n v="148194.75"/>
    <n v="6"/>
    <n v="3.2194187380760672E-2"/>
    <n v="0.55834243105355175"/>
    <n v="17.975380847967489"/>
    <n v="9.4694462158573476"/>
    <n v="8.4694462158573476"/>
    <n v="2024"/>
    <s v="October"/>
    <s v="Q4"/>
    <x v="21"/>
    <n v="5.2871936208926469"/>
    <n v="0.17021690214938037"/>
    <n v="2608.2966666666666"/>
    <n v="24699.125"/>
    <n v="4671.5"/>
    <n v="145103.83333333334"/>
    <s v="Medium"/>
    <x v="0"/>
  </r>
  <r>
    <x v="25"/>
    <x v="2"/>
    <x v="0"/>
    <x v="4"/>
    <x v="1"/>
    <n v="47782.19"/>
    <n v="174660"/>
    <n v="47833"/>
    <n v="76570.13"/>
    <n v="13"/>
    <n v="0.27386350624069622"/>
    <n v="0.99893776263249223"/>
    <n v="273.57259819077069"/>
    <n v="1.6024826404984787"/>
    <n v="0.60248264049847866"/>
    <n v="2024"/>
    <s v="October"/>
    <s v="Q4"/>
    <x v="21"/>
    <n v="1.6007804235569587"/>
    <n v="0.43839533951677545"/>
    <n v="3675.5530769230772"/>
    <n v="5890.01"/>
    <n v="3679.4615384615386"/>
    <n v="13435.384615384615"/>
    <s v="Excellent"/>
    <x v="0"/>
  </r>
  <r>
    <x v="26"/>
    <x v="1"/>
    <x v="1"/>
    <x v="4"/>
    <x v="1"/>
    <n v="55207.65"/>
    <n v="793041"/>
    <n v="6023"/>
    <n v="111323.01"/>
    <n v="49"/>
    <n v="7.5948154004647928E-3"/>
    <n v="9.16613813714096"/>
    <n v="69.615127086745829"/>
    <n v="2.0164417431279902"/>
    <n v="1.0164417431279902"/>
    <n v="2024"/>
    <s v="October"/>
    <s v="Q4"/>
    <x v="21"/>
    <n v="18.482983563008467"/>
    <n v="0.14037484821087434"/>
    <n v="1126.6867346938775"/>
    <n v="2271.8981632653058"/>
    <n v="122.91836734693878"/>
    <n v="16184.510204081633"/>
    <s v="Low"/>
    <x v="0"/>
  </r>
  <r>
    <x v="16"/>
    <x v="3"/>
    <x v="0"/>
    <x v="5"/>
    <x v="1"/>
    <n v="542.9"/>
    <n v="132292"/>
    <n v="5515"/>
    <n v="34902.629999999997"/>
    <n v="47"/>
    <n v="4.1688083935536538E-2"/>
    <n v="9.8440616500453298E-2"/>
    <n v="4.1038006833368605"/>
    <n v="64.289242954503592"/>
    <n v="63.289242954503585"/>
    <n v="2024"/>
    <s v="October"/>
    <s v="Q4"/>
    <x v="21"/>
    <n v="6.3286727107887577"/>
    <n v="0.26383023916790127"/>
    <n v="11.551063829787234"/>
    <n v="742.60914893617019"/>
    <n v="117.34042553191489"/>
    <n v="2814.7234042553191"/>
    <s v="Medium"/>
    <x v="0"/>
  </r>
  <r>
    <x v="38"/>
    <x v="3"/>
    <x v="2"/>
    <x v="3"/>
    <x v="0"/>
    <n v="25241.31"/>
    <n v="315420"/>
    <n v="28230"/>
    <n v="5383.26"/>
    <n v="38"/>
    <n v="8.9499714666159413E-2"/>
    <n v="0.89413071200850169"/>
    <n v="80.024443599010837"/>
    <n v="0.21327181513162352"/>
    <n v="-0.78672818486837659"/>
    <n v="2024"/>
    <s v="October"/>
    <s v="Q4"/>
    <x v="21"/>
    <n v="0.19069287991498407"/>
    <n v="1.7066958341259274E-2"/>
    <n v="664.245"/>
    <n v="141.66473684210527"/>
    <n v="742.89473684210532"/>
    <n v="8300.5263157894733"/>
    <s v="Good"/>
    <x v="0"/>
  </r>
  <r>
    <x v="31"/>
    <x v="2"/>
    <x v="1"/>
    <x v="2"/>
    <x v="1"/>
    <n v="50972.45"/>
    <n v="781555"/>
    <n v="21433"/>
    <n v="171092.71"/>
    <n v="29"/>
    <n v="2.7423533852384028E-2"/>
    <n v="2.3782228339476505"/>
    <n v="65.219274395276088"/>
    <n v="3.3565722267617115"/>
    <n v="2.3565722267617115"/>
    <n v="2024"/>
    <s v="October"/>
    <s v="Q4"/>
    <x v="21"/>
    <n v="7.982676713479214"/>
    <n v="0.21891320508473491"/>
    <n v="1757.6706896551723"/>
    <n v="5899.7486206896547"/>
    <n v="739.06896551724139"/>
    <n v="26950.172413793105"/>
    <s v="Medium"/>
    <x v="0"/>
  </r>
  <r>
    <x v="57"/>
    <x v="3"/>
    <x v="4"/>
    <x v="5"/>
    <x v="1"/>
    <n v="2379.13"/>
    <n v="559855"/>
    <n v="2798"/>
    <n v="83232.55"/>
    <n v="55"/>
    <n v="4.9977226246081573E-3"/>
    <n v="0.85029664045746967"/>
    <n v="4.2495467576426043"/>
    <n v="34.984448096573118"/>
    <n v="33.984448096573118"/>
    <n v="2024"/>
    <s v="October"/>
    <s v="Q4"/>
    <x v="21"/>
    <n v="29.747158684774842"/>
    <n v="0.14866804797670827"/>
    <n v="43.25690909090909"/>
    <n v="1513.3190909090911"/>
    <n v="50.872727272727275"/>
    <n v="10179.181818181818"/>
    <s v="Low"/>
    <x v="0"/>
  </r>
  <r>
    <x v="49"/>
    <x v="3"/>
    <x v="1"/>
    <x v="1"/>
    <x v="1"/>
    <n v="9071.64"/>
    <n v="694219"/>
    <n v="14632"/>
    <n v="77746.009999999995"/>
    <n v="46"/>
    <n v="2.1076922412091862E-2"/>
    <n v="0.61998633132859482"/>
    <n v="13.067403801970272"/>
    <n v="8.5702265522000438"/>
    <n v="7.5702265522000429"/>
    <n v="2024"/>
    <s v="October"/>
    <s v="Q4"/>
    <x v="21"/>
    <n v="5.3134233187534168"/>
    <n v="0.11199061103196541"/>
    <n v="197.20956521739129"/>
    <n v="1690.1306521739129"/>
    <n v="318.08695652173913"/>
    <n v="15091.717391304348"/>
    <s v="Medium"/>
    <x v="0"/>
  </r>
  <r>
    <x v="43"/>
    <x v="3"/>
    <x v="1"/>
    <x v="1"/>
    <x v="2"/>
    <n v="35926.769999999997"/>
    <n v="844328"/>
    <n v="35124"/>
    <n v="102440.39"/>
    <n v="48"/>
    <n v="4.1599946940051737E-2"/>
    <n v="1.0228553126067645"/>
    <n v="42.550726731791428"/>
    <n v="2.8513665436664639"/>
    <n v="1.8513665436664637"/>
    <n v="2024"/>
    <s v="October"/>
    <s v="Q4"/>
    <x v="21"/>
    <n v="2.9165354173784306"/>
    <n v="0.12132771861172435"/>
    <n v="748.4743749999999"/>
    <n v="2134.1747916666668"/>
    <n v="731.75"/>
    <n v="17590.166666666668"/>
    <s v="Medium"/>
    <x v="0"/>
  </r>
  <r>
    <x v="33"/>
    <x v="3"/>
    <x v="0"/>
    <x v="5"/>
    <x v="0"/>
    <n v="1209.51"/>
    <n v="679983"/>
    <n v="5134"/>
    <n v="130897.29"/>
    <n v="28"/>
    <n v="7.5501887547188683E-3"/>
    <n v="0.23558823529411765"/>
    <n v="1.7787356448617098"/>
    <n v="108.22340451918545"/>
    <n v="107.22340451918545"/>
    <n v="2024"/>
    <s v="October"/>
    <s v="Q4"/>
    <x v="21"/>
    <n v="25.496160888196336"/>
    <n v="0.192500827226563"/>
    <n v="43.196785714285717"/>
    <n v="4674.9032142857141"/>
    <n v="183.35714285714286"/>
    <n v="24285.107142857141"/>
    <s v="Low"/>
    <x v="0"/>
  </r>
  <r>
    <x v="3"/>
    <x v="1"/>
    <x v="0"/>
    <x v="1"/>
    <x v="2"/>
    <n v="25657.43"/>
    <n v="765948"/>
    <n v="43300"/>
    <n v="171809.5"/>
    <n v="18"/>
    <n v="5.653125277433977E-2"/>
    <n v="0.59255034642032334"/>
    <n v="33.497613415009894"/>
    <n v="6.696286416839099"/>
    <n v="5.696286416839099"/>
    <n v="2024"/>
    <s v="October"/>
    <s v="Q4"/>
    <x v="21"/>
    <n v="3.9678868360277137"/>
    <n v="0.22430961370745794"/>
    <n v="1425.4127777777778"/>
    <n v="9544.9722222222226"/>
    <n v="2405.5555555555557"/>
    <n v="42552.666666666664"/>
    <s v="Good"/>
    <x v="0"/>
  </r>
  <r>
    <x v="6"/>
    <x v="0"/>
    <x v="0"/>
    <x v="3"/>
    <x v="0"/>
    <n v="14029.46"/>
    <n v="617723"/>
    <n v="5313"/>
    <n v="72729.19"/>
    <n v="60"/>
    <n v="8.6009424936419714E-3"/>
    <n v="2.6405910031996989"/>
    <n v="22.711571367748974"/>
    <n v="5.1840334553147454"/>
    <n v="4.1840334553147454"/>
    <n v="2024"/>
    <s v="October"/>
    <s v="Q4"/>
    <x v="21"/>
    <n v="13.688912102390363"/>
    <n v="0.11773754579317915"/>
    <n v="233.82433333333333"/>
    <n v="1212.1531666666667"/>
    <n v="88.55"/>
    <n v="10295.383333333333"/>
    <s v="Low"/>
    <x v="0"/>
  </r>
  <r>
    <x v="18"/>
    <x v="0"/>
    <x v="1"/>
    <x v="3"/>
    <x v="1"/>
    <n v="19579.169999999998"/>
    <n v="198811"/>
    <n v="19767"/>
    <n v="210969.5"/>
    <n v="28"/>
    <n v="9.9426088093717155E-2"/>
    <n v="0.99049779936257387"/>
    <n v="98.48132145605625"/>
    <n v="10.775201400263649"/>
    <n v="9.7752014002636489"/>
    <n v="2024"/>
    <s v="October"/>
    <s v="Q4"/>
    <x v="21"/>
    <n v="10.672813274649668"/>
    <n v="1.0611560728531118"/>
    <n v="699.25607142857132"/>
    <n v="7534.625"/>
    <n v="705.96428571428567"/>
    <n v="7100.3928571428569"/>
    <s v="Good"/>
    <x v="0"/>
  </r>
  <r>
    <x v="12"/>
    <x v="2"/>
    <x v="0"/>
    <x v="0"/>
    <x v="2"/>
    <n v="19088.84"/>
    <n v="370351"/>
    <n v="48987"/>
    <n v="102838.75"/>
    <n v="50"/>
    <n v="0.13227181781607178"/>
    <n v="0.38967154551207461"/>
    <n v="51.542563676080263"/>
    <n v="5.3873755555602125"/>
    <n v="4.3873755555602125"/>
    <n v="2024"/>
    <s v="October"/>
    <s v="Q4"/>
    <x v="21"/>
    <n v="2.0993069589891196"/>
    <n v="0.27767914761942047"/>
    <n v="381.77679999999998"/>
    <n v="2056.7750000000001"/>
    <n v="979.74"/>
    <n v="7407.02"/>
    <s v="Excellent"/>
    <x v="0"/>
  </r>
  <r>
    <x v="9"/>
    <x v="1"/>
    <x v="2"/>
    <x v="3"/>
    <x v="0"/>
    <n v="750.67"/>
    <n v="244053"/>
    <n v="9244"/>
    <n v="185435.45"/>
    <n v="13"/>
    <n v="3.7877018516469782E-2"/>
    <n v="8.1206187797490254E-2"/>
    <n v="3.0758482788574608"/>
    <n v="247.02658957997525"/>
    <n v="246.02658957997522"/>
    <n v="2024"/>
    <s v="October"/>
    <s v="Q4"/>
    <x v="21"/>
    <n v="20.060087624405021"/>
    <n v="0.75981631039159536"/>
    <n v="57.74384615384615"/>
    <n v="14264.265384615386"/>
    <n v="711.07692307692309"/>
    <n v="18773.307692307691"/>
    <s v="Medium"/>
    <x v="0"/>
  </r>
  <r>
    <x v="28"/>
    <x v="3"/>
    <x v="0"/>
    <x v="0"/>
    <x v="2"/>
    <n v="5079.82"/>
    <n v="708260"/>
    <n v="18953"/>
    <n v="107203.41"/>
    <n v="59"/>
    <n v="2.6759946912150907E-2"/>
    <n v="0.26802194903181553"/>
    <n v="7.1722531273825991"/>
    <n v="21.103781236343021"/>
    <n v="20.103781236343021"/>
    <n v="2024"/>
    <s v="October"/>
    <s v="Q4"/>
    <x v="21"/>
    <n v="5.6562765789057146"/>
    <n v="0.15136166097195947"/>
    <n v="86.098644067796599"/>
    <n v="1817.0069491525423"/>
    <n v="321.23728813559325"/>
    <n v="12004.406779661016"/>
    <s v="Medium"/>
    <x v="0"/>
  </r>
  <r>
    <x v="0"/>
    <x v="1"/>
    <x v="0"/>
    <x v="4"/>
    <x v="2"/>
    <n v="23807.88"/>
    <n v="652053"/>
    <n v="37562"/>
    <n v="104169.32"/>
    <n v="57"/>
    <n v="5.7605746772118216E-2"/>
    <n v="0.63382886960225759"/>
    <n v="36.512185359165592"/>
    <n v="4.3754135185493208"/>
    <n v="3.3754135185493208"/>
    <n v="2024"/>
    <s v="October"/>
    <s v="Q4"/>
    <x v="21"/>
    <n v="2.7732634045045526"/>
    <n v="0.15975590941227172"/>
    <n v="417.68210526315789"/>
    <n v="1827.5319298245615"/>
    <n v="658.98245614035091"/>
    <n v="11439.526315789473"/>
    <s v="Good"/>
    <x v="0"/>
  </r>
  <r>
    <x v="19"/>
    <x v="2"/>
    <x v="4"/>
    <x v="3"/>
    <x v="2"/>
    <n v="7918.2"/>
    <n v="352402"/>
    <n v="39878"/>
    <n v="198100.29"/>
    <n v="33"/>
    <n v="0.11316053824893162"/>
    <n v="0.19856060986007321"/>
    <n v="22.469225486802003"/>
    <n v="25.018348867166782"/>
    <n v="24.018348867166779"/>
    <n v="2024"/>
    <s v="October"/>
    <s v="Q4"/>
    <x v="21"/>
    <n v="4.9676586087567083"/>
    <n v="0.56214292200384786"/>
    <n v="239.94545454545454"/>
    <n v="6003.0390909090911"/>
    <n v="1208.4242424242425"/>
    <n v="10678.848484848484"/>
    <s v="Excellent"/>
    <x v="0"/>
  </r>
  <r>
    <x v="14"/>
    <x v="1"/>
    <x v="4"/>
    <x v="5"/>
    <x v="2"/>
    <n v="2669.45"/>
    <n v="830231"/>
    <n v="1404"/>
    <n v="18555.18"/>
    <n v="60"/>
    <n v="1.6910956107396616E-3"/>
    <n v="1.9013176638176637"/>
    <n v="3.2153099559038387"/>
    <n v="6.9509374590271413"/>
    <n v="5.9509374590271404"/>
    <n v="2024"/>
    <s v="October"/>
    <s v="Q4"/>
    <x v="21"/>
    <n v="13.21594017094017"/>
    <n v="2.2349418414874898E-2"/>
    <n v="44.490833333333327"/>
    <n v="309.25299999999999"/>
    <n v="23.4"/>
    <n v="13837.183333333332"/>
    <s v="Low"/>
    <x v="0"/>
  </r>
  <r>
    <x v="16"/>
    <x v="2"/>
    <x v="3"/>
    <x v="4"/>
    <x v="2"/>
    <n v="16821.22"/>
    <n v="781754"/>
    <n v="47615"/>
    <n v="98504.37"/>
    <n v="27"/>
    <n v="6.0907907090977466E-2"/>
    <n v="0.35327564843011661"/>
    <n v="21.517280372086361"/>
    <n v="5.8559587235646395"/>
    <n v="4.8559587235646395"/>
    <n v="2024"/>
    <s v="October"/>
    <s v="Q4"/>
    <x v="21"/>
    <n v="2.068767615247296"/>
    <n v="0.12600430570230534"/>
    <n v="623.00814814814817"/>
    <n v="3648.31"/>
    <n v="1763.5185185185185"/>
    <n v="28953.85185185185"/>
    <s v="Good"/>
    <x v="0"/>
  </r>
  <r>
    <x v="19"/>
    <x v="1"/>
    <x v="0"/>
    <x v="0"/>
    <x v="0"/>
    <n v="42286.559999999998"/>
    <n v="171223"/>
    <n v="1656"/>
    <n v="117510.18"/>
    <n v="58"/>
    <n v="9.6715978577644364E-3"/>
    <n v="25.53536231884058"/>
    <n v="246.96775550013723"/>
    <n v="2.7789013814318309"/>
    <n v="1.7789013814318309"/>
    <n v="2024"/>
    <s v="October"/>
    <s v="Q4"/>
    <x v="21"/>
    <n v="70.960253623188407"/>
    <n v="0.68629903692844996"/>
    <n v="729.07862068965517"/>
    <n v="2026.0375862068963"/>
    <n v="28.551724137931036"/>
    <n v="2952.1206896551726"/>
    <s v="Low"/>
    <x v="0"/>
  </r>
  <r>
    <x v="55"/>
    <x v="0"/>
    <x v="1"/>
    <x v="0"/>
    <x v="0"/>
    <n v="3742.82"/>
    <n v="720380"/>
    <n v="42484"/>
    <n v="102906.35"/>
    <n v="45"/>
    <n v="5.8974430161859021E-2"/>
    <n v="8.8099519819226063E-2"/>
    <n v="5.195618978872262"/>
    <n v="27.494335821653191"/>
    <n v="26.494335821653191"/>
    <n v="2024"/>
    <s v="October"/>
    <s v="Q4"/>
    <x v="21"/>
    <n v="2.4222377836361928"/>
    <n v="0.14285009300646881"/>
    <n v="83.173777777777786"/>
    <n v="2286.807777777778"/>
    <n v="944.08888888888885"/>
    <n v="16008.444444444445"/>
    <s v="Good"/>
    <x v="0"/>
  </r>
  <r>
    <x v="27"/>
    <x v="3"/>
    <x v="4"/>
    <x v="5"/>
    <x v="2"/>
    <n v="7027.37"/>
    <n v="786459"/>
    <n v="16085"/>
    <n v="131418.51"/>
    <n v="12"/>
    <n v="2.0452432993964084E-2"/>
    <n v="0.43688964874106312"/>
    <n v="8.9354562666330981"/>
    <n v="18.700952134297754"/>
    <n v="17.700952134297754"/>
    <n v="2024"/>
    <s v="October"/>
    <s v="Q4"/>
    <x v="21"/>
    <n v="8.170252409076781"/>
    <n v="0.16710153994041649"/>
    <n v="585.61416666666662"/>
    <n v="10951.542500000001"/>
    <n v="1340.4166666666667"/>
    <n v="65538.25"/>
    <s v="Medium"/>
    <x v="0"/>
  </r>
  <r>
    <x v="30"/>
    <x v="2"/>
    <x v="2"/>
    <x v="0"/>
    <x v="1"/>
    <n v="43775"/>
    <n v="911085"/>
    <n v="35071"/>
    <n v="98102.3"/>
    <n v="11"/>
    <n v="3.8493664147692036E-2"/>
    <n v="1.2481822588463403"/>
    <n v="48.047108667138637"/>
    <n v="2.2410576813249574"/>
    <n v="1.2410576813249572"/>
    <n v="2024"/>
    <s v="October"/>
    <s v="Q4"/>
    <x v="21"/>
    <n v="2.7972484388811267"/>
    <n v="0.10767634194394596"/>
    <n v="3979.5454545454545"/>
    <n v="8918.3909090909092"/>
    <n v="3188.2727272727275"/>
    <n v="82825.909090909088"/>
    <s v="Medium"/>
    <x v="0"/>
  </r>
  <r>
    <x v="10"/>
    <x v="0"/>
    <x v="4"/>
    <x v="3"/>
    <x v="0"/>
    <n v="19510.41"/>
    <n v="680030"/>
    <n v="2084"/>
    <n v="127019.32"/>
    <n v="19"/>
    <n v="3.064570680705263E-3"/>
    <n v="9.3620009596928977"/>
    <n v="28.69051365380939"/>
    <n v="6.5103357643432407"/>
    <n v="5.5103357643432407"/>
    <n v="2024"/>
    <s v="October"/>
    <s v="Q4"/>
    <x v="21"/>
    <n v="60.949769673704417"/>
    <n v="0.18678487713777334"/>
    <n v="1026.8636842105263"/>
    <n v="6685.2273684210531"/>
    <n v="109.68421052631579"/>
    <n v="35791.052631578947"/>
    <s v="Low"/>
    <x v="0"/>
  </r>
  <r>
    <x v="52"/>
    <x v="2"/>
    <x v="3"/>
    <x v="0"/>
    <x v="2"/>
    <n v="11004.74"/>
    <n v="901638"/>
    <n v="2544"/>
    <n v="228741.28"/>
    <n v="42"/>
    <n v="2.8215314793742056E-3"/>
    <n v="4.3257625786163523"/>
    <n v="12.205275287864975"/>
    <n v="20.785705068906672"/>
    <n v="19.785705068906672"/>
    <n v="2024"/>
    <s v="October"/>
    <s v="Q4"/>
    <x v="21"/>
    <n v="89.9140251572327"/>
    <n v="0.25369525241837632"/>
    <n v="262.01761904761906"/>
    <n v="5446.2209523809524"/>
    <n v="60.571428571428569"/>
    <n v="21467.571428571428"/>
    <s v="Low"/>
    <x v="0"/>
  </r>
  <r>
    <x v="55"/>
    <x v="0"/>
    <x v="1"/>
    <x v="0"/>
    <x v="1"/>
    <n v="15921.27"/>
    <n v="910374"/>
    <n v="9277"/>
    <n v="73193.34"/>
    <n v="52"/>
    <n v="1.0190317386041342E-2"/>
    <n v="1.7162089037404333"/>
    <n v="17.488713429865086"/>
    <n v="4.5972048712194438"/>
    <n v="3.5972048712194438"/>
    <n v="2024"/>
    <s v="November"/>
    <s v="Q4"/>
    <x v="22"/>
    <n v="7.8897639323057023"/>
    <n v="8.0399198571136699E-2"/>
    <n v="306.17826923076922"/>
    <n v="1407.5642307692308"/>
    <n v="178.40384615384616"/>
    <n v="17507.192307692309"/>
    <s v="Low"/>
    <x v="0"/>
  </r>
  <r>
    <x v="27"/>
    <x v="2"/>
    <x v="1"/>
    <x v="1"/>
    <x v="1"/>
    <n v="23277.759999999998"/>
    <n v="708199"/>
    <n v="45769"/>
    <n v="134890.73000000001"/>
    <n v="47"/>
    <n v="6.4627315203777472E-2"/>
    <n v="0.50859227861653078"/>
    <n v="32.868953500357946"/>
    <n v="5.7948329220681032"/>
    <n v="4.7948329220681041"/>
    <n v="2024"/>
    <s v="November"/>
    <s v="Q4"/>
    <x v="22"/>
    <n v="2.9472072800367064"/>
    <n v="0.19047009385779987"/>
    <n v="495.27148936170209"/>
    <n v="2870.0155319148939"/>
    <n v="973.80851063829789"/>
    <n v="15068.063829787234"/>
    <s v="Good"/>
    <x v="0"/>
  </r>
  <r>
    <x v="32"/>
    <x v="2"/>
    <x v="0"/>
    <x v="0"/>
    <x v="1"/>
    <n v="6620.25"/>
    <n v="293114"/>
    <n v="5665"/>
    <n v="23749.14"/>
    <n v="31"/>
    <n v="1.932695128857714E-2"/>
    <n v="1.1686231244483671"/>
    <n v="22.585922200918414"/>
    <n v="3.5873479098221366"/>
    <n v="2.5873479098221366"/>
    <n v="2024"/>
    <s v="November"/>
    <s v="Q4"/>
    <x v="22"/>
    <n v="4.1922577228596642"/>
    <n v="8.1023560798870062E-2"/>
    <n v="213.55645161290323"/>
    <n v="766.10129032258067"/>
    <n v="182.74193548387098"/>
    <n v="9455.2903225806458"/>
    <s v="Low"/>
    <x v="0"/>
  </r>
  <r>
    <x v="55"/>
    <x v="2"/>
    <x v="1"/>
    <x v="0"/>
    <x v="0"/>
    <n v="13843.2"/>
    <n v="206694"/>
    <n v="34076"/>
    <n v="93635.94"/>
    <n v="61"/>
    <n v="0.16486206662989733"/>
    <n v="0.40624486442070668"/>
    <n v="66.974367906180149"/>
    <n v="6.7640386615811368"/>
    <n v="5.7640386615811376"/>
    <n v="2024"/>
    <s v="November"/>
    <s v="Q4"/>
    <x v="22"/>
    <n v="2.7478559690104474"/>
    <n v="0.45301721385236149"/>
    <n v="226.93770491803281"/>
    <n v="1535.0154098360656"/>
    <n v="558.62295081967216"/>
    <n v="3388.4262295081967"/>
    <s v="Excellent"/>
    <x v="0"/>
  </r>
  <r>
    <x v="27"/>
    <x v="0"/>
    <x v="4"/>
    <x v="3"/>
    <x v="1"/>
    <n v="19661.93"/>
    <n v="988866"/>
    <n v="23189"/>
    <n v="226108.82"/>
    <n v="16"/>
    <n v="2.3450093339239086E-2"/>
    <n v="0.84789900383802663"/>
    <n v="19.88331078224957"/>
    <n v="11.499828348488679"/>
    <n v="10.499828348488679"/>
    <n v="2024"/>
    <s v="November"/>
    <s v="Q4"/>
    <x v="22"/>
    <n v="9.7506930009918502"/>
    <n v="0.22865466099552417"/>
    <n v="1228.870625"/>
    <n v="14131.80125"/>
    <n v="1449.3125"/>
    <n v="61804.125"/>
    <s v="Medium"/>
    <x v="0"/>
  </r>
  <r>
    <x v="15"/>
    <x v="0"/>
    <x v="3"/>
    <x v="3"/>
    <x v="1"/>
    <n v="3347.15"/>
    <n v="993952"/>
    <n v="35728"/>
    <n v="55435.94"/>
    <n v="13"/>
    <n v="3.5945397765686872E-2"/>
    <n v="9.3684225257501128E-2"/>
    <n v="3.3675167412510865"/>
    <n v="16.562131963013311"/>
    <n v="15.562131963013309"/>
    <n v="2024"/>
    <s v="November"/>
    <s v="Q4"/>
    <x v="22"/>
    <n v="1.5516105015673982"/>
    <n v="5.5773256656257042E-2"/>
    <n v="257.47307692307692"/>
    <n v="4264.3030769230772"/>
    <n v="2748.3076923076924"/>
    <n v="76457.846153846156"/>
    <s v="Medium"/>
    <x v="0"/>
  </r>
  <r>
    <x v="4"/>
    <x v="0"/>
    <x v="2"/>
    <x v="1"/>
    <x v="0"/>
    <n v="1139.19"/>
    <n v="441319"/>
    <n v="876"/>
    <n v="9097.91"/>
    <n v="37"/>
    <n v="1.9849587260009202E-3"/>
    <n v="1.3004452054794522"/>
    <n v="2.5813300583024978"/>
    <n v="7.986297281401697"/>
    <n v="6.986297281401697"/>
    <n v="2024"/>
    <s v="November"/>
    <s v="Q4"/>
    <x v="22"/>
    <n v="10.38574200913242"/>
    <n v="2.0615269227021723E-2"/>
    <n v="30.78891891891892"/>
    <n v="245.88945945945946"/>
    <n v="23.675675675675677"/>
    <n v="11927.54054054054"/>
    <s v="Low"/>
    <x v="0"/>
  </r>
  <r>
    <x v="55"/>
    <x v="0"/>
    <x v="4"/>
    <x v="5"/>
    <x v="0"/>
    <n v="2326.21"/>
    <n v="992750"/>
    <n v="1803"/>
    <n v="227963.23"/>
    <n v="25"/>
    <n v="1.8161672122890958E-3"/>
    <n v="1.2901885745978925"/>
    <n v="2.3431981868546967"/>
    <n v="97.997700121657118"/>
    <n v="96.997700121657118"/>
    <n v="2024"/>
    <s v="November"/>
    <s v="Q4"/>
    <x v="22"/>
    <n v="126.43551303383251"/>
    <n v="0.22962803324099723"/>
    <n v="93.048400000000001"/>
    <n v="9118.5292000000009"/>
    <n v="72.12"/>
    <n v="39710"/>
    <s v="Low"/>
    <x v="0"/>
  </r>
  <r>
    <x v="52"/>
    <x v="3"/>
    <x v="1"/>
    <x v="0"/>
    <x v="2"/>
    <n v="32759.69"/>
    <n v="636258"/>
    <n v="24788"/>
    <n v="42791.93"/>
    <n v="27"/>
    <n v="3.8959038628983839E-2"/>
    <n v="1.3215947232531871"/>
    <n v="51.488059875082122"/>
    <n v="1.3062373300846255"/>
    <n v="0.30623733008462539"/>
    <n v="2024"/>
    <s v="November"/>
    <s v="Q4"/>
    <x v="22"/>
    <n v="1.7263163627561724"/>
    <n v="6.7255625862464599E-2"/>
    <n v="1213.3218518518518"/>
    <n v="1584.8862962962962"/>
    <n v="918.07407407407402"/>
    <n v="23565.111111111109"/>
    <s v="Medium"/>
    <x v="0"/>
  </r>
  <r>
    <x v="40"/>
    <x v="0"/>
    <x v="0"/>
    <x v="1"/>
    <x v="0"/>
    <n v="10259.56"/>
    <n v="631314"/>
    <n v="5666"/>
    <n v="228045.31"/>
    <n v="21"/>
    <n v="8.9749316504940495E-3"/>
    <n v="1.8107236145428873"/>
    <n v="16.251120678457948"/>
    <n v="22.227591631609933"/>
    <n v="21.227591631609933"/>
    <n v="2024"/>
    <s v="November"/>
    <s v="Q4"/>
    <x v="22"/>
    <n v="40.248025061771976"/>
    <n v="0.36122327399677495"/>
    <n v="488.55047619047616"/>
    <n v="10859.300476190476"/>
    <n v="269.8095238095238"/>
    <n v="30062.571428571428"/>
    <s v="Low"/>
    <x v="0"/>
  </r>
  <r>
    <x v="36"/>
    <x v="0"/>
    <x v="3"/>
    <x v="4"/>
    <x v="0"/>
    <n v="5678.88"/>
    <n v="413277"/>
    <n v="23711"/>
    <n v="210790.86"/>
    <n v="17"/>
    <n v="5.737314198467372E-2"/>
    <n v="0.2395040276664839"/>
    <n v="13.741098585210406"/>
    <n v="37.118386019778548"/>
    <n v="36.118386019778541"/>
    <n v="2024"/>
    <s v="November"/>
    <s v="Q4"/>
    <x v="22"/>
    <n v="8.8900029522162711"/>
    <n v="0.51004740162167261"/>
    <n v="334.05176470588236"/>
    <n v="12399.462352941177"/>
    <n v="1394.7647058823529"/>
    <n v="24310.411764705881"/>
    <s v="Good"/>
    <x v="0"/>
  </r>
  <r>
    <x v="30"/>
    <x v="2"/>
    <x v="4"/>
    <x v="5"/>
    <x v="0"/>
    <n v="7682.99"/>
    <n v="541756"/>
    <n v="20369"/>
    <n v="168388.76"/>
    <n v="60"/>
    <n v="3.7598106896831782E-2"/>
    <n v="0.37719033825911924"/>
    <n v="14.181642658318506"/>
    <n v="21.917086967443666"/>
    <n v="20.917086967443666"/>
    <n v="2024"/>
    <s v="November"/>
    <s v="Q4"/>
    <x v="22"/>
    <n v="8.2669134469046099"/>
    <n v="0.31082029548357565"/>
    <n v="128.04983333333334"/>
    <n v="2806.4793333333337"/>
    <n v="339.48333333333335"/>
    <n v="9029.2666666666664"/>
    <s v="Medium"/>
    <x v="0"/>
  </r>
  <r>
    <x v="27"/>
    <x v="1"/>
    <x v="4"/>
    <x v="1"/>
    <x v="0"/>
    <n v="37070.68"/>
    <n v="655414"/>
    <n v="37396"/>
    <n v="78732.72"/>
    <n v="30"/>
    <n v="5.7057066220739867E-2"/>
    <n v="0.991300673868863"/>
    <n v="56.560708193599773"/>
    <n v="2.1238542157845499"/>
    <n v="1.1238542157845499"/>
    <n v="2024"/>
    <s v="November"/>
    <s v="Q4"/>
    <x v="22"/>
    <n v="2.1053781153064501"/>
    <n v="0.12012669854473661"/>
    <n v="1235.6893333333333"/>
    <n v="2624.424"/>
    <n v="1246.5333333333333"/>
    <n v="21847.133333333335"/>
    <s v="Good"/>
    <x v="0"/>
  </r>
  <r>
    <x v="32"/>
    <x v="3"/>
    <x v="3"/>
    <x v="5"/>
    <x v="1"/>
    <n v="12642.32"/>
    <n v="830738"/>
    <n v="6854"/>
    <n v="176780.51"/>
    <n v="58"/>
    <n v="8.2504953426952906E-3"/>
    <n v="1.8445170703238984"/>
    <n v="15.218179498229285"/>
    <n v="13.983233298951459"/>
    <n v="12.983233298951459"/>
    <n v="2024"/>
    <s v="November"/>
    <s v="Q4"/>
    <x v="22"/>
    <n v="25.792312518237527"/>
    <n v="0.21279935430906013"/>
    <n v="217.97103448275863"/>
    <n v="3047.9398275862072"/>
    <n v="118.17241379310344"/>
    <n v="14323.068965517241"/>
    <s v="Low"/>
    <x v="0"/>
  </r>
  <r>
    <x v="21"/>
    <x v="1"/>
    <x v="2"/>
    <x v="5"/>
    <x v="0"/>
    <n v="2025.53"/>
    <n v="889535"/>
    <n v="33438"/>
    <n v="189941.86"/>
    <n v="23"/>
    <n v="3.7590426458767784E-2"/>
    <n v="6.057569232609606E-2"/>
    <n v="2.2770661075730581"/>
    <n v="93.773906088776755"/>
    <n v="92.773906088776755"/>
    <n v="2024"/>
    <s v="November"/>
    <s v="Q4"/>
    <x v="22"/>
    <n v="5.6804192834499663"/>
    <n v="0.21352938332949237"/>
    <n v="88.066521739130437"/>
    <n v="8258.3417391304338"/>
    <n v="1453.8260869565217"/>
    <n v="38675.434782608696"/>
    <s v="Medium"/>
    <x v="0"/>
  </r>
  <r>
    <x v="27"/>
    <x v="2"/>
    <x v="3"/>
    <x v="1"/>
    <x v="2"/>
    <n v="54685.919999999998"/>
    <n v="288711"/>
    <n v="7885"/>
    <n v="108168.35"/>
    <n v="18"/>
    <n v="2.7311048072293748E-2"/>
    <n v="6.9354369055168039"/>
    <n v="189.41405072892962"/>
    <n v="1.9779926898916578"/>
    <n v="0.97799268989165788"/>
    <n v="2024"/>
    <s v="November"/>
    <s v="Q4"/>
    <x v="22"/>
    <n v="13.718243500317058"/>
    <n v="0.37465960770459045"/>
    <n v="3038.1066666666666"/>
    <n v="6009.3527777777781"/>
    <n v="438.05555555555554"/>
    <n v="16039.5"/>
    <s v="Medium"/>
    <x v="0"/>
  </r>
  <r>
    <x v="40"/>
    <x v="2"/>
    <x v="4"/>
    <x v="5"/>
    <x v="2"/>
    <n v="25392.720000000001"/>
    <n v="311603"/>
    <n v="44507"/>
    <n v="138916.54"/>
    <n v="6"/>
    <n v="0.14283238608100693"/>
    <n v="0.5705331745568113"/>
    <n v="81.490614660321"/>
    <n v="5.4707231048899052"/>
    <n v="4.4707231048899052"/>
    <n v="2024"/>
    <s v="November"/>
    <s v="Q4"/>
    <x v="22"/>
    <n v="3.1212290201541331"/>
    <n v="0.4458125884538981"/>
    <n v="4232.12"/>
    <n v="23152.756666666668"/>
    <n v="7417.833333333333"/>
    <n v="51933.833333333336"/>
    <s v="Excellent"/>
    <x v="0"/>
  </r>
  <r>
    <x v="2"/>
    <x v="2"/>
    <x v="4"/>
    <x v="4"/>
    <x v="0"/>
    <n v="1812.39"/>
    <n v="645173"/>
    <n v="32355"/>
    <n v="29721.41"/>
    <n v="36"/>
    <n v="5.0149339789482821E-2"/>
    <n v="5.6015762633286975E-2"/>
    <n v="2.8091535138637238"/>
    <n v="16.399014560883693"/>
    <n v="15.399014560883694"/>
    <n v="2024"/>
    <s v="November"/>
    <s v="Q4"/>
    <x v="22"/>
    <n v="0.91860330706227789"/>
    <n v="4.6067349377608799E-2"/>
    <n v="50.344166666666666"/>
    <n v="825.59472222222223"/>
    <n v="898.75"/>
    <n v="17921.472222222223"/>
    <s v="Good"/>
    <x v="0"/>
  </r>
  <r>
    <x v="17"/>
    <x v="3"/>
    <x v="1"/>
    <x v="1"/>
    <x v="2"/>
    <n v="1782.62"/>
    <n v="349320"/>
    <n v="16356"/>
    <n v="6673.38"/>
    <n v="12"/>
    <n v="4.6822397801442803E-2"/>
    <n v="0.10898875030569821"/>
    <n v="5.1031146226955224"/>
    <n v="3.7435796748605989"/>
    <n v="2.7435796748605989"/>
    <n v="2024"/>
    <s v="November"/>
    <s v="Q4"/>
    <x v="22"/>
    <n v="0.40800807043286869"/>
    <n v="1.9103916180006869E-2"/>
    <n v="148.55166666666665"/>
    <n v="556.11500000000001"/>
    <n v="1363"/>
    <n v="29110"/>
    <s v="Medium"/>
    <x v="0"/>
  </r>
  <r>
    <x v="53"/>
    <x v="2"/>
    <x v="2"/>
    <x v="1"/>
    <x v="0"/>
    <n v="37003.440000000002"/>
    <n v="728709"/>
    <n v="34597"/>
    <n v="27895.98"/>
    <n v="50"/>
    <n v="4.7477113635209664E-2"/>
    <n v="1.0695563199121312"/>
    <n v="50.779446939724913"/>
    <n v="0.75387531537608388"/>
    <n v="-0.2461246846239161"/>
    <n v="2024"/>
    <s v="November"/>
    <s v="Q4"/>
    <x v="22"/>
    <n v="0.80631210798624153"/>
    <n v="3.8281371576308239E-2"/>
    <n v="740.06880000000001"/>
    <n v="557.91959999999995"/>
    <n v="691.94"/>
    <n v="14574.18"/>
    <s v="Medium"/>
    <x v="0"/>
  </r>
  <r>
    <x v="50"/>
    <x v="0"/>
    <x v="4"/>
    <x v="2"/>
    <x v="2"/>
    <n v="11208.41"/>
    <n v="521333"/>
    <n v="6950"/>
    <n v="88410.28"/>
    <n v="19"/>
    <n v="1.333121056982773E-2"/>
    <n v="1.6127208633093526"/>
    <n v="21.499521419131341"/>
    <n v="7.8878520682237712"/>
    <n v="6.8878520682237712"/>
    <n v="2024"/>
    <s v="November"/>
    <s v="Q4"/>
    <x v="22"/>
    <n v="12.720903597122302"/>
    <n v="0.16958504449171644"/>
    <n v="589.91631578947363"/>
    <n v="4653.1726315789474"/>
    <n v="365.78947368421052"/>
    <n v="27438.57894736842"/>
    <s v="Low"/>
    <x v="0"/>
  </r>
  <r>
    <x v="52"/>
    <x v="2"/>
    <x v="2"/>
    <x v="1"/>
    <x v="0"/>
    <n v="25772.76"/>
    <n v="633870"/>
    <n v="37605"/>
    <n v="197890.36"/>
    <n v="24"/>
    <n v="5.932604477258744E-2"/>
    <n v="0.68535460710011964"/>
    <n v="40.659378105920766"/>
    <n v="7.6782758230007184"/>
    <n v="6.6782758230007184"/>
    <n v="2024"/>
    <s v="November"/>
    <s v="Q4"/>
    <x v="22"/>
    <n v="5.2623417098790055"/>
    <n v="0.31219391988893619"/>
    <n v="1073.865"/>
    <n v="8245.4316666666655"/>
    <n v="1566.875"/>
    <n v="26411.25"/>
    <s v="Good"/>
    <x v="0"/>
  </r>
  <r>
    <x v="49"/>
    <x v="1"/>
    <x v="0"/>
    <x v="5"/>
    <x v="0"/>
    <n v="22846.86"/>
    <n v="747463"/>
    <n v="32145"/>
    <n v="191803.98"/>
    <n v="17"/>
    <n v="4.3005473180612284E-2"/>
    <n v="0.71074381707886147"/>
    <n v="30.56587416367098"/>
    <n v="8.395200916012092"/>
    <n v="7.3952009160120902"/>
    <n v="2024"/>
    <s v="November"/>
    <s v="Q4"/>
    <x v="22"/>
    <n v="5.9668371441903876"/>
    <n v="0.25660665477756089"/>
    <n v="1343.9329411764706"/>
    <n v="11282.58705882353"/>
    <n v="1890.8823529411766"/>
    <n v="43968.411764705881"/>
    <s v="Medium"/>
    <x v="0"/>
  </r>
  <r>
    <x v="43"/>
    <x v="2"/>
    <x v="0"/>
    <x v="3"/>
    <x v="1"/>
    <n v="2896.45"/>
    <n v="274955"/>
    <n v="43266"/>
    <n v="42765.09"/>
    <n v="37"/>
    <n v="0.15735665836227747"/>
    <n v="6.694517635094531E-2"/>
    <n v="10.534269244058118"/>
    <n v="14.764656734968668"/>
    <n v="13.764656734968669"/>
    <n v="2024"/>
    <s v="November"/>
    <s v="Q4"/>
    <x v="22"/>
    <n v="0.98842254888364989"/>
    <n v="0.15553486934225599"/>
    <n v="78.282432432432429"/>
    <n v="1155.8132432432431"/>
    <n v="1169.3513513513512"/>
    <n v="7431.2162162162158"/>
    <s v="Excellent"/>
    <x v="0"/>
  </r>
  <r>
    <x v="51"/>
    <x v="3"/>
    <x v="3"/>
    <x v="2"/>
    <x v="0"/>
    <n v="2662.61"/>
    <n v="863403"/>
    <n v="12362"/>
    <n v="184722.37"/>
    <n v="18"/>
    <n v="1.4317763547265877E-2"/>
    <n v="0.21538666882381494"/>
    <n v="3.0838553954526451"/>
    <n v="69.376427640548172"/>
    <n v="68.376427640548187"/>
    <n v="2024"/>
    <s v="November"/>
    <s v="Q4"/>
    <x v="22"/>
    <n v="14.94275764439411"/>
    <n v="0.21394687069653451"/>
    <n v="147.92277777777778"/>
    <n v="10262.353888888889"/>
    <n v="686.77777777777783"/>
    <n v="47966.833333333336"/>
    <s v="Low"/>
    <x v="0"/>
  </r>
  <r>
    <x v="57"/>
    <x v="1"/>
    <x v="3"/>
    <x v="3"/>
    <x v="1"/>
    <n v="30591.27"/>
    <n v="31753"/>
    <n v="44158"/>
    <n v="206248.21"/>
    <n v="59"/>
    <n v="1.3906717475514125"/>
    <n v="0.69276846777480861"/>
    <n v="963.4135357289075"/>
    <n v="6.7420610520583155"/>
    <n v="5.7420610520583164"/>
    <n v="2024"/>
    <s v="November"/>
    <s v="Q4"/>
    <x v="22"/>
    <n v="4.6706873046786539"/>
    <n v="6.4953928762636597"/>
    <n v="518.4961016949153"/>
    <n v="3495.7323728813558"/>
    <n v="748.4406779661017"/>
    <n v="538.18644067796606"/>
    <s v="Excellent"/>
    <x v="1"/>
  </r>
  <r>
    <x v="6"/>
    <x v="3"/>
    <x v="0"/>
    <x v="2"/>
    <x v="2"/>
    <n v="18011.7"/>
    <n v="998984"/>
    <n v="36892"/>
    <n v="85361.54"/>
    <n v="20"/>
    <n v="3.6929520392719004E-2"/>
    <n v="0.48822780006505478"/>
    <n v="18.030018498794774"/>
    <n v="4.7392272800457471"/>
    <n v="3.7392272800457476"/>
    <n v="2024"/>
    <s v="November"/>
    <s v="Q4"/>
    <x v="22"/>
    <n v="2.3138225089450284"/>
    <n v="8.5448355529217673E-2"/>
    <n v="900.58500000000004"/>
    <n v="4268.0769999999993"/>
    <n v="1844.6"/>
    <n v="49949.2"/>
    <s v="Medium"/>
    <x v="0"/>
  </r>
  <r>
    <x v="8"/>
    <x v="3"/>
    <x v="1"/>
    <x v="2"/>
    <x v="0"/>
    <n v="8210.9500000000007"/>
    <n v="617488"/>
    <n v="15368"/>
    <n v="231579.87"/>
    <n v="61"/>
    <n v="2.4887933044852692E-2"/>
    <n v="0.53428878188443518"/>
    <n v="13.297343430155728"/>
    <n v="28.20378518928991"/>
    <n v="27.203785189289906"/>
    <n v="2024"/>
    <s v="November"/>
    <s v="Q4"/>
    <x v="22"/>
    <n v="15.068966033315981"/>
    <n v="0.37503541769232762"/>
    <n v="134.60573770491806"/>
    <n v="3796.3913114754096"/>
    <n v="251.9344262295082"/>
    <n v="10122.754098360656"/>
    <s v="Medium"/>
    <x v="0"/>
  </r>
  <r>
    <x v="59"/>
    <x v="2"/>
    <x v="0"/>
    <x v="1"/>
    <x v="0"/>
    <n v="14175.39"/>
    <n v="676216"/>
    <n v="45164"/>
    <n v="82901.91"/>
    <n v="55"/>
    <n v="6.6789309924639467E-2"/>
    <n v="0.31386480382605614"/>
    <n v="20.962813657174632"/>
    <n v="5.8482983536960891"/>
    <n v="4.8482983536960891"/>
    <n v="2024"/>
    <s v="November"/>
    <s v="Q4"/>
    <x v="22"/>
    <n v="1.8355750154990702"/>
    <n v="0.12259678860009228"/>
    <n v="257.73436363636364"/>
    <n v="1507.3074545454547"/>
    <n v="821.16363636363633"/>
    <n v="12294.836363636363"/>
    <s v="Good"/>
    <x v="0"/>
  </r>
  <r>
    <x v="22"/>
    <x v="0"/>
    <x v="1"/>
    <x v="1"/>
    <x v="1"/>
    <n v="21499.79"/>
    <n v="810152"/>
    <n v="5138"/>
    <n v="145610.84"/>
    <n v="34"/>
    <n v="6.3420197691297434E-3"/>
    <n v="4.1844667185675366"/>
    <n v="26.537970652420782"/>
    <n v="6.7726633608979432"/>
    <n v="5.7726633608979432"/>
    <n v="2024"/>
    <s v="November"/>
    <s v="Q4"/>
    <x v="22"/>
    <n v="28.339984429739197"/>
    <n v="0.17973274151023511"/>
    <n v="632.34676470588238"/>
    <n v="4282.6717647058822"/>
    <n v="151.11764705882354"/>
    <n v="23828"/>
    <s v="Low"/>
    <x v="0"/>
  </r>
  <r>
    <x v="15"/>
    <x v="3"/>
    <x v="1"/>
    <x v="4"/>
    <x v="2"/>
    <n v="28071.99"/>
    <n v="973798"/>
    <n v="37590"/>
    <n v="127958.75"/>
    <n v="35"/>
    <n v="3.86014347944851E-2"/>
    <n v="0.74679409417398246"/>
    <n v="28.82732353116355"/>
    <n v="4.5582358072940323"/>
    <n v="3.5582358072940319"/>
    <n v="2024"/>
    <s v="November"/>
    <s v="Q4"/>
    <x v="22"/>
    <n v="3.4040635807395585"/>
    <n v="0.13140173834819951"/>
    <n v="802.05685714285721"/>
    <n v="3655.9642857142858"/>
    <n v="1074"/>
    <n v="27822.799999999999"/>
    <s v="Medium"/>
    <x v="0"/>
  </r>
  <r>
    <x v="34"/>
    <x v="2"/>
    <x v="0"/>
    <x v="2"/>
    <x v="1"/>
    <n v="34943.42"/>
    <n v="366699"/>
    <n v="7410"/>
    <n v="76907.53"/>
    <n v="40"/>
    <n v="2.0207308991843448E-2"/>
    <n v="4.7157112010796221"/>
    <n v="95.291833356513109"/>
    <n v="2.2009159378217702"/>
    <n v="1.2009159378217702"/>
    <n v="2024"/>
    <s v="November"/>
    <s v="Q4"/>
    <x v="22"/>
    <n v="10.378883940620783"/>
    <n v="0.20972931477860587"/>
    <n v="873.58549999999991"/>
    <n v="1922.6882499999999"/>
    <n v="185.25"/>
    <n v="9167.4750000000004"/>
    <s v="Medium"/>
    <x v="0"/>
  </r>
  <r>
    <x v="15"/>
    <x v="0"/>
    <x v="4"/>
    <x v="0"/>
    <x v="1"/>
    <n v="50925.89"/>
    <n v="992486"/>
    <n v="9596"/>
    <n v="93934.51"/>
    <n v="21"/>
    <n v="9.6686502378874866E-3"/>
    <n v="5.3069914547728221"/>
    <n v="51.311444191656108"/>
    <n v="1.8445334975981764"/>
    <n v="0.84453349759817642"/>
    <n v="2024"/>
    <s v="November"/>
    <s v="Q4"/>
    <x v="22"/>
    <n v="9.7889235097957474"/>
    <n v="9.4645677621649063E-2"/>
    <n v="2425.0423809523809"/>
    <n v="4473.0719047619041"/>
    <n v="456.95238095238096"/>
    <n v="47261.238095238092"/>
    <s v="Low"/>
    <x v="0"/>
  </r>
  <r>
    <x v="54"/>
    <x v="0"/>
    <x v="4"/>
    <x v="0"/>
    <x v="1"/>
    <n v="30221.87"/>
    <n v="53993"/>
    <n v="36368"/>
    <n v="180752.64000000001"/>
    <n v="38"/>
    <n v="0.67356879595503116"/>
    <n v="0.83100170479542457"/>
    <n v="559.73681773563237"/>
    <n v="5.9808555857066432"/>
    <n v="4.9808555857066432"/>
    <n v="2024"/>
    <s v="December"/>
    <s v="Q4"/>
    <x v="23"/>
    <n v="4.9701011878574572"/>
    <n v="3.3477050728798181"/>
    <n v="795.31236842105261"/>
    <n v="4756.6484210526323"/>
    <n v="957.0526315789474"/>
    <n v="1420.8684210526317"/>
    <s v="Excellent"/>
    <x v="0"/>
  </r>
  <r>
    <x v="30"/>
    <x v="0"/>
    <x v="2"/>
    <x v="2"/>
    <x v="0"/>
    <n v="4362.78"/>
    <n v="454114"/>
    <n v="24038"/>
    <n v="90335.42"/>
    <n v="42"/>
    <n v="5.293384480548937E-2"/>
    <n v="0.18149513270654796"/>
    <n v="9.6072351876401072"/>
    <n v="20.705930622217945"/>
    <n v="19.705930622217945"/>
    <n v="2024"/>
    <s v="December"/>
    <s v="Q4"/>
    <x v="23"/>
    <n v="3.7580256260920208"/>
    <n v="0.19892674526660706"/>
    <n v="103.87571428571428"/>
    <n v="2150.8433333333332"/>
    <n v="572.33333333333337"/>
    <n v="10812.238095238095"/>
    <s v="Good"/>
    <x v="0"/>
  </r>
  <r>
    <x v="6"/>
    <x v="1"/>
    <x v="0"/>
    <x v="5"/>
    <x v="1"/>
    <n v="15909.81"/>
    <n v="274132"/>
    <n v="12753"/>
    <n v="13340.23"/>
    <n v="34"/>
    <n v="4.6521383858870911E-2"/>
    <n v="1.2475346977181838"/>
    <n v="58.037040549808118"/>
    <n v="0.83849084307103605"/>
    <n v="-0.16150915692896395"/>
    <n v="2024"/>
    <s v="December"/>
    <s v="Q4"/>
    <x v="23"/>
    <n v="1.0460464204500901"/>
    <n v="4.8663527059956517E-2"/>
    <n v="467.93558823529412"/>
    <n v="392.35970588235296"/>
    <n v="375.08823529411762"/>
    <n v="8062.7058823529414"/>
    <s v="Medium"/>
    <x v="0"/>
  </r>
  <r>
    <x v="34"/>
    <x v="2"/>
    <x v="4"/>
    <x v="3"/>
    <x v="2"/>
    <n v="3070.84"/>
    <n v="291444"/>
    <n v="32417"/>
    <n v="40754.03"/>
    <n v="30"/>
    <n v="0.11122891533193341"/>
    <n v="9.4729308696054546E-2"/>
    <n v="10.536638256406034"/>
    <n v="13.27129710437535"/>
    <n v="12.27129710437535"/>
    <n v="2024"/>
    <s v="December"/>
    <s v="Q4"/>
    <x v="23"/>
    <n v="1.2571808001974272"/>
    <n v="0.13983485678209193"/>
    <n v="102.36133333333333"/>
    <n v="1358.4676666666667"/>
    <n v="1080.5666666666666"/>
    <n v="9714.7999999999993"/>
    <s v="Excellent"/>
    <x v="0"/>
  </r>
  <r>
    <x v="26"/>
    <x v="1"/>
    <x v="3"/>
    <x v="0"/>
    <x v="2"/>
    <n v="33188.639999999999"/>
    <n v="117022"/>
    <n v="9752"/>
    <n v="117933.75999999999"/>
    <n v="25"/>
    <n v="8.3334757566953216E-2"/>
    <n v="3.4032649712879408"/>
    <n v="283.61026131838457"/>
    <n v="3.5534375617681229"/>
    <n v="2.5534375617681229"/>
    <n v="2024"/>
    <s v="December"/>
    <s v="Q4"/>
    <x v="23"/>
    <n v="12.093289581624282"/>
    <n v="1.0077913554716207"/>
    <n v="1327.5455999999999"/>
    <n v="4717.3503999999994"/>
    <n v="390.08"/>
    <n v="4680.88"/>
    <s v="Good"/>
    <x v="0"/>
  </r>
  <r>
    <x v="56"/>
    <x v="1"/>
    <x v="4"/>
    <x v="2"/>
    <x v="0"/>
    <n v="28488.720000000001"/>
    <n v="159600"/>
    <n v="24925"/>
    <n v="144052.39000000001"/>
    <n v="38"/>
    <n v="0.15617167919799499"/>
    <n v="1.1429777331995989"/>
    <n v="178.50075187969924"/>
    <n v="5.0564711226057195"/>
    <n v="4.0564711226057195"/>
    <n v="2024"/>
    <s v="December"/>
    <s v="Q4"/>
    <x v="23"/>
    <n v="5.779433901705116"/>
    <n v="0.90258389724310784"/>
    <n v="749.70315789473682"/>
    <n v="3790.8523684210531"/>
    <n v="655.92105263157896"/>
    <n v="4200"/>
    <s v="Excellent"/>
    <x v="0"/>
  </r>
  <r>
    <x v="52"/>
    <x v="0"/>
    <x v="0"/>
    <x v="4"/>
    <x v="1"/>
    <n v="7429.27"/>
    <n v="962424"/>
    <n v="29648"/>
    <n v="203094.52"/>
    <n v="32"/>
    <n v="3.080554932129706E-2"/>
    <n v="0.25058250134916354"/>
    <n v="7.7193316043656441"/>
    <n v="27.337076186489384"/>
    <n v="26.337076186489384"/>
    <n v="2024"/>
    <s v="December"/>
    <s v="Q4"/>
    <x v="23"/>
    <n v="6.8501929303831623"/>
    <n v="0.21102395617731892"/>
    <n v="232.16468750000001"/>
    <n v="6346.7037499999997"/>
    <n v="926.5"/>
    <n v="30075.75"/>
    <s v="Medium"/>
    <x v="0"/>
  </r>
  <r>
    <x v="42"/>
    <x v="1"/>
    <x v="4"/>
    <x v="1"/>
    <x v="1"/>
    <n v="3790.67"/>
    <n v="55168"/>
    <n v="7361"/>
    <n v="16760.830000000002"/>
    <n v="61"/>
    <n v="0.13342879930394433"/>
    <n v="0.51496671647873926"/>
    <n v="68.711390661252892"/>
    <n v="4.4216009307061812"/>
    <n v="3.4216009307061817"/>
    <n v="2024"/>
    <s v="December"/>
    <s v="Q4"/>
    <x v="23"/>
    <n v="2.2769773128651001"/>
    <n v="0.30381434889791187"/>
    <n v="62.142131147540987"/>
    <n v="274.76770491803279"/>
    <n v="120.67213114754098"/>
    <n v="904.39344262295083"/>
    <s v="Excellent"/>
    <x v="0"/>
  </r>
  <r>
    <x v="13"/>
    <x v="2"/>
    <x v="4"/>
    <x v="3"/>
    <x v="1"/>
    <n v="46349.81"/>
    <n v="458324"/>
    <n v="26633"/>
    <n v="195172.61"/>
    <n v="26"/>
    <n v="5.8109546958047147E-2"/>
    <n v="1.740315022716179"/>
    <n v="101.12891753432069"/>
    <n v="4.2108610585458708"/>
    <n v="3.2108610585458708"/>
    <n v="2024"/>
    <s v="December"/>
    <s v="Q4"/>
    <x v="23"/>
    <n v="7.3282247587579317"/>
    <n v="0.42583982073816773"/>
    <n v="1782.6849999999999"/>
    <n v="7506.6388461538454"/>
    <n v="1024.3461538461538"/>
    <n v="17627.846153846152"/>
    <s v="Good"/>
    <x v="0"/>
  </r>
  <r>
    <x v="41"/>
    <x v="3"/>
    <x v="4"/>
    <x v="4"/>
    <x v="0"/>
    <n v="16427.09"/>
    <n v="61028"/>
    <n v="24832"/>
    <n v="192942.99"/>
    <n v="25"/>
    <n v="0.40689519564789933"/>
    <n v="0.661529075386598"/>
    <n v="269.1730025562037"/>
    <n v="11.745415043078232"/>
    <n v="10.745415043078232"/>
    <n v="2024"/>
    <s v="December"/>
    <s v="Q4"/>
    <x v="23"/>
    <n v="7.7699335534793814"/>
    <n v="3.1615486334141703"/>
    <n v="657.08360000000005"/>
    <n v="7717.7195999999994"/>
    <n v="993.28"/>
    <n v="2441.12"/>
    <s v="Excellent"/>
    <x v="0"/>
  </r>
  <r>
    <x v="15"/>
    <x v="1"/>
    <x v="3"/>
    <x v="5"/>
    <x v="0"/>
    <n v="6697.79"/>
    <n v="623015"/>
    <n v="44298"/>
    <n v="130151.11"/>
    <n v="27"/>
    <n v="7.1102621927240914E-2"/>
    <n v="0.15119847397173689"/>
    <n v="10.750607930788183"/>
    <n v="19.431948448667395"/>
    <n v="18.431948448667399"/>
    <n v="2024"/>
    <s v="December"/>
    <s v="Q4"/>
    <x v="23"/>
    <n v="2.9380809517359698"/>
    <n v="0.20890525910291086"/>
    <n v="248.06629629629629"/>
    <n v="4820.4114814814811"/>
    <n v="1640.6666666666667"/>
    <n v="23074.629629629631"/>
    <s v="Good"/>
    <x v="0"/>
  </r>
  <r>
    <x v="27"/>
    <x v="1"/>
    <x v="0"/>
    <x v="2"/>
    <x v="2"/>
    <n v="1532.46"/>
    <n v="446801"/>
    <n v="45001"/>
    <n v="81600.23"/>
    <n v="48"/>
    <n v="0.10071821683478775"/>
    <n v="3.4053909913113044E-2"/>
    <n v="3.4298490827012476"/>
    <n v="53.24786943868029"/>
    <n v="52.247869438680283"/>
    <n v="2024"/>
    <s v="December"/>
    <s v="Q4"/>
    <x v="23"/>
    <n v="1.8132981489300237"/>
    <n v="0.18263215615005338"/>
    <n v="31.92625"/>
    <n v="1700.0047916666665"/>
    <n v="937.52083333333337"/>
    <n v="9308.3541666666661"/>
    <s v="Excellent"/>
    <x v="0"/>
  </r>
  <r>
    <x v="50"/>
    <x v="0"/>
    <x v="1"/>
    <x v="4"/>
    <x v="2"/>
    <n v="6289.58"/>
    <n v="514098"/>
    <n v="48241"/>
    <n v="193245.36"/>
    <n v="20"/>
    <n v="9.3836194655493699E-2"/>
    <n v="0.13037830890736096"/>
    <n v="12.234204373485211"/>
    <n v="30.724684319143726"/>
    <n v="29.724684319143726"/>
    <n v="2024"/>
    <s v="December"/>
    <s v="Q4"/>
    <x v="23"/>
    <n v="4.0058323832424696"/>
    <n v="0.37589206727122065"/>
    <n v="314.47899999999998"/>
    <n v="9662.268"/>
    <n v="2412.0500000000002"/>
    <n v="25704.9"/>
    <s v="Good"/>
    <x v="0"/>
  </r>
  <r>
    <x v="40"/>
    <x v="1"/>
    <x v="4"/>
    <x v="1"/>
    <x v="2"/>
    <n v="2153.87"/>
    <n v="537786"/>
    <n v="38679"/>
    <n v="79998.2"/>
    <n v="28"/>
    <n v="7.192266068659281E-2"/>
    <n v="5.568577264148504E-2"/>
    <n v="4.0050689307642813"/>
    <n v="37.141610217886871"/>
    <n v="36.141610217886878"/>
    <n v="2024"/>
    <s v="December"/>
    <s v="Q4"/>
    <x v="23"/>
    <n v="2.0682592621319063"/>
    <n v="0.14875470912221589"/>
    <n v="76.923928571428561"/>
    <n v="2857.0785714285712"/>
    <n v="1381.3928571428571"/>
    <n v="19206.642857142859"/>
    <s v="Good"/>
    <x v="0"/>
  </r>
  <r>
    <x v="34"/>
    <x v="1"/>
    <x v="4"/>
    <x v="2"/>
    <x v="1"/>
    <n v="11046.2"/>
    <n v="74076"/>
    <n v="41058"/>
    <n v="119830.06"/>
    <n v="12"/>
    <n v="0.55426858901668552"/>
    <n v="0.26903892055141509"/>
    <n v="149.11982288460501"/>
    <n v="10.848079882674584"/>
    <n v="9.8480798826745843"/>
    <n v="2024"/>
    <s v="December"/>
    <s v="Q4"/>
    <x v="23"/>
    <n v="2.9185557016902917"/>
    <n v="1.6176637507424807"/>
    <n v="920.51666666666677"/>
    <n v="9985.8383333333331"/>
    <n v="3421.5"/>
    <n v="6173"/>
    <s v="Excellent"/>
    <x v="0"/>
  </r>
  <r>
    <x v="7"/>
    <x v="1"/>
    <x v="4"/>
    <x v="4"/>
    <x v="0"/>
    <n v="6627.59"/>
    <n v="480392"/>
    <n v="40427"/>
    <n v="6286.54"/>
    <n v="59"/>
    <n v="8.4154190744225546E-2"/>
    <n v="0.16393969376901577"/>
    <n v="13.796212259987678"/>
    <n v="0.94854087232312201"/>
    <n v="-5.1459127676878047E-2"/>
    <n v="2024"/>
    <s v="December"/>
    <s v="Q4"/>
    <x v="23"/>
    <n v="0.15550350013604769"/>
    <n v="1.3086271211843661E-2"/>
    <n v="112.33203389830508"/>
    <n v="106.55152542372882"/>
    <n v="685.20338983050851"/>
    <n v="8142.2372881355932"/>
    <s v="Good"/>
    <x v="0"/>
  </r>
  <r>
    <x v="14"/>
    <x v="0"/>
    <x v="4"/>
    <x v="4"/>
    <x v="2"/>
    <n v="11422.91"/>
    <n v="154462"/>
    <n v="7674"/>
    <n v="112298.45"/>
    <n v="14"/>
    <n v="4.9682122463777498E-2"/>
    <n v="1.4885209799322388"/>
    <n v="73.952881614895574"/>
    <n v="9.8309843988966037"/>
    <n v="8.8309843988966037"/>
    <n v="2024"/>
    <s v="December"/>
    <s v="Q4"/>
    <x v="23"/>
    <n v="14.633626531144122"/>
    <n v="0.72702962540948579"/>
    <n v="815.92214285714283"/>
    <n v="8021.3178571428571"/>
    <n v="548.14285714285711"/>
    <n v="11033"/>
    <s v="Medium"/>
    <x v="0"/>
  </r>
  <r>
    <x v="17"/>
    <x v="2"/>
    <x v="3"/>
    <x v="5"/>
    <x v="0"/>
    <n v="8172.75"/>
    <n v="122537"/>
    <n v="11952"/>
    <n v="209511.83"/>
    <n v="43"/>
    <n v="9.7537886515909486E-2"/>
    <n v="0.68379769076305219"/>
    <n v="66.696181561487549"/>
    <n v="25.635414028325837"/>
    <n v="24.635414028325837"/>
    <n v="2024"/>
    <s v="December"/>
    <s v="Q4"/>
    <x v="23"/>
    <n v="17.529436914323963"/>
    <n v="1.709784228437125"/>
    <n v="190.06395348837211"/>
    <n v="4872.3681395348831"/>
    <n v="277.95348837209303"/>
    <n v="2849.6976744186045"/>
    <s v="Good"/>
    <x v="0"/>
  </r>
  <r>
    <x v="29"/>
    <x v="2"/>
    <x v="3"/>
    <x v="0"/>
    <x v="1"/>
    <n v="18356.39"/>
    <n v="658388"/>
    <n v="45069"/>
    <n v="166424.65"/>
    <n v="54"/>
    <n v="6.8453556261657264E-2"/>
    <n v="0.40729525838159264"/>
    <n v="27.880808884730584"/>
    <n v="9.0663060656261933"/>
    <n v="8.0663060656261933"/>
    <n v="2024"/>
    <s v="December"/>
    <s v="Q4"/>
    <x v="23"/>
    <n v="3.6926634715658211"/>
    <n v="0.25277594670619757"/>
    <n v="339.93314814814812"/>
    <n v="3081.937962962963"/>
    <n v="834.61111111111109"/>
    <n v="12192.37037037037"/>
    <s v="Good"/>
    <x v="0"/>
  </r>
  <r>
    <x v="40"/>
    <x v="2"/>
    <x v="0"/>
    <x v="1"/>
    <x v="2"/>
    <n v="17775.55"/>
    <n v="350536"/>
    <n v="29806"/>
    <n v="124439.15"/>
    <n v="48"/>
    <n v="8.5029782960951233E-2"/>
    <n v="0.59637489096155138"/>
    <n v="50.709627541821661"/>
    <n v="7.0005794476120284"/>
    <n v="6.0005794476120284"/>
    <n v="2024"/>
    <s v="December"/>
    <s v="Q4"/>
    <x v="23"/>
    <n v="4.1749698047373007"/>
    <n v="0.35499677636533766"/>
    <n v="370.32395833333334"/>
    <n v="2592.4822916666667"/>
    <n v="620.95833333333337"/>
    <n v="7302.833333333333"/>
    <s v="Good"/>
    <x v="0"/>
  </r>
  <r>
    <x v="43"/>
    <x v="1"/>
    <x v="4"/>
    <x v="0"/>
    <x v="2"/>
    <n v="13428.25"/>
    <n v="456772"/>
    <n v="31504"/>
    <n v="20030.68"/>
    <n v="46"/>
    <n v="6.8970952685366002E-2"/>
    <n v="0.42623952513966479"/>
    <n v="29.398146121040696"/>
    <n v="1.4916820881350883"/>
    <n v="0.49168208813508835"/>
    <n v="2024"/>
    <s v="December"/>
    <s v="Q4"/>
    <x v="23"/>
    <n v="0.63581386490604364"/>
    <n v="4.385268799313443E-2"/>
    <n v="291.91847826086956"/>
    <n v="435.4495652173913"/>
    <n v="684.86956521739125"/>
    <n v="9929.826086956522"/>
    <s v="Good"/>
    <x v="0"/>
  </r>
  <r>
    <x v="49"/>
    <x v="2"/>
    <x v="2"/>
    <x v="1"/>
    <x v="0"/>
    <n v="18123.439999999999"/>
    <n v="440321"/>
    <n v="23150"/>
    <n v="91291.75"/>
    <n v="37"/>
    <n v="5.2575280306867034E-2"/>
    <n v="0.78286997840172778"/>
    <n v="41.159608558301777"/>
    <n v="5.0372197551899642"/>
    <n v="4.0372197551899642"/>
    <n v="2024"/>
    <s v="December"/>
    <s v="Q4"/>
    <x v="23"/>
    <n v="3.9434881209503239"/>
    <n v="0.20732999334576366"/>
    <n v="489.82270270270266"/>
    <n v="2467.3445945945946"/>
    <n v="625.67567567567562"/>
    <n v="11900.567567567568"/>
    <s v="Good"/>
    <x v="0"/>
  </r>
  <r>
    <x v="16"/>
    <x v="2"/>
    <x v="4"/>
    <x v="2"/>
    <x v="2"/>
    <n v="5809.55"/>
    <n v="580871"/>
    <n v="41018"/>
    <n v="198143.69"/>
    <n v="31"/>
    <n v="7.0614645936877551E-2"/>
    <n v="0.14163416061241407"/>
    <n v="10.001446104212468"/>
    <n v="34.106546978681649"/>
    <n v="33.106546978681656"/>
    <n v="2024"/>
    <s v="December"/>
    <s v="Q4"/>
    <x v="23"/>
    <n v="4.8306521527134425"/>
    <n v="0.3411147914080751"/>
    <n v="187.40483870967742"/>
    <n v="6391.731935483871"/>
    <n v="1323.1612903225807"/>
    <n v="18737.774193548386"/>
    <s v="Good"/>
    <x v="0"/>
  </r>
  <r>
    <x v="26"/>
    <x v="0"/>
    <x v="2"/>
    <x v="5"/>
    <x v="1"/>
    <n v="9143.2000000000007"/>
    <n v="19756"/>
    <n v="19833"/>
    <n v="108113.51"/>
    <n v="15"/>
    <n v="1.0038975501113585"/>
    <n v="0.46100942872989464"/>
    <n v="462.80623608017822"/>
    <n v="11.824471738559803"/>
    <n v="10.824471738559803"/>
    <n v="2024"/>
    <s v="December"/>
    <s v="Q4"/>
    <x v="23"/>
    <n v="5.4511929612262389"/>
    <n v="5.4724392589593034"/>
    <n v="609.54666666666674"/>
    <n v="7207.5673333333334"/>
    <n v="1322.2"/>
    <n v="1317.0666666666666"/>
    <s v="Excellent"/>
    <x v="1"/>
  </r>
  <r>
    <x v="10"/>
    <x v="3"/>
    <x v="1"/>
    <x v="0"/>
    <x v="1"/>
    <n v="19248.95"/>
    <n v="978790"/>
    <n v="17437"/>
    <n v="198017.87"/>
    <n v="61"/>
    <n v="1.7814853032826244E-2"/>
    <n v="1.1039140907266158"/>
    <n v="19.666067287160679"/>
    <n v="10.287203717605376"/>
    <n v="9.2872037176053741"/>
    <n v="2024"/>
    <s v="December"/>
    <s v="Q4"/>
    <x v="23"/>
    <n v="11.356189138039801"/>
    <n v="0.20230884050715678"/>
    <n v="315.55655737704922"/>
    <n v="3246.1945901639342"/>
    <n v="285.85245901639342"/>
    <n v="16045.737704918032"/>
    <s v="Low"/>
    <x v="0"/>
  </r>
  <r>
    <x v="58"/>
    <x v="3"/>
    <x v="4"/>
    <x v="1"/>
    <x v="0"/>
    <n v="10033.84"/>
    <n v="858014"/>
    <n v="4200"/>
    <n v="146450.23999999999"/>
    <n v="19"/>
    <n v="4.8950250229017238E-3"/>
    <n v="2.3890095238095239"/>
    <n v="11.694261398998151"/>
    <n v="14.595632380025991"/>
    <n v="13.595632380025991"/>
    <n v="2024"/>
    <s v="December"/>
    <s v="Q4"/>
    <x v="23"/>
    <n v="34.869104761904758"/>
    <n v="0.17068514033570548"/>
    <n v="528.09684210526314"/>
    <n v="7707.9073684210525"/>
    <n v="221.05263157894737"/>
    <n v="45158.631578947367"/>
    <s v="Low"/>
    <x v="0"/>
  </r>
  <r>
    <x v="28"/>
    <x v="1"/>
    <x v="3"/>
    <x v="5"/>
    <x v="1"/>
    <n v="23344.81"/>
    <n v="840884"/>
    <n v="42830"/>
    <n v="245300.44"/>
    <n v="57"/>
    <n v="5.0934492748107942E-2"/>
    <n v="0.54505743637637172"/>
    <n v="27.762224040414612"/>
    <n v="10.507707708908319"/>
    <n v="9.5077077089083186"/>
    <n v="2024"/>
    <s v="December"/>
    <s v="Q4"/>
    <x v="23"/>
    <n v="5.7273042260098066"/>
    <n v="0.29171733556590446"/>
    <n v="409.55807017543862"/>
    <n v="4303.5164912280707"/>
    <n v="751.40350877192986"/>
    <n v="14752.350877192983"/>
    <s v="Good"/>
    <x v="0"/>
  </r>
  <r>
    <x v="56"/>
    <x v="2"/>
    <x v="2"/>
    <x v="2"/>
    <x v="0"/>
    <n v="11803"/>
    <n v="847255"/>
    <n v="30814"/>
    <n v="128046.17"/>
    <n v="35"/>
    <n v="3.6369215879516789E-2"/>
    <n v="0.38304017654312977"/>
    <n v="13.930870871225311"/>
    <n v="10.848612217232906"/>
    <n v="9.8486122172329065"/>
    <n v="2024"/>
    <s v="December"/>
    <s v="Q4"/>
    <x v="23"/>
    <n v="4.1554543389368472"/>
    <n v="0.15113061593026891"/>
    <n v="337.22857142857146"/>
    <n v="3658.462"/>
    <n v="880.4"/>
    <n v="24207.285714285714"/>
    <s v="Medium"/>
    <x v="0"/>
  </r>
  <r>
    <x v="26"/>
    <x v="1"/>
    <x v="2"/>
    <x v="0"/>
    <x v="1"/>
    <n v="24641.040000000001"/>
    <n v="489341"/>
    <n v="49629"/>
    <n v="32178.06"/>
    <n v="9"/>
    <n v="0.10142007311874542"/>
    <n v="0.49650486610651035"/>
    <n v="50.355559824335181"/>
    <n v="1.3058726417391473"/>
    <n v="0.30587264173914736"/>
    <n v="2024"/>
    <s v="December"/>
    <s v="Q4"/>
    <x v="23"/>
    <n v="0.64837212113885034"/>
    <n v="6.5757947934058258E-2"/>
    <n v="2737.8933333333334"/>
    <n v="3575.34"/>
    <n v="5514.333333333333"/>
    <n v="54371.222222222219"/>
    <s v="Excellent"/>
    <x v="0"/>
  </r>
  <r>
    <x v="11"/>
    <x v="3"/>
    <x v="4"/>
    <x v="3"/>
    <x v="0"/>
    <n v="1203.5"/>
    <n v="574607"/>
    <n v="45113"/>
    <n v="181260.35"/>
    <n v="33"/>
    <n v="7.8511051901560547E-2"/>
    <n v="2.6677454392303769E-2"/>
    <n v="2.0944750063956756"/>
    <n v="150.61100955546323"/>
    <n v="149.61100955546323"/>
    <n v="2024"/>
    <s v="December"/>
    <s v="Q4"/>
    <x v="23"/>
    <n v="4.0179183383946979"/>
    <n v="0.31545099520193803"/>
    <n v="36.469696969696969"/>
    <n v="5492.7378787878788"/>
    <n v="1367.060606060606"/>
    <n v="17412.333333333332"/>
    <s v="Good"/>
    <x v="0"/>
  </r>
  <r>
    <x v="16"/>
    <x v="3"/>
    <x v="0"/>
    <x v="2"/>
    <x v="0"/>
    <n v="3817.95"/>
    <n v="404220"/>
    <n v="43117"/>
    <n v="192145.15"/>
    <n v="13"/>
    <n v="0.10666716144673692"/>
    <n v="8.8548600320059373E-2"/>
    <n v="9.4452278462223536"/>
    <n v="50.326785316727566"/>
    <n v="49.326785316727559"/>
    <n v="2024"/>
    <s v="December"/>
    <s v="Q4"/>
    <x v="23"/>
    <n v="4.4563663984043416"/>
    <n v="0.47534795408440944"/>
    <n v="293.68846153846152"/>
    <n v="14780.396153846154"/>
    <n v="3316.6923076923076"/>
    <n v="31093.846153846152"/>
    <s v="Excellent"/>
    <x v="0"/>
  </r>
  <r>
    <x v="36"/>
    <x v="2"/>
    <x v="0"/>
    <x v="0"/>
    <x v="0"/>
    <n v="10148.709999999999"/>
    <n v="650037"/>
    <n v="39872"/>
    <n v="23374.58"/>
    <n v="55"/>
    <n v="6.1338046911175823E-2"/>
    <n v="0.25453225321027284"/>
    <n v="15.612511287819"/>
    <n v="2.3032070085754746"/>
    <n v="1.3032070085754746"/>
    <n v="2024"/>
    <s v="December"/>
    <s v="Q4"/>
    <x v="23"/>
    <n v="0.58624046950240771"/>
    <n v="3.5958845419568425E-2"/>
    <n v="184.52199999999999"/>
    <n v="424.99236363636368"/>
    <n v="724.9454545454546"/>
    <n v="11818.854545454546"/>
    <s v="Good"/>
    <x v="0"/>
  </r>
  <r>
    <x v="28"/>
    <x v="2"/>
    <x v="3"/>
    <x v="3"/>
    <x v="0"/>
    <n v="10705.68"/>
    <n v="830114"/>
    <n v="17545"/>
    <n v="75550.679999999993"/>
    <n v="19"/>
    <n v="2.1135651247900889E-2"/>
    <n v="0.61018409803362783"/>
    <n v="12.896638293053726"/>
    <n v="7.0570650346358184"/>
    <n v="6.0570650346358184"/>
    <n v="2024"/>
    <s v="December"/>
    <s v="Q4"/>
    <x v="23"/>
    <n v="4.3061088629239093"/>
    <n v="9.101241516225482E-2"/>
    <n v="563.45684210526315"/>
    <n v="3976.3515789473681"/>
    <n v="923.42105263157896"/>
    <n v="43690.210526315786"/>
    <s v="Medium"/>
    <x v="0"/>
  </r>
  <r>
    <x v="35"/>
    <x v="2"/>
    <x v="0"/>
    <x v="0"/>
    <x v="0"/>
    <n v="1989.41"/>
    <n v="159380"/>
    <n v="27154"/>
    <n v="223787.7"/>
    <n v="9"/>
    <n v="0.17037269418998618"/>
    <n v="7.3263975841496645E-2"/>
    <n v="12.482180951185846"/>
    <n v="112.48948180616364"/>
    <n v="111.48948180616364"/>
    <n v="2024"/>
    <s v="December"/>
    <s v="Q4"/>
    <x v="23"/>
    <n v="8.2414266774692493"/>
    <n v="1.4041140670096626"/>
    <n v="221.04555555555555"/>
    <n v="24865.300000000003"/>
    <n v="3017.1111111111113"/>
    <n v="17708.888888888891"/>
    <s v="Excellent"/>
    <x v="0"/>
  </r>
  <r>
    <x v="50"/>
    <x v="0"/>
    <x v="1"/>
    <x v="0"/>
    <x v="0"/>
    <n v="8063.48"/>
    <n v="353772"/>
    <n v="33946"/>
    <n v="147680.42000000001"/>
    <n v="30"/>
    <n v="9.5954456542631975E-2"/>
    <n v="0.23753844341012195"/>
    <n v="22.792872245400989"/>
    <n v="18.314725155888031"/>
    <n v="17.314725155888031"/>
    <n v="2025"/>
    <s v="January"/>
    <s v="Q1"/>
    <x v="24"/>
    <n v="4.3504513050138458"/>
    <n v="0.41744519068778763"/>
    <n v="268.78266666666667"/>
    <n v="4922.6806666666671"/>
    <n v="1131.5333333333333"/>
    <n v="11792.4"/>
    <s v="Good"/>
    <x v="0"/>
  </r>
  <r>
    <x v="9"/>
    <x v="2"/>
    <x v="1"/>
    <x v="5"/>
    <x v="0"/>
    <n v="3488.92"/>
    <n v="717814"/>
    <n v="32248"/>
    <n v="166719.25"/>
    <n v="30"/>
    <n v="4.4925287052077559E-2"/>
    <n v="0.10819027536591416"/>
    <n v="4.8604791770570097"/>
    <n v="47.785346181626402"/>
    <n v="46.785346181626402"/>
    <n v="2025"/>
    <s v="January"/>
    <s v="Q1"/>
    <x v="24"/>
    <n v="5.1699097618456955"/>
    <n v="0.23225968008425582"/>
    <n v="116.29733333333334"/>
    <n v="5557.3083333333334"/>
    <n v="1074.9333333333334"/>
    <n v="23927.133333333335"/>
    <s v="Medium"/>
    <x v="0"/>
  </r>
  <r>
    <x v="33"/>
    <x v="0"/>
    <x v="2"/>
    <x v="0"/>
    <x v="1"/>
    <n v="3929.28"/>
    <n v="667711"/>
    <n v="16015"/>
    <n v="29965.82"/>
    <n v="18"/>
    <n v="2.398492761089753E-2"/>
    <n v="0.24534998438963473"/>
    <n v="5.8847016149202274"/>
    <n v="7.6262877677335279"/>
    <n v="6.6262877677335288"/>
    <n v="2025"/>
    <s v="January"/>
    <s v="Q1"/>
    <x v="24"/>
    <n v="1.8711095847642836"/>
    <n v="4.487842794262787E-2"/>
    <n v="218.29333333333335"/>
    <n v="1664.7677777777778"/>
    <n v="889.72222222222217"/>
    <n v="37095.055555555555"/>
    <s v="Medium"/>
    <x v="0"/>
  </r>
  <r>
    <x v="16"/>
    <x v="2"/>
    <x v="1"/>
    <x v="1"/>
    <x v="2"/>
    <n v="45984.160000000003"/>
    <n v="713956"/>
    <n v="5003"/>
    <n v="145617.35999999999"/>
    <n v="44"/>
    <n v="7.0074346318260506E-3"/>
    <n v="9.191317209674196"/>
    <n v="64.407554527169751"/>
    <n v="3.166685223781406"/>
    <n v="2.166685223781406"/>
    <n v="2025"/>
    <s v="January"/>
    <s v="Q1"/>
    <x v="24"/>
    <n v="29.10600839496302"/>
    <n v="0.20395845122108364"/>
    <n v="1045.0945454545456"/>
    <n v="3309.4854545454541"/>
    <n v="113.70454545454545"/>
    <n v="16226.272727272728"/>
    <s v="Low"/>
    <x v="0"/>
  </r>
  <r>
    <x v="22"/>
    <x v="2"/>
    <x v="1"/>
    <x v="4"/>
    <x v="2"/>
    <n v="20951.47"/>
    <n v="296643"/>
    <n v="4508"/>
    <n v="143774.93"/>
    <n v="60"/>
    <n v="1.5196717940419966E-2"/>
    <n v="4.6476197870452536"/>
    <n v="70.628566998041421"/>
    <n v="6.8622836488322765"/>
    <n v="5.8622836488322765"/>
    <n v="2025"/>
    <s v="January"/>
    <s v="Q1"/>
    <x v="24"/>
    <n v="31.893285270629988"/>
    <n v="0.48467326045111464"/>
    <n v="349.19116666666667"/>
    <n v="2396.2488333333331"/>
    <n v="75.13333333333334"/>
    <n v="4944.05"/>
    <s v="Low"/>
    <x v="0"/>
  </r>
  <r>
    <x v="32"/>
    <x v="1"/>
    <x v="4"/>
    <x v="3"/>
    <x v="1"/>
    <n v="43350.239999999998"/>
    <n v="874446"/>
    <n v="10608"/>
    <n v="176128.14"/>
    <n v="33"/>
    <n v="1.2131109296628952E-2"/>
    <n v="4.0865610859728507"/>
    <n v="49.57451918128735"/>
    <n v="4.0629103783508471"/>
    <n v="3.0629103783508471"/>
    <n v="2025"/>
    <s v="January"/>
    <s v="Q1"/>
    <x v="24"/>
    <n v="16.603331447963804"/>
    <n v="0.2014168284834055"/>
    <n v="1313.6436363636362"/>
    <n v="5337.2163636363639"/>
    <n v="321.45454545454544"/>
    <n v="26498.363636363636"/>
    <s v="Low"/>
    <x v="0"/>
  </r>
  <r>
    <x v="41"/>
    <x v="2"/>
    <x v="0"/>
    <x v="2"/>
    <x v="2"/>
    <n v="38416.35"/>
    <n v="713176"/>
    <n v="8167"/>
    <n v="168041.71"/>
    <n v="22"/>
    <n v="1.1451591192076008E-2"/>
    <n v="4.7038508632300724"/>
    <n v="53.866577114204624"/>
    <n v="4.3742237354668001"/>
    <n v="3.3742237354667997"/>
    <n v="2025"/>
    <s v="January"/>
    <s v="Q1"/>
    <x v="24"/>
    <n v="20.575696094036978"/>
    <n v="0.23562446016130659"/>
    <n v="1746.1977272727272"/>
    <n v="7638.2595454545453"/>
    <n v="371.22727272727275"/>
    <n v="32417.090909090908"/>
    <s v="Low"/>
    <x v="0"/>
  </r>
  <r>
    <x v="55"/>
    <x v="1"/>
    <x v="0"/>
    <x v="1"/>
    <x v="2"/>
    <n v="26775.119999999999"/>
    <n v="99083"/>
    <n v="3547"/>
    <n v="43117.08"/>
    <n v="26"/>
    <n v="3.5798270137157737E-2"/>
    <n v="7.5486664787144067"/>
    <n v="270.22920178032558"/>
    <n v="1.6103412421681025"/>
    <n v="0.61034124216810248"/>
    <n v="2025"/>
    <s v="January"/>
    <s v="Q1"/>
    <x v="24"/>
    <n v="12.155928954045672"/>
    <n v="0.43516122846502431"/>
    <n v="1029.8123076923077"/>
    <n v="1658.3492307692309"/>
    <n v="136.42307692307693"/>
    <n v="3810.8846153846152"/>
    <s v="Medium"/>
    <x v="0"/>
  </r>
  <r>
    <x v="5"/>
    <x v="2"/>
    <x v="3"/>
    <x v="2"/>
    <x v="0"/>
    <n v="6300.27"/>
    <n v="669580"/>
    <n v="47363"/>
    <n v="156835.26999999999"/>
    <n v="9"/>
    <n v="7.0735386361599803E-2"/>
    <n v="0.13302092350569011"/>
    <n v="9.4092864183518046"/>
    <n v="24.893420440711267"/>
    <n v="23.893420440711271"/>
    <n v="2025"/>
    <s v="January"/>
    <s v="Q1"/>
    <x v="24"/>
    <n v="3.3113457762388361"/>
    <n v="0.23422932285910569"/>
    <n v="700.03000000000009"/>
    <n v="17426.141111111108"/>
    <n v="5262.5555555555557"/>
    <n v="74397.777777777781"/>
    <s v="Good"/>
    <x v="0"/>
  </r>
  <r>
    <x v="1"/>
    <x v="0"/>
    <x v="3"/>
    <x v="2"/>
    <x v="2"/>
    <n v="15498.19"/>
    <n v="350404"/>
    <n v="3852"/>
    <n v="158359.04999999999"/>
    <n v="14"/>
    <n v="1.0993025193776327E-2"/>
    <n v="4.023413811007269"/>
    <n v="44.22948938939053"/>
    <n v="10.217906090969331"/>
    <n v="9.2179060909693309"/>
    <n v="2025"/>
    <s v="January"/>
    <s v="Q1"/>
    <x v="24"/>
    <n v="41.110864485981303"/>
    <n v="0.45193276903231694"/>
    <n v="1107.0135714285714"/>
    <n v="11311.360714285713"/>
    <n v="275.14285714285717"/>
    <n v="25028.857142857141"/>
    <s v="Low"/>
    <x v="0"/>
  </r>
  <r>
    <x v="1"/>
    <x v="0"/>
    <x v="1"/>
    <x v="3"/>
    <x v="2"/>
    <n v="29466.92"/>
    <n v="544117"/>
    <n v="5591"/>
    <n v="42302.82"/>
    <n v="55"/>
    <n v="1.0275363570702625E-2"/>
    <n v="5.2704203183688065"/>
    <n v="54.155484941657761"/>
    <n v="1.435603721053982"/>
    <n v="0.43560372105398198"/>
    <n v="2025"/>
    <s v="January"/>
    <s v="Q1"/>
    <x v="24"/>
    <n v="7.5662350205687714"/>
    <n v="7.7745815697726775E-2"/>
    <n v="535.76218181818183"/>
    <n v="769.14218181818183"/>
    <n v="101.65454545454546"/>
    <n v="9893.0363636363636"/>
    <s v="Low"/>
    <x v="0"/>
  </r>
  <r>
    <x v="17"/>
    <x v="3"/>
    <x v="0"/>
    <x v="0"/>
    <x v="0"/>
    <n v="9777.8700000000008"/>
    <n v="629284"/>
    <n v="4611"/>
    <n v="61304.38"/>
    <n v="49"/>
    <n v="7.327375239160697E-3"/>
    <n v="2.1205530253741056"/>
    <n v="15.538087731453526"/>
    <n v="6.2697070016271432"/>
    <n v="5.2697070016271423"/>
    <n v="2025"/>
    <s v="January"/>
    <s v="Q1"/>
    <x v="24"/>
    <n v="13.29524615050965"/>
    <n v="9.7419257441790988E-2"/>
    <n v="199.54836734693879"/>
    <n v="1251.1097959183674"/>
    <n v="94.102040816326536"/>
    <n v="12842.530612244898"/>
    <s v="Low"/>
    <x v="0"/>
  </r>
  <r>
    <x v="51"/>
    <x v="3"/>
    <x v="4"/>
    <x v="4"/>
    <x v="2"/>
    <n v="30987.93"/>
    <n v="306745"/>
    <n v="6688"/>
    <n v="208993.95"/>
    <n v="43"/>
    <n v="2.1803126375328042E-2"/>
    <n v="4.6333627392344496"/>
    <n v="101.0217933462648"/>
    <n v="6.7443662742235446"/>
    <n v="5.7443662742235446"/>
    <n v="2025"/>
    <s v="January"/>
    <s v="Q1"/>
    <x v="24"/>
    <n v="31.249095394736845"/>
    <n v="0.68132797600612893"/>
    <n v="720.64953488372089"/>
    <n v="4860.3244186046513"/>
    <n v="155.53488372093022"/>
    <n v="7133.604651162791"/>
    <s v="Medium"/>
    <x v="0"/>
  </r>
  <r>
    <x v="58"/>
    <x v="0"/>
    <x v="4"/>
    <x v="2"/>
    <x v="2"/>
    <n v="52699.05"/>
    <n v="231092"/>
    <n v="40106"/>
    <n v="128680.96000000001"/>
    <n v="41"/>
    <n v="0.17354992816713691"/>
    <n v="1.313994165461527"/>
    <n v="228.04359302788501"/>
    <n v="2.4418079642801911"/>
    <n v="1.4418079642801911"/>
    <n v="2025"/>
    <s v="January"/>
    <s v="Q1"/>
    <x v="24"/>
    <n v="3.2085214182416597"/>
    <n v="0.55683866165856022"/>
    <n v="1285.3426829268294"/>
    <n v="3138.56"/>
    <n v="978.19512195121956"/>
    <n v="5636.3902439024387"/>
    <s v="Excellent"/>
    <x v="0"/>
  </r>
  <r>
    <x v="12"/>
    <x v="2"/>
    <x v="2"/>
    <x v="2"/>
    <x v="2"/>
    <n v="12392.94"/>
    <n v="765781"/>
    <n v="10171"/>
    <n v="15733.72"/>
    <n v="36"/>
    <n v="1.3281865180776228E-2"/>
    <n v="1.2184583620096352"/>
    <n v="16.183399692601412"/>
    <n v="1.2695712236160264"/>
    <n v="0.26957122361602642"/>
    <n v="2025"/>
    <s v="January"/>
    <s v="Q1"/>
    <x v="24"/>
    <n v="1.5469196735817521"/>
    <n v="2.0545978550003199E-2"/>
    <n v="344.24833333333333"/>
    <n v="437.04777777777775"/>
    <n v="282.52777777777777"/>
    <n v="21271.694444444445"/>
    <s v="Low"/>
    <x v="0"/>
  </r>
  <r>
    <x v="10"/>
    <x v="3"/>
    <x v="2"/>
    <x v="2"/>
    <x v="1"/>
    <n v="6370.6"/>
    <n v="561752"/>
    <n v="43149"/>
    <n v="65946.94"/>
    <n v="20"/>
    <n v="7.6811475526566877E-2"/>
    <n v="0.14764189204848316"/>
    <n v="11.340591577778095"/>
    <n v="10.351762785294948"/>
    <n v="9.3517627852949481"/>
    <n v="2025"/>
    <s v="January"/>
    <s v="Q1"/>
    <x v="24"/>
    <n v="1.5283538436580222"/>
    <n v="0.11739511385807261"/>
    <n v="318.53000000000003"/>
    <n v="3297.3470000000002"/>
    <n v="2157.4499999999998"/>
    <n v="28087.599999999999"/>
    <s v="Good"/>
    <x v="0"/>
  </r>
  <r>
    <x v="55"/>
    <x v="1"/>
    <x v="0"/>
    <x v="5"/>
    <x v="2"/>
    <n v="32719.49"/>
    <n v="830628"/>
    <n v="47890"/>
    <n v="232498.79"/>
    <n v="59"/>
    <n v="5.7655171749567795E-2"/>
    <n v="0.68322175819586561"/>
    <n v="39.391267811824306"/>
    <n v="7.1058194977977953"/>
    <n v="6.1058194977977962"/>
    <n v="2025"/>
    <s v="January"/>
    <s v="Q1"/>
    <x v="24"/>
    <n v="4.8548504907078724"/>
    <n v="0.27990723886023589"/>
    <n v="554.56762711864405"/>
    <n v="3940.6574576271187"/>
    <n v="811.69491525423734"/>
    <n v="14078.440677966102"/>
    <s v="Good"/>
    <x v="0"/>
  </r>
  <r>
    <x v="35"/>
    <x v="1"/>
    <x v="0"/>
    <x v="4"/>
    <x v="2"/>
    <n v="6414.82"/>
    <n v="892725"/>
    <n v="22714"/>
    <n v="18309.82"/>
    <n v="46"/>
    <n v="2.5443445629953234E-2"/>
    <n v="0.28241701153473625"/>
    <n v="7.185661877957938"/>
    <n v="2.8542998868245721"/>
    <n v="1.8542998868245719"/>
    <n v="2025"/>
    <s v="January"/>
    <s v="Q1"/>
    <x v="24"/>
    <n v="0.80610284406093158"/>
    <n v="2.0510033885014982E-2"/>
    <n v="139.45260869565217"/>
    <n v="398.03956521739127"/>
    <n v="493.78260869565219"/>
    <n v="19407.065217391304"/>
    <s v="Medium"/>
    <x v="0"/>
  </r>
  <r>
    <x v="11"/>
    <x v="1"/>
    <x v="2"/>
    <x v="4"/>
    <x v="0"/>
    <n v="41225.760000000002"/>
    <n v="112110"/>
    <n v="21813"/>
    <n v="104785.21"/>
    <n v="28"/>
    <n v="0.19456783516189458"/>
    <n v="1.889962866180718"/>
    <n v="367.72598340915175"/>
    <n v="2.5417411346691972"/>
    <n v="1.5417411346691972"/>
    <n v="2025"/>
    <s v="January"/>
    <s v="Q1"/>
    <x v="24"/>
    <n v="4.8037963599688265"/>
    <n v="0.93466425831772371"/>
    <n v="1472.3485714285714"/>
    <n v="3742.3289285714286"/>
    <n v="779.03571428571433"/>
    <n v="4003.9285714285716"/>
    <s v="Excellent"/>
    <x v="0"/>
  </r>
  <r>
    <x v="52"/>
    <x v="3"/>
    <x v="0"/>
    <x v="4"/>
    <x v="1"/>
    <n v="6062.04"/>
    <n v="117798"/>
    <n v="9697"/>
    <n v="67712.210000000006"/>
    <n v="58"/>
    <n v="8.2318884870710873E-2"/>
    <n v="0.62514592141899561"/>
    <n v="51.461315132684767"/>
    <n v="11.169871858318324"/>
    <n v="10.169871858318324"/>
    <n v="2025"/>
    <s v="January"/>
    <s v="Q1"/>
    <x v="24"/>
    <n v="6.9827998350005167"/>
    <n v="0.57481629569262638"/>
    <n v="104.51793103448276"/>
    <n v="1167.4518965517243"/>
    <n v="167.18965517241378"/>
    <n v="2031"/>
    <s v="Good"/>
    <x v="0"/>
  </r>
  <r>
    <x v="29"/>
    <x v="0"/>
    <x v="0"/>
    <x v="5"/>
    <x v="2"/>
    <n v="5555.37"/>
    <n v="100259"/>
    <n v="9513"/>
    <n v="55907.03"/>
    <n v="32"/>
    <n v="9.4884249793036043E-2"/>
    <n v="0.5839766635130873"/>
    <n v="55.410187614079533"/>
    <n v="10.063601524290911"/>
    <n v="9.0636015242909114"/>
    <n v="2025"/>
    <s v="January"/>
    <s v="Q1"/>
    <x v="24"/>
    <n v="5.8769084410806265"/>
    <n v="0.5576260485342962"/>
    <n v="173.6053125"/>
    <n v="1747.0946875"/>
    <n v="297.28125"/>
    <n v="3133.09375"/>
    <s v="Good"/>
    <x v="0"/>
  </r>
  <r>
    <x v="7"/>
    <x v="1"/>
    <x v="3"/>
    <x v="3"/>
    <x v="1"/>
    <n v="27667.47"/>
    <n v="797042"/>
    <n v="18412"/>
    <n v="118909.4"/>
    <n v="52"/>
    <n v="2.3100413779951371E-2"/>
    <n v="1.5026868346730393"/>
    <n v="34.71268766263259"/>
    <n v="4.2978053287850315"/>
    <n v="3.2978053287850311"/>
    <n v="2025"/>
    <s v="January"/>
    <s v="Q1"/>
    <x v="24"/>
    <n v="6.4582554855529004"/>
    <n v="0.14918837401291274"/>
    <n v="532.06673076923084"/>
    <n v="2286.7192307692308"/>
    <n v="354.07692307692309"/>
    <n v="15327.73076923077"/>
    <s v="Medium"/>
    <x v="0"/>
  </r>
  <r>
    <x v="3"/>
    <x v="0"/>
    <x v="2"/>
    <x v="5"/>
    <x v="2"/>
    <n v="1956.45"/>
    <n v="793790"/>
    <n v="27330"/>
    <n v="48031.82"/>
    <n v="14"/>
    <n v="3.4429761019917106E-2"/>
    <n v="7.158616904500549E-2"/>
    <n v="2.4646946925509265"/>
    <n v="24.550497073781592"/>
    <n v="23.550497073781596"/>
    <n v="2025"/>
    <s v="January"/>
    <s v="Q1"/>
    <x v="24"/>
    <n v="1.7574760336626418"/>
    <n v="6.0509479837236549E-2"/>
    <n v="139.74642857142857"/>
    <n v="3430.8442857142859"/>
    <n v="1952.1428571428571"/>
    <n v="56699.285714285717"/>
    <s v="Medium"/>
    <x v="0"/>
  </r>
  <r>
    <x v="50"/>
    <x v="2"/>
    <x v="2"/>
    <x v="4"/>
    <x v="0"/>
    <n v="473.24"/>
    <n v="29535"/>
    <n v="33338"/>
    <n v="159748.49"/>
    <n v="46"/>
    <n v="1.1287624851870661"/>
    <n v="1.4195212670226168E-2"/>
    <n v="16.023023531403418"/>
    <n v="337.56337165074802"/>
    <n v="336.56337165074802"/>
    <n v="2025"/>
    <s v="January"/>
    <s v="Q1"/>
    <x v="24"/>
    <n v="4.7917838502609635"/>
    <n v="5.4087858472998134"/>
    <n v="10.287826086956523"/>
    <n v="3472.7932608695651"/>
    <n v="724.73913043478262"/>
    <n v="642.06521739130437"/>
    <s v="Excellent"/>
    <x v="1"/>
  </r>
  <r>
    <x v="26"/>
    <x v="0"/>
    <x v="2"/>
    <x v="4"/>
    <x v="2"/>
    <n v="50105.63"/>
    <n v="642829"/>
    <n v="8704"/>
    <n v="92965.84"/>
    <n v="57"/>
    <n v="1.3540148313159488E-2"/>
    <n v="5.7566210937499998"/>
    <n v="77.945503392037381"/>
    <n v="1.8553970881116553"/>
    <n v="0.85539708811165538"/>
    <n v="2025"/>
    <s v="January"/>
    <s v="Q1"/>
    <x v="24"/>
    <n v="10.680818014705881"/>
    <n v="0.14461986002498331"/>
    <n v="879.04614035087718"/>
    <n v="1630.9796491228069"/>
    <n v="152.7017543859649"/>
    <n v="11277.701754385966"/>
    <s v="Low"/>
    <x v="0"/>
  </r>
  <r>
    <x v="35"/>
    <x v="0"/>
    <x v="3"/>
    <x v="0"/>
    <x v="1"/>
    <n v="10790.26"/>
    <n v="239448"/>
    <n v="32058"/>
    <n v="61778.73"/>
    <n v="52"/>
    <n v="0.13388293074070362"/>
    <n v="0.33658556366585562"/>
    <n v="45.063061708596443"/>
    <n v="5.7254162550299998"/>
    <n v="4.725416255029999"/>
    <n v="2025"/>
    <s v="January"/>
    <s v="Q1"/>
    <x v="24"/>
    <n v="1.9270924574209247"/>
    <n v="0.25800478600781801"/>
    <n v="207.505"/>
    <n v="1188.0525"/>
    <n v="616.5"/>
    <n v="4604.7692307692305"/>
    <s v="Excellent"/>
    <x v="0"/>
  </r>
  <r>
    <x v="56"/>
    <x v="3"/>
    <x v="0"/>
    <x v="3"/>
    <x v="0"/>
    <n v="19664.54"/>
    <n v="712448"/>
    <n v="48272"/>
    <n v="203633.58"/>
    <n v="27"/>
    <n v="6.775512037369745E-2"/>
    <n v="0.40736948955916474"/>
    <n v="27.601368801652896"/>
    <n v="10.355369614544758"/>
    <n v="9.3553696145447578"/>
    <n v="2025"/>
    <s v="January"/>
    <s v="Q1"/>
    <x v="24"/>
    <n v="4.2184616340735825"/>
    <n v="0.28582237580848002"/>
    <n v="728.31629629629629"/>
    <n v="7541.9844444444443"/>
    <n v="1787.851851851852"/>
    <n v="26386.962962962964"/>
    <s v="Good"/>
    <x v="0"/>
  </r>
  <r>
    <x v="15"/>
    <x v="0"/>
    <x v="1"/>
    <x v="5"/>
    <x v="0"/>
    <n v="15989.97"/>
    <n v="488472"/>
    <n v="22826"/>
    <n v="176577.55"/>
    <n v="11"/>
    <n v="4.6729392882294177E-2"/>
    <n v="0.70051564005958111"/>
    <n v="32.734670564535939"/>
    <n v="11.043019467828895"/>
    <n v="10.043019467828895"/>
    <n v="2025"/>
    <s v="January"/>
    <s v="Q1"/>
    <x v="24"/>
    <n v="7.735807850696574"/>
    <n v="0.36148960431713584"/>
    <n v="1453.6336363636362"/>
    <n v="16052.504545454545"/>
    <n v="2075.090909090909"/>
    <n v="44406.545454545456"/>
    <s v="Medium"/>
    <x v="0"/>
  </r>
  <r>
    <x v="47"/>
    <x v="2"/>
    <x v="4"/>
    <x v="0"/>
    <x v="0"/>
    <n v="2939.93"/>
    <n v="835198"/>
    <n v="49939"/>
    <n v="14703.83"/>
    <n v="27"/>
    <n v="5.9793007167162758E-2"/>
    <n v="5.8870421914735974E-2"/>
    <n v="3.5200395594817038"/>
    <n v="5.0014218025599249"/>
    <n v="4.0014218025599249"/>
    <n v="2025"/>
    <s v="January"/>
    <s v="Q1"/>
    <x v="24"/>
    <n v="0.29443581169026212"/>
    <n v="1.7605202598665225E-2"/>
    <n v="108.88629629629629"/>
    <n v="544.58629629629627"/>
    <n v="1849.5925925925926"/>
    <n v="30933.259259259259"/>
    <s v="Good"/>
    <x v="0"/>
  </r>
  <r>
    <x v="34"/>
    <x v="3"/>
    <x v="4"/>
    <x v="3"/>
    <x v="0"/>
    <n v="35443.89"/>
    <n v="188501"/>
    <n v="20751"/>
    <n v="171953.41"/>
    <n v="25"/>
    <n v="0.11008429663503111"/>
    <n v="1.7080569611103078"/>
    <n v="188.03024917639692"/>
    <n v="4.8514260144696308"/>
    <n v="3.8514260144696313"/>
    <n v="2025"/>
    <s v="January"/>
    <s v="Q1"/>
    <x v="24"/>
    <n v="8.2865119753264906"/>
    <n v="0.91221484236157901"/>
    <n v="1417.7556"/>
    <n v="6878.1364000000003"/>
    <n v="830.04"/>
    <n v="7540.04"/>
    <s v="Excellent"/>
    <x v="0"/>
  </r>
  <r>
    <x v="48"/>
    <x v="2"/>
    <x v="0"/>
    <x v="0"/>
    <x v="0"/>
    <n v="21783.4"/>
    <n v="259825"/>
    <n v="42714"/>
    <n v="72607"/>
    <n v="55"/>
    <n v="0.16439526604445301"/>
    <n v="0.50998267546940113"/>
    <n v="83.838737611854128"/>
    <n v="3.3331344050974594"/>
    <n v="2.3331344050974594"/>
    <n v="2025"/>
    <s v="January"/>
    <s v="Q1"/>
    <x v="24"/>
    <n v="1.6998408016107132"/>
    <n v="0.27944578081400945"/>
    <n v="396.06181818181818"/>
    <n v="1320.1272727272728"/>
    <n v="776.61818181818182"/>
    <n v="4724.090909090909"/>
    <s v="Excellent"/>
    <x v="0"/>
  </r>
  <r>
    <x v="40"/>
    <x v="3"/>
    <x v="2"/>
    <x v="5"/>
    <x v="2"/>
    <n v="363.99"/>
    <n v="462376"/>
    <n v="1668"/>
    <n v="174061.41"/>
    <n v="12"/>
    <n v="3.607453674066128E-3"/>
    <n v="0.21821942446043166"/>
    <n v="0.78721646452238003"/>
    <n v="478.20382428088686"/>
    <n v="477.20382428088686"/>
    <n v="2025"/>
    <s v="January"/>
    <s v="Q1"/>
    <x v="24"/>
    <n v="104.35336330935252"/>
    <n v="0.37644992387148124"/>
    <n v="30.3325"/>
    <n v="14505.1175"/>
    <n v="139"/>
    <n v="38531.333333333336"/>
    <s v="Low"/>
    <x v="0"/>
  </r>
  <r>
    <x v="31"/>
    <x v="3"/>
    <x v="2"/>
    <x v="3"/>
    <x v="0"/>
    <n v="24638.75"/>
    <n v="459245"/>
    <n v="38342"/>
    <n v="102853.12"/>
    <n v="41"/>
    <n v="8.3489205108384409E-2"/>
    <n v="0.64260471545563613"/>
    <n v="53.650556892290602"/>
    <n v="4.174445538024453"/>
    <n v="3.174445538024453"/>
    <n v="2025"/>
    <s v="February"/>
    <s v="Q1"/>
    <x v="25"/>
    <n v="2.6825183871472533"/>
    <n v="0.22396132783154959"/>
    <n v="600.94512195121956"/>
    <n v="2508.6126829268292"/>
    <n v="935.17073170731703"/>
    <n v="11201.09756097561"/>
    <s v="Good"/>
    <x v="0"/>
  </r>
  <r>
    <x v="2"/>
    <x v="1"/>
    <x v="4"/>
    <x v="2"/>
    <x v="1"/>
    <n v="6024.15"/>
    <n v="594572"/>
    <n v="16989"/>
    <n v="89314.37"/>
    <n v="27"/>
    <n v="2.8573494883714672E-2"/>
    <n v="0.35459120607451877"/>
    <n v="10.131910012580477"/>
    <n v="14.826053468124133"/>
    <n v="13.826053468124135"/>
    <n v="2025"/>
    <s v="February"/>
    <s v="Q1"/>
    <x v="25"/>
    <n v="5.2571881805874385"/>
    <n v="0.15021623958074043"/>
    <n v="223.11666666666665"/>
    <n v="3307.9396296296295"/>
    <n v="629.22222222222217"/>
    <n v="22021.185185185186"/>
    <s v="Medium"/>
    <x v="0"/>
  </r>
  <r>
    <x v="3"/>
    <x v="0"/>
    <x v="0"/>
    <x v="1"/>
    <x v="2"/>
    <n v="39278.019999999997"/>
    <n v="209903"/>
    <n v="46344"/>
    <n v="152988.34"/>
    <n v="58"/>
    <n v="0.22078769717440913"/>
    <n v="0.84753193509407898"/>
    <n v="187.12462423119251"/>
    <n v="3.8950115102543359"/>
    <n v="2.8950115102543359"/>
    <n v="2025"/>
    <s v="February"/>
    <s v="Q1"/>
    <x v="25"/>
    <n v="3.3011466424995684"/>
    <n v="0.72885256523251218"/>
    <n v="677.20724137931029"/>
    <n v="2637.73"/>
    <n v="799.0344827586207"/>
    <n v="3619.0172413793102"/>
    <s v="Excellent"/>
    <x v="0"/>
  </r>
  <r>
    <x v="44"/>
    <x v="3"/>
    <x v="1"/>
    <x v="2"/>
    <x v="1"/>
    <n v="1159.57"/>
    <n v="951529"/>
    <n v="15785"/>
    <n v="126247.49"/>
    <n v="31"/>
    <n v="1.658908977025398E-2"/>
    <n v="7.3460247070003162E-2"/>
    <n v="1.2186386331893195"/>
    <n v="108.87440171787819"/>
    <n v="107.87440171787819"/>
    <n v="2025"/>
    <s v="February"/>
    <s v="Q1"/>
    <x v="25"/>
    <n v="7.9979404497941085"/>
    <n v="0.13267855209877996"/>
    <n v="37.405483870967743"/>
    <n v="4072.4996774193551"/>
    <n v="509.19354838709677"/>
    <n v="30694.483870967742"/>
    <s v="Low"/>
    <x v="0"/>
  </r>
  <r>
    <x v="32"/>
    <x v="1"/>
    <x v="3"/>
    <x v="0"/>
    <x v="1"/>
    <n v="2680.54"/>
    <n v="537276"/>
    <n v="34907"/>
    <n v="43571.02"/>
    <n v="26"/>
    <n v="6.4970331822005817E-2"/>
    <n v="7.6790901538373396E-2"/>
    <n v="4.9891303538590961"/>
    <n v="16.254568109410791"/>
    <n v="15.254568109410789"/>
    <n v="2025"/>
    <s v="February"/>
    <s v="Q1"/>
    <x v="25"/>
    <n v="1.2482029392385481"/>
    <n v="8.1096159143531438E-2"/>
    <n v="103.09769230769231"/>
    <n v="1675.8084615384614"/>
    <n v="1342.5769230769231"/>
    <n v="20664.461538461539"/>
    <s v="Good"/>
    <x v="0"/>
  </r>
  <r>
    <x v="57"/>
    <x v="1"/>
    <x v="1"/>
    <x v="2"/>
    <x v="0"/>
    <n v="18013.419999999998"/>
    <n v="678169"/>
    <n v="25944"/>
    <n v="23333.47"/>
    <n v="11"/>
    <n v="3.8255950950279352E-2"/>
    <n v="0.69431930311440015"/>
    <n v="26.561845203776638"/>
    <n v="1.2953381423405441"/>
    <n v="0.29533814234054406"/>
    <n v="2025"/>
    <s v="February"/>
    <s v="Q1"/>
    <x v="25"/>
    <n v="0.89937827628738831"/>
    <n v="3.4406571223397117E-2"/>
    <n v="1637.5836363636363"/>
    <n v="2121.2245454545455"/>
    <n v="2358.5454545454545"/>
    <n v="61651.727272727272"/>
    <s v="Medium"/>
    <x v="0"/>
  </r>
  <r>
    <x v="26"/>
    <x v="0"/>
    <x v="3"/>
    <x v="0"/>
    <x v="2"/>
    <n v="1672.18"/>
    <n v="262838"/>
    <n v="48134"/>
    <n v="165990.57999999999"/>
    <n v="7"/>
    <n v="0.18313181503435577"/>
    <n v="3.4740100552623929E-2"/>
    <n v="6.3620176686780452"/>
    <n v="99.26597615089284"/>
    <n v="98.26597615089284"/>
    <n v="2025"/>
    <s v="February"/>
    <s v="Q1"/>
    <x v="25"/>
    <n v="3.4485099929363856"/>
    <n v="0.63153189417055366"/>
    <n v="238.88285714285715"/>
    <n v="23712.94"/>
    <n v="6876.2857142857147"/>
    <n v="37548.285714285717"/>
    <s v="Excellent"/>
    <x v="0"/>
  </r>
  <r>
    <x v="26"/>
    <x v="0"/>
    <x v="4"/>
    <x v="3"/>
    <x v="1"/>
    <n v="48847.79"/>
    <n v="19717"/>
    <n v="19655"/>
    <n v="144150.66"/>
    <n v="61"/>
    <n v="0.9968555054014302"/>
    <n v="2.4852602391249046"/>
    <n v="2477.4453517269362"/>
    <n v="2.9510170265635356"/>
    <n v="1.9510170265635354"/>
    <n v="2025"/>
    <s v="February"/>
    <s v="Q1"/>
    <x v="25"/>
    <n v="7.3340452810989571"/>
    <n v="7.3109834153268753"/>
    <n v="800.78344262295082"/>
    <n v="2363.1255737704919"/>
    <n v="322.21311475409834"/>
    <n v="323.22950819672133"/>
    <s v="Excellent"/>
    <x v="0"/>
  </r>
  <r>
    <x v="1"/>
    <x v="3"/>
    <x v="1"/>
    <x v="0"/>
    <x v="0"/>
    <n v="28100.49"/>
    <n v="705350"/>
    <n v="38482"/>
    <n v="57037.06"/>
    <n v="38"/>
    <n v="5.4557311972779472E-2"/>
    <n v="0.73022426069331114"/>
    <n v="39.83907280073722"/>
    <n v="2.0297532178264506"/>
    <n v="1.0297532178264506"/>
    <n v="2025"/>
    <s v="February"/>
    <s v="Q1"/>
    <x v="25"/>
    <n v="1.4821750428771894"/>
    <n v="8.0863486212518598E-2"/>
    <n v="739.48657894736846"/>
    <n v="1500.9752631578947"/>
    <n v="1012.6842105263158"/>
    <n v="18561.842105263157"/>
    <s v="Good"/>
    <x v="0"/>
  </r>
  <r>
    <x v="18"/>
    <x v="2"/>
    <x v="1"/>
    <x v="5"/>
    <x v="0"/>
    <n v="9549.48"/>
    <n v="720737"/>
    <n v="34944"/>
    <n v="140159.57"/>
    <n v="30"/>
    <n v="4.848370487431615E-2"/>
    <n v="0.27327953296703295"/>
    <n v="13.249604224564576"/>
    <n v="14.677193941450216"/>
    <n v="13.677193941450216"/>
    <n v="2025"/>
    <s v="February"/>
    <s v="Q1"/>
    <x v="25"/>
    <n v="4.0109767055860805"/>
    <n v="0.1944670108513924"/>
    <n v="318.31599999999997"/>
    <n v="4671.9856666666665"/>
    <n v="1164.8"/>
    <n v="24024.566666666666"/>
    <s v="Medium"/>
    <x v="0"/>
  </r>
  <r>
    <x v="46"/>
    <x v="0"/>
    <x v="1"/>
    <x v="0"/>
    <x v="1"/>
    <n v="14332.12"/>
    <n v="825451"/>
    <n v="34263"/>
    <n v="123726.27"/>
    <n v="21"/>
    <n v="4.1508217931773055E-2"/>
    <n v="0.41829728862037768"/>
    <n v="17.362775016324409"/>
    <n v="8.6327961250673315"/>
    <n v="7.6327961250673315"/>
    <n v="2025"/>
    <s v="February"/>
    <s v="Q1"/>
    <x v="25"/>
    <n v="3.6110752123281675"/>
    <n v="0.14988929688134123"/>
    <n v="682.48190476190484"/>
    <n v="5891.727142857143"/>
    <n v="1631.5714285714287"/>
    <n v="39307.190476190473"/>
    <s v="Medium"/>
    <x v="0"/>
  </r>
  <r>
    <x v="54"/>
    <x v="0"/>
    <x v="3"/>
    <x v="2"/>
    <x v="0"/>
    <n v="21732.48"/>
    <n v="503152"/>
    <n v="1370"/>
    <n v="188510.94"/>
    <n v="59"/>
    <n v="2.7228352466053996E-3"/>
    <n v="15.86312408759124"/>
    <n v="43.192673386968551"/>
    <n v="8.6741568380598988"/>
    <n v="7.6741568380598988"/>
    <n v="2025"/>
    <s v="February"/>
    <s v="Q1"/>
    <x v="25"/>
    <n v="137.59922627737225"/>
    <n v="0.3746600232136611"/>
    <n v="368.34711864406779"/>
    <n v="3195.1006779661016"/>
    <n v="23.220338983050848"/>
    <n v="8528"/>
    <s v="Low"/>
    <x v="0"/>
  </r>
  <r>
    <x v="16"/>
    <x v="3"/>
    <x v="2"/>
    <x v="4"/>
    <x v="2"/>
    <n v="28496.76"/>
    <n v="901090"/>
    <n v="46603"/>
    <n v="79498.13"/>
    <n v="56"/>
    <n v="5.1718474292246054E-2"/>
    <n v="0.61147908932901307"/>
    <n v="31.624765561708596"/>
    <n v="2.7897252178844196"/>
    <n v="1.7897252178844196"/>
    <n v="2025"/>
    <s v="February"/>
    <s v="Q1"/>
    <x v="25"/>
    <n v="1.7058586357101475"/>
    <n v="8.8224405997181191E-2"/>
    <n v="508.87071428571426"/>
    <n v="1419.6094642857145"/>
    <n v="832.19642857142856"/>
    <n v="16090.892857142857"/>
    <s v="Good"/>
    <x v="0"/>
  </r>
  <r>
    <x v="55"/>
    <x v="3"/>
    <x v="2"/>
    <x v="0"/>
    <x v="2"/>
    <n v="3775.07"/>
    <n v="370491"/>
    <n v="35584"/>
    <n v="106426.73"/>
    <n v="50"/>
    <n v="9.6045517974795602E-2"/>
    <n v="0.10608897257194246"/>
    <n v="10.189370322086097"/>
    <n v="28.191988492928605"/>
    <n v="27.191988492928605"/>
    <n v="2025"/>
    <s v="February"/>
    <s v="Q1"/>
    <x v="25"/>
    <n v="2.9908590939748199"/>
    <n v="0.28725861087043947"/>
    <n v="75.501400000000004"/>
    <n v="2128.5346"/>
    <n v="711.68"/>
    <n v="7409.82"/>
    <s v="Good"/>
    <x v="0"/>
  </r>
  <r>
    <x v="11"/>
    <x v="3"/>
    <x v="2"/>
    <x v="3"/>
    <x v="0"/>
    <n v="2527.9899999999998"/>
    <n v="117458"/>
    <n v="40477"/>
    <n v="217668.67"/>
    <n v="40"/>
    <n v="0.34460828551482231"/>
    <n v="6.2454974429923163E-2"/>
    <n v="21.52250166016789"/>
    <n v="86.103453732016362"/>
    <n v="85.103453732016362"/>
    <n v="2025"/>
    <s v="February"/>
    <s v="Q1"/>
    <x v="25"/>
    <n v="5.3775890011611533"/>
    <n v="1.8531617258935109"/>
    <n v="63.199749999999995"/>
    <n v="5441.7167500000005"/>
    <n v="1011.925"/>
    <n v="2936.45"/>
    <s v="Excellent"/>
    <x v="0"/>
  </r>
  <r>
    <x v="6"/>
    <x v="0"/>
    <x v="4"/>
    <x v="4"/>
    <x v="2"/>
    <n v="20806.93"/>
    <n v="979045"/>
    <n v="37094"/>
    <n v="162533"/>
    <n v="42"/>
    <n v="3.7887941820856037E-2"/>
    <n v="0.56092440826009593"/>
    <n v="21.252271346056617"/>
    <n v="7.8114839623144787"/>
    <n v="6.8114839623144787"/>
    <n v="2025"/>
    <s v="February"/>
    <s v="Q1"/>
    <x v="25"/>
    <n v="4.3816520191944788"/>
    <n v="0.16601177678247681"/>
    <n v="495.40309523809526"/>
    <n v="3869.8333333333335"/>
    <n v="883.19047619047615"/>
    <n v="23310.595238095237"/>
    <s v="Medium"/>
    <x v="0"/>
  </r>
  <r>
    <x v="27"/>
    <x v="2"/>
    <x v="3"/>
    <x v="2"/>
    <x v="2"/>
    <n v="26860.18"/>
    <n v="539298"/>
    <n v="28066"/>
    <n v="208489.45"/>
    <n v="34"/>
    <n v="5.2041728320891233E-2"/>
    <n v="0.95703627164540728"/>
    <n v="49.805821642208947"/>
    <n v="7.7620272835103865"/>
    <n v="6.7620272835103865"/>
    <n v="2025"/>
    <s v="February"/>
    <s v="Q1"/>
    <x v="25"/>
    <n v="7.4285416518207086"/>
    <n v="0.38659414646447793"/>
    <n v="790.00529411764705"/>
    <n v="6132.0426470588236"/>
    <n v="825.47058823529414"/>
    <n v="15861.705882352941"/>
    <s v="Good"/>
    <x v="0"/>
  </r>
  <r>
    <x v="3"/>
    <x v="0"/>
    <x v="0"/>
    <x v="3"/>
    <x v="0"/>
    <n v="11517.5"/>
    <n v="264432"/>
    <n v="38132"/>
    <n v="130490.66"/>
    <n v="14"/>
    <n v="0.14420342469897743"/>
    <n v="0.30204290359802788"/>
    <n v="43.555621104858716"/>
    <n v="11.329772954200131"/>
    <n v="10.329772954200131"/>
    <n v="2025"/>
    <s v="February"/>
    <s v="Q1"/>
    <x v="25"/>
    <n v="3.4220775201930138"/>
    <n v="0.49347529799721668"/>
    <n v="822.67857142857144"/>
    <n v="9320.761428571428"/>
    <n v="2723.7142857142858"/>
    <n v="18888"/>
    <s v="Excellent"/>
    <x v="0"/>
  </r>
  <r>
    <x v="14"/>
    <x v="2"/>
    <x v="1"/>
    <x v="2"/>
    <x v="1"/>
    <n v="2503.48"/>
    <n v="714791"/>
    <n v="38688"/>
    <n v="35188.699999999997"/>
    <n v="32"/>
    <n v="5.4124912037224866E-2"/>
    <n v="6.470947063688999E-2"/>
    <n v="3.5023944061970562"/>
    <n v="14.055914167478868"/>
    <n v="13.055914167478868"/>
    <n v="2025"/>
    <s v="February"/>
    <s v="Q1"/>
    <x v="25"/>
    <n v="0.9095507650951199"/>
    <n v="4.9229355154163941E-2"/>
    <n v="78.233750000000001"/>
    <n v="1099.6468749999999"/>
    <n v="1209"/>
    <n v="22337.21875"/>
    <s v="Good"/>
    <x v="0"/>
  </r>
  <r>
    <x v="48"/>
    <x v="1"/>
    <x v="3"/>
    <x v="0"/>
    <x v="1"/>
    <n v="4157.37"/>
    <n v="183021"/>
    <n v="28848"/>
    <n v="64692.93"/>
    <n v="32"/>
    <n v="0.15762125657711409"/>
    <n v="0.14411293677204659"/>
    <n v="22.715262183028177"/>
    <n v="15.561022954415893"/>
    <n v="14.561022954415893"/>
    <n v="2025"/>
    <s v="February"/>
    <s v="Q1"/>
    <x v="25"/>
    <n v="2.2425447171381032"/>
    <n v="0.35347271624567672"/>
    <n v="129.9178125"/>
    <n v="2021.6540625"/>
    <n v="901.5"/>
    <n v="5719.40625"/>
    <s v="Excellent"/>
    <x v="0"/>
  </r>
  <r>
    <x v="29"/>
    <x v="1"/>
    <x v="4"/>
    <x v="0"/>
    <x v="2"/>
    <n v="26743.99"/>
    <n v="493100"/>
    <n v="38558"/>
    <n v="216195.7"/>
    <n v="27"/>
    <n v="7.8195092273372541E-2"/>
    <n v="0.69360418071476737"/>
    <n v="54.236442912188203"/>
    <n v="8.0838984758818704"/>
    <n v="7.0838984758818713"/>
    <n v="2025"/>
    <s v="February"/>
    <s v="Q1"/>
    <x v="25"/>
    <n v="5.6070257793454017"/>
    <n v="0.43844189819509227"/>
    <n v="990.51814814814816"/>
    <n v="8007.2481481481482"/>
    <n v="1428.0740740740741"/>
    <n v="18262.962962962964"/>
    <s v="Good"/>
    <x v="0"/>
  </r>
  <r>
    <x v="36"/>
    <x v="2"/>
    <x v="3"/>
    <x v="2"/>
    <x v="0"/>
    <n v="2550.2600000000002"/>
    <n v="402716"/>
    <n v="32784"/>
    <n v="77670.61"/>
    <n v="21"/>
    <n v="8.1407244807755338E-2"/>
    <n v="7.7789775500244032E-2"/>
    <n v="6.3326512976886935"/>
    <n v="30.455957431791266"/>
    <n v="29.455957431791269"/>
    <n v="2025"/>
    <s v="February"/>
    <s v="Q1"/>
    <x v="25"/>
    <n v="2.3691620912640312"/>
    <n v="0.19286695835278458"/>
    <n v="121.4409523809524"/>
    <n v="3698.600476190476"/>
    <n v="1561.1428571428571"/>
    <n v="19176.952380952382"/>
    <s v="Good"/>
    <x v="0"/>
  </r>
  <r>
    <x v="55"/>
    <x v="0"/>
    <x v="0"/>
    <x v="0"/>
    <x v="2"/>
    <n v="4525.4799999999996"/>
    <n v="301369"/>
    <n v="10289"/>
    <n v="57751.87"/>
    <n v="57"/>
    <n v="3.4140870494310964E-2"/>
    <n v="0.43983671882593056"/>
    <n v="15.016408456078759"/>
    <n v="12.761490493826072"/>
    <n v="11.76149049382607"/>
    <n v="2025"/>
    <s v="February"/>
    <s v="Q1"/>
    <x v="25"/>
    <n v="5.6129721061327631"/>
    <n v="0.19163175376365851"/>
    <n v="79.394385964912274"/>
    <n v="1013.1907017543861"/>
    <n v="180.50877192982455"/>
    <n v="5287.1754385964914"/>
    <s v="Medium"/>
    <x v="0"/>
  </r>
  <r>
    <x v="51"/>
    <x v="0"/>
    <x v="0"/>
    <x v="0"/>
    <x v="0"/>
    <n v="4938.47"/>
    <n v="880196"/>
    <n v="41627"/>
    <n v="241286.25"/>
    <n v="48"/>
    <n v="4.7292875677689972E-2"/>
    <n v="0.11863622168304226"/>
    <n v="5.6106480829269847"/>
    <n v="48.858502734652632"/>
    <n v="47.858502734652632"/>
    <n v="2025"/>
    <s v="February"/>
    <s v="Q1"/>
    <x v="25"/>
    <n v="5.7963881615297765"/>
    <n v="0.27412786470286166"/>
    <n v="102.88479166666667"/>
    <n v="5026.796875"/>
    <n v="867.22916666666663"/>
    <n v="18337.416666666668"/>
    <s v="Medium"/>
    <x v="0"/>
  </r>
  <r>
    <x v="53"/>
    <x v="3"/>
    <x v="4"/>
    <x v="2"/>
    <x v="2"/>
    <n v="3827.85"/>
    <n v="591409"/>
    <n v="2677"/>
    <n v="242040.68"/>
    <n v="55"/>
    <n v="4.5264782916729371E-3"/>
    <n v="1.4299028763541277"/>
    <n v="6.4724243290176506"/>
    <n v="63.231495487022741"/>
    <n v="62.231495487022741"/>
    <n v="2025"/>
    <s v="February"/>
    <s v="Q1"/>
    <x v="25"/>
    <n v="90.41489727306687"/>
    <n v="0.40926106975037579"/>
    <n v="69.597272727272724"/>
    <n v="4400.7396363636362"/>
    <n v="48.672727272727272"/>
    <n v="10752.890909090909"/>
    <s v="Low"/>
    <x v="0"/>
  </r>
  <r>
    <x v="43"/>
    <x v="2"/>
    <x v="1"/>
    <x v="3"/>
    <x v="2"/>
    <n v="8517.9699999999993"/>
    <n v="523358"/>
    <n v="5869"/>
    <n v="36704.46"/>
    <n v="55"/>
    <n v="1.1214121117858139E-2"/>
    <n v="1.4513494632816493"/>
    <n v="16.275608665578819"/>
    <n v="4.3090619008989233"/>
    <n v="3.3090619008989233"/>
    <n v="2025"/>
    <s v="February"/>
    <s v="Q1"/>
    <x v="25"/>
    <n v="6.253954677117056"/>
    <n v="7.0132605214786051E-2"/>
    <n v="154.87218181818182"/>
    <n v="667.35381818181816"/>
    <n v="106.7090909090909"/>
    <n v="9515.6"/>
    <s v="Low"/>
    <x v="0"/>
  </r>
  <r>
    <x v="9"/>
    <x v="0"/>
    <x v="1"/>
    <x v="0"/>
    <x v="1"/>
    <n v="20086.14"/>
    <n v="998464"/>
    <n v="43822"/>
    <n v="178980.29"/>
    <n v="28"/>
    <n v="4.3889414140119223E-2"/>
    <n v="0.45835744603167355"/>
    <n v="20.11703977309147"/>
    <n v="8.9106363890722662"/>
    <n v="7.9106363890722671"/>
    <n v="2025"/>
    <s v="February"/>
    <s v="Q1"/>
    <x v="25"/>
    <n v="4.0842565378120579"/>
    <n v="0.17925562664252292"/>
    <n v="717.36214285714289"/>
    <n v="6392.153214285715"/>
    <n v="1565.0714285714287"/>
    <n v="35659.428571428572"/>
    <s v="Medium"/>
    <x v="0"/>
  </r>
  <r>
    <x v="15"/>
    <x v="0"/>
    <x v="2"/>
    <x v="2"/>
    <x v="0"/>
    <n v="997.18"/>
    <n v="152514"/>
    <n v="32593"/>
    <n v="191757.05"/>
    <n v="26"/>
    <n v="0.21370497134689276"/>
    <n v="3.0594913018132726E-2"/>
    <n v="6.5382850099007301"/>
    <n v="192.29933412222468"/>
    <n v="191.29933412222468"/>
    <n v="2025"/>
    <s v="February"/>
    <s v="Q1"/>
    <x v="25"/>
    <n v="5.8833814009143062"/>
    <n v="1.2573078537052336"/>
    <n v="38.35307692307692"/>
    <n v="7375.2711538461535"/>
    <n v="1253.5769230769231"/>
    <n v="5865.9230769230771"/>
    <s v="Excellent"/>
    <x v="0"/>
  </r>
  <r>
    <x v="32"/>
    <x v="2"/>
    <x v="0"/>
    <x v="0"/>
    <x v="0"/>
    <n v="684.46"/>
    <n v="461914"/>
    <n v="29515"/>
    <n v="141461.32999999999"/>
    <n v="23"/>
    <n v="6.3897175664734129E-2"/>
    <n v="2.3190242249703542E-2"/>
    <n v="1.4817909827370463"/>
    <n v="206.67581743272066"/>
    <n v="205.67581743272066"/>
    <n v="2025"/>
    <s v="February"/>
    <s v="Q1"/>
    <x v="25"/>
    <n v="4.7928622734202939"/>
    <n v="0.30625036262161354"/>
    <n v="29.759130434782609"/>
    <n v="6150.4926086956521"/>
    <n v="1283.2608695652175"/>
    <n v="20083.217391304348"/>
    <s v="Good"/>
    <x v="0"/>
  </r>
  <r>
    <x v="22"/>
    <x v="0"/>
    <x v="0"/>
    <x v="5"/>
    <x v="0"/>
    <n v="24688.12"/>
    <n v="835618"/>
    <n v="5465"/>
    <n v="133749.13"/>
    <n v="21"/>
    <n v="6.5400697447876898E-3"/>
    <n v="4.517496797804208"/>
    <n v="29.544744129494575"/>
    <n v="5.4175502225361836"/>
    <n v="4.4175502225361836"/>
    <n v="2025"/>
    <s v="February"/>
    <s v="Q1"/>
    <x v="25"/>
    <n v="24.473765782250688"/>
    <n v="0.16006013513351794"/>
    <n v="1175.624761904762"/>
    <n v="6369.0061904761906"/>
    <n v="260.23809523809524"/>
    <n v="39791.333333333336"/>
    <s v="Low"/>
    <x v="0"/>
  </r>
  <r>
    <x v="28"/>
    <x v="0"/>
    <x v="1"/>
    <x v="4"/>
    <x v="1"/>
    <n v="1660.19"/>
    <n v="515719"/>
    <n v="24426"/>
    <n v="157063.53"/>
    <n v="60"/>
    <n v="4.7363001944857569E-2"/>
    <n v="6.7968148694014574E-2"/>
    <n v="3.2191755587829807"/>
    <n v="94.605755967690442"/>
    <n v="93.605755967690442"/>
    <n v="2025"/>
    <s v="February"/>
    <s v="Q1"/>
    <x v="25"/>
    <n v="6.4301780889216404"/>
    <n v="0.30455253733137622"/>
    <n v="27.669833333333333"/>
    <n v="2617.7255"/>
    <n v="407.1"/>
    <n v="8595.3166666666675"/>
    <s v="Medium"/>
    <x v="0"/>
  </r>
  <r>
    <x v="26"/>
    <x v="3"/>
    <x v="3"/>
    <x v="5"/>
    <x v="2"/>
    <n v="23769.87"/>
    <n v="746677"/>
    <n v="43697"/>
    <n v="109633.37"/>
    <n v="46"/>
    <n v="5.852195795504616E-2"/>
    <n v="0.54397029544362308"/>
    <n v="31.834206758745751"/>
    <n v="4.612283113033433"/>
    <n v="3.612283113033433"/>
    <n v="2025"/>
    <s v="February"/>
    <s v="Q1"/>
    <x v="25"/>
    <n v="2.5089450076664299"/>
    <n v="0.14682837425017778"/>
    <n v="516.73630434782604"/>
    <n v="2383.3341304347823"/>
    <n v="949.93478260869563"/>
    <n v="16232.108695652174"/>
    <s v="Good"/>
    <x v="0"/>
  </r>
  <r>
    <x v="12"/>
    <x v="3"/>
    <x v="2"/>
    <x v="3"/>
    <x v="1"/>
    <n v="22175.68"/>
    <n v="553842"/>
    <n v="13892"/>
    <n v="93713.95"/>
    <n v="55"/>
    <n v="2.5082965900022028E-2"/>
    <n v="1.5962913907284768"/>
    <n v="40.039722520141126"/>
    <n v="4.2259786396629098"/>
    <n v="3.2259786396629093"/>
    <n v="2025"/>
    <s v="February"/>
    <s v="Q1"/>
    <x v="25"/>
    <n v="6.7458933198963429"/>
    <n v="0.16920701210814637"/>
    <n v="403.19418181818185"/>
    <n v="1703.8899999999999"/>
    <n v="252.58181818181819"/>
    <n v="10069.854545454546"/>
    <s v="Medium"/>
    <x v="0"/>
  </r>
  <r>
    <x v="56"/>
    <x v="1"/>
    <x v="3"/>
    <x v="5"/>
    <x v="2"/>
    <n v="58427.41"/>
    <n v="114998"/>
    <n v="16343"/>
    <n v="165931.78"/>
    <n v="43"/>
    <n v="0.14211551505243569"/>
    <n v="3.5750725081074468"/>
    <n v="508.07327083949292"/>
    <n v="2.8399646672683247"/>
    <n v="1.8399646672683247"/>
    <n v="2025"/>
    <s v="February"/>
    <s v="Q1"/>
    <x v="25"/>
    <n v="10.1530796059475"/>
    <n v="1.4429101375676099"/>
    <n v="1358.7769767441862"/>
    <n v="3858.8786046511627"/>
    <n v="380.06976744186045"/>
    <n v="2674.3720930232557"/>
    <s v="Excellent"/>
    <x v="0"/>
  </r>
  <r>
    <x v="23"/>
    <x v="2"/>
    <x v="0"/>
    <x v="1"/>
    <x v="1"/>
    <n v="5080.6899999999996"/>
    <n v="364280"/>
    <n v="9970"/>
    <n v="13944.88"/>
    <n v="37"/>
    <n v="2.7369056769517952E-2"/>
    <n v="0.50959779338014033"/>
    <n v="13.947210936642142"/>
    <n v="2.7446823167719345"/>
    <n v="1.7446823167719343"/>
    <n v="2025"/>
    <s v="February"/>
    <s v="Q1"/>
    <x v="25"/>
    <n v="1.3986840521564694"/>
    <n v="3.828066322608982E-2"/>
    <n v="137.31594594594594"/>
    <n v="376.88864864864865"/>
    <n v="269.45945945945948"/>
    <n v="9845.405405405405"/>
    <s v="Medium"/>
    <x v="0"/>
  </r>
  <r>
    <x v="21"/>
    <x v="3"/>
    <x v="3"/>
    <x v="1"/>
    <x v="2"/>
    <n v="2674.61"/>
    <n v="425287"/>
    <n v="47574"/>
    <n v="144385.78"/>
    <n v="6"/>
    <n v="0.11186328291248028"/>
    <n v="5.6219994114432258E-2"/>
    <n v="6.2889531069607116"/>
    <n v="53.983863067886531"/>
    <n v="52.983863067886539"/>
    <n v="2025"/>
    <s v="February"/>
    <s v="Q1"/>
    <x v="25"/>
    <n v="3.0349724639508975"/>
    <n v="0.33950198336652659"/>
    <n v="445.76833333333337"/>
    <n v="24064.296666666665"/>
    <n v="7929"/>
    <n v="70881.166666666672"/>
    <s v="Excellent"/>
    <x v="0"/>
  </r>
  <r>
    <x v="8"/>
    <x v="3"/>
    <x v="1"/>
    <x v="2"/>
    <x v="0"/>
    <n v="12246.18"/>
    <n v="474478"/>
    <n v="16298"/>
    <n v="185716.66"/>
    <n v="51"/>
    <n v="3.4349327049936984E-2"/>
    <n v="0.75139158178917664"/>
    <n v="25.809795185445903"/>
    <n v="15.165272762608421"/>
    <n v="14.165272762608422"/>
    <n v="2025"/>
    <s v="February"/>
    <s v="Q1"/>
    <x v="25"/>
    <n v="11.395058289360659"/>
    <n v="0.39141258393434469"/>
    <n v="240.12117647058824"/>
    <n v="3641.503137254902"/>
    <n v="319.56862745098039"/>
    <n v="9303.4901960784318"/>
    <s v="Medium"/>
    <x v="0"/>
  </r>
  <r>
    <x v="42"/>
    <x v="3"/>
    <x v="3"/>
    <x v="1"/>
    <x v="1"/>
    <n v="24278.28"/>
    <n v="68104"/>
    <n v="8237"/>
    <n v="131935.01999999999"/>
    <n v="14"/>
    <n v="0.12094737460354751"/>
    <n v="2.9474663105499572"/>
    <n v="356.4883119934218"/>
    <n v="5.4342820002075927"/>
    <n v="4.4342820002075927"/>
    <n v="2025"/>
    <s v="February"/>
    <s v="Q1"/>
    <x v="25"/>
    <n v="16.017363117639917"/>
    <n v="1.9372580171502407"/>
    <n v="1734.1628571428571"/>
    <n v="9423.9299999999985"/>
    <n v="588.35714285714289"/>
    <n v="4864.5714285714284"/>
    <s v="Excellent"/>
    <x v="0"/>
  </r>
  <r>
    <x v="20"/>
    <x v="0"/>
    <x v="3"/>
    <x v="5"/>
    <x v="1"/>
    <n v="4043.41"/>
    <n v="342427"/>
    <n v="42196"/>
    <n v="23170.43"/>
    <n v="32"/>
    <n v="0.12322626428406638"/>
    <n v="9.5824485733244855E-2"/>
    <n v="11.808093403849579"/>
    <n v="5.730418137166402"/>
    <n v="4.730418137166402"/>
    <n v="2025"/>
    <s v="February"/>
    <s v="Q1"/>
    <x v="25"/>
    <n v="0.54911437103042948"/>
    <n v="6.766531260677458E-2"/>
    <n v="126.3565625"/>
    <n v="724.07593750000001"/>
    <n v="1318.625"/>
    <n v="10700.84375"/>
    <s v="Excellent"/>
    <x v="0"/>
  </r>
  <r>
    <x v="45"/>
    <x v="0"/>
    <x v="3"/>
    <x v="0"/>
    <x v="2"/>
    <n v="706.82"/>
    <n v="228337"/>
    <n v="10778"/>
    <n v="100183.21"/>
    <n v="61"/>
    <n v="4.7202161717111113E-2"/>
    <n v="6.5579884950825756E-2"/>
    <n v="3.095512334838419"/>
    <n v="141.73793893777764"/>
    <n v="140.73793893777764"/>
    <n v="2025"/>
    <s v="February"/>
    <s v="Q1"/>
    <x v="25"/>
    <n v="9.2951577287066254"/>
    <n v="0.43875153829646535"/>
    <n v="11.5872131147541"/>
    <n v="1642.3477049180328"/>
    <n v="176.68852459016392"/>
    <n v="3743.2295081967213"/>
    <s v="Medium"/>
    <x v="0"/>
  </r>
  <r>
    <x v="23"/>
    <x v="1"/>
    <x v="1"/>
    <x v="3"/>
    <x v="1"/>
    <n v="22430.81"/>
    <n v="522357"/>
    <n v="41714"/>
    <n v="173679.9"/>
    <n v="54"/>
    <n v="7.9857262370371218E-2"/>
    <n v="0.53772858033274207"/>
    <n v="42.94153232367902"/>
    <n v="7.7429169967558007"/>
    <n v="6.7429169967558007"/>
    <n v="2025"/>
    <s v="February"/>
    <s v="Q1"/>
    <x v="25"/>
    <n v="4.1635877642997556"/>
    <n v="0.3324927204957529"/>
    <n v="415.38537037037037"/>
    <n v="3216.2944444444443"/>
    <n v="772.48148148148152"/>
    <n v="9673.2777777777774"/>
    <s v="Good"/>
    <x v="0"/>
  </r>
  <r>
    <x v="17"/>
    <x v="2"/>
    <x v="0"/>
    <x v="0"/>
    <x v="1"/>
    <n v="43961.279999999999"/>
    <n v="120553"/>
    <n v="11503"/>
    <n v="183399.97"/>
    <n v="57"/>
    <n v="9.5418612560450589E-2"/>
    <n v="3.8217230287751018"/>
    <n v="364.66350899604322"/>
    <n v="4.1718523664461094"/>
    <n v="3.1718523664461089"/>
    <n v="2025"/>
    <s v="March"/>
    <s v="Q1"/>
    <x v="26"/>
    <n v="15.943664261497"/>
    <n v="1.521322322961685"/>
    <n v="771.25052631578944"/>
    <n v="3217.5433333333335"/>
    <n v="201.80701754385964"/>
    <n v="2114.9649122807018"/>
    <s v="Good"/>
    <x v="0"/>
  </r>
  <r>
    <x v="53"/>
    <x v="2"/>
    <x v="2"/>
    <x v="0"/>
    <x v="2"/>
    <n v="43930.29"/>
    <n v="86054"/>
    <n v="24583"/>
    <n v="177611.81"/>
    <n v="13"/>
    <n v="0.2856694633602157"/>
    <n v="1.7870190782247894"/>
    <n v="510.49678109094287"/>
    <n v="4.0430375032807655"/>
    <n v="3.0430375032807655"/>
    <n v="2025"/>
    <s v="March"/>
    <s v="Q1"/>
    <x v="26"/>
    <n v="7.2249851523410484"/>
    <n v="2.0639576312547936"/>
    <n v="3379.2530769230771"/>
    <n v="13662.446923076923"/>
    <n v="1891"/>
    <n v="6619.5384615384619"/>
    <s v="Excellent"/>
    <x v="0"/>
  </r>
  <r>
    <x v="43"/>
    <x v="3"/>
    <x v="1"/>
    <x v="3"/>
    <x v="2"/>
    <n v="20711.16"/>
    <n v="398368"/>
    <n v="2946"/>
    <n v="175922.49"/>
    <n v="49"/>
    <n v="7.3951723029962247E-3"/>
    <n v="7.0302647657841142"/>
    <n v="51.990019278656924"/>
    <n v="8.4940915912001067"/>
    <n v="7.4940915912001058"/>
    <n v="2025"/>
    <s v="March"/>
    <s v="Q1"/>
    <x v="26"/>
    <n v="59.71571283095723"/>
    <n v="0.44160798558117115"/>
    <n v="422.67673469387756"/>
    <n v="3590.2548979591834"/>
    <n v="60.122448979591837"/>
    <n v="8129.9591836734689"/>
    <s v="Low"/>
    <x v="0"/>
  </r>
  <r>
    <x v="32"/>
    <x v="1"/>
    <x v="1"/>
    <x v="0"/>
    <x v="2"/>
    <n v="2309.4299999999998"/>
    <n v="123054"/>
    <n v="2249"/>
    <n v="199298.52"/>
    <n v="36"/>
    <n v="1.8276529003526908E-2"/>
    <n v="1.0268697198755001"/>
    <n v="18.767614218148129"/>
    <n v="86.297709824502149"/>
    <n v="85.297709824502149"/>
    <n v="2025"/>
    <s v="March"/>
    <s v="Q1"/>
    <x v="26"/>
    <n v="88.616505113383724"/>
    <n v="1.6196021258959481"/>
    <n v="64.150833333333324"/>
    <n v="5536.07"/>
    <n v="62.472222222222221"/>
    <n v="3418.1666666666665"/>
    <s v="Low"/>
    <x v="0"/>
  </r>
  <r>
    <x v="8"/>
    <x v="2"/>
    <x v="4"/>
    <x v="4"/>
    <x v="1"/>
    <n v="1156.0999999999999"/>
    <n v="694578"/>
    <n v="42065"/>
    <n v="5212.57"/>
    <n v="34"/>
    <n v="6.0561952725251882E-2"/>
    <n v="2.7483656246285508E-2"/>
    <n v="1.6644638903046165"/>
    <n v="4.5087535680304471"/>
    <n v="3.5087535680304471"/>
    <n v="2025"/>
    <s v="March"/>
    <s v="Q1"/>
    <x v="26"/>
    <n v="0.12391703316296207"/>
    <n v="7.5046575042687783E-3"/>
    <n v="34.002941176470586"/>
    <n v="153.31088235294118"/>
    <n v="1237.2058823529412"/>
    <n v="20428.764705882353"/>
    <s v="Good"/>
    <x v="0"/>
  </r>
  <r>
    <x v="19"/>
    <x v="0"/>
    <x v="0"/>
    <x v="0"/>
    <x v="2"/>
    <n v="27306.59"/>
    <n v="644960"/>
    <n v="17157"/>
    <n v="199984.71"/>
    <n v="32"/>
    <n v="2.660164971471099E-2"/>
    <n v="1.5915713702861807"/>
    <n v="42.338424088315556"/>
    <n v="7.3236793755646525"/>
    <n v="6.3236793755646525"/>
    <n v="2025"/>
    <s v="March"/>
    <s v="Q1"/>
    <x v="26"/>
    <n v="11.656158419304074"/>
    <n v="0.3100730432895063"/>
    <n v="853.3309375"/>
    <n v="6249.5221874999997"/>
    <n v="536.15625"/>
    <n v="20155"/>
    <s v="Medium"/>
    <x v="0"/>
  </r>
  <r>
    <x v="31"/>
    <x v="2"/>
    <x v="0"/>
    <x v="0"/>
    <x v="0"/>
    <n v="7840.89"/>
    <n v="296939"/>
    <n v="746"/>
    <n v="28996.98"/>
    <n v="23"/>
    <n v="2.5123005061645659E-3"/>
    <n v="10.510576407506703"/>
    <n v="26.405726428660433"/>
    <n v="3.6981745694685166"/>
    <n v="2.6981745694685171"/>
    <n v="2025"/>
    <s v="March"/>
    <s v="Q1"/>
    <x v="26"/>
    <n v="38.869946380697051"/>
    <n v="9.7652985966814737E-2"/>
    <n v="340.90826086956525"/>
    <n v="1260.7382608695652"/>
    <n v="32.434782608695649"/>
    <n v="12910.391304347826"/>
    <s v="Low"/>
    <x v="0"/>
  </r>
  <r>
    <x v="7"/>
    <x v="0"/>
    <x v="1"/>
    <x v="2"/>
    <x v="2"/>
    <n v="1040.99"/>
    <n v="16658"/>
    <n v="573"/>
    <n v="48956.15"/>
    <n v="16"/>
    <n v="3.4397886901188619E-2"/>
    <n v="1.81673647469459"/>
    <n v="62.491895785808616"/>
    <n v="47.028453683512808"/>
    <n v="46.028453683512815"/>
    <n v="2025"/>
    <s v="March"/>
    <s v="Q1"/>
    <x v="26"/>
    <n v="85.43830715532286"/>
    <n v="2.9388972265578102"/>
    <n v="65.061875000000001"/>
    <n v="3059.7593750000001"/>
    <n v="35.8125"/>
    <n v="1041.125"/>
    <s v="Medium"/>
    <x v="0"/>
  </r>
  <r>
    <x v="27"/>
    <x v="3"/>
    <x v="0"/>
    <x v="3"/>
    <x v="0"/>
    <n v="11335.18"/>
    <n v="739716"/>
    <n v="34044"/>
    <n v="118814.72"/>
    <n v="33"/>
    <n v="4.6023068312703794E-2"/>
    <n v="0.33295676183762191"/>
    <n v="15.323691795229522"/>
    <n v="10.481943824447429"/>
    <n v="9.4819438244474288"/>
    <n v="2025"/>
    <s v="March"/>
    <s v="Q1"/>
    <x v="26"/>
    <n v="3.490034073551874"/>
    <n v="0.16062207658074179"/>
    <n v="343.49030303030304"/>
    <n v="3600.4460606060607"/>
    <n v="1031.6363636363637"/>
    <n v="22415.636363636364"/>
    <s v="Medium"/>
    <x v="0"/>
  </r>
  <r>
    <x v="13"/>
    <x v="3"/>
    <x v="2"/>
    <x v="4"/>
    <x v="0"/>
    <n v="1432.07"/>
    <n v="809484"/>
    <n v="40206"/>
    <n v="156151.89000000001"/>
    <n v="18"/>
    <n v="4.9668677824391834E-2"/>
    <n v="3.5618315674277472E-2"/>
    <n v="1.7691146458731735"/>
    <n v="109.03928578910251"/>
    <n v="108.03928578910249"/>
    <n v="2025"/>
    <s v="March"/>
    <s v="Q1"/>
    <x v="26"/>
    <n v="3.8837957021340102"/>
    <n v="0.19290299746505182"/>
    <n v="79.559444444444438"/>
    <n v="8675.1050000000014"/>
    <n v="2233.6666666666665"/>
    <n v="44971.333333333336"/>
    <s v="Medium"/>
    <x v="0"/>
  </r>
  <r>
    <x v="49"/>
    <x v="1"/>
    <x v="0"/>
    <x v="1"/>
    <x v="2"/>
    <n v="12086.03"/>
    <n v="562436"/>
    <n v="17633"/>
    <n v="83120.44"/>
    <n v="41"/>
    <n v="3.135112261661771E-2"/>
    <n v="0.68542108546475367"/>
    <n v="21.488720494420697"/>
    <n v="6.8773981199781895"/>
    <n v="5.8773981199781895"/>
    <n v="2025"/>
    <s v="March"/>
    <s v="Q1"/>
    <x v="26"/>
    <n v="4.7139136845687064"/>
    <n v="0.14778648592906571"/>
    <n v="294.78121951219515"/>
    <n v="2027.3278048780489"/>
    <n v="430.07317073170731"/>
    <n v="13717.951219512195"/>
    <s v="Medium"/>
    <x v="0"/>
  </r>
  <r>
    <x v="7"/>
    <x v="2"/>
    <x v="2"/>
    <x v="1"/>
    <x v="2"/>
    <n v="14924.52"/>
    <n v="521174"/>
    <n v="48368"/>
    <n v="114497.88"/>
    <n v="24"/>
    <n v="9.2805857544697168E-2"/>
    <n v="0.30856185908038375"/>
    <n v="28.636347937541014"/>
    <n v="7.6717964798867904"/>
    <n v="6.6717964798867904"/>
    <n v="2025"/>
    <s v="March"/>
    <s v="Q1"/>
    <x v="26"/>
    <n v="2.367223784320212"/>
    <n v="0.2196922333040405"/>
    <n v="621.85500000000002"/>
    <n v="4770.7449999999999"/>
    <n v="2015.3333333333333"/>
    <n v="21715.583333333332"/>
    <s v="Good"/>
    <x v="0"/>
  </r>
  <r>
    <x v="8"/>
    <x v="3"/>
    <x v="2"/>
    <x v="4"/>
    <x v="0"/>
    <n v="12319.07"/>
    <n v="173459"/>
    <n v="4032"/>
    <n v="220883.5"/>
    <n v="47"/>
    <n v="2.324468606414196E-2"/>
    <n v="3.0553249007936509"/>
    <n v="71.02006814290408"/>
    <n v="17.930209017401477"/>
    <n v="16.930209017401477"/>
    <n v="2025"/>
    <s v="March"/>
    <s v="Q1"/>
    <x v="26"/>
    <n v="54.782614087301589"/>
    <n v="1.2734046662323661"/>
    <n v="262.1078723404255"/>
    <n v="4699.6489361702124"/>
    <n v="85.787234042553195"/>
    <n v="3690.6170212765956"/>
    <s v="Medium"/>
    <x v="0"/>
  </r>
  <r>
    <x v="28"/>
    <x v="3"/>
    <x v="3"/>
    <x v="1"/>
    <x v="0"/>
    <n v="11959.86"/>
    <n v="775990"/>
    <n v="36522"/>
    <n v="167158.47"/>
    <n v="56"/>
    <n v="4.7065039497931671E-2"/>
    <n v="0.3274700180712995"/>
    <n v="15.41238933491411"/>
    <n v="13.976624308311301"/>
    <n v="12.976624308311299"/>
    <n v="2025"/>
    <s v="March"/>
    <s v="Q1"/>
    <x v="26"/>
    <n v="4.5769254148184659"/>
    <n v="0.21541317542751839"/>
    <n v="213.56892857142859"/>
    <n v="2984.9726785714288"/>
    <n v="652.17857142857144"/>
    <n v="13856.964285714286"/>
    <s v="Medium"/>
    <x v="0"/>
  </r>
  <r>
    <x v="32"/>
    <x v="3"/>
    <x v="1"/>
    <x v="5"/>
    <x v="1"/>
    <n v="4505.1099999999997"/>
    <n v="202800"/>
    <n v="34218"/>
    <n v="21703.23"/>
    <n v="51"/>
    <n v="0.16872781065088757"/>
    <n v="0.13165906832661173"/>
    <n v="22.214546351084813"/>
    <n v="4.8174694957503812"/>
    <n v="3.8174694957503812"/>
    <n v="2025"/>
    <s v="March"/>
    <s v="Q1"/>
    <x v="26"/>
    <n v="0.63426354550236719"/>
    <n v="0.10701789940828402"/>
    <n v="88.335490196078425"/>
    <n v="425.55352941176471"/>
    <n v="670.94117647058829"/>
    <n v="3976.4705882352941"/>
    <s v="Excellent"/>
    <x v="0"/>
  </r>
  <r>
    <x v="53"/>
    <x v="1"/>
    <x v="2"/>
    <x v="3"/>
    <x v="0"/>
    <n v="12012.59"/>
    <n v="737851"/>
    <n v="15576"/>
    <n v="47405.94"/>
    <n v="33"/>
    <n v="2.1109953093510749E-2"/>
    <n v="0.77122431946584491"/>
    <n v="16.280509208498735"/>
    <n v="3.9463546162817513"/>
    <n v="2.9463546162817513"/>
    <n v="2025"/>
    <s v="March"/>
    <s v="Q1"/>
    <x v="26"/>
    <n v="3.0435246533127889"/>
    <n v="6.4248662670376544E-2"/>
    <n v="364.01787878787877"/>
    <n v="1436.5436363636363"/>
    <n v="472"/>
    <n v="22359.121212121212"/>
    <s v="Medium"/>
    <x v="0"/>
  </r>
  <r>
    <x v="55"/>
    <x v="2"/>
    <x v="3"/>
    <x v="4"/>
    <x v="2"/>
    <n v="8398.73"/>
    <n v="166466"/>
    <n v="19753"/>
    <n v="97232.75"/>
    <n v="39"/>
    <n v="0.11866086768469238"/>
    <n v="0.42518756644560318"/>
    <n v="50.453125563178062"/>
    <n v="11.577077724846495"/>
    <n v="10.577077724846495"/>
    <n v="2025"/>
    <s v="March"/>
    <s v="Q1"/>
    <x v="26"/>
    <n v="4.9224295043790818"/>
    <n v="0.58409975610635201"/>
    <n v="215.35205128205126"/>
    <n v="2493.147435897436"/>
    <n v="506.4871794871795"/>
    <n v="4268.3589743589746"/>
    <s v="Excellent"/>
    <x v="0"/>
  </r>
  <r>
    <x v="12"/>
    <x v="0"/>
    <x v="3"/>
    <x v="2"/>
    <x v="2"/>
    <n v="5897.91"/>
    <n v="84814"/>
    <n v="23708"/>
    <n v="14378.94"/>
    <n v="23"/>
    <n v="0.27952932298912914"/>
    <n v="0.24877298802092121"/>
    <n v="69.539344919470835"/>
    <n v="2.4379720951998252"/>
    <n v="1.4379720951998252"/>
    <n v="2025"/>
    <s v="March"/>
    <s v="Q1"/>
    <x v="26"/>
    <n v="0.60650160283448629"/>
    <n v="0.16953498243214565"/>
    <n v="256.43086956521739"/>
    <n v="625.17130434782609"/>
    <n v="1030.7826086956522"/>
    <n v="3687.5652173913045"/>
    <s v="Excellent"/>
    <x v="0"/>
  </r>
  <r>
    <x v="51"/>
    <x v="0"/>
    <x v="2"/>
    <x v="4"/>
    <x v="2"/>
    <n v="2892.27"/>
    <n v="109096"/>
    <n v="36666"/>
    <n v="171202.94"/>
    <n v="46"/>
    <n v="0.33608931583192786"/>
    <n v="7.8881525118638524E-2"/>
    <n v="26.511237808902251"/>
    <n v="59.193277252815264"/>
    <n v="58.193277252815271"/>
    <n v="2025"/>
    <s v="March"/>
    <s v="Q1"/>
    <x v="26"/>
    <n v="4.6692559864724812"/>
    <n v="1.5692870499376697"/>
    <n v="62.875434782608693"/>
    <n v="3721.8030434782609"/>
    <n v="797.08695652173913"/>
    <n v="2371.6521739130435"/>
    <s v="Excellent"/>
    <x v="0"/>
  </r>
  <r>
    <x v="13"/>
    <x v="3"/>
    <x v="4"/>
    <x v="0"/>
    <x v="0"/>
    <n v="86.25"/>
    <n v="831533"/>
    <n v="45369"/>
    <n v="121441.32"/>
    <n v="21"/>
    <n v="5.456067287768495E-2"/>
    <n v="1.9010778284731865E-3"/>
    <n v="0.1037240855143452"/>
    <n v="1408.0153043478263"/>
    <n v="1407.0153043478263"/>
    <n v="2025"/>
    <s v="March"/>
    <s v="Q1"/>
    <x v="26"/>
    <n v="2.676746677246578"/>
    <n v="0.14604509983368069"/>
    <n v="4.1071428571428568"/>
    <n v="5782.92"/>
    <n v="2160.4285714285716"/>
    <n v="39596.809523809527"/>
    <s v="Good"/>
    <x v="0"/>
  </r>
  <r>
    <x v="14"/>
    <x v="2"/>
    <x v="1"/>
    <x v="5"/>
    <x v="2"/>
    <n v="26261.95"/>
    <n v="194019"/>
    <n v="40139"/>
    <n v="214755.89"/>
    <n v="24"/>
    <n v="0.20688180023605934"/>
    <n v="0.65427514387503427"/>
    <n v="135.35761961457382"/>
    <n v="8.1774540732885406"/>
    <n v="7.1774540732885406"/>
    <n v="2025"/>
    <s v="March"/>
    <s v="Q1"/>
    <x v="26"/>
    <n v="5.3503049403323457"/>
    <n v="1.1068807178678377"/>
    <n v="1094.2479166666667"/>
    <n v="8948.1620833333345"/>
    <n v="1672.4583333333333"/>
    <n v="8084.125"/>
    <s v="Excellent"/>
    <x v="0"/>
  </r>
  <r>
    <x v="23"/>
    <x v="3"/>
    <x v="0"/>
    <x v="1"/>
    <x v="1"/>
    <n v="1065.67"/>
    <n v="35422"/>
    <n v="15173"/>
    <n v="159731.1"/>
    <n v="37"/>
    <n v="0.42834961323471288"/>
    <n v="7.023462729849074E-2"/>
    <n v="30.084975438992718"/>
    <n v="149.88795781057925"/>
    <n v="148.88795781057925"/>
    <n v="2025"/>
    <s v="March"/>
    <s v="Q1"/>
    <x v="26"/>
    <n v="10.527324853357939"/>
    <n v="4.5093755293320541"/>
    <n v="28.801891891891895"/>
    <n v="4317.0567567567568"/>
    <n v="410.08108108108109"/>
    <n v="957.35135135135135"/>
    <s v="Excellent"/>
    <x v="0"/>
  </r>
  <r>
    <x v="31"/>
    <x v="1"/>
    <x v="2"/>
    <x v="2"/>
    <x v="2"/>
    <n v="796.04"/>
    <n v="934879"/>
    <n v="9207"/>
    <n v="112775.18"/>
    <n v="36"/>
    <n v="9.8483333137229529E-3"/>
    <n v="8.646030194417291E-2"/>
    <n v="0.8514898719513434"/>
    <n v="141.67024270137179"/>
    <n v="140.67024270137179"/>
    <n v="2025"/>
    <s v="March"/>
    <s v="Q1"/>
    <x v="26"/>
    <n v="12.248851960464863"/>
    <n v="0.12063077681710681"/>
    <n v="22.112222222222222"/>
    <n v="3132.6438888888888"/>
    <n v="255.75"/>
    <n v="25968.861111111109"/>
    <s v="Low"/>
    <x v="0"/>
  </r>
  <r>
    <x v="5"/>
    <x v="0"/>
    <x v="0"/>
    <x v="4"/>
    <x v="1"/>
    <n v="2870.16"/>
    <n v="564718"/>
    <n v="2764"/>
    <n v="184903.58"/>
    <n v="51"/>
    <n v="4.8944783059863507E-3"/>
    <n v="1.0384081041968161"/>
    <n v="5.0824659387517306"/>
    <n v="64.422742982969595"/>
    <n v="63.422742982969588"/>
    <n v="2025"/>
    <s v="March"/>
    <s v="Q1"/>
    <x v="26"/>
    <n v="66.897098408104199"/>
    <n v="0.32742639689190001"/>
    <n v="56.277647058823526"/>
    <n v="3625.5603921568627"/>
    <n v="54.196078431372548"/>
    <n v="11072.901960784313"/>
    <s v="Low"/>
    <x v="0"/>
  </r>
  <r>
    <x v="18"/>
    <x v="0"/>
    <x v="0"/>
    <x v="5"/>
    <x v="1"/>
    <n v="15387.23"/>
    <n v="674845"/>
    <n v="9542"/>
    <n v="78023.839999999997"/>
    <n v="57"/>
    <n v="1.4139543154353963E-2"/>
    <n v="1.6125791238734017"/>
    <n v="22.801132111818269"/>
    <n v="5.0706878366021693"/>
    <n v="4.0706878366021693"/>
    <n v="2025"/>
    <s v="March"/>
    <s v="Q1"/>
    <x v="26"/>
    <n v="8.1768853489834417"/>
    <n v="0.11561742326015603"/>
    <n v="269.95140350877193"/>
    <n v="1368.8392982456139"/>
    <n v="167.40350877192984"/>
    <n v="11839.385964912281"/>
    <s v="Low"/>
    <x v="0"/>
  </r>
  <r>
    <x v="11"/>
    <x v="3"/>
    <x v="1"/>
    <x v="5"/>
    <x v="2"/>
    <n v="7384.74"/>
    <n v="699237"/>
    <n v="28420"/>
    <n v="101917.68"/>
    <n v="31"/>
    <n v="4.0644302289495553E-2"/>
    <n v="0.25984306826178749"/>
    <n v="10.561140214262117"/>
    <n v="13.801119606106646"/>
    <n v="12.801119606106646"/>
    <n v="2025"/>
    <s v="March"/>
    <s v="Q1"/>
    <x v="26"/>
    <n v="3.5861252638986625"/>
    <n v="0.14575555927389425"/>
    <n v="238.21741935483871"/>
    <n v="3287.6670967741934"/>
    <n v="916.77419354838707"/>
    <n v="22556.032258064515"/>
    <s v="Medium"/>
    <x v="0"/>
  </r>
  <r>
    <x v="49"/>
    <x v="0"/>
    <x v="1"/>
    <x v="3"/>
    <x v="1"/>
    <n v="19027.349999999999"/>
    <n v="667667"/>
    <n v="30287"/>
    <n v="223554.29"/>
    <n v="8"/>
    <n v="4.5362433668280744E-2"/>
    <n v="0.62823488625482871"/>
    <n v="28.49826335583457"/>
    <n v="11.749102738952089"/>
    <n v="10.749102738952088"/>
    <n v="2025"/>
    <s v="March"/>
    <s v="Q1"/>
    <x v="26"/>
    <n v="7.3811962228018624"/>
    <n v="0.33482902404941389"/>
    <n v="2378.4187499999998"/>
    <n v="27944.286250000001"/>
    <n v="3785.875"/>
    <n v="83458.375"/>
    <s v="Medium"/>
    <x v="0"/>
  </r>
  <r>
    <x v="18"/>
    <x v="2"/>
    <x v="1"/>
    <x v="4"/>
    <x v="0"/>
    <n v="28988.6"/>
    <n v="584842"/>
    <n v="24587"/>
    <n v="51199.89"/>
    <n v="24"/>
    <n v="4.2040414334127849E-2"/>
    <n v="1.1790214340911864"/>
    <n v="49.566549598011086"/>
    <n v="1.7662077506330076"/>
    <n v="0.7662077506330075"/>
    <n v="2025"/>
    <s v="March"/>
    <s v="Q1"/>
    <x v="26"/>
    <n v="2.0823967950542968"/>
    <n v="8.7544824072142563E-2"/>
    <n v="1207.8583333333333"/>
    <n v="2133.3287500000001"/>
    <n v="1024.4583333333333"/>
    <n v="24368.416666666668"/>
    <s v="Medium"/>
    <x v="0"/>
  </r>
  <r>
    <x v="4"/>
    <x v="0"/>
    <x v="0"/>
    <x v="2"/>
    <x v="2"/>
    <n v="788.9"/>
    <n v="977693"/>
    <n v="39266"/>
    <n v="188609.19"/>
    <n v="24"/>
    <n v="4.0161891309439673E-2"/>
    <n v="2.0091173025008912E-2"/>
    <n v="0.80689950730955418"/>
    <n v="239.07870452528837"/>
    <n v="238.0787045252884"/>
    <n v="2025"/>
    <s v="March"/>
    <s v="Q1"/>
    <x v="26"/>
    <n v="4.80337161921255"/>
    <n v="0.1929124888896617"/>
    <n v="32.87083333333333"/>
    <n v="7858.7162500000004"/>
    <n v="1636.0833333333333"/>
    <n v="40737.208333333336"/>
    <s v="Medium"/>
    <x v="0"/>
  </r>
  <r>
    <x v="47"/>
    <x v="3"/>
    <x v="2"/>
    <x v="1"/>
    <x v="0"/>
    <n v="6648.87"/>
    <n v="148205"/>
    <n v="1073"/>
    <n v="92769.36"/>
    <n v="17"/>
    <n v="7.2399716608751389E-3"/>
    <n v="6.1965237651444545"/>
    <n v="44.862656455585167"/>
    <n v="13.95265060077878"/>
    <n v="12.95265060077878"/>
    <n v="2025"/>
    <s v="March"/>
    <s v="Q1"/>
    <x v="26"/>
    <n v="86.457931034482755"/>
    <n v="0.62595297054755239"/>
    <n v="391.11"/>
    <n v="5457.0211764705882"/>
    <n v="63.117647058823529"/>
    <n v="8717.9411764705874"/>
    <s v="Low"/>
    <x v="0"/>
  </r>
  <r>
    <x v="35"/>
    <x v="3"/>
    <x v="4"/>
    <x v="0"/>
    <x v="2"/>
    <n v="9124.06"/>
    <n v="571671"/>
    <n v="737"/>
    <n v="176700.55"/>
    <n v="26"/>
    <n v="1.2892030556036602E-3"/>
    <n v="12.379999999999999"/>
    <n v="15.960333828373312"/>
    <n v="19.366438844111066"/>
    <n v="18.366438844111066"/>
    <n v="2025"/>
    <s v="March"/>
    <s v="Q1"/>
    <x v="26"/>
    <n v="239.75651289009497"/>
    <n v="0.30909482901878876"/>
    <n v="350.92538461538459"/>
    <n v="6796.1749999999993"/>
    <n v="28.346153846153847"/>
    <n v="21987.346153846152"/>
    <s v="Low"/>
    <x v="0"/>
  </r>
  <r>
    <x v="1"/>
    <x v="1"/>
    <x v="0"/>
    <x v="5"/>
    <x v="0"/>
    <n v="18454.12"/>
    <n v="236088"/>
    <n v="36338"/>
    <n v="184666.92"/>
    <n v="16"/>
    <n v="0.15391718342313035"/>
    <n v="0.50784633166382298"/>
    <n v="78.166276981464534"/>
    <n v="10.006812570851388"/>
    <n v="9.0068125708513893"/>
    <n v="2025"/>
    <s v="March"/>
    <s v="Q1"/>
    <x v="26"/>
    <n v="5.0819230557543067"/>
    <n v="0.78219528311477082"/>
    <n v="1153.3824999999999"/>
    <n v="11541.682500000001"/>
    <n v="2271.125"/>
    <n v="14755.5"/>
    <s v="Excellent"/>
    <x v="0"/>
  </r>
  <r>
    <x v="23"/>
    <x v="3"/>
    <x v="0"/>
    <x v="4"/>
    <x v="2"/>
    <n v="904.24"/>
    <n v="210070"/>
    <n v="7434"/>
    <n v="204912.21"/>
    <n v="25"/>
    <n v="3.538820393202266E-2"/>
    <n v="0.12163572773742265"/>
    <n v="4.3044699385918976"/>
    <n v="226.61263602583384"/>
    <n v="225.61263602583384"/>
    <n v="2025"/>
    <s v="April"/>
    <s v="Q2"/>
    <x v="27"/>
    <n v="27.564192897497982"/>
    <n v="0.97544727947826915"/>
    <n v="36.169600000000003"/>
    <n v="8196.4884000000002"/>
    <n v="297.36"/>
    <n v="8402.7999999999993"/>
    <s v="Medium"/>
    <x v="0"/>
  </r>
  <r>
    <x v="5"/>
    <x v="0"/>
    <x v="2"/>
    <x v="2"/>
    <x v="0"/>
    <n v="5649.39"/>
    <n v="939496"/>
    <n v="49148"/>
    <n v="130512.18"/>
    <n v="14"/>
    <n v="5.2313155138499788E-2"/>
    <n v="0.11494648815821601"/>
    <n v="6.0132134676464828"/>
    <n v="23.101995082654938"/>
    <n v="22.101995082654938"/>
    <n v="2025"/>
    <s v="April"/>
    <s v="Q2"/>
    <x v="27"/>
    <n v="2.6554932041995603"/>
    <n v="0.1389172279605235"/>
    <n v="403.52785714285716"/>
    <n v="9322.2985714285714"/>
    <n v="3510.5714285714284"/>
    <n v="67106.857142857145"/>
    <s v="Good"/>
    <x v="0"/>
  </r>
  <r>
    <x v="11"/>
    <x v="1"/>
    <x v="1"/>
    <x v="5"/>
    <x v="1"/>
    <n v="4766.57"/>
    <n v="656195"/>
    <n v="27053"/>
    <n v="30400.45"/>
    <n v="59"/>
    <n v="4.12270742690816E-2"/>
    <n v="0.1761937677891546"/>
    <n v="7.2639535503927952"/>
    <n v="6.3778461241521684"/>
    <n v="5.3778461241521684"/>
    <n v="2025"/>
    <s v="April"/>
    <s v="Q2"/>
    <x v="27"/>
    <n v="1.1237367389938269"/>
    <n v="4.6328377997394067E-2"/>
    <n v="80.789322033898301"/>
    <n v="515.26186440677964"/>
    <n v="458.52542372881356"/>
    <n v="11121.949152542373"/>
    <s v="Medium"/>
    <x v="0"/>
  </r>
  <r>
    <x v="22"/>
    <x v="0"/>
    <x v="4"/>
    <x v="1"/>
    <x v="2"/>
    <n v="777.98"/>
    <n v="166130"/>
    <n v="15892"/>
    <n v="52023.35"/>
    <n v="17"/>
    <n v="9.566002528140613E-2"/>
    <n v="4.8954190787817771E-2"/>
    <n v="4.6829591283934269"/>
    <n v="66.869778143396999"/>
    <n v="65.869778143396999"/>
    <n v="2025"/>
    <s v="April"/>
    <s v="Q2"/>
    <x v="27"/>
    <n v="3.2735558771709035"/>
    <n v="0.31314843797026426"/>
    <n v="45.763529411764708"/>
    <n v="3060.1970588235295"/>
    <n v="934.82352941176475"/>
    <n v="9772.3529411764703"/>
    <s v="Good"/>
    <x v="0"/>
  </r>
  <r>
    <x v="28"/>
    <x v="2"/>
    <x v="2"/>
    <x v="1"/>
    <x v="0"/>
    <n v="1232.1300000000001"/>
    <n v="756925"/>
    <n v="37891"/>
    <n v="158745.54"/>
    <n v="33"/>
    <n v="5.0059120784754101E-2"/>
    <n v="3.2517748277955193E-2"/>
    <n v="1.6278098886943888"/>
    <n v="128.83830439969807"/>
    <n v="127.83830439969807"/>
    <n v="2025"/>
    <s v="April"/>
    <s v="Q2"/>
    <x v="27"/>
    <n v="4.1895315510279492"/>
    <n v="0.20972426594444629"/>
    <n v="37.337272727272733"/>
    <n v="4810.4709090909091"/>
    <n v="1148.2121212121212"/>
    <n v="22937.121212121212"/>
    <s v="Good"/>
    <x v="0"/>
  </r>
  <r>
    <x v="15"/>
    <x v="2"/>
    <x v="4"/>
    <x v="1"/>
    <x v="0"/>
    <n v="10108.18"/>
    <n v="338429"/>
    <n v="16233"/>
    <n v="197486.73"/>
    <n v="26"/>
    <n v="4.7965747616191282E-2"/>
    <n v="0.62269327912277461"/>
    <n v="29.867948668701562"/>
    <n v="19.537318290730873"/>
    <n v="18.537318290730873"/>
    <n v="2025"/>
    <s v="April"/>
    <s v="Q2"/>
    <x v="27"/>
    <n v="12.16575679172057"/>
    <n v="0.58353961983163383"/>
    <n v="388.77615384615387"/>
    <n v="7595.6434615384624"/>
    <n v="624.34615384615381"/>
    <n v="13016.5"/>
    <s v="Medium"/>
    <x v="0"/>
  </r>
  <r>
    <x v="21"/>
    <x v="2"/>
    <x v="0"/>
    <x v="2"/>
    <x v="0"/>
    <n v="12709.53"/>
    <n v="314598"/>
    <n v="12784"/>
    <n v="5387.32"/>
    <n v="17"/>
    <n v="4.0635986242760602E-2"/>
    <n v="0.99417474968710895"/>
    <n v="40.399271451185328"/>
    <n v="0.42388034805378322"/>
    <n v="-0.57611965194621673"/>
    <n v="2025"/>
    <s v="April"/>
    <s v="Q2"/>
    <x v="27"/>
    <n v="0.42141113892365456"/>
    <n v="1.7124457243847702E-2"/>
    <n v="747.61941176470589"/>
    <n v="316.90117647058821"/>
    <n v="752"/>
    <n v="18505.764705882353"/>
    <s v="Medium"/>
    <x v="0"/>
  </r>
  <r>
    <x v="11"/>
    <x v="1"/>
    <x v="3"/>
    <x v="1"/>
    <x v="2"/>
    <n v="8075.7"/>
    <n v="992188"/>
    <n v="32617"/>
    <n v="39457.629999999997"/>
    <n v="45"/>
    <n v="3.287381020532399E-2"/>
    <n v="0.24759174663519024"/>
    <n v="8.1392840872899086"/>
    <n v="4.8859702564483571"/>
    <n v="3.8859702564483571"/>
    <n v="2025"/>
    <s v="April"/>
    <s v="Q2"/>
    <x v="27"/>
    <n v="1.2097259098016371"/>
    <n v="3.9768299959281911E-2"/>
    <n v="179.46"/>
    <n v="876.8362222222222"/>
    <n v="724.82222222222219"/>
    <n v="22048.62222222222"/>
    <s v="Medium"/>
    <x v="0"/>
  </r>
  <r>
    <x v="31"/>
    <x v="0"/>
    <x v="0"/>
    <x v="1"/>
    <x v="2"/>
    <n v="6991.49"/>
    <n v="67287"/>
    <n v="17684"/>
    <n v="123948.82"/>
    <n v="34"/>
    <n v="0.26281451097537412"/>
    <n v="0.39535681972404429"/>
    <n v="103.90550923655387"/>
    <n v="17.728527109385841"/>
    <n v="16.728527109385841"/>
    <n v="2025"/>
    <s v="April"/>
    <s v="Q2"/>
    <x v="27"/>
    <n v="7.0090940963582904"/>
    <n v="1.842091637314786"/>
    <n v="205.63205882352941"/>
    <n v="3645.5535294117649"/>
    <n v="520.11764705882354"/>
    <n v="1979.0294117647059"/>
    <s v="Excellent"/>
    <x v="0"/>
  </r>
  <r>
    <x v="3"/>
    <x v="1"/>
    <x v="4"/>
    <x v="0"/>
    <x v="0"/>
    <n v="179.31"/>
    <n v="956335"/>
    <n v="42435"/>
    <n v="113640.67"/>
    <n v="10"/>
    <n v="4.4372526363669632E-2"/>
    <n v="4.2255213856486392E-3"/>
    <n v="0.1874970590849441"/>
    <n v="633.76649378171874"/>
    <n v="632.76649378171885"/>
    <n v="2025"/>
    <s v="April"/>
    <s v="Q2"/>
    <x v="27"/>
    <n v="2.6779938729822081"/>
    <n v="0.11882935373064878"/>
    <n v="17.931000000000001"/>
    <n v="11364.066999999999"/>
    <n v="4243.5"/>
    <n v="95633.5"/>
    <s v="Medium"/>
    <x v="0"/>
  </r>
  <r>
    <x v="52"/>
    <x v="3"/>
    <x v="0"/>
    <x v="2"/>
    <x v="2"/>
    <n v="8977.7900000000009"/>
    <n v="497192"/>
    <n v="45673"/>
    <n v="122240.14"/>
    <n v="47"/>
    <n v="9.186189641023991E-2"/>
    <n v="0.19656668053335671"/>
    <n v="18.056988044859935"/>
    <n v="13.615838641803828"/>
    <n v="12.615838641803828"/>
    <n v="2025"/>
    <s v="April"/>
    <s v="Q2"/>
    <x v="27"/>
    <n v="2.6764202044971865"/>
    <n v="0.24586103557579367"/>
    <n v="191.01680851063833"/>
    <n v="2600.8540425531914"/>
    <n v="971.76595744680856"/>
    <n v="10578.553191489362"/>
    <s v="Good"/>
    <x v="0"/>
  </r>
  <r>
    <x v="45"/>
    <x v="3"/>
    <x v="0"/>
    <x v="2"/>
    <x v="2"/>
    <n v="53851.12"/>
    <n v="246540"/>
    <n v="10042"/>
    <n v="88737.61"/>
    <n v="7"/>
    <n v="4.0731727103106997E-2"/>
    <n v="5.3625891256721774"/>
    <n v="218.42751683296828"/>
    <n v="1.6478322085037413"/>
    <n v="0.64783220850374135"/>
    <n v="2025"/>
    <s v="April"/>
    <s v="Q2"/>
    <x v="27"/>
    <n v="8.8366470822545313"/>
    <n v="0.3599318974608583"/>
    <n v="7693.017142857143"/>
    <n v="12676.801428571429"/>
    <n v="1434.5714285714287"/>
    <n v="35220"/>
    <s v="Medium"/>
    <x v="0"/>
  </r>
  <r>
    <x v="56"/>
    <x v="1"/>
    <x v="0"/>
    <x v="0"/>
    <x v="0"/>
    <n v="9314.27"/>
    <n v="265652"/>
    <n v="3761"/>
    <n v="138163.98000000001"/>
    <n v="16"/>
    <n v="1.4157619743122581E-2"/>
    <n v="2.4765408136134006"/>
    <n v="35.061923117461944"/>
    <n v="14.833581160949812"/>
    <n v="13.833581160949812"/>
    <n v="2025"/>
    <s v="April"/>
    <s v="Q2"/>
    <x v="27"/>
    <n v="36.73596915713906"/>
    <n v="0.52009388222185415"/>
    <n v="582.14187500000003"/>
    <n v="8635.2487500000007"/>
    <n v="235.0625"/>
    <n v="16603.25"/>
    <s v="Low"/>
    <x v="0"/>
  </r>
  <r>
    <x v="55"/>
    <x v="2"/>
    <x v="3"/>
    <x v="3"/>
    <x v="0"/>
    <n v="3896.55"/>
    <n v="619918"/>
    <n v="41374"/>
    <n v="202894.58"/>
    <n v="34"/>
    <n v="6.6741085111256648E-2"/>
    <n v="9.4178711267946053E-2"/>
    <n v="6.2855893844024537"/>
    <n v="52.070313482439587"/>
    <n v="51.070313482439595"/>
    <n v="2025"/>
    <s v="April"/>
    <s v="Q2"/>
    <x v="27"/>
    <n v="4.903915019094117"/>
    <n v="0.32729260966773022"/>
    <n v="114.60441176470589"/>
    <n v="5967.4876470588233"/>
    <n v="1216.8823529411766"/>
    <n v="18232.882352941175"/>
    <s v="Good"/>
    <x v="0"/>
  </r>
  <r>
    <x v="28"/>
    <x v="2"/>
    <x v="4"/>
    <x v="0"/>
    <x v="2"/>
    <n v="2619.0500000000002"/>
    <n v="610870"/>
    <n v="29466"/>
    <n v="26564.87"/>
    <n v="21"/>
    <n v="4.8236122251870281E-2"/>
    <n v="8.8883798275979101E-2"/>
    <n v="4.2874097598507044"/>
    <n v="10.142941142780778"/>
    <n v="9.1429411427807779"/>
    <n v="2025"/>
    <s v="April"/>
    <s v="Q2"/>
    <x v="27"/>
    <n v="0.90154313446005563"/>
    <n v="4.348694484914957E-2"/>
    <n v="124.71666666666667"/>
    <n v="1264.9938095238094"/>
    <n v="1403.1428571428571"/>
    <n v="29089.047619047618"/>
    <s v="Medium"/>
    <x v="0"/>
  </r>
  <r>
    <x v="58"/>
    <x v="3"/>
    <x v="1"/>
    <x v="1"/>
    <x v="1"/>
    <n v="3736.07"/>
    <n v="847995"/>
    <n v="40445"/>
    <n v="59040.27"/>
    <n v="58"/>
    <n v="4.7694856691372002E-2"/>
    <n v="9.2374088268018295E-2"/>
    <n v="4.4057689019392798"/>
    <n v="15.802774037959672"/>
    <n v="14.802774037959672"/>
    <n v="2025"/>
    <s v="April"/>
    <s v="Q2"/>
    <x v="27"/>
    <n v="1.4597668438620348"/>
    <n v="6.9623370420816164E-2"/>
    <n v="64.415000000000006"/>
    <n v="1017.9356896551724"/>
    <n v="697.32758620689651"/>
    <n v="14620.603448275862"/>
    <s v="Medium"/>
    <x v="0"/>
  </r>
  <r>
    <x v="20"/>
    <x v="2"/>
    <x v="0"/>
    <x v="2"/>
    <x v="1"/>
    <n v="8098.01"/>
    <n v="160494"/>
    <n v="4821"/>
    <n v="109466.78"/>
    <n v="31"/>
    <n v="3.0038506112378034E-2"/>
    <n v="1.6797365691765194"/>
    <n v="50.456777200393788"/>
    <n v="13.517738308547408"/>
    <n v="12.517738308547409"/>
    <n v="2025"/>
    <s v="April"/>
    <s v="Q2"/>
    <x v="27"/>
    <n v="22.706239369425429"/>
    <n v="0.68206151008760452"/>
    <n v="261.22612903225809"/>
    <n v="3531.1864516129031"/>
    <n v="155.51612903225808"/>
    <n v="5177.2258064516127"/>
    <s v="Medium"/>
    <x v="0"/>
  </r>
  <r>
    <x v="58"/>
    <x v="2"/>
    <x v="4"/>
    <x v="1"/>
    <x v="1"/>
    <n v="1757.95"/>
    <n v="445945"/>
    <n v="531"/>
    <n v="65102.44"/>
    <n v="14"/>
    <n v="1.1907297985177545E-3"/>
    <n v="3.3106403013182675"/>
    <n v="3.9420780589534585"/>
    <n v="37.033157939645612"/>
    <n v="36.033157939645612"/>
    <n v="2025"/>
    <s v="April"/>
    <s v="Q2"/>
    <x v="27"/>
    <n v="122.60346516007533"/>
    <n v="0.14598759936763503"/>
    <n v="125.56785714285715"/>
    <n v="4650.1742857142863"/>
    <n v="37.928571428571431"/>
    <n v="31853.214285714286"/>
    <s v="Low"/>
    <x v="0"/>
  </r>
  <r>
    <x v="28"/>
    <x v="3"/>
    <x v="1"/>
    <x v="5"/>
    <x v="2"/>
    <n v="5428.03"/>
    <n v="625448"/>
    <n v="38105"/>
    <n v="249731.07"/>
    <n v="6"/>
    <n v="6.0924329440656934E-2"/>
    <n v="0.14244928487075187"/>
    <n v="8.6786271600516738"/>
    <n v="46.00768050287121"/>
    <n v="45.00768050287121"/>
    <n v="2025"/>
    <s v="April"/>
    <s v="Q2"/>
    <x v="27"/>
    <n v="6.5537611861960379"/>
    <n v="0.39928350558319797"/>
    <n v="904.67166666666662"/>
    <n v="41621.845000000001"/>
    <n v="6350.833333333333"/>
    <n v="104241.33333333333"/>
    <s v="Good"/>
    <x v="0"/>
  </r>
  <r>
    <x v="39"/>
    <x v="3"/>
    <x v="0"/>
    <x v="1"/>
    <x v="2"/>
    <n v="29700.41"/>
    <n v="362058"/>
    <n v="29370"/>
    <n v="7791.93"/>
    <n v="51"/>
    <n v="8.1119599622159991E-2"/>
    <n v="1.0112499148791283"/>
    <n v="82.032188212938252"/>
    <n v="0.26235092377512637"/>
    <n v="-0.73764907622487363"/>
    <n v="2025"/>
    <s v="April"/>
    <s v="Q2"/>
    <x v="27"/>
    <n v="0.26530234933605723"/>
    <n v="2.1521220356959383E-2"/>
    <n v="582.36098039215688"/>
    <n v="152.78294117647059"/>
    <n v="575.88235294117646"/>
    <n v="7099.1764705882351"/>
    <s v="Good"/>
    <x v="0"/>
  </r>
  <r>
    <x v="44"/>
    <x v="2"/>
    <x v="3"/>
    <x v="3"/>
    <x v="0"/>
    <n v="18579.37"/>
    <n v="276641"/>
    <n v="40132"/>
    <n v="53000.76"/>
    <n v="51"/>
    <n v="0.14506887988403744"/>
    <n v="0.46295649357121499"/>
    <n v="67.160579957417724"/>
    <n v="2.8526672325272604"/>
    <n v="1.8526672325272602"/>
    <n v="2025"/>
    <s v="April"/>
    <s v="Q2"/>
    <x v="27"/>
    <n v="1.3206608192963223"/>
    <n v="0.19158678576205262"/>
    <n v="364.30137254901956"/>
    <n v="1039.2305882352941"/>
    <n v="786.9019607843137"/>
    <n v="5424.333333333333"/>
    <s v="Excellent"/>
    <x v="0"/>
  </r>
  <r>
    <x v="15"/>
    <x v="1"/>
    <x v="0"/>
    <x v="1"/>
    <x v="0"/>
    <n v="5735.32"/>
    <n v="769767"/>
    <n v="2495"/>
    <n v="117545.26"/>
    <n v="39"/>
    <n v="3.2412405312256826E-3"/>
    <n v="2.2987254509018036"/>
    <n v="7.4507221016229579"/>
    <n v="20.49497848419966"/>
    <n v="19.494978484199663"/>
    <n v="2025"/>
    <s v="April"/>
    <s v="Q2"/>
    <x v="27"/>
    <n v="47.112328657314627"/>
    <n v="0.15270238916451342"/>
    <n v="147.05948717948718"/>
    <n v="3013.9810256410256"/>
    <n v="63.974358974358971"/>
    <n v="19737.615384615383"/>
    <s v="Low"/>
    <x v="0"/>
  </r>
  <r>
    <x v="40"/>
    <x v="1"/>
    <x v="1"/>
    <x v="5"/>
    <x v="2"/>
    <n v="5921.47"/>
    <n v="345281"/>
    <n v="47751"/>
    <n v="228972.61"/>
    <n v="46"/>
    <n v="0.13829605451791441"/>
    <n v="0.12400724592155139"/>
    <n v="17.149712842583288"/>
    <n v="38.668204010152877"/>
    <n v="37.668204010152877"/>
    <n v="2025"/>
    <s v="April"/>
    <s v="Q2"/>
    <x v="27"/>
    <n v="4.7951374840317476"/>
    <n v="0.66314859491254941"/>
    <n v="128.72760869565218"/>
    <n v="4977.6654347826088"/>
    <n v="1038.0652173913043"/>
    <n v="7506.108695652174"/>
    <s v="Excellent"/>
    <x v="0"/>
  </r>
  <r>
    <x v="48"/>
    <x v="3"/>
    <x v="4"/>
    <x v="2"/>
    <x v="1"/>
    <n v="30580.97"/>
    <n v="218205"/>
    <n v="5199"/>
    <n v="182067.3"/>
    <n v="6"/>
    <n v="2.382621846428817E-2"/>
    <n v="5.8820869397961149"/>
    <n v="140.1478884535185"/>
    <n v="5.9536142901941957"/>
    <n v="4.9536142901941957"/>
    <n v="2025"/>
    <s v="April"/>
    <s v="Q2"/>
    <x v="27"/>
    <n v="35.019676860934794"/>
    <n v="0.83438647143740974"/>
    <n v="5096.8283333333338"/>
    <n v="30344.55"/>
    <n v="866.5"/>
    <n v="36367.5"/>
    <s v="Medium"/>
    <x v="0"/>
  </r>
  <r>
    <x v="44"/>
    <x v="3"/>
    <x v="3"/>
    <x v="0"/>
    <x v="0"/>
    <n v="10293.200000000001"/>
    <n v="640437"/>
    <n v="15575"/>
    <n v="104437.16"/>
    <n v="24"/>
    <n v="2.4319331956148691E-2"/>
    <n v="0.66087961476725521"/>
    <n v="16.07215073457655"/>
    <n v="10.146228578090389"/>
    <n v="9.1462285780903905"/>
    <n v="2025"/>
    <s v="April"/>
    <s v="Q2"/>
    <x v="27"/>
    <n v="6.705435634028893"/>
    <n v="0.16307171509453702"/>
    <n v="428.88333333333338"/>
    <n v="4351.5483333333332"/>
    <n v="648.95833333333337"/>
    <n v="26684.875"/>
    <s v="Medium"/>
    <x v="0"/>
  </r>
  <r>
    <x v="21"/>
    <x v="0"/>
    <x v="4"/>
    <x v="4"/>
    <x v="1"/>
    <n v="8614.0300000000007"/>
    <n v="199131"/>
    <n v="26873"/>
    <n v="199153.57"/>
    <n v="24"/>
    <n v="0.13495136367516861"/>
    <n v="0.32054590109031372"/>
    <n v="43.258106472623552"/>
    <n v="23.119674530968663"/>
    <n v="22.119674530968663"/>
    <n v="2025"/>
    <s v="April"/>
    <s v="Q2"/>
    <x v="27"/>
    <n v="7.4109169054441262"/>
    <n v="1.0001133424730455"/>
    <n v="358.91791666666671"/>
    <n v="8298.0654166666664"/>
    <n v="1119.7083333333333"/>
    <n v="8297.125"/>
    <s v="Excellent"/>
    <x v="0"/>
  </r>
  <r>
    <x v="37"/>
    <x v="1"/>
    <x v="2"/>
    <x v="0"/>
    <x v="1"/>
    <n v="17464.150000000001"/>
    <n v="102422"/>
    <n v="4299"/>
    <n v="69457.539999999994"/>
    <n v="15"/>
    <n v="4.1973404151451836E-2"/>
    <n v="4.0623749709234707"/>
    <n v="170.51170646931325"/>
    <n v="3.9771497610819875"/>
    <n v="2.9771497610819875"/>
    <n v="2025"/>
    <s v="April"/>
    <s v="Q2"/>
    <x v="27"/>
    <n v="16.156673645033727"/>
    <n v="0.67815059264611111"/>
    <n v="1164.2766666666669"/>
    <n v="4630.5026666666663"/>
    <n v="286.60000000000002"/>
    <n v="6828.1333333333332"/>
    <s v="Medium"/>
    <x v="0"/>
  </r>
  <r>
    <x v="20"/>
    <x v="1"/>
    <x v="3"/>
    <x v="4"/>
    <x v="1"/>
    <n v="17482.740000000002"/>
    <n v="922677"/>
    <n v="22298"/>
    <n v="202036.97"/>
    <n v="36"/>
    <n v="2.4166636862087167E-2"/>
    <n v="0.78404969055520679"/>
    <n v="18.947844153479497"/>
    <n v="11.556367594553256"/>
    <n v="10.556367594553256"/>
    <n v="2025"/>
    <s v="April"/>
    <s v="Q2"/>
    <x v="27"/>
    <n v="9.0607664364516989"/>
    <n v="0.21896825216191582"/>
    <n v="485.63166666666672"/>
    <n v="5612.1380555555552"/>
    <n v="619.38888888888891"/>
    <n v="25629.916666666668"/>
    <s v="Medium"/>
    <x v="0"/>
  </r>
  <r>
    <x v="18"/>
    <x v="1"/>
    <x v="0"/>
    <x v="3"/>
    <x v="1"/>
    <n v="6781.15"/>
    <n v="955404"/>
    <n v="40388"/>
    <n v="151954.38"/>
    <n v="15"/>
    <n v="4.2273216356640754E-2"/>
    <n v="0.16790011884718231"/>
    <n v="7.0976780503326333"/>
    <n v="22.408349616215542"/>
    <n v="21.408349616215542"/>
    <n v="2025"/>
    <s v="April"/>
    <s v="Q2"/>
    <x v="27"/>
    <n v="3.7623645637318015"/>
    <n v="0.15904725121519275"/>
    <n v="452.07666666666665"/>
    <n v="10130.291999999999"/>
    <n v="2692.5333333333333"/>
    <n v="63693.599999999999"/>
    <s v="Medium"/>
    <x v="0"/>
  </r>
  <r>
    <x v="14"/>
    <x v="2"/>
    <x v="0"/>
    <x v="1"/>
    <x v="1"/>
    <n v="6414.09"/>
    <n v="552985"/>
    <n v="43611"/>
    <n v="214954.26"/>
    <n v="28"/>
    <n v="7.8864706999285689E-2"/>
    <n v="0.14707504987273853"/>
    <n v="11.599030715118854"/>
    <n v="33.512822551601239"/>
    <n v="32.512822551601239"/>
    <n v="2025"/>
    <s v="April"/>
    <s v="Q2"/>
    <x v="27"/>
    <n v="4.9289000481529888"/>
    <n v="0.38871625812635063"/>
    <n v="229.07464285714286"/>
    <n v="7676.9378571428579"/>
    <n v="1557.5357142857142"/>
    <n v="19749.464285714286"/>
    <s v="Good"/>
    <x v="0"/>
  </r>
  <r>
    <x v="54"/>
    <x v="2"/>
    <x v="4"/>
    <x v="4"/>
    <x v="1"/>
    <n v="399.73"/>
    <n v="917088"/>
    <n v="45044"/>
    <n v="195686.35"/>
    <n v="48"/>
    <n v="4.9116333438012492E-2"/>
    <n v="8.874211881715657E-3"/>
    <n v="0.43586874978191842"/>
    <n v="489.54631876516646"/>
    <n v="488.54631876516646"/>
    <n v="2025"/>
    <s v="April"/>
    <s v="Q2"/>
    <x v="27"/>
    <n v="4.3443377586360006"/>
    <n v="0.21337794192051363"/>
    <n v="8.3277083333333337"/>
    <n v="4076.7989583333333"/>
    <n v="938.41666666666663"/>
    <n v="19106"/>
    <s v="Medium"/>
    <x v="0"/>
  </r>
  <r>
    <x v="49"/>
    <x v="3"/>
    <x v="3"/>
    <x v="1"/>
    <x v="2"/>
    <n v="38744.910000000003"/>
    <n v="689091"/>
    <n v="24200"/>
    <n v="190001.39"/>
    <n v="20"/>
    <n v="3.5118728876157142E-2"/>
    <n v="1.6010293388429753"/>
    <n v="56.226115273599575"/>
    <n v="4.9039058291785942"/>
    <n v="3.9039058291785937"/>
    <n v="2025"/>
    <s v="April"/>
    <s v="Q2"/>
    <x v="27"/>
    <n v="7.8512971074380173"/>
    <n v="0.27572757444227253"/>
    <n v="1937.2455000000002"/>
    <n v="9500.0695000000014"/>
    <n v="1210"/>
    <n v="34454.550000000003"/>
    <s v="Medium"/>
    <x v="0"/>
  </r>
  <r>
    <x v="19"/>
    <x v="1"/>
    <x v="2"/>
    <x v="3"/>
    <x v="2"/>
    <n v="18334.580000000002"/>
    <n v="292400"/>
    <n v="39041"/>
    <n v="166211.54"/>
    <n v="51"/>
    <n v="0.13351915184678523"/>
    <n v="0.46962372890038684"/>
    <n v="62.703761969904249"/>
    <n v="9.0654675482067208"/>
    <n v="8.0654675482067226"/>
    <n v="2025"/>
    <s v="April"/>
    <s v="Q2"/>
    <x v="27"/>
    <n v="4.2573586742142879"/>
    <n v="0.56843891928864576"/>
    <n v="359.50156862745104"/>
    <n v="3259.0498039215686"/>
    <n v="765.50980392156862"/>
    <n v="5733.333333333333"/>
    <s v="Excellent"/>
    <x v="0"/>
  </r>
  <r>
    <x v="41"/>
    <x v="1"/>
    <x v="1"/>
    <x v="0"/>
    <x v="2"/>
    <n v="6007.65"/>
    <n v="866375"/>
    <n v="29665"/>
    <n v="221734.29"/>
    <n v="33"/>
    <n v="3.4240369355071416E-2"/>
    <n v="0.2025164335075004"/>
    <n v="6.9342374837685758"/>
    <n v="36.908656463009663"/>
    <n v="35.90865646300967"/>
    <n v="2025"/>
    <s v="April"/>
    <s v="Q2"/>
    <x v="27"/>
    <n v="7.474609472442272"/>
    <n v="0.25593338912133889"/>
    <n v="182.04999999999998"/>
    <n v="6719.2209090909091"/>
    <n v="898.93939393939399"/>
    <n v="26253.78787878788"/>
    <s v="Medium"/>
    <x v="0"/>
  </r>
  <r>
    <x v="28"/>
    <x v="3"/>
    <x v="2"/>
    <x v="4"/>
    <x v="2"/>
    <n v="19423.009999999998"/>
    <n v="306439"/>
    <n v="7571"/>
    <n v="197266.22"/>
    <n v="12"/>
    <n v="2.4706385283857473E-2"/>
    <n v="2.5654484216087701"/>
    <n v="63.382957130130301"/>
    <n v="10.156315627701371"/>
    <n v="9.1563156277013711"/>
    <n v="2025"/>
    <s v="April"/>
    <s v="Q2"/>
    <x v="27"/>
    <n v="26.055503896446968"/>
    <n v="0.64373731803066847"/>
    <n v="1618.5841666666665"/>
    <n v="16438.851666666666"/>
    <n v="630.91666666666663"/>
    <n v="25536.583333333332"/>
    <s v="Medium"/>
    <x v="0"/>
  </r>
  <r>
    <x v="15"/>
    <x v="1"/>
    <x v="1"/>
    <x v="3"/>
    <x v="0"/>
    <n v="26965.16"/>
    <n v="733153"/>
    <n v="34549"/>
    <n v="212287.09"/>
    <n v="18"/>
    <n v="4.7123860913069984E-2"/>
    <n v="0.78049031809893199"/>
    <n v="36.779717194091823"/>
    <n v="7.8726434406471162"/>
    <n v="6.8726434406471162"/>
    <n v="2025"/>
    <s v="May"/>
    <s v="Q2"/>
    <x v="28"/>
    <n v="6.1445219832701383"/>
    <n v="0.28955359931692293"/>
    <n v="1498.0644444444445"/>
    <n v="11793.727222222222"/>
    <n v="1919.3888888888889"/>
    <n v="40730.722222222219"/>
    <s v="Medium"/>
    <x v="0"/>
  </r>
  <r>
    <x v="11"/>
    <x v="3"/>
    <x v="1"/>
    <x v="2"/>
    <x v="1"/>
    <n v="3900.13"/>
    <n v="616472"/>
    <n v="6486"/>
    <n v="13939.06"/>
    <n v="60"/>
    <n v="1.0521159111849362E-2"/>
    <n v="0.60131514030218935"/>
    <n v="6.3265322674833566"/>
    <n v="3.5739988154241011"/>
    <n v="2.5739988154241011"/>
    <n v="2025"/>
    <s v="May"/>
    <s v="Q2"/>
    <x v="28"/>
    <n v="2.1490995991366018"/>
    <n v="2.261101882972787E-2"/>
    <n v="65.002166666666668"/>
    <n v="232.31766666666667"/>
    <n v="108.1"/>
    <n v="10274.533333333333"/>
    <s v="Low"/>
    <x v="0"/>
  </r>
  <r>
    <x v="25"/>
    <x v="3"/>
    <x v="1"/>
    <x v="1"/>
    <x v="0"/>
    <n v="569.62"/>
    <n v="997555"/>
    <n v="37531"/>
    <n v="109493.13"/>
    <n v="58"/>
    <n v="3.7622988206164068E-2"/>
    <n v="1.5177320082065493E-2"/>
    <n v="0.57101613444872712"/>
    <n v="192.22135809838139"/>
    <n v="191.22135809838139"/>
    <n v="2025"/>
    <s v="May"/>
    <s v="Q2"/>
    <x v="28"/>
    <n v="2.917405078468466"/>
    <n v="0.10976149685982227"/>
    <n v="9.8210344827586216"/>
    <n v="1887.8125862068966"/>
    <n v="647.08620689655174"/>
    <n v="17199.224137931036"/>
    <s v="Medium"/>
    <x v="0"/>
  </r>
  <r>
    <x v="0"/>
    <x v="3"/>
    <x v="0"/>
    <x v="1"/>
    <x v="2"/>
    <n v="14709.6"/>
    <n v="588043"/>
    <n v="9579"/>
    <n v="98978.57"/>
    <n v="36"/>
    <n v="1.628962507843814E-2"/>
    <n v="1.5356091450046978"/>
    <n v="25.014497239147477"/>
    <n v="6.7288417088160113"/>
    <n v="5.7288417088160113"/>
    <n v="2025"/>
    <s v="May"/>
    <s v="Q2"/>
    <x v="28"/>
    <n v="10.332870863346905"/>
    <n v="0.16831859234783852"/>
    <n v="408.6"/>
    <n v="2749.4047222222225"/>
    <n v="266.08333333333331"/>
    <n v="16334.527777777777"/>
    <s v="Low"/>
    <x v="0"/>
  </r>
  <r>
    <x v="7"/>
    <x v="1"/>
    <x v="3"/>
    <x v="5"/>
    <x v="0"/>
    <n v="26329.759999999998"/>
    <n v="334065"/>
    <n v="11605"/>
    <n v="125156.92"/>
    <n v="57"/>
    <n v="3.4738748447158484E-2"/>
    <n v="2.2688289530374837"/>
    <n v="78.816278269199103"/>
    <n v="4.7534394540626277"/>
    <n v="3.7534394540626277"/>
    <n v="2025"/>
    <s v="May"/>
    <s v="Q2"/>
    <x v="28"/>
    <n v="10.784741059887979"/>
    <n v="0.37464840674718991"/>
    <n v="461.92561403508768"/>
    <n v="2195.7354385964913"/>
    <n v="203.59649122807016"/>
    <n v="5860.7894736842109"/>
    <s v="Medium"/>
    <x v="0"/>
  </r>
  <r>
    <x v="26"/>
    <x v="2"/>
    <x v="4"/>
    <x v="1"/>
    <x v="2"/>
    <n v="16158.8"/>
    <n v="38206"/>
    <n v="41070"/>
    <n v="88607.85"/>
    <n v="29"/>
    <n v="1.0749620478458881"/>
    <n v="0.39344533722912101"/>
    <n v="422.93880542323194"/>
    <n v="5.4835662301656072"/>
    <n v="4.4835662301656072"/>
    <n v="2025"/>
    <s v="May"/>
    <s v="Q2"/>
    <x v="28"/>
    <n v="2.1574835646457271"/>
    <n v="2.3192129508454169"/>
    <n v="557.19999999999993"/>
    <n v="3055.4431034482759"/>
    <n v="1416.2068965517242"/>
    <n v="1317.4482758620691"/>
    <s v="Excellent"/>
    <x v="1"/>
  </r>
  <r>
    <x v="34"/>
    <x v="1"/>
    <x v="0"/>
    <x v="2"/>
    <x v="2"/>
    <n v="6791"/>
    <n v="140182"/>
    <n v="35139"/>
    <n v="186654.39"/>
    <n v="7"/>
    <n v="0.25066699005578463"/>
    <n v="0.19326104897692023"/>
    <n v="48.444165442068169"/>
    <n v="27.485552937711681"/>
    <n v="26.485552937711681"/>
    <n v="2025"/>
    <s v="May"/>
    <s v="Q2"/>
    <x v="28"/>
    <n v="5.3118867924528308"/>
    <n v="1.3315146737812273"/>
    <n v="970.14285714285711"/>
    <n v="26664.912857142859"/>
    <n v="5019.8571428571431"/>
    <n v="20026"/>
    <s v="Excellent"/>
    <x v="0"/>
  </r>
  <r>
    <x v="27"/>
    <x v="2"/>
    <x v="4"/>
    <x v="2"/>
    <x v="1"/>
    <n v="37783.93"/>
    <n v="734233"/>
    <n v="44113"/>
    <n v="63720.58"/>
    <n v="53"/>
    <n v="6.0080383202607349E-2"/>
    <n v="0.85652596740189968"/>
    <n v="51.460408344490105"/>
    <n v="1.686446592506391"/>
    <n v="0.68644659250639095"/>
    <n v="2025"/>
    <s v="May"/>
    <s v="Q2"/>
    <x v="28"/>
    <n v="1.4444852991181738"/>
    <n v="8.6785230301552774E-2"/>
    <n v="712.90433962264149"/>
    <n v="1202.2750943396227"/>
    <n v="832.32075471698113"/>
    <n v="13853.452830188678"/>
    <s v="Good"/>
    <x v="0"/>
  </r>
  <r>
    <x v="50"/>
    <x v="3"/>
    <x v="4"/>
    <x v="1"/>
    <x v="1"/>
    <n v="20320.740000000002"/>
    <n v="471607"/>
    <n v="22037"/>
    <n v="110500.97"/>
    <n v="45"/>
    <n v="4.672746587730886E-2"/>
    <n v="0.92211916322548448"/>
    <n v="43.088291734431429"/>
    <n v="5.437841830563257"/>
    <n v="4.4378418305632561"/>
    <n v="2025"/>
    <s v="May"/>
    <s v="Q2"/>
    <x v="28"/>
    <n v="5.014338158551527"/>
    <n v="0.23430731520100423"/>
    <n v="451.57200000000006"/>
    <n v="2455.5771111111112"/>
    <n v="489.71111111111111"/>
    <n v="10480.155555555555"/>
    <s v="Medium"/>
    <x v="0"/>
  </r>
  <r>
    <x v="29"/>
    <x v="3"/>
    <x v="3"/>
    <x v="1"/>
    <x v="2"/>
    <n v="3653.26"/>
    <n v="823331"/>
    <n v="25817"/>
    <n v="22489.25"/>
    <n v="54"/>
    <n v="3.1356769027280643E-2"/>
    <n v="0.14150598442886472"/>
    <n v="4.4371704697138821"/>
    <n v="6.1559401739815938"/>
    <n v="5.1559401739815938"/>
    <n v="2025"/>
    <s v="May"/>
    <s v="Q2"/>
    <x v="28"/>
    <n v="0.87110237440446214"/>
    <n v="2.7314955953316466E-2"/>
    <n v="67.652962962962974"/>
    <n v="416.46759259259261"/>
    <n v="478.09259259259261"/>
    <n v="15246.87037037037"/>
    <s v="Medium"/>
    <x v="0"/>
  </r>
  <r>
    <x v="3"/>
    <x v="0"/>
    <x v="3"/>
    <x v="0"/>
    <x v="2"/>
    <n v="714.77"/>
    <n v="345209"/>
    <n v="30314"/>
    <n v="220187.73"/>
    <n v="22"/>
    <n v="8.7813469521362417E-2"/>
    <n v="2.3578874447450021E-2"/>
    <n v="2.0705427726391838"/>
    <n v="308.05396141416122"/>
    <n v="307.05396141416122"/>
    <n v="2025"/>
    <s v="May"/>
    <s v="Q2"/>
    <x v="28"/>
    <n v="7.2635656792241212"/>
    <n v="0.63783890338896154"/>
    <n v="32.489545454545457"/>
    <n v="10008.533181818182"/>
    <n v="1377.909090909091"/>
    <n v="15691.318181818182"/>
    <s v="Good"/>
    <x v="0"/>
  </r>
  <r>
    <x v="3"/>
    <x v="0"/>
    <x v="2"/>
    <x v="4"/>
    <x v="1"/>
    <n v="44427.44"/>
    <n v="199934"/>
    <n v="19353"/>
    <n v="28912.75"/>
    <n v="16"/>
    <n v="9.6796942991187088E-2"/>
    <n v="2.2956358187361134"/>
    <n v="222.21052947472666"/>
    <n v="0.6507858656722062"/>
    <n v="-0.34921413432779386"/>
    <n v="2025"/>
    <s v="May"/>
    <s v="Q2"/>
    <x v="28"/>
    <n v="1.4939673435643053"/>
    <n v="0.14461147178568928"/>
    <n v="2776.7150000000001"/>
    <n v="1807.046875"/>
    <n v="1209.5625"/>
    <n v="12495.875"/>
    <s v="Good"/>
    <x v="0"/>
  </r>
  <r>
    <x v="34"/>
    <x v="3"/>
    <x v="2"/>
    <x v="3"/>
    <x v="1"/>
    <n v="24030.75"/>
    <n v="159282"/>
    <n v="24564"/>
    <n v="137407.74"/>
    <n v="46"/>
    <n v="0.15421704900742081"/>
    <n v="0.97829140205178311"/>
    <n v="150.86921309375825"/>
    <n v="5.7179963172185637"/>
    <n v="4.7179963172185637"/>
    <n v="2025"/>
    <s v="May"/>
    <s v="Q2"/>
    <x v="28"/>
    <n v="5.5938666340986805"/>
    <n v="0.86266960485177224"/>
    <n v="522.40760869565213"/>
    <n v="2987.1247826086956"/>
    <n v="534"/>
    <n v="3462.6521739130435"/>
    <s v="Excellent"/>
    <x v="0"/>
  </r>
  <r>
    <x v="41"/>
    <x v="2"/>
    <x v="0"/>
    <x v="5"/>
    <x v="2"/>
    <n v="29680.39"/>
    <n v="775179"/>
    <n v="30208"/>
    <n v="136375.88"/>
    <n v="28"/>
    <n v="3.8969063919430225E-2"/>
    <n v="0.98253409692796612"/>
    <n v="38.288434026205564"/>
    <n v="4.5948142864699557"/>
    <n v="3.5948142864699557"/>
    <n v="2025"/>
    <s v="May"/>
    <s v="Q2"/>
    <x v="28"/>
    <n v="4.5145617055084744"/>
    <n v="0.17592824367017168"/>
    <n v="1060.0139285714286"/>
    <n v="4870.5671428571432"/>
    <n v="1078.8571428571429"/>
    <n v="27684.964285714286"/>
    <s v="Medium"/>
    <x v="0"/>
  </r>
  <r>
    <x v="21"/>
    <x v="1"/>
    <x v="4"/>
    <x v="4"/>
    <x v="0"/>
    <n v="18594.650000000001"/>
    <n v="682875"/>
    <n v="42009"/>
    <n v="151300.76"/>
    <n v="58"/>
    <n v="6.1517847336628226E-2"/>
    <n v="0.44263491156656909"/>
    <n v="27.229946915614136"/>
    <n v="8.1367898831115397"/>
    <n v="7.1367898831115406"/>
    <n v="2025"/>
    <s v="May"/>
    <s v="Q2"/>
    <x v="28"/>
    <n v="3.6016272703468308"/>
    <n v="0.22156435658063336"/>
    <n v="320.5974137931035"/>
    <n v="2608.6337931034486"/>
    <n v="724.29310344827582"/>
    <n v="11773.706896551725"/>
    <s v="Good"/>
    <x v="0"/>
  </r>
  <r>
    <x v="50"/>
    <x v="2"/>
    <x v="0"/>
    <x v="1"/>
    <x v="0"/>
    <n v="453.3"/>
    <n v="161195"/>
    <n v="49399"/>
    <n v="206069.23"/>
    <n v="26"/>
    <n v="0.30645491485467913"/>
    <n v="9.1762991153667081E-3"/>
    <n v="2.8121219640807715"/>
    <n v="454.59790425766602"/>
    <n v="453.59790425766602"/>
    <n v="2025"/>
    <s v="May"/>
    <s v="Q2"/>
    <x v="28"/>
    <n v="4.1715263466871804"/>
    <n v="1.2783847513880704"/>
    <n v="17.434615384615384"/>
    <n v="7925.7396153846157"/>
    <n v="1899.9615384615386"/>
    <n v="6199.8076923076924"/>
    <s v="Excellent"/>
    <x v="0"/>
  </r>
  <r>
    <x v="26"/>
    <x v="2"/>
    <x v="0"/>
    <x v="3"/>
    <x v="0"/>
    <n v="11765.64"/>
    <n v="324186"/>
    <n v="27539"/>
    <n v="85511.67"/>
    <n v="43"/>
    <n v="8.4948147051384079E-2"/>
    <n v="0.42723555684665382"/>
    <n v="36.292868908589512"/>
    <n v="7.2679148775587219"/>
    <n v="6.2679148775587219"/>
    <n v="2025"/>
    <s v="May"/>
    <s v="Q2"/>
    <x v="28"/>
    <n v="3.1051116598278803"/>
    <n v="0.26377348189002608"/>
    <n v="273.61953488372092"/>
    <n v="1988.6434883720931"/>
    <n v="640.44186046511629"/>
    <n v="7539.2093023255811"/>
    <s v="Good"/>
    <x v="0"/>
  </r>
  <r>
    <x v="56"/>
    <x v="1"/>
    <x v="2"/>
    <x v="4"/>
    <x v="1"/>
    <n v="4320.8999999999996"/>
    <n v="525530"/>
    <n v="21113"/>
    <n v="64018.5"/>
    <n v="37"/>
    <n v="4.0174680798432061E-2"/>
    <n v="0.20465589920901811"/>
    <n v="8.2219854242383867"/>
    <n v="14.816010553356941"/>
    <n v="13.816010553356941"/>
    <n v="2025"/>
    <s v="May"/>
    <s v="Q2"/>
    <x v="28"/>
    <n v="3.0321839624875668"/>
    <n v="0.12181702281506289"/>
    <n v="116.78108108108107"/>
    <n v="1730.2297297297298"/>
    <n v="570.62162162162167"/>
    <n v="14203.513513513513"/>
    <s v="Medium"/>
    <x v="0"/>
  </r>
  <r>
    <x v="59"/>
    <x v="2"/>
    <x v="0"/>
    <x v="1"/>
    <x v="2"/>
    <n v="10636.19"/>
    <n v="588381"/>
    <n v="25074"/>
    <n v="33052.769999999997"/>
    <n v="32"/>
    <n v="4.2615244204010666E-2"/>
    <n v="0.42419199170455452"/>
    <n v="18.07704531587526"/>
    <n v="3.1075761151314518"/>
    <n v="2.1075761151314514"/>
    <n v="2025"/>
    <s v="May"/>
    <s v="Q2"/>
    <x v="28"/>
    <n v="1.3182089016511125"/>
    <n v="5.6175794255762843E-2"/>
    <n v="332.38093750000002"/>
    <n v="1032.8990624999999"/>
    <n v="783.5625"/>
    <n v="18386.90625"/>
    <s v="Medium"/>
    <x v="0"/>
  </r>
  <r>
    <x v="50"/>
    <x v="1"/>
    <x v="4"/>
    <x v="4"/>
    <x v="1"/>
    <n v="3294.68"/>
    <n v="147509"/>
    <n v="37841"/>
    <n v="173072.92"/>
    <n v="31"/>
    <n v="0.25653349965086875"/>
    <n v="8.7066409450067384E-2"/>
    <n v="22.33545071826126"/>
    <n v="52.531025774885578"/>
    <n v="51.531025774885585"/>
    <n v="2025"/>
    <s v="May"/>
    <s v="Q2"/>
    <x v="28"/>
    <n v="4.5736877989482307"/>
    <n v="1.1733041373746687"/>
    <n v="106.28"/>
    <n v="5582.9974193548387"/>
    <n v="1220.6774193548388"/>
    <n v="4758.3548387096771"/>
    <s v="Excellent"/>
    <x v="0"/>
  </r>
  <r>
    <x v="39"/>
    <x v="2"/>
    <x v="2"/>
    <x v="5"/>
    <x v="2"/>
    <n v="9682.94"/>
    <n v="298946"/>
    <n v="44704"/>
    <n v="102376.27"/>
    <n v="40"/>
    <n v="0.14953871267720592"/>
    <n v="0.21660119899785255"/>
    <n v="32.390264462478179"/>
    <n v="10.572849774965041"/>
    <n v="9.5728497749650412"/>
    <n v="2025"/>
    <s v="May"/>
    <s v="Q2"/>
    <x v="28"/>
    <n v="2.2900919380816034"/>
    <n v="0.34245740033317057"/>
    <n v="242.07350000000002"/>
    <n v="2559.4067500000001"/>
    <n v="1117.5999999999999"/>
    <n v="7473.65"/>
    <s v="Excellent"/>
    <x v="0"/>
  </r>
  <r>
    <x v="30"/>
    <x v="0"/>
    <x v="0"/>
    <x v="2"/>
    <x v="2"/>
    <n v="7511.17"/>
    <n v="394546"/>
    <n v="33685"/>
    <n v="211984.73"/>
    <n v="45"/>
    <n v="8.5376610078419249E-2"/>
    <n v="0.22298263321953393"/>
    <n v="19.037501330643323"/>
    <n v="28.222597810993495"/>
    <n v="27.222597810993491"/>
    <n v="2025"/>
    <s v="May"/>
    <s v="Q2"/>
    <x v="28"/>
    <n v="6.2931491761911831"/>
    <n v="0.53728774338099994"/>
    <n v="166.9148888888889"/>
    <n v="4710.771777777778"/>
    <n v="748.55555555555554"/>
    <n v="8767.6888888888898"/>
    <s v="Good"/>
    <x v="0"/>
  </r>
  <r>
    <x v="34"/>
    <x v="1"/>
    <x v="2"/>
    <x v="3"/>
    <x v="2"/>
    <n v="13407.45"/>
    <n v="864602"/>
    <n v="43304"/>
    <n v="228532.21"/>
    <n v="37"/>
    <n v="5.008547285340538E-2"/>
    <n v="0.30961227600221691"/>
    <n v="15.507077244790089"/>
    <n v="17.045165933865125"/>
    <n v="16.045165933865125"/>
    <n v="2025"/>
    <s v="May"/>
    <s v="Q2"/>
    <x v="28"/>
    <n v="5.2773926196194347"/>
    <n v="0.2643207047867111"/>
    <n v="362.36351351351351"/>
    <n v="6176.5462162162157"/>
    <n v="1170.3783783783783"/>
    <n v="23367.62162162162"/>
    <s v="Good"/>
    <x v="0"/>
  </r>
  <r>
    <x v="22"/>
    <x v="2"/>
    <x v="0"/>
    <x v="3"/>
    <x v="0"/>
    <n v="29148.240000000002"/>
    <n v="22964"/>
    <n v="46002"/>
    <n v="157649.19"/>
    <n v="23"/>
    <n v="2.0032224351158336"/>
    <n v="0.63362984218077478"/>
    <n v="1269.301515415433"/>
    <n v="5.4085320417287628"/>
    <n v="4.4085320417287628"/>
    <n v="2025"/>
    <s v="May"/>
    <s v="Q2"/>
    <x v="28"/>
    <n v="3.4270073040302598"/>
    <n v="6.8650579167392438"/>
    <n v="1267.3147826086956"/>
    <n v="6854.3126086956527"/>
    <n v="2000.0869565217392"/>
    <n v="998.43478260869563"/>
    <s v="Excellent"/>
    <x v="1"/>
  </r>
  <r>
    <x v="11"/>
    <x v="1"/>
    <x v="3"/>
    <x v="2"/>
    <x v="0"/>
    <n v="18487.61"/>
    <n v="661194"/>
    <n v="4047"/>
    <n v="154359.57"/>
    <n v="43"/>
    <n v="6.12074519732484E-3"/>
    <n v="4.5682258463059053"/>
    <n v="27.960946409072076"/>
    <n v="8.349352350033346"/>
    <n v="7.3493523500333477"/>
    <n v="2025"/>
    <s v="May"/>
    <s v="Q2"/>
    <x v="28"/>
    <n v="38.14172720533729"/>
    <n v="0.23345579360974239"/>
    <n v="429.94441860465116"/>
    <n v="3589.7574418604654"/>
    <n v="94.116279069767444"/>
    <n v="15376.60465116279"/>
    <s v="Low"/>
    <x v="0"/>
  </r>
  <r>
    <x v="8"/>
    <x v="0"/>
    <x v="0"/>
    <x v="3"/>
    <x v="2"/>
    <n v="34927.42"/>
    <n v="932188"/>
    <n v="42333"/>
    <n v="104540.76"/>
    <n v="16"/>
    <n v="4.5412513355675033E-2"/>
    <n v="0.8250636619185977"/>
    <n v="37.468214566160469"/>
    <n v="2.9930856616377621"/>
    <n v="1.9930856616377619"/>
    <n v="2025"/>
    <s v="May"/>
    <s v="Q2"/>
    <x v="28"/>
    <n v="2.4694862164269007"/>
    <n v="0.11214557578514205"/>
    <n v="2182.9637499999999"/>
    <n v="6533.7974999999997"/>
    <n v="2645.8125"/>
    <n v="58261.75"/>
    <s v="Medium"/>
    <x v="0"/>
  </r>
  <r>
    <x v="30"/>
    <x v="2"/>
    <x v="1"/>
    <x v="3"/>
    <x v="2"/>
    <n v="12586.97"/>
    <n v="746333"/>
    <n v="38776"/>
    <n v="101595.74"/>
    <n v="24"/>
    <n v="5.1955360408825549E-2"/>
    <n v="0.32460723127707858"/>
    <n v="16.865085692311609"/>
    <n v="8.071500925163086"/>
    <n v="7.071500925163086"/>
    <n v="2025"/>
    <s v="May"/>
    <s v="Q2"/>
    <x v="28"/>
    <n v="2.6200675675675678"/>
    <n v="0.13612655476844787"/>
    <n v="524.45708333333334"/>
    <n v="4233.1558333333332"/>
    <n v="1615.6666666666667"/>
    <n v="31097.208333333332"/>
    <s v="Good"/>
    <x v="0"/>
  </r>
  <r>
    <x v="47"/>
    <x v="2"/>
    <x v="0"/>
    <x v="0"/>
    <x v="1"/>
    <n v="7212.15"/>
    <n v="164958"/>
    <n v="25698"/>
    <n v="114440.37"/>
    <n v="15"/>
    <n v="0.15578510893682029"/>
    <n v="0.28065024515526499"/>
    <n v="43.721129014658274"/>
    <n v="15.86771905742393"/>
    <n v="14.867719057423932"/>
    <n v="2025"/>
    <s v="June"/>
    <s v="Q2"/>
    <x v="29"/>
    <n v="4.4532792435208961"/>
    <n v="0.69375459207798351"/>
    <n v="480.81"/>
    <n v="7629.3579999999993"/>
    <n v="1713.2"/>
    <n v="10997.2"/>
    <s v="Excellent"/>
    <x v="0"/>
  </r>
  <r>
    <x v="0"/>
    <x v="3"/>
    <x v="2"/>
    <x v="4"/>
    <x v="2"/>
    <n v="13705.26"/>
    <n v="559249"/>
    <n v="8963"/>
    <n v="110365.75"/>
    <n v="14"/>
    <n v="1.6026850293876252E-2"/>
    <n v="1.5290929376324891"/>
    <n v="24.506543596859359"/>
    <n v="8.0528023547163645"/>
    <n v="7.0528023547163645"/>
    <n v="2025"/>
    <s v="June"/>
    <s v="Q2"/>
    <x v="29"/>
    <n v="12.313483208747071"/>
    <n v="0.1973463519827483"/>
    <n v="978.94714285714292"/>
    <n v="7883.2678571428569"/>
    <n v="640.21428571428567"/>
    <n v="39946.357142857145"/>
    <s v="Low"/>
    <x v="0"/>
  </r>
  <r>
    <x v="3"/>
    <x v="3"/>
    <x v="2"/>
    <x v="5"/>
    <x v="2"/>
    <n v="25001.09"/>
    <n v="990269"/>
    <n v="17952"/>
    <n v="139393.59"/>
    <n v="36"/>
    <n v="1.8128407533710537E-2"/>
    <n v="1.3926632130124776"/>
    <n v="25.246766282696925"/>
    <n v="5.5755005081778437"/>
    <n v="4.5755005081778437"/>
    <n v="2025"/>
    <s v="June"/>
    <s v="Q2"/>
    <x v="29"/>
    <n v="7.7647944518716576"/>
    <n v="0.14076335823902394"/>
    <n v="694.47472222222223"/>
    <n v="3872.0441666666666"/>
    <n v="498.66666666666669"/>
    <n v="27507.472222222223"/>
    <s v="Low"/>
    <x v="0"/>
  </r>
  <r>
    <x v="13"/>
    <x v="1"/>
    <x v="3"/>
    <x v="1"/>
    <x v="1"/>
    <n v="39766.720000000001"/>
    <n v="507126"/>
    <n v="8771"/>
    <n v="163606.03"/>
    <n v="55"/>
    <n v="1.7295504470289436E-2"/>
    <n v="4.5338866719872311"/>
    <n v="78.415857203140845"/>
    <n v="4.1141444403762746"/>
    <n v="3.1141444403762741"/>
    <n v="2025"/>
    <s v="June"/>
    <s v="Q2"/>
    <x v="29"/>
    <n v="18.653064644852353"/>
    <n v="0.32261416294964168"/>
    <n v="723.03127272727272"/>
    <n v="2974.6550909090911"/>
    <n v="159.47272727272727"/>
    <n v="9220.4727272727268"/>
    <s v="Low"/>
    <x v="0"/>
  </r>
  <r>
    <x v="37"/>
    <x v="3"/>
    <x v="4"/>
    <x v="5"/>
    <x v="2"/>
    <n v="14771.41"/>
    <n v="100581"/>
    <n v="36347"/>
    <n v="116902.81"/>
    <n v="24"/>
    <n v="0.36137043775663397"/>
    <n v="0.4063997028640603"/>
    <n v="146.86083852815142"/>
    <n v="7.9141266812037578"/>
    <n v="6.9141266812037578"/>
    <n v="2025"/>
    <s v="June"/>
    <s v="Q2"/>
    <x v="29"/>
    <n v="3.2162987316697387"/>
    <n v="1.1622752806196002"/>
    <n v="615.47541666666666"/>
    <n v="4870.9504166666666"/>
    <n v="1514.4583333333333"/>
    <n v="4190.875"/>
    <s v="Excellent"/>
    <x v="0"/>
  </r>
  <r>
    <x v="50"/>
    <x v="3"/>
    <x v="2"/>
    <x v="2"/>
    <x v="1"/>
    <n v="9339.99"/>
    <n v="640025"/>
    <n v="9452"/>
    <n v="199680.94"/>
    <n v="36"/>
    <n v="1.4768173118237568E-2"/>
    <n v="0.98814959796868385"/>
    <n v="14.593164329518379"/>
    <n v="21.379138521561586"/>
    <n v="20.37913852156159"/>
    <n v="2025"/>
    <s v="June"/>
    <s v="Q2"/>
    <x v="29"/>
    <n v="21.125787134997886"/>
    <n v="0.31198928166868484"/>
    <n v="259.44416666666666"/>
    <n v="5546.6927777777782"/>
    <n v="262.55555555555554"/>
    <n v="17778.472222222223"/>
    <s v="Low"/>
    <x v="0"/>
  </r>
  <r>
    <x v="19"/>
    <x v="1"/>
    <x v="2"/>
    <x v="4"/>
    <x v="2"/>
    <n v="3279.5"/>
    <n v="406077"/>
    <n v="8271"/>
    <n v="72806.740000000005"/>
    <n v="46"/>
    <n v="2.0368058274662194E-2"/>
    <n v="0.3965058638616854"/>
    <n v="8.0760545413800831"/>
    <n v="22.200561061137371"/>
    <n v="21.200561061137371"/>
    <n v="2025"/>
    <s v="June"/>
    <s v="Q2"/>
    <x v="29"/>
    <n v="8.8026526417603677"/>
    <n v="0.17929294197898429"/>
    <n v="71.293478260869563"/>
    <n v="1582.7552173913045"/>
    <n v="179.80434782608697"/>
    <n v="8827.7608695652179"/>
    <s v="Medium"/>
    <x v="0"/>
  </r>
  <r>
    <x v="22"/>
    <x v="0"/>
    <x v="1"/>
    <x v="5"/>
    <x v="0"/>
    <n v="3081.81"/>
    <n v="570383"/>
    <n v="37806"/>
    <n v="64142.61"/>
    <n v="61"/>
    <n v="6.6281779085281295E-2"/>
    <n v="8.151642596413268E-2"/>
    <n v="5.4030537375763306"/>
    <n v="20.813291539712054"/>
    <n v="19.813291539712054"/>
    <n v="2025"/>
    <s v="June"/>
    <s v="Q2"/>
    <x v="29"/>
    <n v="1.6966251388668465"/>
    <n v="0.11245533264490702"/>
    <n v="50.521475409836064"/>
    <n v="1051.5181967213116"/>
    <n v="619.77049180327867"/>
    <n v="9350.5409836065573"/>
    <s v="Good"/>
    <x v="0"/>
  </r>
  <r>
    <x v="23"/>
    <x v="0"/>
    <x v="0"/>
    <x v="5"/>
    <x v="1"/>
    <n v="34253.43"/>
    <n v="325697"/>
    <n v="17890"/>
    <n v="172933.71"/>
    <n v="26"/>
    <n v="5.4928353653856191E-2"/>
    <n v="1.9146690888764673"/>
    <n v="105.16962084391321"/>
    <n v="5.0486538136472756"/>
    <n v="4.0486538136472756"/>
    <n v="2025"/>
    <s v="June"/>
    <s v="Q2"/>
    <x v="29"/>
    <n v="9.6665013974287302"/>
    <n v="0.53096500735346042"/>
    <n v="1317.4396153846153"/>
    <n v="6651.2965384615381"/>
    <n v="688.07692307692309"/>
    <n v="12526.807692307691"/>
    <s v="Good"/>
    <x v="0"/>
  </r>
  <r>
    <x v="33"/>
    <x v="1"/>
    <x v="0"/>
    <x v="0"/>
    <x v="1"/>
    <n v="2797.51"/>
    <n v="271824"/>
    <n v="40640"/>
    <n v="92226.71"/>
    <n v="22"/>
    <n v="0.14950850550356112"/>
    <n v="6.8836368110236232E-2"/>
    <n v="10.291622520454412"/>
    <n v="32.967428177200439"/>
    <n v="31.967428177200439"/>
    <n v="2025"/>
    <s v="June"/>
    <s v="Q2"/>
    <x v="29"/>
    <n v="2.2693580216535434"/>
    <n v="0.33928832626993938"/>
    <n v="127.15954545454547"/>
    <n v="4192.1231818181823"/>
    <n v="1847.2727272727273"/>
    <n v="12355.636363636364"/>
    <s v="Excellent"/>
    <x v="0"/>
  </r>
  <r>
    <x v="2"/>
    <x v="3"/>
    <x v="0"/>
    <x v="3"/>
    <x v="2"/>
    <n v="14355.44"/>
    <n v="489123"/>
    <n v="1105"/>
    <n v="181998.74"/>
    <n v="60"/>
    <n v="2.2591454501219529E-3"/>
    <n v="12.991348416289593"/>
    <n v="29.349345665609675"/>
    <n v="12.678032857230429"/>
    <n v="11.678032857230429"/>
    <n v="2025"/>
    <s v="June"/>
    <s v="Q2"/>
    <x v="29"/>
    <n v="164.70474208144796"/>
    <n v="0.37209196868681294"/>
    <n v="239.25733333333335"/>
    <n v="3033.3123333333333"/>
    <n v="18.416666666666668"/>
    <n v="8152.05"/>
    <s v="Low"/>
    <x v="0"/>
  </r>
  <r>
    <x v="51"/>
    <x v="1"/>
    <x v="3"/>
    <x v="1"/>
    <x v="2"/>
    <n v="3721.59"/>
    <n v="896982"/>
    <n v="33910"/>
    <n v="213535.68"/>
    <n v="29"/>
    <n v="3.7804549032199083E-2"/>
    <n v="0.10974904158065468"/>
    <n v="4.1490130236727154"/>
    <n v="57.377540244895322"/>
    <n v="56.377540244895322"/>
    <n v="2025"/>
    <s v="June"/>
    <s v="Q2"/>
    <x v="29"/>
    <n v="6.2971300501327043"/>
    <n v="0.2380601617423761"/>
    <n v="128.33068965517242"/>
    <n v="7363.2993103448271"/>
    <n v="1169.3103448275863"/>
    <n v="30930.413793103449"/>
    <s v="Medium"/>
    <x v="0"/>
  </r>
  <r>
    <x v="49"/>
    <x v="2"/>
    <x v="2"/>
    <x v="1"/>
    <x v="1"/>
    <n v="4726.9399999999996"/>
    <n v="735443"/>
    <n v="19906"/>
    <n v="127658.47"/>
    <n v="33"/>
    <n v="2.7066679538727E-2"/>
    <n v="0.23746307645935896"/>
    <n v="6.4273369928056958"/>
    <n v="27.006577193702483"/>
    <n v="26.006577193702483"/>
    <n v="2025"/>
    <s v="June"/>
    <s v="Q2"/>
    <x v="29"/>
    <n v="6.4130649050537523"/>
    <n v="0.17358037264614662"/>
    <n v="143.24060606060604"/>
    <n v="3868.4384848484847"/>
    <n v="603.21212121212125"/>
    <n v="22286.151515151516"/>
    <s v="Medium"/>
    <x v="0"/>
  </r>
  <r>
    <x v="12"/>
    <x v="2"/>
    <x v="4"/>
    <x v="1"/>
    <x v="1"/>
    <n v="764.62"/>
    <n v="979047"/>
    <n v="8671"/>
    <n v="199750.04"/>
    <n v="51"/>
    <n v="8.8565717478323314E-3"/>
    <n v="8.8181293968400409E-2"/>
    <n v="0.78098395684783262"/>
    <n v="261.2409301352306"/>
    <n v="260.2409301352306"/>
    <n v="2025"/>
    <s v="June"/>
    <s v="Q2"/>
    <x v="29"/>
    <n v="23.036563256833123"/>
    <n v="0.20402497530762059"/>
    <n v="14.992549019607843"/>
    <n v="3916.6674509803925"/>
    <n v="170.01960784313727"/>
    <n v="19197"/>
    <s v="Low"/>
    <x v="0"/>
  </r>
  <r>
    <x v="44"/>
    <x v="3"/>
    <x v="0"/>
    <x v="1"/>
    <x v="2"/>
    <n v="21087.27"/>
    <n v="872752"/>
    <n v="7466"/>
    <n v="125496.04"/>
    <n v="49"/>
    <n v="8.554549287770179E-3"/>
    <n v="2.8244401285829093"/>
    <n v="24.161812290318441"/>
    <n v="5.9512701264791499"/>
    <n v="4.9512701264791499"/>
    <n v="2025"/>
    <s v="June"/>
    <s v="Q2"/>
    <x v="29"/>
    <n v="16.809006161264399"/>
    <n v="0.14379347168496892"/>
    <n v="430.35244897959183"/>
    <n v="2561.1436734693875"/>
    <n v="152.36734693877551"/>
    <n v="17811.265306122448"/>
    <s v="Low"/>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B6A2B-6E50-413F-ABA0-9F9B910559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0:H15" firstHeaderRow="0" firstDataRow="1" firstDataCol="1" rowPageCount="1" colPageCount="1"/>
  <pivotFields count="30">
    <pivotField showAll="0"/>
    <pivotField axis="axisRow" showAll="0">
      <items count="5">
        <item x="0"/>
        <item x="1"/>
        <item x="3"/>
        <item x="2"/>
        <item t="default"/>
      </items>
    </pivotField>
    <pivotField showAll="0"/>
    <pivotField showAll="0"/>
    <pivotField showAll="0"/>
    <pivotField dataField="1" showAll="0"/>
    <pivotField dataField="1" showAll="0"/>
    <pivotField dataField="1"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5">
    <i>
      <x/>
    </i>
    <i>
      <x v="1"/>
    </i>
    <i>
      <x v="2"/>
    </i>
    <i>
      <x v="3"/>
    </i>
    <i t="grand">
      <x/>
    </i>
  </rowItems>
  <colFields count="1">
    <field x="-2"/>
  </colFields>
  <colItems count="7">
    <i>
      <x/>
    </i>
    <i i="1">
      <x v="1"/>
    </i>
    <i i="2">
      <x v="2"/>
    </i>
    <i i="3">
      <x v="3"/>
    </i>
    <i i="4">
      <x v="4"/>
    </i>
    <i i="5">
      <x v="5"/>
    </i>
    <i i="6">
      <x v="6"/>
    </i>
  </colItems>
  <pageFields count="1">
    <pageField fld="26" item="1" hier="-1"/>
  </pageFields>
  <dataFields count="7">
    <dataField name="Total Spend" fld="5" baseField="1" baseItem="0"/>
    <dataField name="Total Revenue" fld="8" baseField="1" baseItem="0"/>
    <dataField name="Total Impression" fld="6" baseField="1" baseItem="0"/>
    <dataField name="Total Clicks" fld="7" baseField="1" baseItem="0"/>
    <dataField name=" Avg CTR" fld="27" baseField="1" baseItem="0" numFmtId="10"/>
    <dataField name="Avg ROAS" fld="28" subtotal="average" baseField="1" baseItem="0" numFmtId="2"/>
    <dataField name="Avg ROI" fld="29" subtotal="average" baseField="1" baseItem="0" numFmtId="2"/>
  </dataFields>
  <formats count="16">
    <format dxfId="321">
      <pivotArea type="all" dataOnly="0" outline="0" fieldPosition="0"/>
    </format>
    <format dxfId="320">
      <pivotArea outline="0" collapsedLevelsAreSubtotals="1" fieldPosition="0"/>
    </format>
    <format dxfId="319">
      <pivotArea field="1" type="button" dataOnly="0" labelOnly="1" outline="0" axis="axisRow" fieldPosition="0"/>
    </format>
    <format dxfId="318">
      <pivotArea dataOnly="0" labelOnly="1" fieldPosition="0">
        <references count="1">
          <reference field="1" count="0"/>
        </references>
      </pivotArea>
    </format>
    <format dxfId="317">
      <pivotArea dataOnly="0" labelOnly="1" grandRow="1" outline="0" fieldPosition="0"/>
    </format>
    <format dxfId="316">
      <pivotArea dataOnly="0" labelOnly="1" outline="0" fieldPosition="0">
        <references count="1">
          <reference field="4294967294" count="4">
            <x v="0"/>
            <x v="1"/>
            <x v="2"/>
            <x v="3"/>
          </reference>
        </references>
      </pivotArea>
    </format>
    <format dxfId="315">
      <pivotArea type="all" dataOnly="0" outline="0" fieldPosition="0"/>
    </format>
    <format dxfId="314">
      <pivotArea outline="0" collapsedLevelsAreSubtotals="1" fieldPosition="0"/>
    </format>
    <format dxfId="313">
      <pivotArea field="1" type="button" dataOnly="0" labelOnly="1" outline="0" axis="axisRow" fieldPosition="0"/>
    </format>
    <format dxfId="312">
      <pivotArea dataOnly="0" labelOnly="1" fieldPosition="0">
        <references count="1">
          <reference field="1" count="0"/>
        </references>
      </pivotArea>
    </format>
    <format dxfId="311">
      <pivotArea dataOnly="0" labelOnly="1" grandRow="1" outline="0" fieldPosition="0"/>
    </format>
    <format dxfId="310">
      <pivotArea dataOnly="0" labelOnly="1" outline="0" fieldPosition="0">
        <references count="1">
          <reference field="4294967294" count="4">
            <x v="0"/>
            <x v="1"/>
            <x v="2"/>
            <x v="3"/>
          </reference>
        </references>
      </pivotArea>
    </format>
    <format dxfId="309">
      <pivotArea outline="0" collapsedLevelsAreSubtotals="1" fieldPosition="0">
        <references count="1">
          <reference field="4294967294" count="1" selected="0">
            <x v="4"/>
          </reference>
        </references>
      </pivotArea>
    </format>
    <format dxfId="308">
      <pivotArea outline="0" collapsedLevelsAreSubtotals="1" fieldPosition="0">
        <references count="1">
          <reference field="4294967294" count="1" selected="0">
            <x v="5"/>
          </reference>
        </references>
      </pivotArea>
    </format>
    <format dxfId="307">
      <pivotArea outline="0" collapsedLevelsAreSubtotals="1" fieldPosition="0">
        <references count="1">
          <reference field="4294967294" count="1" selected="0">
            <x v="6"/>
          </reference>
        </references>
      </pivotArea>
    </format>
    <format dxfId="306">
      <pivotArea collapsedLevelsAreSubtotals="1" fieldPosition="0">
        <references count="2">
          <reference field="4294967294" count="4" selected="0">
            <x v="0"/>
            <x v="1"/>
            <x v="2"/>
            <x v="3"/>
          </reference>
          <reference field="1" count="0"/>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36712-B781-4B75-BAAF-C72FF4F30A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10:H16" firstHeaderRow="0" firstDataRow="1" firstDataCol="1" rowPageCount="1" colPageCount="1"/>
  <pivotFields count="30">
    <pivotField showAll="0"/>
    <pivotField showAll="0"/>
    <pivotField axis="axisRow" showAll="0">
      <items count="6">
        <item x="3"/>
        <item x="0"/>
        <item x="2"/>
        <item x="1"/>
        <item x="4"/>
        <item t="default"/>
      </items>
    </pivotField>
    <pivotField showAll="0"/>
    <pivotField showAll="0"/>
    <pivotField dataField="1" showAll="0"/>
    <pivotField dataField="1" showAll="0"/>
    <pivotField dataField="1"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6">
    <i>
      <x/>
    </i>
    <i>
      <x v="1"/>
    </i>
    <i>
      <x v="2"/>
    </i>
    <i>
      <x v="3"/>
    </i>
    <i>
      <x v="4"/>
    </i>
    <i t="grand">
      <x/>
    </i>
  </rowItems>
  <colFields count="1">
    <field x="-2"/>
  </colFields>
  <colItems count="7">
    <i>
      <x/>
    </i>
    <i i="1">
      <x v="1"/>
    </i>
    <i i="2">
      <x v="2"/>
    </i>
    <i i="3">
      <x v="3"/>
    </i>
    <i i="4">
      <x v="4"/>
    </i>
    <i i="5">
      <x v="5"/>
    </i>
    <i i="6">
      <x v="6"/>
    </i>
  </colItems>
  <pageFields count="1">
    <pageField fld="26" item="1" hier="-1"/>
  </pageFields>
  <dataFields count="7">
    <dataField name="Total Spend" fld="5" baseField="2" baseItem="0"/>
    <dataField name="Total Revenue" fld="8" baseField="2" baseItem="0"/>
    <dataField name="Total Impressions" fld="6" baseField="2" baseItem="0"/>
    <dataField name="Total Clicks" fld="7" baseField="2" baseItem="0"/>
    <dataField name="Avg CTR " fld="27" subtotal="average" baseField="2" baseItem="0" numFmtId="10"/>
    <dataField name="Avg ROAS" fld="28" baseField="2" baseItem="0" numFmtId="2"/>
    <dataField name="Avg ROI" fld="29" subtotal="average" baseField="2" baseItem="0" numFmtId="2"/>
  </dataFields>
  <formats count="14">
    <format dxfId="305">
      <pivotArea type="all" dataOnly="0" outline="0" fieldPosition="0"/>
    </format>
    <format dxfId="304">
      <pivotArea outline="0" collapsedLevelsAreSubtotals="1" fieldPosition="0"/>
    </format>
    <format dxfId="303">
      <pivotArea field="2" type="button" dataOnly="0" labelOnly="1" outline="0" axis="axisRow" fieldPosition="0"/>
    </format>
    <format dxfId="302">
      <pivotArea dataOnly="0" labelOnly="1" fieldPosition="0">
        <references count="1">
          <reference field="2" count="0"/>
        </references>
      </pivotArea>
    </format>
    <format dxfId="301">
      <pivotArea dataOnly="0" labelOnly="1" grandRow="1" outline="0" fieldPosition="0"/>
    </format>
    <format dxfId="300">
      <pivotArea dataOnly="0" labelOnly="1" outline="0" fieldPosition="0">
        <references count="1">
          <reference field="4294967294" count="4">
            <x v="0"/>
            <x v="1"/>
            <x v="2"/>
            <x v="3"/>
          </reference>
        </references>
      </pivotArea>
    </format>
    <format dxfId="299">
      <pivotArea type="all" dataOnly="0" outline="0" fieldPosition="0"/>
    </format>
    <format dxfId="298">
      <pivotArea outline="0" collapsedLevelsAreSubtotals="1" fieldPosition="0"/>
    </format>
    <format dxfId="297">
      <pivotArea field="2" type="button" dataOnly="0" labelOnly="1" outline="0" axis="axisRow" fieldPosition="0"/>
    </format>
    <format dxfId="296">
      <pivotArea dataOnly="0" labelOnly="1" fieldPosition="0">
        <references count="1">
          <reference field="2" count="0"/>
        </references>
      </pivotArea>
    </format>
    <format dxfId="295">
      <pivotArea dataOnly="0" labelOnly="1" grandRow="1" outline="0" fieldPosition="0"/>
    </format>
    <format dxfId="294">
      <pivotArea dataOnly="0" labelOnly="1" outline="0" fieldPosition="0">
        <references count="1">
          <reference field="4294967294" count="4">
            <x v="0"/>
            <x v="1"/>
            <x v="2"/>
            <x v="3"/>
          </reference>
        </references>
      </pivotArea>
    </format>
    <format dxfId="293">
      <pivotArea outline="0" collapsedLevelsAreSubtotals="1" fieldPosition="0">
        <references count="1">
          <reference field="4294967294" count="2" selected="0">
            <x v="5"/>
            <x v="6"/>
          </reference>
        </references>
      </pivotArea>
    </format>
    <format dxfId="29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B7E77-49AE-4B02-AF80-79DC4404CB9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0:H17" firstHeaderRow="0" firstDataRow="1" firstDataCol="1" rowPageCount="1" colPageCount="1"/>
  <pivotFields count="30">
    <pivotField showAll="0"/>
    <pivotField showAll="0"/>
    <pivotField showAll="0"/>
    <pivotField axis="axisRow" showAll="0">
      <items count="7">
        <item x="3"/>
        <item x="4"/>
        <item x="5"/>
        <item x="0"/>
        <item x="1"/>
        <item x="2"/>
        <item t="default"/>
      </items>
    </pivotField>
    <pivotField showAll="0"/>
    <pivotField dataField="1" showAll="0"/>
    <pivotField dataField="1" showAll="0"/>
    <pivotField dataField="1"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7">
    <i>
      <x/>
    </i>
    <i>
      <x v="1"/>
    </i>
    <i>
      <x v="2"/>
    </i>
    <i>
      <x v="3"/>
    </i>
    <i>
      <x v="4"/>
    </i>
    <i>
      <x v="5"/>
    </i>
    <i t="grand">
      <x/>
    </i>
  </rowItems>
  <colFields count="1">
    <field x="-2"/>
  </colFields>
  <colItems count="7">
    <i>
      <x/>
    </i>
    <i i="1">
      <x v="1"/>
    </i>
    <i i="2">
      <x v="2"/>
    </i>
    <i i="3">
      <x v="3"/>
    </i>
    <i i="4">
      <x v="4"/>
    </i>
    <i i="5">
      <x v="5"/>
    </i>
    <i i="6">
      <x v="6"/>
    </i>
  </colItems>
  <pageFields count="1">
    <pageField fld="26" item="1" hier="-1"/>
  </pageFields>
  <dataFields count="7">
    <dataField name="Total Spend" fld="5" baseField="3" baseItem="0"/>
    <dataField name="Total Revenue" fld="8" baseField="3" baseItem="0"/>
    <dataField name="Total Impressions" fld="6" baseField="3" baseItem="0"/>
    <dataField name="Total Clicks" fld="7" baseField="3" baseItem="0"/>
    <dataField name="Avg CTR  " fld="27" subtotal="average" baseField="3" baseItem="0" numFmtId="10"/>
    <dataField name="Avg ROAS" fld="28" subtotal="average" baseField="3" baseItem="0" numFmtId="2"/>
    <dataField name="Avg ROI" fld="29" subtotal="average" baseField="3" baseItem="0" numFmtId="2"/>
  </dataFields>
  <formats count="14">
    <format dxfId="291">
      <pivotArea type="all" dataOnly="0" outline="0" fieldPosition="0"/>
    </format>
    <format dxfId="290">
      <pivotArea outline="0" collapsedLevelsAreSubtotals="1" fieldPosition="0"/>
    </format>
    <format dxfId="289">
      <pivotArea field="3" type="button" dataOnly="0" labelOnly="1" outline="0" axis="axisRow" fieldPosition="0"/>
    </format>
    <format dxfId="288">
      <pivotArea dataOnly="0" labelOnly="1" fieldPosition="0">
        <references count="1">
          <reference field="3" count="0"/>
        </references>
      </pivotArea>
    </format>
    <format dxfId="287">
      <pivotArea dataOnly="0" labelOnly="1" grandRow="1" outline="0" fieldPosition="0"/>
    </format>
    <format dxfId="286">
      <pivotArea dataOnly="0" labelOnly="1" outline="0" fieldPosition="0">
        <references count="1">
          <reference field="4294967294" count="4">
            <x v="0"/>
            <x v="1"/>
            <x v="2"/>
            <x v="3"/>
          </reference>
        </references>
      </pivotArea>
    </format>
    <format dxfId="285">
      <pivotArea type="all" dataOnly="0" outline="0" fieldPosition="0"/>
    </format>
    <format dxfId="284">
      <pivotArea outline="0" collapsedLevelsAreSubtotals="1" fieldPosition="0"/>
    </format>
    <format dxfId="283">
      <pivotArea field="3" type="button" dataOnly="0" labelOnly="1" outline="0" axis="axisRow" fieldPosition="0"/>
    </format>
    <format dxfId="282">
      <pivotArea dataOnly="0" labelOnly="1" fieldPosition="0">
        <references count="1">
          <reference field="3" count="0"/>
        </references>
      </pivotArea>
    </format>
    <format dxfId="281">
      <pivotArea dataOnly="0" labelOnly="1" grandRow="1" outline="0" fieldPosition="0"/>
    </format>
    <format dxfId="280">
      <pivotArea dataOnly="0" labelOnly="1" outline="0" fieldPosition="0">
        <references count="1">
          <reference field="4294967294" count="4">
            <x v="0"/>
            <x v="1"/>
            <x v="2"/>
            <x v="3"/>
          </reference>
        </references>
      </pivotArea>
    </format>
    <format dxfId="279">
      <pivotArea outline="0" collapsedLevelsAreSubtotals="1" fieldPosition="0">
        <references count="1">
          <reference field="4294967294" count="2" selected="0">
            <x v="5"/>
            <x v="6"/>
          </reference>
        </references>
      </pivotArea>
    </format>
    <format dxfId="278">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96D441-0486-409D-B5FA-B378EF91AE1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10:H14" firstHeaderRow="0" firstDataRow="1" firstDataCol="1" rowPageCount="1" colPageCount="1"/>
  <pivotFields count="30">
    <pivotField showAll="0"/>
    <pivotField showAll="0"/>
    <pivotField showAll="0"/>
    <pivotField showAll="0"/>
    <pivotField axis="axisRow" showAll="0">
      <items count="4">
        <item x="2"/>
        <item x="0"/>
        <item x="1"/>
        <item t="default"/>
      </items>
    </pivotField>
    <pivotField dataField="1" showAll="0"/>
    <pivotField dataField="1" showAll="0"/>
    <pivotField dataField="1"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4">
    <i>
      <x/>
    </i>
    <i>
      <x v="1"/>
    </i>
    <i>
      <x v="2"/>
    </i>
    <i t="grand">
      <x/>
    </i>
  </rowItems>
  <colFields count="1">
    <field x="-2"/>
  </colFields>
  <colItems count="7">
    <i>
      <x/>
    </i>
    <i i="1">
      <x v="1"/>
    </i>
    <i i="2">
      <x v="2"/>
    </i>
    <i i="3">
      <x v="3"/>
    </i>
    <i i="4">
      <x v="4"/>
    </i>
    <i i="5">
      <x v="5"/>
    </i>
    <i i="6">
      <x v="6"/>
    </i>
  </colItems>
  <pageFields count="1">
    <pageField fld="26" item="1" hier="-1"/>
  </pageFields>
  <dataFields count="7">
    <dataField name="Total Spend" fld="5" baseField="4" baseItem="0"/>
    <dataField name="Total Revenue" fld="8" baseField="4" baseItem="0"/>
    <dataField name="Total Impressions" fld="6" baseField="4" baseItem="0"/>
    <dataField name="Total Clicks" fld="7" baseField="4" baseItem="0"/>
    <dataField name="Avg CTR   " fld="27" subtotal="average" baseField="4" baseItem="0" numFmtId="10"/>
    <dataField name="Avg ROAS" fld="28" subtotal="average" baseField="4" baseItem="0" numFmtId="2"/>
    <dataField name="Avg ROI" fld="29" subtotal="average" baseField="4" baseItem="0" numFmtId="2"/>
  </dataFields>
  <formats count="15">
    <format dxfId="277">
      <pivotArea type="all" dataOnly="0" outline="0" fieldPosition="0"/>
    </format>
    <format dxfId="276">
      <pivotArea outline="0" collapsedLevelsAreSubtotals="1" fieldPosition="0"/>
    </format>
    <format dxfId="275">
      <pivotArea field="4" type="button" dataOnly="0" labelOnly="1" outline="0" axis="axisRow" fieldPosition="0"/>
    </format>
    <format dxfId="274">
      <pivotArea dataOnly="0" labelOnly="1" fieldPosition="0">
        <references count="1">
          <reference field="4" count="0"/>
        </references>
      </pivotArea>
    </format>
    <format dxfId="273">
      <pivotArea dataOnly="0" labelOnly="1" grandRow="1" outline="0" fieldPosition="0"/>
    </format>
    <format dxfId="272">
      <pivotArea dataOnly="0" labelOnly="1" outline="0" fieldPosition="0">
        <references count="1">
          <reference field="4294967294" count="4">
            <x v="0"/>
            <x v="1"/>
            <x v="2"/>
            <x v="3"/>
          </reference>
        </references>
      </pivotArea>
    </format>
    <format dxfId="271">
      <pivotArea type="all" dataOnly="0" outline="0" fieldPosition="0"/>
    </format>
    <format dxfId="270">
      <pivotArea outline="0" collapsedLevelsAreSubtotals="1" fieldPosition="0"/>
    </format>
    <format dxfId="269">
      <pivotArea field="4" type="button" dataOnly="0" labelOnly="1" outline="0" axis="axisRow" fieldPosition="0"/>
    </format>
    <format dxfId="268">
      <pivotArea dataOnly="0" labelOnly="1" fieldPosition="0">
        <references count="1">
          <reference field="4" count="0"/>
        </references>
      </pivotArea>
    </format>
    <format dxfId="267">
      <pivotArea dataOnly="0" labelOnly="1" grandRow="1" outline="0" fieldPosition="0"/>
    </format>
    <format dxfId="266">
      <pivotArea dataOnly="0" labelOnly="1" outline="0" fieldPosition="0">
        <references count="1">
          <reference field="4294967294" count="4">
            <x v="0"/>
            <x v="1"/>
            <x v="2"/>
            <x v="3"/>
          </reference>
        </references>
      </pivotArea>
    </format>
    <format dxfId="265">
      <pivotArea outline="0" collapsedLevelsAreSubtotals="1" fieldPosition="0">
        <references count="1">
          <reference field="4294967294" count="1" selected="0">
            <x v="4"/>
          </reference>
        </references>
      </pivotArea>
    </format>
    <format dxfId="264">
      <pivotArea outline="0" collapsedLevelsAreSubtotals="1" fieldPosition="0">
        <references count="1">
          <reference field="4294967294" count="1" selected="0">
            <x v="5"/>
          </reference>
        </references>
      </pivotArea>
    </format>
    <format dxfId="263">
      <pivotArea outline="0" collapsedLevelsAreSubtotals="1" fieldPosition="0">
        <references count="1">
          <reference field="429496729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B83F9-036E-4DE5-8B8C-58F2741D1F18}"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location ref="A10:F71" firstHeaderRow="0" firstDataRow="1" firstDataCol="1" rowPageCount="1" colPageCount="1"/>
  <pivotFields count="30">
    <pivotField axis="axisRow"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showAll="0"/>
    <pivotField showAll="0"/>
    <pivotField showAll="0"/>
    <pivotField dataField="1"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5">
    <i>
      <x/>
    </i>
    <i i="1">
      <x v="1"/>
    </i>
    <i i="2">
      <x v="2"/>
    </i>
    <i i="3">
      <x v="3"/>
    </i>
    <i i="4">
      <x v="4"/>
    </i>
  </colItems>
  <pageFields count="1">
    <pageField fld="26" item="1" hier="-1"/>
  </pageFields>
  <dataFields count="5">
    <dataField name="Total Spend" fld="5" baseField="0" baseItem="0"/>
    <dataField name="Total Revenue" fld="8" baseField="0" baseItem="0"/>
    <dataField name="  Avg CTR" fld="27" subtotal="average" baseField="0" baseItem="0" numFmtId="10"/>
    <dataField name="Avg ROAS" fld="28" subtotal="average" baseField="0" baseItem="0" numFmtId="2"/>
    <dataField name="Avg ROI" fld="29" subtotal="average" baseField="0" baseItem="0" numFmtId="2"/>
  </dataFields>
  <formats count="16">
    <format dxfId="262">
      <pivotArea type="all" dataOnly="0" outline="0" fieldPosition="0"/>
    </format>
    <format dxfId="261">
      <pivotArea outline="0" collapsedLevelsAreSubtotals="1" fieldPosition="0"/>
    </format>
    <format dxfId="260">
      <pivotArea field="0" type="button" dataOnly="0" labelOnly="1" outline="0" axis="axisRow" fieldPosition="0"/>
    </format>
    <format dxfId="25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8">
      <pivotArea dataOnly="0" labelOnly="1" fieldPosition="0">
        <references count="1">
          <reference field="0" count="10">
            <x v="50"/>
            <x v="51"/>
            <x v="52"/>
            <x v="53"/>
            <x v="54"/>
            <x v="55"/>
            <x v="56"/>
            <x v="57"/>
            <x v="58"/>
            <x v="59"/>
          </reference>
        </references>
      </pivotArea>
    </format>
    <format dxfId="257">
      <pivotArea dataOnly="0" labelOnly="1" grandRow="1" outline="0" fieldPosition="0"/>
    </format>
    <format dxfId="256">
      <pivotArea dataOnly="0" labelOnly="1" outline="0" fieldPosition="0">
        <references count="1">
          <reference field="4294967294" count="2">
            <x v="0"/>
            <x v="1"/>
          </reference>
        </references>
      </pivotArea>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1">
      <pivotArea dataOnly="0" labelOnly="1" fieldPosition="0">
        <references count="1">
          <reference field="0" count="10">
            <x v="50"/>
            <x v="51"/>
            <x v="52"/>
            <x v="53"/>
            <x v="54"/>
            <x v="55"/>
            <x v="56"/>
            <x v="57"/>
            <x v="58"/>
            <x v="59"/>
          </reference>
        </references>
      </pivotArea>
    </format>
    <format dxfId="250">
      <pivotArea dataOnly="0" labelOnly="1" grandRow="1" outline="0" fieldPosition="0"/>
    </format>
    <format dxfId="249">
      <pivotArea dataOnly="0" labelOnly="1" outline="0" fieldPosition="0">
        <references count="1">
          <reference field="4294967294" count="2">
            <x v="0"/>
            <x v="1"/>
          </reference>
        </references>
      </pivotArea>
    </format>
    <format dxfId="248">
      <pivotArea outline="0" collapsedLevelsAreSubtotals="1" fieldPosition="0">
        <references count="1">
          <reference field="4294967294" count="1" selected="0">
            <x v="2"/>
          </reference>
        </references>
      </pivotArea>
    </format>
    <format dxfId="247">
      <pivotArea outline="0" collapsedLevelsAreSubtotals="1" fieldPosition="0">
        <references count="1">
          <reference field="4294967294"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32461D-FAD5-4E95-8E54-F6E7C2426C07}"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Year">
  <location ref="A10:F41" firstHeaderRow="0" firstDataRow="1" firstDataCol="1" rowPageCount="1" colPageCount="1"/>
  <pivotFields count="30">
    <pivotField showAll="0"/>
    <pivotField showAll="0"/>
    <pivotField showAll="0"/>
    <pivotField showAll="0"/>
    <pivotField showAll="0"/>
    <pivotField dataField="1"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axis="axisRow" numFmtId="17"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5">
    <i>
      <x/>
    </i>
    <i i="1">
      <x v="1"/>
    </i>
    <i i="2">
      <x v="2"/>
    </i>
    <i i="3">
      <x v="3"/>
    </i>
    <i i="4">
      <x v="4"/>
    </i>
  </colItems>
  <pageFields count="1">
    <pageField fld="26" item="1" hier="-1"/>
  </pageFields>
  <dataFields count="5">
    <dataField name="Total Spend" fld="5" baseField="18" baseItem="0" numFmtId="2"/>
    <dataField name="Total Sales" fld="8" baseField="18" baseItem="0" numFmtId="2"/>
    <dataField name="   Avg CTR" fld="27" subtotal="average" baseField="18" baseItem="0" numFmtId="10"/>
    <dataField name="Avg ROAS" fld="28" subtotal="average" baseField="18" baseItem="0" numFmtId="2"/>
    <dataField name="Avg ROI" fld="29" subtotal="average" baseField="18" baseItem="0" numFmtId="2"/>
  </dataFields>
  <formats count="17">
    <format dxfId="246">
      <pivotArea type="all" dataOnly="0" outline="0" fieldPosition="0"/>
    </format>
    <format dxfId="245">
      <pivotArea outline="0" collapsedLevelsAreSubtotals="1" fieldPosition="0"/>
    </format>
    <format dxfId="244">
      <pivotArea field="18" type="button" dataOnly="0" labelOnly="1" outline="0" axis="axisRow" fieldPosition="0"/>
    </format>
    <format dxfId="243">
      <pivotArea dataOnly="0" labelOnly="1" fieldPosition="0">
        <references count="1">
          <reference field="18" count="0"/>
        </references>
      </pivotArea>
    </format>
    <format dxfId="242">
      <pivotArea dataOnly="0" labelOnly="1" grandRow="1" outline="0" fieldPosition="0"/>
    </format>
    <format dxfId="241">
      <pivotArea dataOnly="0" labelOnly="1" outline="0" fieldPosition="0">
        <references count="1">
          <reference field="4294967294" count="2">
            <x v="0"/>
            <x v="1"/>
          </reference>
        </references>
      </pivotArea>
    </format>
    <format dxfId="240">
      <pivotArea type="all" dataOnly="0" outline="0" fieldPosition="0"/>
    </format>
    <format dxfId="239">
      <pivotArea outline="0" collapsedLevelsAreSubtotals="1" fieldPosition="0"/>
    </format>
    <format dxfId="238">
      <pivotArea field="18" type="button" dataOnly="0" labelOnly="1" outline="0" axis="axisRow" fieldPosition="0"/>
    </format>
    <format dxfId="237">
      <pivotArea dataOnly="0" labelOnly="1" fieldPosition="0">
        <references count="1">
          <reference field="18" count="0"/>
        </references>
      </pivotArea>
    </format>
    <format dxfId="236">
      <pivotArea dataOnly="0" labelOnly="1" grandRow="1" outline="0" fieldPosition="0"/>
    </format>
    <format dxfId="235">
      <pivotArea dataOnly="0" labelOnly="1" outline="0" fieldPosition="0">
        <references count="1">
          <reference field="4294967294" count="2">
            <x v="0"/>
            <x v="1"/>
          </reference>
        </references>
      </pivotArea>
    </format>
    <format dxfId="234">
      <pivotArea collapsedLevelsAreSubtotals="1" fieldPosition="0">
        <references count="2">
          <reference field="4294967294" count="1" selected="0">
            <x v="0"/>
          </reference>
          <reference field="18" count="1">
            <x v="7"/>
          </reference>
        </references>
      </pivotArea>
    </format>
    <format dxfId="233">
      <pivotArea outline="0" collapsedLevelsAreSubtotals="1" fieldPosition="0">
        <references count="1">
          <reference field="4294967294" count="1" selected="0">
            <x v="0"/>
          </reference>
        </references>
      </pivotArea>
    </format>
    <format dxfId="232">
      <pivotArea outline="0" collapsedLevelsAreSubtotals="1" fieldPosition="0">
        <references count="1">
          <reference field="4294967294" count="1" selected="0">
            <x v="1"/>
          </reference>
        </references>
      </pivotArea>
    </format>
    <format dxfId="231">
      <pivotArea outline="0" collapsedLevelsAreSubtotals="1" fieldPosition="0">
        <references count="1">
          <reference field="4294967294" count="1" selected="0">
            <x v="2"/>
          </reference>
        </references>
      </pivotArea>
    </format>
    <format dxfId="230">
      <pivotArea outline="0" collapsedLevelsAreSubtotals="1" fieldPosition="0">
        <references count="1">
          <reference field="4294967294"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89B901-756F-45EF-B830-225821CFFA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0:E17" firstHeaderRow="0" firstDataRow="1" firstDataCol="1" rowPageCount="2" colPageCount="1"/>
  <pivotFields count="30">
    <pivotField showAll="0"/>
    <pivotField axis="axisPage" showAll="0">
      <items count="5">
        <item x="0"/>
        <item x="1"/>
        <item x="3"/>
        <item x="2"/>
        <item t="default"/>
      </items>
    </pivotField>
    <pivotField showAll="0"/>
    <pivotField axis="axisRow" showAll="0">
      <items count="7">
        <item x="3"/>
        <item x="4"/>
        <item x="5"/>
        <item x="0"/>
        <item x="1"/>
        <item x="2"/>
        <item t="default"/>
      </items>
    </pivotField>
    <pivotField showAll="0"/>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7">
    <i>
      <x/>
    </i>
    <i>
      <x v="1"/>
    </i>
    <i>
      <x v="2"/>
    </i>
    <i>
      <x v="3"/>
    </i>
    <i>
      <x v="4"/>
    </i>
    <i>
      <x v="5"/>
    </i>
    <i t="grand">
      <x/>
    </i>
  </rowItems>
  <colFields count="1">
    <field x="-2"/>
  </colFields>
  <colItems count="4">
    <i>
      <x/>
    </i>
    <i i="1">
      <x v="1"/>
    </i>
    <i i="2">
      <x v="2"/>
    </i>
    <i i="3">
      <x v="3"/>
    </i>
  </colItems>
  <pageFields count="2">
    <pageField fld="26" item="1" hier="-1"/>
    <pageField fld="1" item="2" hier="-1"/>
  </pageFields>
  <dataFields count="4">
    <dataField name="Revenue" fld="8" baseField="3" baseItem="0"/>
    <dataField name="Avg CTR " fld="27" subtotal="average" baseField="3" baseItem="0" numFmtId="10"/>
    <dataField name="Avg ROAS" fld="28" subtotal="average" baseField="3" baseItem="0" numFmtId="2"/>
    <dataField name="Avg ROI" fld="29" subtotal="average" baseField="3" baseItem="0" numFmtId="2"/>
  </dataFields>
  <formats count="14">
    <format dxfId="135">
      <pivotArea type="all" dataOnly="0" outline="0" fieldPosition="0"/>
    </format>
    <format dxfId="134">
      <pivotArea outline="0" collapsedLevelsAreSubtotals="1" fieldPosition="0"/>
    </format>
    <format dxfId="133">
      <pivotArea field="3" type="button" dataOnly="0" labelOnly="1" outline="0" axis="axisRow" fieldPosition="0"/>
    </format>
    <format dxfId="132">
      <pivotArea dataOnly="0" labelOnly="1" fieldPosition="0">
        <references count="1">
          <reference field="3" count="0"/>
        </references>
      </pivotArea>
    </format>
    <format dxfId="131">
      <pivotArea dataOnly="0" labelOnly="1" grandRow="1" outline="0" fieldPosition="0"/>
    </format>
    <format dxfId="130">
      <pivotArea dataOnly="0" labelOnly="1" outline="0" fieldPosition="0">
        <references count="1">
          <reference field="4294967294" count="1">
            <x v="0"/>
          </reference>
        </references>
      </pivotArea>
    </format>
    <format dxfId="129">
      <pivotArea type="all" dataOnly="0" outline="0" fieldPosition="0"/>
    </format>
    <format dxfId="128">
      <pivotArea outline="0" collapsedLevelsAreSubtotals="1" fieldPosition="0"/>
    </format>
    <format dxfId="127">
      <pivotArea field="3" type="button" dataOnly="0" labelOnly="1" outline="0" axis="axisRow" fieldPosition="0"/>
    </format>
    <format dxfId="126">
      <pivotArea dataOnly="0" labelOnly="1" fieldPosition="0">
        <references count="1">
          <reference field="3" count="0"/>
        </references>
      </pivotArea>
    </format>
    <format dxfId="125">
      <pivotArea dataOnly="0" labelOnly="1" grandRow="1" outline="0" fieldPosition="0"/>
    </format>
    <format dxfId="124">
      <pivotArea dataOnly="0" labelOnly="1" outline="0" fieldPosition="0">
        <references count="1">
          <reference field="4294967294" count="1">
            <x v="0"/>
          </reference>
        </references>
      </pivotArea>
    </format>
    <format dxfId="123">
      <pivotArea outline="0" collapsedLevelsAreSubtotals="1" fieldPosition="0">
        <references count="1">
          <reference field="4294967294" count="1" selected="0">
            <x v="1"/>
          </reference>
        </references>
      </pivotArea>
    </format>
    <format dxfId="122">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957C0E-3BD2-4069-978D-AADA1A13291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AH10:AL13" firstHeaderRow="0" firstDataRow="1" firstDataCol="1" rowPageCount="3" colPageCount="1"/>
  <pivotFields count="30">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axis="axisPage" showAll="0">
      <items count="5">
        <item x="0"/>
        <item x="1"/>
        <item x="3"/>
        <item x="2"/>
        <item t="default"/>
      </items>
    </pivotField>
    <pivotField axis="axisRow" showAll="0">
      <items count="6">
        <item x="3"/>
        <item x="0"/>
        <item x="2"/>
        <item x="1"/>
        <item x="4"/>
        <item t="default"/>
      </items>
    </pivotField>
    <pivotField showAll="0"/>
    <pivotField showAll="0">
      <items count="4">
        <item x="2"/>
        <item x="0"/>
        <item x="1"/>
        <item t="default"/>
      </items>
    </pivotField>
    <pivotField showAll="0"/>
    <pivotField showAll="0"/>
    <pivotField showAll="0"/>
    <pivotField dataField="1" showAll="0"/>
    <pivotField showAll="0"/>
    <pivotField dataField="1" numFmtId="10" showAll="0"/>
    <pivotField numFmtId="2" showAll="0"/>
    <pivotField numFmtId="2" showAll="0"/>
    <pivotField dataField="1" numFmtId="2" showAll="0"/>
    <pivotField dataField="1"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v="2"/>
    </i>
    <i>
      <x v="4"/>
    </i>
    <i t="grand">
      <x/>
    </i>
  </rowItems>
  <colFields count="1">
    <field x="-2"/>
  </colFields>
  <colItems count="4">
    <i>
      <x/>
    </i>
    <i i="1">
      <x v="1"/>
    </i>
    <i i="2">
      <x v="2"/>
    </i>
    <i i="3">
      <x v="3"/>
    </i>
  </colItems>
  <pageFields count="3">
    <pageField fld="26" item="1" hier="-1"/>
    <pageField fld="1" item="2" hier="-1"/>
    <pageField fld="0" item="15" hier="-1"/>
  </pageFields>
  <dataFields count="4">
    <dataField name="Revenue" fld="8" baseField="4" baseItem="0"/>
    <dataField name="Average of CTR" fld="10" subtotal="average" baseField="2" baseItem="0" numFmtId="10"/>
    <dataField name="Average of ROAS" fld="13" subtotal="average" baseField="2" baseItem="0" numFmtId="2"/>
    <dataField name="Average of ROI" fld="14" subtotal="average" baseField="2" baseItem="0" numFmtId="2"/>
  </dataFields>
  <formats count="17">
    <format dxfId="152">
      <pivotArea type="all" dataOnly="0" outline="0" fieldPosition="0"/>
    </format>
    <format dxfId="151">
      <pivotArea outline="0" collapsedLevelsAreSubtotals="1" fieldPosition="0"/>
    </format>
    <format dxfId="150">
      <pivotArea field="4" type="button" dataOnly="0" labelOnly="1" outline="0"/>
    </format>
    <format dxfId="149">
      <pivotArea dataOnly="0" labelOnly="1" grandRow="1" outline="0" fieldPosition="0"/>
    </format>
    <format dxfId="148">
      <pivotArea dataOnly="0" labelOnly="1" outline="0" fieldPosition="0">
        <references count="1">
          <reference field="4294967294" count="1">
            <x v="0"/>
          </reference>
        </references>
      </pivotArea>
    </format>
    <format dxfId="147">
      <pivotArea type="all" dataOnly="0" outline="0" fieldPosition="0"/>
    </format>
    <format dxfId="146">
      <pivotArea outline="0" collapsedLevelsAreSubtotals="1" fieldPosition="0"/>
    </format>
    <format dxfId="145">
      <pivotArea field="4" type="button" dataOnly="0" labelOnly="1" outline="0"/>
    </format>
    <format dxfId="144">
      <pivotArea dataOnly="0" labelOnly="1" grandRow="1" outline="0" fieldPosition="0"/>
    </format>
    <format dxfId="143">
      <pivotArea dataOnly="0" labelOnly="1" outline="0" fieldPosition="0">
        <references count="1">
          <reference field="4294967294" count="1">
            <x v="0"/>
          </reference>
        </references>
      </pivotArea>
    </format>
    <format dxfId="142">
      <pivotArea type="all" dataOnly="0" outline="0" fieldPosition="0"/>
    </format>
    <format dxfId="141">
      <pivotArea outline="0" collapsedLevelsAreSubtotals="1" fieldPosition="0"/>
    </format>
    <format dxfId="140">
      <pivotArea field="0" type="button" dataOnly="0" labelOnly="1" outline="0" axis="axisPage" fieldPosition="2"/>
    </format>
    <format dxfId="13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8">
      <pivotArea dataOnly="0" labelOnly="1" fieldPosition="0">
        <references count="1">
          <reference field="0" count="10">
            <x v="50"/>
            <x v="51"/>
            <x v="52"/>
            <x v="53"/>
            <x v="54"/>
            <x v="55"/>
            <x v="56"/>
            <x v="57"/>
            <x v="58"/>
            <x v="59"/>
          </reference>
        </references>
      </pivotArea>
    </format>
    <format dxfId="137">
      <pivotArea dataOnly="0" labelOnly="1" grandRow="1" outline="0" fieldPosition="0"/>
    </format>
    <format dxfId="13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34C44B-AAFD-4F4A-8E59-FD81796432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AC10:AG13" firstHeaderRow="0" firstDataRow="1" firstDataCol="1" rowPageCount="3" colPageCount="1"/>
  <pivotFields count="30">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axis="axisPage" showAll="0">
      <items count="5">
        <item x="0"/>
        <item x="1"/>
        <item x="3"/>
        <item x="2"/>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dataField="1" numFmtId="10" showAll="0"/>
    <pivotField numFmtId="2" showAll="0"/>
    <pivotField numFmtId="2" showAll="0"/>
    <pivotField dataField="1" numFmtId="2" showAll="0"/>
    <pivotField dataField="1"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4"/>
  </rowFields>
  <rowItems count="3">
    <i>
      <x/>
    </i>
    <i>
      <x v="1"/>
    </i>
    <i t="grand">
      <x/>
    </i>
  </rowItems>
  <colFields count="1">
    <field x="-2"/>
  </colFields>
  <colItems count="4">
    <i>
      <x/>
    </i>
    <i i="1">
      <x v="1"/>
    </i>
    <i i="2">
      <x v="2"/>
    </i>
    <i i="3">
      <x v="3"/>
    </i>
  </colItems>
  <pageFields count="3">
    <pageField fld="26" item="1" hier="-1"/>
    <pageField fld="1" item="2" hier="-1"/>
    <pageField fld="0" item="15" hier="-1"/>
  </pageFields>
  <dataFields count="4">
    <dataField name="Revenue" fld="8" baseField="4" baseItem="0"/>
    <dataField name="Average of CTR" fld="10" subtotal="average" baseField="4" baseItem="0" numFmtId="10"/>
    <dataField name="Average of ROAS" fld="13" subtotal="average" baseField="4" baseItem="0" numFmtId="2"/>
    <dataField name="Average of ROI" fld="14" subtotal="average" baseField="4" baseItem="0" numFmtId="2"/>
  </dataFields>
  <formats count="17">
    <format dxfId="169">
      <pivotArea type="all" dataOnly="0" outline="0" fieldPosition="0"/>
    </format>
    <format dxfId="168">
      <pivotArea outline="0" collapsedLevelsAreSubtotals="1" fieldPosition="0"/>
    </format>
    <format dxfId="167">
      <pivotArea field="4" type="button" dataOnly="0" labelOnly="1" outline="0" axis="axisRow" fieldPosition="0"/>
    </format>
    <format dxfId="166">
      <pivotArea dataOnly="0" labelOnly="1" grandRow="1" outline="0" fieldPosition="0"/>
    </format>
    <format dxfId="165">
      <pivotArea dataOnly="0" labelOnly="1" outline="0" fieldPosition="0">
        <references count="1">
          <reference field="4294967294" count="1">
            <x v="0"/>
          </reference>
        </references>
      </pivotArea>
    </format>
    <format dxfId="164">
      <pivotArea type="all" dataOnly="0" outline="0" fieldPosition="0"/>
    </format>
    <format dxfId="163">
      <pivotArea outline="0" collapsedLevelsAreSubtotals="1" fieldPosition="0"/>
    </format>
    <format dxfId="162">
      <pivotArea field="4" type="button" dataOnly="0" labelOnly="1" outline="0" axis="axisRow" fieldPosition="0"/>
    </format>
    <format dxfId="161">
      <pivotArea dataOnly="0" labelOnly="1" grandRow="1" outline="0" fieldPosition="0"/>
    </format>
    <format dxfId="160">
      <pivotArea dataOnly="0" labelOnly="1" outline="0" fieldPosition="0">
        <references count="1">
          <reference field="4294967294" count="1">
            <x v="0"/>
          </reference>
        </references>
      </pivotArea>
    </format>
    <format dxfId="159">
      <pivotArea type="all" dataOnly="0" outline="0" fieldPosition="0"/>
    </format>
    <format dxfId="158">
      <pivotArea outline="0" collapsedLevelsAreSubtotals="1" fieldPosition="0"/>
    </format>
    <format dxfId="157">
      <pivotArea field="0" type="button" dataOnly="0" labelOnly="1" outline="0" axis="axisPage" fieldPosition="2"/>
    </format>
    <format dxfId="15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5">
      <pivotArea dataOnly="0" labelOnly="1" fieldPosition="0">
        <references count="1">
          <reference field="0" count="10">
            <x v="50"/>
            <x v="51"/>
            <x v="52"/>
            <x v="53"/>
            <x v="54"/>
            <x v="55"/>
            <x v="56"/>
            <x v="57"/>
            <x v="58"/>
            <x v="59"/>
          </reference>
        </references>
      </pivotArea>
    </format>
    <format dxfId="154">
      <pivotArea dataOnly="0" labelOnly="1" grandRow="1" outline="0" fieldPosition="0"/>
    </format>
    <format dxfId="15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AAA103-2194-415B-B266-74D93884E6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X10:AB13" firstHeaderRow="0" firstDataRow="1" firstDataCol="1" rowPageCount="3" colPageCount="1"/>
  <pivotFields count="30">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axis="axisPage" showAll="0">
      <items count="5">
        <item x="0"/>
        <item x="1"/>
        <item x="3"/>
        <item x="2"/>
        <item t="default"/>
      </items>
    </pivotField>
    <pivotField showAll="0"/>
    <pivotField axis="axisRow" showAll="0">
      <items count="7">
        <item x="3"/>
        <item x="4"/>
        <item x="5"/>
        <item x="0"/>
        <item x="1"/>
        <item x="2"/>
        <item t="default"/>
      </items>
    </pivotField>
    <pivotField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3">
    <i>
      <x v="2"/>
    </i>
    <i>
      <x v="4"/>
    </i>
    <i t="grand">
      <x/>
    </i>
  </rowItems>
  <colFields count="1">
    <field x="-2"/>
  </colFields>
  <colItems count="4">
    <i>
      <x/>
    </i>
    <i i="1">
      <x v="1"/>
    </i>
    <i i="2">
      <x v="2"/>
    </i>
    <i i="3">
      <x v="3"/>
    </i>
  </colItems>
  <pageFields count="3">
    <pageField fld="26" item="1" hier="-1"/>
    <pageField fld="1" item="2" hier="-1"/>
    <pageField fld="0" item="15" hier="-1"/>
  </pageFields>
  <dataFields count="4">
    <dataField name="Revenue" fld="8" baseField="4" baseItem="0"/>
    <dataField name="Avg of CTR  " fld="27" subtotal="average" baseField="3" baseItem="2" numFmtId="10"/>
    <dataField name="Avg of ROAS" fld="28" subtotal="average" baseField="3" baseItem="2" numFmtId="2"/>
    <dataField name="Avg of ROI" fld="29" subtotal="average" baseField="3" baseItem="2" numFmtId="2"/>
  </dataFields>
  <formats count="20">
    <format dxfId="189">
      <pivotArea type="all" dataOnly="0" outline="0" fieldPosition="0"/>
    </format>
    <format dxfId="188">
      <pivotArea outline="0" collapsedLevelsAreSubtotals="1" fieldPosition="0"/>
    </format>
    <format dxfId="187">
      <pivotArea field="4" type="button" dataOnly="0" labelOnly="1" outline="0"/>
    </format>
    <format dxfId="186">
      <pivotArea dataOnly="0" labelOnly="1" grandRow="1" outline="0" fieldPosition="0"/>
    </format>
    <format dxfId="185">
      <pivotArea dataOnly="0" labelOnly="1" outline="0" fieldPosition="0">
        <references count="1">
          <reference field="4294967294" count="1">
            <x v="0"/>
          </reference>
        </references>
      </pivotArea>
    </format>
    <format dxfId="184">
      <pivotArea type="all" dataOnly="0" outline="0" fieldPosition="0"/>
    </format>
    <format dxfId="183">
      <pivotArea outline="0" collapsedLevelsAreSubtotals="1" fieldPosition="0"/>
    </format>
    <format dxfId="182">
      <pivotArea field="4" type="button" dataOnly="0" labelOnly="1" outline="0"/>
    </format>
    <format dxfId="181">
      <pivotArea dataOnly="0" labelOnly="1" grandRow="1" outline="0" fieldPosition="0"/>
    </format>
    <format dxfId="180">
      <pivotArea dataOnly="0" labelOnly="1" outline="0" fieldPosition="0">
        <references count="1">
          <reference field="4294967294" count="1">
            <x v="0"/>
          </reference>
        </references>
      </pivotArea>
    </format>
    <format dxfId="179">
      <pivotArea type="all" dataOnly="0" outline="0" fieldPosition="0"/>
    </format>
    <format dxfId="178">
      <pivotArea outline="0" collapsedLevelsAreSubtotals="1" fieldPosition="0"/>
    </format>
    <format dxfId="177">
      <pivotArea field="0" type="button" dataOnly="0" labelOnly="1" outline="0" axis="axisPage" fieldPosition="2"/>
    </format>
    <format dxfId="17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75">
      <pivotArea dataOnly="0" labelOnly="1" fieldPosition="0">
        <references count="1">
          <reference field="0" count="10">
            <x v="50"/>
            <x v="51"/>
            <x v="52"/>
            <x v="53"/>
            <x v="54"/>
            <x v="55"/>
            <x v="56"/>
            <x v="57"/>
            <x v="58"/>
            <x v="59"/>
          </reference>
        </references>
      </pivotArea>
    </format>
    <format dxfId="174">
      <pivotArea dataOnly="0" labelOnly="1" grandRow="1" outline="0" fieldPosition="0"/>
    </format>
    <format dxfId="173">
      <pivotArea dataOnly="0" labelOnly="1" outline="0" fieldPosition="0">
        <references count="1">
          <reference field="4294967294" count="1">
            <x v="0"/>
          </reference>
        </references>
      </pivotArea>
    </format>
    <format dxfId="172">
      <pivotArea outline="0" collapsedLevelsAreSubtotals="1" fieldPosition="0">
        <references count="1">
          <reference field="4294967294" count="1" selected="0">
            <x v="1"/>
          </reference>
        </references>
      </pivotArea>
    </format>
    <format dxfId="171">
      <pivotArea outline="0" collapsedLevelsAreSubtotals="1" fieldPosition="0">
        <references count="1">
          <reference field="4294967294" count="1" selected="0">
            <x v="2"/>
          </reference>
        </references>
      </pivotArea>
    </format>
    <format dxfId="17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7EA005-6E6B-428D-A495-3F4978C0BB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M10:Q71" firstHeaderRow="0" firstDataRow="1" firstDataCol="1" rowPageCount="2" colPageCount="1"/>
  <pivotFields count="30">
    <pivotField axis="axisRow"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axis="axisPage"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61">
    <i>
      <x v="15"/>
    </i>
    <i>
      <x v="28"/>
    </i>
    <i>
      <x v="56"/>
    </i>
    <i>
      <x v="55"/>
    </i>
    <i>
      <x v="30"/>
    </i>
    <i>
      <x v="49"/>
    </i>
    <i>
      <x v="50"/>
    </i>
    <i>
      <x v="33"/>
    </i>
    <i>
      <x v="14"/>
    </i>
    <i>
      <x v="40"/>
    </i>
    <i>
      <x v="44"/>
    </i>
    <i>
      <x v="36"/>
    </i>
    <i>
      <x v="41"/>
    </i>
    <i>
      <x v="35"/>
    </i>
    <i>
      <x v="16"/>
    </i>
    <i>
      <x v="51"/>
    </i>
    <i>
      <x v="46"/>
    </i>
    <i>
      <x v="52"/>
    </i>
    <i>
      <x v="21"/>
    </i>
    <i>
      <x v="26"/>
    </i>
    <i>
      <x v="45"/>
    </i>
    <i>
      <x v="47"/>
    </i>
    <i>
      <x v="8"/>
    </i>
    <i>
      <x v="39"/>
    </i>
    <i>
      <x v="18"/>
    </i>
    <i>
      <x v="48"/>
    </i>
    <i>
      <x v="58"/>
    </i>
    <i>
      <x v="38"/>
    </i>
    <i>
      <x v="1"/>
    </i>
    <i>
      <x v="11"/>
    </i>
    <i>
      <x v="32"/>
    </i>
    <i>
      <x v="4"/>
    </i>
    <i>
      <x v="53"/>
    </i>
    <i>
      <x v="37"/>
    </i>
    <i>
      <x v="17"/>
    </i>
    <i>
      <x v="24"/>
    </i>
    <i>
      <x v="34"/>
    </i>
    <i>
      <x v="2"/>
    </i>
    <i>
      <x v="27"/>
    </i>
    <i>
      <x v="9"/>
    </i>
    <i>
      <x v="13"/>
    </i>
    <i>
      <x v="31"/>
    </i>
    <i>
      <x v="10"/>
    </i>
    <i>
      <x v="7"/>
    </i>
    <i>
      <x v="54"/>
    </i>
    <i>
      <x v="57"/>
    </i>
    <i>
      <x v="29"/>
    </i>
    <i>
      <x v="3"/>
    </i>
    <i>
      <x v="6"/>
    </i>
    <i>
      <x v="19"/>
    </i>
    <i>
      <x v="43"/>
    </i>
    <i>
      <x v="59"/>
    </i>
    <i>
      <x v="42"/>
    </i>
    <i>
      <x/>
    </i>
    <i>
      <x v="20"/>
    </i>
    <i>
      <x v="12"/>
    </i>
    <i>
      <x v="5"/>
    </i>
    <i>
      <x v="23"/>
    </i>
    <i>
      <x v="25"/>
    </i>
    <i>
      <x v="22"/>
    </i>
    <i t="grand">
      <x/>
    </i>
  </rowItems>
  <colFields count="1">
    <field x="-2"/>
  </colFields>
  <colItems count="4">
    <i>
      <x/>
    </i>
    <i i="1">
      <x v="1"/>
    </i>
    <i i="2">
      <x v="2"/>
    </i>
    <i i="3">
      <x v="3"/>
    </i>
  </colItems>
  <pageFields count="2">
    <pageField fld="1" item="2" hier="-1"/>
    <pageField fld="26" item="1" hier="-1"/>
  </pageFields>
  <dataFields count="4">
    <dataField name="Revenue" fld="8" baseField="4" baseItem="0" numFmtId="2"/>
    <dataField name="Avg of CTR " fld="27" subtotal="average" baseField="0" baseItem="0" numFmtId="10"/>
    <dataField name="Avg ROAS" fld="28" baseField="0" baseItem="0" numFmtId="2"/>
    <dataField name="Avg ROI" fld="29" subtotal="average" baseField="0" baseItem="0" numFmtId="2"/>
  </dataFields>
  <formats count="20">
    <format dxfId="209">
      <pivotArea type="all" dataOnly="0" outline="0" fieldPosition="0"/>
    </format>
    <format dxfId="208">
      <pivotArea outline="0" collapsedLevelsAreSubtotals="1" fieldPosition="0"/>
    </format>
    <format dxfId="207">
      <pivotArea field="4" type="button" dataOnly="0" labelOnly="1" outline="0"/>
    </format>
    <format dxfId="206">
      <pivotArea dataOnly="0" labelOnly="1" grandRow="1" outline="0" fieldPosition="0"/>
    </format>
    <format dxfId="205">
      <pivotArea dataOnly="0" labelOnly="1" outline="0" fieldPosition="0">
        <references count="1">
          <reference field="4294967294" count="1">
            <x v="0"/>
          </reference>
        </references>
      </pivotArea>
    </format>
    <format dxfId="204">
      <pivotArea type="all" dataOnly="0" outline="0" fieldPosition="0"/>
    </format>
    <format dxfId="203">
      <pivotArea outline="0" collapsedLevelsAreSubtotals="1" fieldPosition="0"/>
    </format>
    <format dxfId="202">
      <pivotArea field="4" type="button" dataOnly="0" labelOnly="1" outline="0"/>
    </format>
    <format dxfId="201">
      <pivotArea dataOnly="0" labelOnly="1" grandRow="1" outline="0" fieldPosition="0"/>
    </format>
    <format dxfId="200">
      <pivotArea dataOnly="0" labelOnly="1" outline="0" fieldPosition="0">
        <references count="1">
          <reference field="4294967294" count="1">
            <x v="0"/>
          </reference>
        </references>
      </pivotArea>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5">
      <pivotArea dataOnly="0" labelOnly="1" fieldPosition="0">
        <references count="1">
          <reference field="0" count="10">
            <x v="50"/>
            <x v="51"/>
            <x v="52"/>
            <x v="53"/>
            <x v="54"/>
            <x v="55"/>
            <x v="56"/>
            <x v="57"/>
            <x v="58"/>
            <x v="59"/>
          </reference>
        </references>
      </pivotArea>
    </format>
    <format dxfId="194">
      <pivotArea dataOnly="0" labelOnly="1" grandRow="1" outline="0" fieldPosition="0"/>
    </format>
    <format dxfId="193">
      <pivotArea dataOnly="0" labelOnly="1" outline="0" fieldPosition="0">
        <references count="1">
          <reference field="4294967294" count="1">
            <x v="0"/>
          </reference>
        </references>
      </pivotArea>
    </format>
    <format dxfId="192">
      <pivotArea outline="0" collapsedLevelsAreSubtotals="1" fieldPosition="0">
        <references count="1">
          <reference field="4294967294" count="1" selected="0">
            <x v="0"/>
          </reference>
        </references>
      </pivotArea>
    </format>
    <format dxfId="191">
      <pivotArea outline="0" collapsedLevelsAreSubtotals="1" fieldPosition="0">
        <references count="1">
          <reference field="4294967294" count="1" selected="0">
            <x v="1"/>
          </reference>
        </references>
      </pivotArea>
    </format>
    <format dxfId="190">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09D6FE-E442-4558-AFE7-8A16637FFA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G10:K14" firstHeaderRow="0" firstDataRow="1" firstDataCol="1" rowPageCount="2" colPageCount="1"/>
  <pivotFields count="30">
    <pivotField showAll="0"/>
    <pivotField axis="axisPage" showAll="0">
      <items count="5">
        <item x="0"/>
        <item x="1"/>
        <item x="3"/>
        <item x="2"/>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4">
    <i>
      <x/>
    </i>
    <i>
      <x v="1"/>
    </i>
    <i>
      <x v="2"/>
    </i>
    <i t="grand">
      <x/>
    </i>
  </rowItems>
  <colFields count="1">
    <field x="-2"/>
  </colFields>
  <colItems count="4">
    <i>
      <x/>
    </i>
    <i i="1">
      <x v="1"/>
    </i>
    <i i="2">
      <x v="2"/>
    </i>
    <i i="3">
      <x v="3"/>
    </i>
  </colItems>
  <pageFields count="2">
    <pageField fld="1" item="2" hier="-1"/>
    <pageField fld="26" item="1" hier="-1"/>
  </pageFields>
  <dataFields count="4">
    <dataField name="Revenue" fld="8" baseField="4" baseItem="0" numFmtId="2"/>
    <dataField name="Avg of CTR" fld="27" subtotal="average" baseField="4" baseItem="0" numFmtId="10"/>
    <dataField name="Avg ROAS" fld="28" subtotal="average" baseField="4" baseItem="0" numFmtId="2"/>
    <dataField name="Avg ROI" fld="29" subtotal="average" baseField="4" baseItem="0" numFmtId="2"/>
  </dataFields>
  <formats count="20">
    <format dxfId="229">
      <pivotArea type="all" dataOnly="0" outline="0" fieldPosition="0"/>
    </format>
    <format dxfId="228">
      <pivotArea outline="0" collapsedLevelsAreSubtotals="1" fieldPosition="0"/>
    </format>
    <format dxfId="227">
      <pivotArea field="4" type="button" dataOnly="0" labelOnly="1" outline="0" axis="axisRow" fieldPosition="0"/>
    </format>
    <format dxfId="226">
      <pivotArea dataOnly="0" labelOnly="1" fieldPosition="0">
        <references count="1">
          <reference field="4" count="0"/>
        </references>
      </pivotArea>
    </format>
    <format dxfId="225">
      <pivotArea dataOnly="0" labelOnly="1" grandRow="1" outline="0" fieldPosition="0"/>
    </format>
    <format dxfId="224">
      <pivotArea dataOnly="0" labelOnly="1" outline="0" fieldPosition="0">
        <references count="1">
          <reference field="4294967294" count="1">
            <x v="0"/>
          </reference>
        </references>
      </pivotArea>
    </format>
    <format dxfId="223">
      <pivotArea type="all" dataOnly="0" outline="0" fieldPosition="0"/>
    </format>
    <format dxfId="222">
      <pivotArea outline="0" collapsedLevelsAreSubtotals="1" fieldPosition="0"/>
    </format>
    <format dxfId="221">
      <pivotArea field="4" type="button" dataOnly="0" labelOnly="1" outline="0" axis="axisRow" fieldPosition="0"/>
    </format>
    <format dxfId="220">
      <pivotArea dataOnly="0" labelOnly="1" fieldPosition="0">
        <references count="1">
          <reference field="4" count="0"/>
        </references>
      </pivotArea>
    </format>
    <format dxfId="219">
      <pivotArea dataOnly="0" labelOnly="1" grandRow="1" outline="0" fieldPosition="0"/>
    </format>
    <format dxfId="218">
      <pivotArea dataOnly="0" labelOnly="1" outline="0" fieldPosition="0">
        <references count="1">
          <reference field="4294967294" count="1">
            <x v="0"/>
          </reference>
        </references>
      </pivotArea>
    </format>
    <format dxfId="217">
      <pivotArea type="all" dataOnly="0" outline="0" fieldPosition="0"/>
    </format>
    <format dxfId="216">
      <pivotArea outline="0" collapsedLevelsAreSubtotals="1" fieldPosition="0"/>
    </format>
    <format dxfId="215">
      <pivotArea field="4" type="button" dataOnly="0" labelOnly="1" outline="0" axis="axisRow" fieldPosition="0"/>
    </format>
    <format dxfId="214">
      <pivotArea dataOnly="0" labelOnly="1" fieldPosition="0">
        <references count="1">
          <reference field="4" count="0"/>
        </references>
      </pivotArea>
    </format>
    <format dxfId="213">
      <pivotArea dataOnly="0" labelOnly="1" grandRow="1" outline="0" fieldPosition="0"/>
    </format>
    <format dxfId="212">
      <pivotArea dataOnly="0" labelOnly="1" outline="0" fieldPosition="0">
        <references count="1">
          <reference field="4294967294" count="1">
            <x v="0"/>
          </reference>
        </references>
      </pivotArea>
    </format>
    <format dxfId="211">
      <pivotArea outline="0" collapsedLevelsAreSubtotals="1" fieldPosition="0"/>
    </format>
    <format dxfId="2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0F208E-D087-4400-A77D-AEE046D362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0:E17" firstHeaderRow="0" firstDataRow="1" firstDataCol="1" rowPageCount="2" colPageCount="1"/>
  <pivotFields count="30">
    <pivotField showAll="0"/>
    <pivotField axis="axisPage" showAll="0">
      <items count="5">
        <item x="0"/>
        <item x="1"/>
        <item x="3"/>
        <item x="2"/>
        <item t="default"/>
      </items>
    </pivotField>
    <pivotField showAll="0"/>
    <pivotField axis="axisRow" showAll="0">
      <items count="7">
        <item x="3"/>
        <item x="4"/>
        <item x="5"/>
        <item x="0"/>
        <item x="1"/>
        <item x="2"/>
        <item t="default"/>
      </items>
    </pivotField>
    <pivotField showAll="0"/>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7">
    <i>
      <x/>
    </i>
    <i>
      <x v="1"/>
    </i>
    <i>
      <x v="2"/>
    </i>
    <i>
      <x v="3"/>
    </i>
    <i>
      <x v="4"/>
    </i>
    <i>
      <x v="5"/>
    </i>
    <i t="grand">
      <x/>
    </i>
  </rowItems>
  <colFields count="1">
    <field x="-2"/>
  </colFields>
  <colItems count="4">
    <i>
      <x/>
    </i>
    <i i="1">
      <x v="1"/>
    </i>
    <i i="2">
      <x v="2"/>
    </i>
    <i i="3">
      <x v="3"/>
    </i>
  </colItems>
  <pageFields count="2">
    <pageField fld="26" item="1" hier="-1"/>
    <pageField fld="1" item="3" hier="-1"/>
  </pageFields>
  <dataFields count="4">
    <dataField name="Revenue" fld="8" baseField="3" baseItem="0" numFmtId="2"/>
    <dataField name="Avg CTR " fld="27" subtotal="average" baseField="3" baseItem="0" numFmtId="10"/>
    <dataField name="Avg ROAS" fld="28" subtotal="average" baseField="3" baseItem="0" numFmtId="2"/>
    <dataField name="Avg ROI" fld="29" subtotal="average" baseField="3" baseItem="0" numFmtId="2"/>
  </dataFields>
  <formats count="14">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fieldPosition="0">
        <references count="1">
          <reference field="4294967294" count="1">
            <x v="0"/>
          </reference>
        </references>
      </pivotArea>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75C42F-5721-420A-A2DC-D816BCDD25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AC10:AG13" firstHeaderRow="0" firstDataRow="1" firstDataCol="1" rowPageCount="3" colPageCount="1"/>
  <pivotFields count="30">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axis="axisPage" showAll="0">
      <items count="5">
        <item x="0"/>
        <item x="1"/>
        <item x="3"/>
        <item x="2"/>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3">
    <i>
      <x/>
    </i>
    <i>
      <x v="2"/>
    </i>
    <i t="grand">
      <x/>
    </i>
  </rowItems>
  <colFields count="1">
    <field x="-2"/>
  </colFields>
  <colItems count="4">
    <i>
      <x/>
    </i>
    <i i="1">
      <x v="1"/>
    </i>
    <i i="2">
      <x v="2"/>
    </i>
    <i i="3">
      <x v="3"/>
    </i>
  </colItems>
  <pageFields count="3">
    <pageField fld="26" item="1" hier="-1"/>
    <pageField fld="1" item="3" hier="-1"/>
    <pageField fld="0" item="55" hier="-1"/>
  </pageFields>
  <dataFields count="4">
    <dataField name="Revenue" fld="8" baseField="4" baseItem="0"/>
    <dataField name="Avg CTR " fld="27" subtotal="average" baseField="4" baseItem="0" numFmtId="10"/>
    <dataField name="Avg ROAS" fld="28" subtotal="average" baseField="4" baseItem="0" numFmtId="2"/>
    <dataField name="Avg ROI" fld="29" subtotal="average" baseField="4" baseItem="0" numFmtId="2"/>
  </dataFields>
  <formats count="19">
    <format dxfId="42">
      <pivotArea type="all" dataOnly="0" outline="0" fieldPosition="0"/>
    </format>
    <format dxfId="41">
      <pivotArea outline="0" collapsedLevelsAreSubtotals="1" fieldPosition="0"/>
    </format>
    <format dxfId="40">
      <pivotArea field="4" type="button" dataOnly="0" labelOnly="1" outline="0" axis="axisRow" fieldPosition="0"/>
    </format>
    <format dxfId="39">
      <pivotArea dataOnly="0" labelOnly="1" grandRow="1" outline="0" fieldPosition="0"/>
    </format>
    <format dxfId="38">
      <pivotArea dataOnly="0" labelOnly="1" outline="0" fieldPosition="0">
        <references count="1">
          <reference field="4294967294" count="1">
            <x v="0"/>
          </reference>
        </references>
      </pivotArea>
    </format>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grandRow="1" outline="0" fieldPosition="0"/>
    </format>
    <format dxfId="33">
      <pivotArea dataOnly="0" labelOnly="1" outline="0" fieldPosition="0">
        <references count="1">
          <reference field="4294967294" count="1">
            <x v="0"/>
          </reference>
        </references>
      </pivotArea>
    </format>
    <format dxfId="32">
      <pivotArea type="all" dataOnly="0" outline="0" fieldPosition="0"/>
    </format>
    <format dxfId="31">
      <pivotArea outline="0" collapsedLevelsAreSubtotals="1" fieldPosition="0"/>
    </format>
    <format dxfId="30">
      <pivotArea field="0" type="button" dataOnly="0" labelOnly="1" outline="0" axis="axisPage" fieldPosition="2"/>
    </format>
    <format dxfId="2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
      <pivotArea dataOnly="0" labelOnly="1" fieldPosition="0">
        <references count="1">
          <reference field="0" count="10">
            <x v="50"/>
            <x v="51"/>
            <x v="52"/>
            <x v="53"/>
            <x v="54"/>
            <x v="55"/>
            <x v="56"/>
            <x v="57"/>
            <x v="58"/>
            <x v="59"/>
          </reference>
        </references>
      </pivotArea>
    </format>
    <format dxfId="27">
      <pivotArea dataOnly="0" labelOnly="1" grandRow="1" outline="0" fieldPosition="0"/>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79DD27-DF93-4756-955B-720608BB8C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AH10:AL13" firstHeaderRow="0" firstDataRow="1" firstDataCol="1" rowPageCount="3" colPageCount="1"/>
  <pivotFields count="30">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axis="axisPage" showAll="0">
      <items count="5">
        <item x="0"/>
        <item x="1"/>
        <item x="3"/>
        <item x="2"/>
        <item t="default"/>
      </items>
    </pivotField>
    <pivotField axis="axisRow" showAll="0">
      <items count="6">
        <item x="3"/>
        <item x="0"/>
        <item x="2"/>
        <item x="1"/>
        <item x="4"/>
        <item t="default"/>
      </items>
    </pivotField>
    <pivotField showAll="0"/>
    <pivotField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3">
    <i>
      <x/>
    </i>
    <i>
      <x v="1"/>
    </i>
    <i t="grand">
      <x/>
    </i>
  </rowItems>
  <colFields count="1">
    <field x="-2"/>
  </colFields>
  <colItems count="4">
    <i>
      <x/>
    </i>
    <i i="1">
      <x v="1"/>
    </i>
    <i i="2">
      <x v="2"/>
    </i>
    <i i="3">
      <x v="3"/>
    </i>
  </colItems>
  <pageFields count="3">
    <pageField fld="26" item="1" hier="-1"/>
    <pageField fld="1" item="3" hier="-1"/>
    <pageField fld="0" item="55" hier="-1"/>
  </pageFields>
  <dataFields count="4">
    <dataField name="Revenue" fld="8" baseField="4" baseItem="0"/>
    <dataField name="Avg CTR " fld="27" subtotal="average" baseField="2" baseItem="0" numFmtId="10"/>
    <dataField name="Avg ROAS" fld="28" subtotal="average" baseField="2" baseItem="0" numFmtId="2"/>
    <dataField name="Avg ROI" fld="29" subtotal="average" baseField="2" baseItem="0" numFmtId="2"/>
  </dataFields>
  <formats count="19">
    <format dxfId="61">
      <pivotArea type="all" dataOnly="0" outline="0" fieldPosition="0"/>
    </format>
    <format dxfId="60">
      <pivotArea outline="0" collapsedLevelsAreSubtotals="1" fieldPosition="0"/>
    </format>
    <format dxfId="59">
      <pivotArea field="4" type="button" dataOnly="0" labelOnly="1" outline="0"/>
    </format>
    <format dxfId="58">
      <pivotArea dataOnly="0" labelOnly="1" grandRow="1" outline="0" fieldPosition="0"/>
    </format>
    <format dxfId="57">
      <pivotArea dataOnly="0" labelOnly="1"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4" type="button" dataOnly="0" labelOnly="1" outline="0"/>
    </format>
    <format dxfId="53">
      <pivotArea dataOnly="0" labelOnly="1" grandRow="1" outline="0" fieldPosition="0"/>
    </format>
    <format dxfId="52">
      <pivotArea dataOnly="0" labelOnly="1" outline="0" fieldPosition="0">
        <references count="1">
          <reference field="4294967294" count="1">
            <x v="0"/>
          </reference>
        </references>
      </pivotArea>
    </format>
    <format dxfId="51">
      <pivotArea type="all" dataOnly="0" outline="0" fieldPosition="0"/>
    </format>
    <format dxfId="50">
      <pivotArea outline="0" collapsedLevelsAreSubtotals="1" fieldPosition="0"/>
    </format>
    <format dxfId="49">
      <pivotArea field="0" type="button" dataOnly="0" labelOnly="1" outline="0" axis="axisPage" fieldPosition="2"/>
    </format>
    <format dxfId="4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
      <pivotArea dataOnly="0" labelOnly="1" fieldPosition="0">
        <references count="1">
          <reference field="0" count="10">
            <x v="50"/>
            <x v="51"/>
            <x v="52"/>
            <x v="53"/>
            <x v="54"/>
            <x v="55"/>
            <x v="56"/>
            <x v="57"/>
            <x v="58"/>
            <x v="59"/>
          </reference>
        </references>
      </pivotArea>
    </format>
    <format dxfId="46">
      <pivotArea dataOnly="0" labelOnly="1" grandRow="1" outline="0" fieldPosition="0"/>
    </format>
    <format dxfId="45">
      <pivotArea dataOnly="0" labelOnly="1" outline="0" fieldPosition="0">
        <references count="1">
          <reference field="4294967294" count="1">
            <x v="0"/>
          </reference>
        </references>
      </pivotArea>
    </format>
    <format dxfId="44">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7328769-5A04-4061-BE83-60F72EDCB6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X10:AB13" firstHeaderRow="0" firstDataRow="1" firstDataCol="1" rowPageCount="3" colPageCount="1"/>
  <pivotFields count="30">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axis="axisPage" showAll="0">
      <items count="5">
        <item x="0"/>
        <item x="1"/>
        <item x="3"/>
        <item x="2"/>
        <item t="default"/>
      </items>
    </pivotField>
    <pivotField showAll="0"/>
    <pivotField axis="axisRow" showAll="0">
      <items count="7">
        <item x="3"/>
        <item x="4"/>
        <item x="5"/>
        <item x="0"/>
        <item x="1"/>
        <item x="2"/>
        <item t="default"/>
      </items>
    </pivotField>
    <pivotField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3">
    <i>
      <x v="3"/>
    </i>
    <i>
      <x v="5"/>
    </i>
    <i t="grand">
      <x/>
    </i>
  </rowItems>
  <colFields count="1">
    <field x="-2"/>
  </colFields>
  <colItems count="4">
    <i>
      <x/>
    </i>
    <i i="1">
      <x v="1"/>
    </i>
    <i i="2">
      <x v="2"/>
    </i>
    <i i="3">
      <x v="3"/>
    </i>
  </colItems>
  <pageFields count="3">
    <pageField fld="26" item="1" hier="-1"/>
    <pageField fld="1" item="3" hier="-1"/>
    <pageField fld="0" item="55" hier="-1"/>
  </pageFields>
  <dataFields count="4">
    <dataField name="Revenue" fld="8" baseField="4" baseItem="0"/>
    <dataField name="Avg CTR " fld="27" subtotal="average" baseField="3" baseItem="3" numFmtId="10"/>
    <dataField name="Avg ROAS" fld="28" subtotal="average" baseField="3" baseItem="3" numFmtId="2"/>
    <dataField name="Avg ROI" fld="29" subtotal="average" baseField="3" baseItem="3" numFmtId="2"/>
  </dataFields>
  <formats count="19">
    <format dxfId="80">
      <pivotArea type="all" dataOnly="0" outline="0" fieldPosition="0"/>
    </format>
    <format dxfId="79">
      <pivotArea outline="0" collapsedLevelsAreSubtotals="1" fieldPosition="0"/>
    </format>
    <format dxfId="78">
      <pivotArea field="4" type="button" dataOnly="0" labelOnly="1" outline="0"/>
    </format>
    <format dxfId="77">
      <pivotArea dataOnly="0" labelOnly="1" grandRow="1" outline="0" fieldPosition="0"/>
    </format>
    <format dxfId="76">
      <pivotArea dataOnly="0" labelOnly="1" outline="0" fieldPosition="0">
        <references count="1">
          <reference field="4294967294" count="1">
            <x v="0"/>
          </reference>
        </references>
      </pivotArea>
    </format>
    <format dxfId="75">
      <pivotArea type="all" dataOnly="0" outline="0" fieldPosition="0"/>
    </format>
    <format dxfId="74">
      <pivotArea outline="0" collapsedLevelsAreSubtotals="1" fieldPosition="0"/>
    </format>
    <format dxfId="73">
      <pivotArea field="4" type="button" dataOnly="0" labelOnly="1" outline="0"/>
    </format>
    <format dxfId="72">
      <pivotArea dataOnly="0" labelOnly="1" grandRow="1" outline="0" fieldPosition="0"/>
    </format>
    <format dxfId="71">
      <pivotArea dataOnly="0" labelOnly="1" outline="0" fieldPosition="0">
        <references count="1">
          <reference field="4294967294" count="1">
            <x v="0"/>
          </reference>
        </references>
      </pivotArea>
    </format>
    <format dxfId="70">
      <pivotArea type="all" dataOnly="0" outline="0" fieldPosition="0"/>
    </format>
    <format dxfId="69">
      <pivotArea outline="0" collapsedLevelsAreSubtotals="1" fieldPosition="0"/>
    </format>
    <format dxfId="68">
      <pivotArea field="0" type="button" dataOnly="0" labelOnly="1" outline="0" axis="axisPage" fieldPosition="2"/>
    </format>
    <format dxfId="6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6">
      <pivotArea dataOnly="0" labelOnly="1" fieldPosition="0">
        <references count="1">
          <reference field="0" count="10">
            <x v="50"/>
            <x v="51"/>
            <x v="52"/>
            <x v="53"/>
            <x v="54"/>
            <x v="55"/>
            <x v="56"/>
            <x v="57"/>
            <x v="58"/>
            <x v="59"/>
          </reference>
        </references>
      </pivotArea>
    </format>
    <format dxfId="65">
      <pivotArea dataOnly="0" labelOnly="1" grandRow="1" outline="0" fieldPosition="0"/>
    </format>
    <format dxfId="64">
      <pivotArea dataOnly="0" labelOnly="1" outline="0" fieldPosition="0">
        <references count="1">
          <reference field="4294967294" count="1">
            <x v="0"/>
          </reference>
        </references>
      </pivotArea>
    </format>
    <format dxfId="63">
      <pivotArea outline="0" collapsedLevelsAreSubtotals="1" fieldPosition="0">
        <references count="1">
          <reference field="4294967294" count="1" selected="0">
            <x v="1"/>
          </reference>
        </references>
      </pivotArea>
    </format>
    <format dxfId="62">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2261ED2-9440-47E0-99A0-3989F8BB8D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M10:Q71" firstHeaderRow="0" firstDataRow="1" firstDataCol="1" rowPageCount="2" colPageCount="1"/>
  <pivotFields count="30">
    <pivotField axis="axisRow" showAll="0" sortType="a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axis="axisPage"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61">
    <i>
      <x v="55"/>
    </i>
    <i>
      <x v="47"/>
    </i>
    <i>
      <x v="37"/>
    </i>
    <i>
      <x v="9"/>
    </i>
    <i>
      <x v="27"/>
    </i>
    <i>
      <x v="28"/>
    </i>
    <i>
      <x v="5"/>
    </i>
    <i>
      <x v="25"/>
    </i>
    <i>
      <x v="56"/>
    </i>
    <i>
      <x v="23"/>
    </i>
    <i>
      <x v="33"/>
    </i>
    <i>
      <x v="8"/>
    </i>
    <i>
      <x v="52"/>
    </i>
    <i>
      <x v="45"/>
    </i>
    <i>
      <x v="14"/>
    </i>
    <i>
      <x v="24"/>
    </i>
    <i>
      <x v="10"/>
    </i>
    <i>
      <x v="59"/>
    </i>
    <i>
      <x v="34"/>
    </i>
    <i>
      <x v="20"/>
    </i>
    <i>
      <x v="38"/>
    </i>
    <i>
      <x v="1"/>
    </i>
    <i>
      <x v="51"/>
    </i>
    <i>
      <x v="31"/>
    </i>
    <i>
      <x v="4"/>
    </i>
    <i>
      <x v="48"/>
    </i>
    <i>
      <x v="42"/>
    </i>
    <i>
      <x v="35"/>
    </i>
    <i>
      <x v="13"/>
    </i>
    <i>
      <x v="11"/>
    </i>
    <i>
      <x v="39"/>
    </i>
    <i>
      <x v="12"/>
    </i>
    <i>
      <x v="26"/>
    </i>
    <i>
      <x v="32"/>
    </i>
    <i>
      <x v="46"/>
    </i>
    <i>
      <x v="40"/>
    </i>
    <i>
      <x v="41"/>
    </i>
    <i>
      <x v="57"/>
    </i>
    <i>
      <x v="7"/>
    </i>
    <i>
      <x v="30"/>
    </i>
    <i>
      <x v="15"/>
    </i>
    <i>
      <x v="43"/>
    </i>
    <i>
      <x v="29"/>
    </i>
    <i>
      <x v="6"/>
    </i>
    <i>
      <x v="17"/>
    </i>
    <i>
      <x v="16"/>
    </i>
    <i>
      <x v="54"/>
    </i>
    <i>
      <x v="53"/>
    </i>
    <i>
      <x v="18"/>
    </i>
    <i>
      <x v="22"/>
    </i>
    <i>
      <x v="19"/>
    </i>
    <i>
      <x v="44"/>
    </i>
    <i>
      <x v="49"/>
    </i>
    <i>
      <x v="50"/>
    </i>
    <i>
      <x v="58"/>
    </i>
    <i>
      <x/>
    </i>
    <i>
      <x v="21"/>
    </i>
    <i>
      <x v="2"/>
    </i>
    <i>
      <x v="36"/>
    </i>
    <i>
      <x v="3"/>
    </i>
    <i t="grand">
      <x/>
    </i>
  </rowItems>
  <colFields count="1">
    <field x="-2"/>
  </colFields>
  <colItems count="4">
    <i>
      <x/>
    </i>
    <i i="1">
      <x v="1"/>
    </i>
    <i i="2">
      <x v="2"/>
    </i>
    <i i="3">
      <x v="3"/>
    </i>
  </colItems>
  <pageFields count="2">
    <pageField fld="26" item="1" hier="-1"/>
    <pageField fld="1" item="3" hier="-1"/>
  </pageFields>
  <dataFields count="4">
    <dataField name="Revenue" fld="8" baseField="4" baseItem="0" numFmtId="2"/>
    <dataField name="Avg CTR " fld="27" subtotal="average" baseField="0" baseItem="0" numFmtId="10"/>
    <dataField name="Avg ROAS" fld="28" subtotal="average" baseField="0" baseItem="0" numFmtId="2"/>
    <dataField name="Avg ROI" fld="29" subtotal="average" baseField="0" baseItem="0" numFmtId="2"/>
  </dataFields>
  <formats count="20">
    <format dxfId="100">
      <pivotArea type="all" dataOnly="0" outline="0" fieldPosition="0"/>
    </format>
    <format dxfId="99">
      <pivotArea outline="0" collapsedLevelsAreSubtotals="1" fieldPosition="0"/>
    </format>
    <format dxfId="98">
      <pivotArea field="4" type="button" dataOnly="0" labelOnly="1" outline="0"/>
    </format>
    <format dxfId="97">
      <pivotArea dataOnly="0" labelOnly="1" grandRow="1" outline="0" fieldPosition="0"/>
    </format>
    <format dxfId="96">
      <pivotArea dataOnly="0" labelOnly="1" outline="0" fieldPosition="0">
        <references count="1">
          <reference field="4294967294" count="1">
            <x v="0"/>
          </reference>
        </references>
      </pivotArea>
    </format>
    <format dxfId="95">
      <pivotArea type="all" dataOnly="0" outline="0" fieldPosition="0"/>
    </format>
    <format dxfId="94">
      <pivotArea outline="0" collapsedLevelsAreSubtotals="1" fieldPosition="0"/>
    </format>
    <format dxfId="93">
      <pivotArea field="4" type="button" dataOnly="0" labelOnly="1" outline="0"/>
    </format>
    <format dxfId="92">
      <pivotArea dataOnly="0" labelOnly="1" grandRow="1" outline="0" fieldPosition="0"/>
    </format>
    <format dxfId="91">
      <pivotArea dataOnly="0" labelOnly="1" outline="0" fieldPosition="0">
        <references count="1">
          <reference field="4294967294" count="1">
            <x v="0"/>
          </reference>
        </references>
      </pivotArea>
    </format>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6">
      <pivotArea dataOnly="0" labelOnly="1" fieldPosition="0">
        <references count="1">
          <reference field="0" count="10">
            <x v="50"/>
            <x v="51"/>
            <x v="52"/>
            <x v="53"/>
            <x v="54"/>
            <x v="55"/>
            <x v="56"/>
            <x v="57"/>
            <x v="58"/>
            <x v="59"/>
          </reference>
        </references>
      </pivotArea>
    </format>
    <format dxfId="85">
      <pivotArea dataOnly="0" labelOnly="1" grandRow="1" outline="0" fieldPosition="0"/>
    </format>
    <format dxfId="84">
      <pivotArea dataOnly="0" labelOnly="1" outline="0" fieldPosition="0">
        <references count="1">
          <reference field="4294967294" count="1">
            <x v="0"/>
          </reference>
        </references>
      </pivotArea>
    </format>
    <format dxfId="83">
      <pivotArea outline="0" collapsedLevelsAreSubtotals="1" fieldPosition="0">
        <references count="1">
          <reference field="4294967294" count="1" selected="0">
            <x v="0"/>
          </reference>
        </references>
      </pivotArea>
    </format>
    <format dxfId="82">
      <pivotArea outline="0" collapsedLevelsAreSubtotals="1" fieldPosition="0">
        <references count="1">
          <reference field="4294967294" count="2" selected="0">
            <x v="2"/>
            <x v="3"/>
          </reference>
        </references>
      </pivotArea>
    </format>
    <format dxfId="8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629EED5-FAEF-4CDC-AAC7-42674D7E34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G10:K14" firstHeaderRow="0" firstDataRow="1" firstDataCol="1" rowPageCount="2" colPageCount="1"/>
  <pivotFields count="30">
    <pivotField showAll="0"/>
    <pivotField axis="axisPage" showAll="0">
      <items count="5">
        <item x="0"/>
        <item x="1"/>
        <item x="3"/>
        <item x="2"/>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numFmtId="10" showAll="0"/>
    <pivotField numFmtId="2" showAll="0"/>
    <pivotField numFmtId="2" showAll="0"/>
    <pivotField numFmtId="2" showAll="0"/>
    <pivotField numFmtId="2" showAll="0"/>
    <pivotField showAll="0"/>
    <pivotField showAll="0"/>
    <pivotField showAll="0"/>
    <pivotField numFmtId="17" showAll="0"/>
    <pivotField numFmtId="2" showAll="0"/>
    <pivotField numFmtId="2" showAll="0"/>
    <pivotField numFmtId="2" showAll="0"/>
    <pivotField numFmtId="2" showAll="0"/>
    <pivotField numFmtId="2" showAll="0"/>
    <pivotField numFmtId="2" showAll="0"/>
    <pivotField showAll="0"/>
    <pivotField axis="axisPage" showAll="0">
      <items count="3">
        <item x="1"/>
        <item x="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4">
    <i>
      <x/>
    </i>
    <i>
      <x v="1"/>
    </i>
    <i>
      <x v="2"/>
    </i>
    <i t="grand">
      <x/>
    </i>
  </rowItems>
  <colFields count="1">
    <field x="-2"/>
  </colFields>
  <colItems count="4">
    <i>
      <x/>
    </i>
    <i i="1">
      <x v="1"/>
    </i>
    <i i="2">
      <x v="2"/>
    </i>
    <i i="3">
      <x v="3"/>
    </i>
  </colItems>
  <pageFields count="2">
    <pageField fld="26" item="1" hier="-1"/>
    <pageField fld="1" item="3" hier="-1"/>
  </pageFields>
  <dataFields count="4">
    <dataField name="Revenue" fld="8" baseField="4" baseItem="0" numFmtId="2"/>
    <dataField name="Avg CTR  " fld="27" subtotal="average" baseField="4" baseItem="0" numFmtId="10"/>
    <dataField name="Avg ROAS" fld="28" subtotal="average" baseField="4" baseItem="0" numFmtId="2"/>
    <dataField name="Avg ROI" fld="29" subtotal="average" baseField="4" baseItem="0" numFmtId="2"/>
  </dataFields>
  <formats count="21">
    <format dxfId="121">
      <pivotArea type="all" dataOnly="0" outline="0" fieldPosition="0"/>
    </format>
    <format dxfId="120">
      <pivotArea outline="0" collapsedLevelsAreSubtotals="1" fieldPosition="0"/>
    </format>
    <format dxfId="119">
      <pivotArea field="4" type="button" dataOnly="0" labelOnly="1" outline="0" axis="axisRow" fieldPosition="0"/>
    </format>
    <format dxfId="118">
      <pivotArea dataOnly="0" labelOnly="1" fieldPosition="0">
        <references count="1">
          <reference field="4" count="0"/>
        </references>
      </pivotArea>
    </format>
    <format dxfId="117">
      <pivotArea dataOnly="0" labelOnly="1" grandRow="1" outline="0" fieldPosition="0"/>
    </format>
    <format dxfId="116">
      <pivotArea dataOnly="0" labelOnly="1" outline="0" fieldPosition="0">
        <references count="1">
          <reference field="4294967294" count="1">
            <x v="0"/>
          </reference>
        </references>
      </pivotArea>
    </format>
    <format dxfId="115">
      <pivotArea type="all" dataOnly="0" outline="0" fieldPosition="0"/>
    </format>
    <format dxfId="114">
      <pivotArea outline="0" collapsedLevelsAreSubtotals="1" fieldPosition="0"/>
    </format>
    <format dxfId="113">
      <pivotArea field="4" type="button" dataOnly="0" labelOnly="1" outline="0" axis="axisRow" fieldPosition="0"/>
    </format>
    <format dxfId="112">
      <pivotArea dataOnly="0" labelOnly="1" fieldPosition="0">
        <references count="1">
          <reference field="4" count="0"/>
        </references>
      </pivotArea>
    </format>
    <format dxfId="111">
      <pivotArea dataOnly="0" labelOnly="1" grandRow="1" outline="0" fieldPosition="0"/>
    </format>
    <format dxfId="110">
      <pivotArea dataOnly="0" labelOnly="1" outline="0" fieldPosition="0">
        <references count="1">
          <reference field="4294967294" count="1">
            <x v="0"/>
          </reference>
        </references>
      </pivotArea>
    </format>
    <format dxfId="109">
      <pivotArea type="all" dataOnly="0" outline="0" fieldPosition="0"/>
    </format>
    <format dxfId="108">
      <pivotArea outline="0" collapsedLevelsAreSubtotals="1" fieldPosition="0"/>
    </format>
    <format dxfId="107">
      <pivotArea field="4" type="button" dataOnly="0" labelOnly="1" outline="0" axis="axisRow" fieldPosition="0"/>
    </format>
    <format dxfId="106">
      <pivotArea dataOnly="0" labelOnly="1" fieldPosition="0">
        <references count="1">
          <reference field="4" count="0"/>
        </references>
      </pivotArea>
    </format>
    <format dxfId="105">
      <pivotArea dataOnly="0" labelOnly="1" grandRow="1" outline="0" fieldPosition="0"/>
    </format>
    <format dxfId="104">
      <pivotArea dataOnly="0" labelOnly="1" outline="0" fieldPosition="0">
        <references count="1">
          <reference field="4294967294" count="1">
            <x v="0"/>
          </reference>
        </references>
      </pivotArea>
    </format>
    <format dxfId="103">
      <pivotArea outline="0" collapsedLevelsAreSubtotals="1" fieldPosition="0">
        <references count="1">
          <reference field="4294967294" count="1" selected="0">
            <x v="0"/>
          </reference>
        </references>
      </pivotArea>
    </format>
    <format dxfId="102">
      <pivotArea outline="0" collapsedLevelsAreSubtotals="1" fieldPosition="0">
        <references count="1">
          <reference field="4294967294" count="2" selected="0">
            <x v="2"/>
            <x v="3"/>
          </reference>
        </references>
      </pivotArea>
    </format>
    <format dxfId="10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AC6A54-6B44-42E8-A5EB-8B36E8863666}" name="Table1" displayName="Table1" ref="A1:T1001" totalsRowShown="0" headerRowDxfId="402" dataDxfId="400" headerRowBorderDxfId="401" tableBorderDxfId="399" totalsRowBorderDxfId="398">
  <autoFilter ref="A1:T1001" xr:uid="{9CAC6A54-6B44-42E8-A5EB-8B36E8863666}"/>
  <tableColumns count="20">
    <tableColumn id="1" xr3:uid="{B335916F-2DB3-4BCB-8017-74F71B215A77}" name="Campaign_ID" dataDxfId="397"/>
    <tableColumn id="2" xr3:uid="{E3F36747-CA74-49D1-AA93-55B23064DF1E}" name="Region" dataDxfId="396"/>
    <tableColumn id="3" xr3:uid="{388BEF70-8C24-450B-BC07-6F4276DA14B7}" name="Country" dataDxfId="395"/>
    <tableColumn id="4" xr3:uid="{A5DC1580-9632-4D08-8B80-665FE96367D3}" name="Product" dataDxfId="394"/>
    <tableColumn id="5" xr3:uid="{D482D8C7-9AF0-443C-9BAC-50181C807BCF}" name="Channel" dataDxfId="393"/>
    <tableColumn id="6" xr3:uid="{E9B287B0-B479-4886-9C3C-0BEC1C7EEE9B}" name="Currency" dataDxfId="392"/>
    <tableColumn id="7" xr3:uid="{D487F2A3-D5E5-4A8E-A7A1-5CD7F47AF4FD}" name="Start_Date" dataDxfId="391"/>
    <tableColumn id="8" xr3:uid="{3E727567-C63D-4608-9008-E51E414C7D4B}" name="End_Date" dataDxfId="390"/>
    <tableColumn id="9" xr3:uid="{60799F00-C6DC-46F4-BF4D-BA3A7C6B9B76}" name="LC_Spend" dataDxfId="389"/>
    <tableColumn id="10" xr3:uid="{F9BA8E4B-940B-4DE1-92D5-6D1A16472EF5}" name="FX_Rate" dataDxfId="388"/>
    <tableColumn id="11" xr3:uid="{9848ADC1-DD0C-4C2B-B31C-8424F9E3CCDE}" name="USD_Spend" dataDxfId="387"/>
    <tableColumn id="12" xr3:uid="{DAF48DBE-F0D3-45D3-9F1D-A3A2F53E32B2}" name="Impressions" dataDxfId="386"/>
    <tableColumn id="13" xr3:uid="{86353262-E9C8-40BE-8481-8ED83620B228}" name="Clicks" dataDxfId="385"/>
    <tableColumn id="14" xr3:uid="{61972518-5F54-499F-9735-80196CEB0866}" name="Sales" dataDxfId="384"/>
    <tableColumn id="15" xr3:uid="{A9244A51-2D54-472E-B3E9-383FE7E736A9}" name="Year" dataDxfId="383"/>
    <tableColumn id="16" xr3:uid="{8EE2A94C-61F5-4BC1-8EB3-1FA218B4982F}" name="Month" dataDxfId="382"/>
    <tableColumn id="17" xr3:uid="{359630E6-5168-48A8-BDF1-3F8F0897CB1D}" name="Quarter" dataDxfId="381"/>
    <tableColumn id="18" xr3:uid="{C2E2CAD9-A2A4-4DF3-8AFA-CB8273B07AC2}" name="Format" dataDxfId="380"/>
    <tableColumn id="19" xr3:uid="{945CA029-F341-43A7-BA18-E5EF329DCAA5}" name="Duration" dataDxfId="379">
      <calculatedColumnFormula>H2-G2+1</calculatedColumnFormula>
    </tableColumn>
    <tableColumn id="20" xr3:uid="{3CB4291C-093A-4B2F-A238-971871769002}" name="Composite Key" dataDxfId="378">
      <calculatedColumnFormula>_xlfn.TEXTJOIN("_",TRUE,Finance_Data!A2,Finance_Data!B2,Finance_Data!C2,Finance_Data!D2,Finance_Data!E2,Finance_Data!G2,Finance_Data!H2)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F8AB86-E97D-4A9C-A83B-B78F87ABEA78}" name="Table3" displayName="Table3" ref="A5:N1005" totalsRowShown="0" headerRowDxfId="421" dataDxfId="419" headerRowBorderDxfId="420" tableBorderDxfId="418" totalsRowBorderDxfId="417">
  <autoFilter ref="A5:N1005" xr:uid="{E7F19B03-3A94-446C-8C3F-D3F06E5D16E8}"/>
  <tableColumns count="14">
    <tableColumn id="1" xr3:uid="{0433B2E0-4AA3-44DC-B351-4FA35A0268A3}" name="Campaign_ID" dataDxfId="416"/>
    <tableColumn id="2" xr3:uid="{E776DF8A-B2B5-46FF-BFB1-91CE288A6C25}" name="Campaign_ID Validation" dataDxfId="415">
      <calculatedColumnFormula>IF(ISBLANK(Table3[[#This Row],[Campaign_ID]]),"Invalid","Valid")</calculatedColumnFormula>
    </tableColumn>
    <tableColumn id="3" xr3:uid="{8365CE2E-0EF6-45CF-ADA6-593FE8AB2DE4}" name="Null Check for all records" dataDxfId="414">
      <calculatedColumnFormula>IF(COUNTA(Finance_Data!A2:R2)=18,"Valid","Missing")</calculatedColumnFormula>
    </tableColumn>
    <tableColumn id="4" xr3:uid="{9B32660B-EE82-42A8-9114-F9E37D91AFE5}" name="Duplicate Check" dataDxfId="413">
      <calculatedColumnFormula>IF(COUNTIF(Finance_Data!$T$2:$T$1001,Finance_Data!T2)&gt;1,"Duplicate","Valid")</calculatedColumnFormula>
    </tableColumn>
    <tableColumn id="5" xr3:uid="{C7C16974-C2B8-44E4-A348-D0DE6DBDD626}" name="Date_Flag" dataDxfId="412">
      <calculatedColumnFormula>IF(Finance_Data!H2&gt;Finance_Data!G2,"Valid","Invalid")</calculatedColumnFormula>
    </tableColumn>
    <tableColumn id="6" xr3:uid="{4E2FBEF2-5522-42F7-B318-4C7C9D250E7C}" name="Duration_Flag" dataDxfId="411">
      <calculatedColumnFormula array="1">_xlfn.IFS(Finance_Data!S2&lt;7,"Short",Finance_Data!S2&lt;=30,"Normal",Finance_Data!S2&lt;=60,"Long",Finance_Data!S2&gt;60,"Very Long")</calculatedColumnFormula>
    </tableColumn>
    <tableColumn id="7" xr3:uid="{DE92D21A-6BF1-4EF0-AD26-CEE462AB37B6}" name="FX_Flag" dataDxfId="410">
      <calculatedColumnFormula>IF(ABS(Finance_Data!I2*Finance_Data!J2)-Finance_Data!K2&lt;1,"Valid","Invalid")</calculatedColumnFormula>
    </tableColumn>
    <tableColumn id="8" xr3:uid="{837C7E96-5971-4CF0-AC4E-DC170132FE0A}" name="Impression_Flag" dataDxfId="409">
      <calculatedColumnFormula>IF(Finance_Data!L2&gt;0,"Valid","Invalid")</calculatedColumnFormula>
    </tableColumn>
    <tableColumn id="9" xr3:uid="{4F07C238-91B4-44DD-85AB-C2266DF957C5}" name="Click_Flag" dataDxfId="408">
      <calculatedColumnFormula>IF(Finance_Data!L2&gt;=Finance_Data!M2,"Valid","Invalid")</calculatedColumnFormula>
    </tableColumn>
    <tableColumn id="10" xr3:uid="{35BA61B0-6682-4ED0-A4B1-21611DC99B35}" name="Spend_Flag" dataDxfId="407">
      <calculatedColumnFormula>IF(AND(Finance_Data!I2&gt;=0,Finance_Data!K2&gt;=0),"Valid","Invalid")</calculatedColumnFormula>
    </tableColumn>
    <tableColumn id="11" xr3:uid="{03C80F6E-2B29-464D-99C3-CD3939274F93}" name="Sales_Flag" dataDxfId="406">
      <calculatedColumnFormula>IF(Finance_Data!N2&gt;=0,"Valid","Invalid")</calculatedColumnFormula>
    </tableColumn>
    <tableColumn id="12" xr3:uid="{EF44C417-2EE4-4B52-962B-6474F38947D2}" name="Month_Flag" dataDxfId="405">
      <calculatedColumnFormula>IF(TEXT(Finance_Data!G2,"mmmm")=Finance_Data!P2,"Valid","Invalid")</calculatedColumnFormula>
    </tableColumn>
    <tableColumn id="13" xr3:uid="{37164665-FD25-4581-9DED-204A6767410B}" name="Quarter_Flag" dataDxfId="404">
      <calculatedColumnFormula>IF("Q"&amp;ROUNDUP(MONTH(Finance_Data!G2)/3,0)=Finance_Data!Q2,"Valid","Invalid")</calculatedColumnFormula>
    </tableColumn>
    <tableColumn id="14" xr3:uid="{A664B28A-25CC-4CB7-8A1B-8E268FCF4C47}" name="Overall_Status" dataDxfId="403">
      <calculatedColumnFormula>IF(AND(B6="Valid",E6="Valid",G6="Valid",H6="Valid",I6="Valid",J6="Valid",K6="Valid",L6="Valid",M6="Valid"),"Pass","Fail")</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89E9F3-FE92-4C39-8FEE-6910861DC48E}" name="Table2" displayName="Table2" ref="A7:AA1007" totalsRowShown="0" headerRowDxfId="377" dataDxfId="375" headerRowBorderDxfId="376" tableBorderDxfId="374" totalsRowBorderDxfId="373">
  <autoFilter ref="A7:AA1007" xr:uid="{A189E9F3-FE92-4C39-8FEE-6910861DC48E}"/>
  <tableColumns count="27">
    <tableColumn id="1" xr3:uid="{71A04D95-7371-460C-B4C9-01E8F675CA26}" name="Campaign_ID" dataDxfId="372"/>
    <tableColumn id="2" xr3:uid="{2A90032D-77AE-4612-A02C-F9A738213836}" name="Region" dataDxfId="371"/>
    <tableColumn id="3" xr3:uid="{CEEDB046-B6A4-49FD-A02F-F854005D3722}" name="Country" dataDxfId="370"/>
    <tableColumn id="4" xr3:uid="{57B97BC3-DA41-4F52-A3B6-5D9782C3EE8A}" name="Product" dataDxfId="369"/>
    <tableColumn id="5" xr3:uid="{686E2877-969D-4595-B120-3E39C18289E1}" name="Channel" dataDxfId="368"/>
    <tableColumn id="6" xr3:uid="{7F56C2A8-8625-4E95-8825-F6C7ED5830D0}" name="USD_Spend" dataDxfId="367"/>
    <tableColumn id="7" xr3:uid="{DE2BB7F2-E345-4010-881E-8CC1F351382E}" name="Impressions" dataDxfId="366"/>
    <tableColumn id="8" xr3:uid="{A6373E39-A366-4A10-A355-57DF0F62CA76}" name="Clicks" dataDxfId="365"/>
    <tableColumn id="9" xr3:uid="{88954D1B-813C-4B74-A90C-CCCDE86E5AEA}" name="Sales" dataDxfId="364"/>
    <tableColumn id="10" xr3:uid="{AF61018F-3840-4A53-B4F0-11AF456BBD09}" name="Duration" dataDxfId="363"/>
    <tableColumn id="11" xr3:uid="{C440B90E-EFD9-4C13-888F-A7C243A6F392}" name="CTR" dataDxfId="362" dataCellStyle="Percent">
      <calculatedColumnFormula>H8/G8</calculatedColumnFormula>
    </tableColumn>
    <tableColumn id="12" xr3:uid="{DFDCC305-A950-45B4-A951-3504777EA50F}" name="CPC" dataDxfId="361">
      <calculatedColumnFormula>F8/H8</calculatedColumnFormula>
    </tableColumn>
    <tableColumn id="13" xr3:uid="{F36FCB72-8D3A-4144-A020-C70F5F669025}" name="CPM" dataDxfId="360">
      <calculatedColumnFormula>F8/G8*1000</calculatedColumnFormula>
    </tableColumn>
    <tableColumn id="14" xr3:uid="{7595A4E2-605B-4014-86F5-801687763D81}" name="ROAS" dataDxfId="359">
      <calculatedColumnFormula>I8/F8</calculatedColumnFormula>
    </tableColumn>
    <tableColumn id="15" xr3:uid="{0CBEE3CA-C0DE-45EB-999B-8432EB630519}" name="ROI" dataDxfId="358">
      <calculatedColumnFormula>(I8-F8)/F8</calculatedColumnFormula>
    </tableColumn>
    <tableColumn id="27" xr3:uid="{CA8EEDB1-382F-4178-A0EE-13FD730C8A05}" name="Year" dataDxfId="357"/>
    <tableColumn id="26" xr3:uid="{8AFD42A7-657F-4957-B504-4DB782C4DF38}" name="Month" dataDxfId="356"/>
    <tableColumn id="25" xr3:uid="{14D8A357-EAF7-4661-9B85-50248660B4E7}" name="Quarter" dataDxfId="355"/>
    <tableColumn id="28" xr3:uid="{D803488E-775B-4ED6-8CA8-3B952E4C712C}" name="Month-Year" dataDxfId="354">
      <calculatedColumnFormula>DATE(Table2[[#This Row],[Year]],MONTH(DATEVALUE("1-"&amp;Table2[[#This Row],[Month]]&amp;"-2000")),1)</calculatedColumnFormula>
    </tableColumn>
    <tableColumn id="16" xr3:uid="{99CE4258-30B6-4D56-A3CB-1742C10878A2}" name="Revenue per Click" dataDxfId="353">
      <calculatedColumnFormula>I8/H8</calculatedColumnFormula>
    </tableColumn>
    <tableColumn id="17" xr3:uid="{B02E2CC6-263F-4609-9844-283C9D92C489}" name="Revenue per Impression" dataDxfId="352">
      <calculatedColumnFormula>I8/G8</calculatedColumnFormula>
    </tableColumn>
    <tableColumn id="18" xr3:uid="{838E4203-E082-4E09-A764-F6FB3F822EDE}" name="Daily Spend" dataDxfId="351">
      <calculatedColumnFormula>F8/J8</calculatedColumnFormula>
    </tableColumn>
    <tableColumn id="19" xr3:uid="{126742A1-227E-4270-9F99-1740CD19D1F9}" name="Daily Revenue" dataDxfId="350">
      <calculatedColumnFormula>I8/J8</calculatedColumnFormula>
    </tableColumn>
    <tableColumn id="20" xr3:uid="{5C75E5CD-AF7D-4944-8F7F-049E3719E13B}" name="Daily Clicks" dataDxfId="349">
      <calculatedColumnFormula>H8/J8</calculatedColumnFormula>
    </tableColumn>
    <tableColumn id="21" xr3:uid="{38E41197-ECA8-4816-98DF-A4321D14922C}" name="Daily Impressions" dataDxfId="348">
      <calculatedColumnFormula>G8/J8</calculatedColumnFormula>
    </tableColumn>
    <tableColumn id="22" xr3:uid="{AA163E69-EA8F-4BF7-A3CF-6BA7BFAA5AA2}" name="Engagement Score" dataDxfId="347">
      <calculatedColumnFormula array="1">_xlfn.IFS(K8&lt;2%,"Low",K8&lt;5%,"Medium",K8&lt;10%,"Good",K8&gt;10%,"Excellent")</calculatedColumnFormula>
    </tableColumn>
    <tableColumn id="23" xr3:uid="{6C1EC5CA-C607-4B36-8483-3B1451DFA38C}" name="Overall Status" dataDxfId="346">
      <calculatedColumnFormula>Data_Validation!N6</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F857DC-8128-47A4-8DD4-4CC3A4B0D258}" name="Table4" displayName="Table4" ref="A9:T1009" totalsRowShown="0" headerRowDxfId="345" dataDxfId="343" headerRowBorderDxfId="344" tableBorderDxfId="342">
  <autoFilter ref="A9:T1009" xr:uid="{45F857DC-8128-47A4-8DD4-4CC3A4B0D258}"/>
  <tableColumns count="20">
    <tableColumn id="1" xr3:uid="{18558743-E8E4-49CD-8ABB-D16F6E37E347}" name="Campaign_ID" dataDxfId="341"/>
    <tableColumn id="2" xr3:uid="{D03D618D-7452-49F5-B6AC-9F1E5C7C23DF}" name="Region" dataDxfId="340"/>
    <tableColumn id="3" xr3:uid="{8BB8EB81-0415-4960-A380-A12076906F6D}" name="Country" dataDxfId="339"/>
    <tableColumn id="4" xr3:uid="{933F220C-D34A-4D6A-8EB9-6060B82F0E91}" name="Product" dataDxfId="338"/>
    <tableColumn id="5" xr3:uid="{A873E33E-057E-4B48-9857-67265A03CAD9}" name="Channel" dataDxfId="337"/>
    <tableColumn id="6" xr3:uid="{B6A9B2E4-B069-434F-818D-E8579F87E365}" name="USD_Spend" dataDxfId="336"/>
    <tableColumn id="7" xr3:uid="{58DCEBD6-F544-4B48-BB93-557F385FBD12}" name="Impressions" dataDxfId="335"/>
    <tableColumn id="8" xr3:uid="{CEA0AE4A-3319-4DE7-8BC7-CDC56D02660A}" name="Clicks" dataDxfId="334"/>
    <tableColumn id="9" xr3:uid="{9B88EC6F-23C2-4368-AA15-106E5981D115}" name="Sales" dataDxfId="333"/>
    <tableColumn id="10" xr3:uid="{EF6A726B-D6D3-4B0F-A55D-9E1692C1C5C8}" name="Duration" dataDxfId="332"/>
    <tableColumn id="11" xr3:uid="{3D2EF86B-C8A7-4BCD-B488-98A4AFE4AD51}" name="CTR" dataDxfId="331" dataCellStyle="Percent">
      <calculatedColumnFormula>H10/G10</calculatedColumnFormula>
    </tableColumn>
    <tableColumn id="12" xr3:uid="{2A34CA49-EA67-4CE8-930A-91AD5D26FE65}" name="ROAS" dataDxfId="330">
      <calculatedColumnFormula>I10/F10</calculatedColumnFormula>
    </tableColumn>
    <tableColumn id="13" xr3:uid="{DE785D4B-9F1F-4DEA-8A08-EE3D5FE50F78}" name="ROI" dataDxfId="329">
      <calculatedColumnFormula>(I10-F10)/F10</calculatedColumnFormula>
    </tableColumn>
    <tableColumn id="14" xr3:uid="{F05CD44D-FAC8-4542-8194-6BDEF4C0483A}" name="Revenue per Click" dataDxfId="328">
      <calculatedColumnFormula>I10/H10</calculatedColumnFormula>
    </tableColumn>
    <tableColumn id="15" xr3:uid="{2D0F2811-70D8-42E1-9402-D90FBB152E99}" name="High Spend Flag" dataDxfId="327">
      <calculatedColumnFormula>IF(F10&lt;=$B$2,"Normal","High Spend")</calculatedColumnFormula>
    </tableColumn>
    <tableColumn id="16" xr3:uid="{130C1913-549E-4113-B539-53F6731073A0}" name="High Revenue Flag" dataDxfId="326">
      <calculatedColumnFormula>IF(Table4[[#This Row],[Sales]]&lt;=$B$3,"Normal","High Revenue")</calculatedColumnFormula>
    </tableColumn>
    <tableColumn id="17" xr3:uid="{D5ECDB68-8B49-4133-B3DB-071E1310D223}" name="High CTR Flag" dataDxfId="325">
      <calculatedColumnFormula>IF(Table4[[#This Row],[CTR]]&lt;=$B$4,"Normal","High CTR")</calculatedColumnFormula>
    </tableColumn>
    <tableColumn id="18" xr3:uid="{C462DFC1-D03C-4332-A71C-D7CD92E26EA0}" name="ROAS Band" dataDxfId="324">
      <calculatedColumnFormula>IF(Table4[[#This Row],[ROAS]]&lt;1,"Poor",IF(Table4[[#This Row],[ROAS]]&lt;3,"Average",IF(Table4[[#This Row],[ROAS]]&lt;5,"Good",
"Excellent")))</calculatedColumnFormula>
    </tableColumn>
    <tableColumn id="19" xr3:uid="{F79DB1A9-FAFD-40C3-AA9B-57E9CD4D556D}" name="Spend Efficiency Flag" dataDxfId="323">
      <calculatedColumnFormula>IF(AND(Table4[[#This Row],[USD_Spend]]&gt;=$B$5,Table4[[#This Row],[Sales]]&lt;=$B$6),"Wasted Budget","Spend Justified")</calculatedColumnFormula>
    </tableColumn>
    <tableColumn id="20" xr3:uid="{53F6539B-6ECC-444A-A264-854B43912FF4}" name="Click vs Sales Monitization Flag" dataDxfId="322">
      <calculatedColumnFormula>IF(AND(Table4[[#This Row],[Clicks]]&gt;=$B$7,Table4[[#This Row],[Sales]]&lt;=$B$6),"Poor Monetization","Normal Monitization")</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abSelected="1" workbookViewId="0">
      <pane xSplit="1" ySplit="1" topLeftCell="B169" activePane="bottomRight" state="frozen"/>
      <selection pane="topRight" activeCell="B1" sqref="B1"/>
      <selection pane="bottomLeft" activeCell="A2" sqref="A2"/>
      <selection pane="bottomRight" activeCell="D1" sqref="D1"/>
    </sheetView>
  </sheetViews>
  <sheetFormatPr defaultRowHeight="14.5" x14ac:dyDescent="0.35"/>
  <cols>
    <col min="1" max="1" width="16.453125" bestFit="1" customWidth="1"/>
    <col min="2" max="2" width="11" bestFit="1" customWidth="1"/>
    <col min="3" max="3" width="12.08984375" bestFit="1" customWidth="1"/>
    <col min="4" max="4" width="12" bestFit="1" customWidth="1"/>
    <col min="5" max="5" width="12.1796875" bestFit="1" customWidth="1"/>
    <col min="6" max="6" width="12.81640625" bestFit="1" customWidth="1"/>
    <col min="7" max="7" width="14.453125" bestFit="1" customWidth="1"/>
    <col min="8" max="8" width="13.54296875" bestFit="1" customWidth="1"/>
    <col min="9" max="9" width="13.453125" bestFit="1" customWidth="1"/>
    <col min="10" max="10" width="12.1796875" bestFit="1" customWidth="1"/>
    <col min="11" max="11" width="15" bestFit="1" customWidth="1"/>
    <col min="12" max="12" width="15.453125" bestFit="1" customWidth="1"/>
    <col min="13" max="13" width="10" bestFit="1" customWidth="1"/>
    <col min="14" max="14" width="9.81640625" bestFit="1" customWidth="1"/>
    <col min="15" max="15" width="9.08984375" bestFit="1" customWidth="1"/>
    <col min="16" max="16" width="11.08984375" bestFit="1" customWidth="1"/>
    <col min="17" max="17" width="12" bestFit="1" customWidth="1"/>
    <col min="18" max="18" width="20.90625" bestFit="1" customWidth="1"/>
    <col min="19" max="19" width="12.81640625" bestFit="1" customWidth="1"/>
    <col min="20" max="20" width="58.08984375" bestFit="1" customWidth="1"/>
  </cols>
  <sheetData>
    <row r="1" spans="1:20" x14ac:dyDescent="0.35">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130</v>
      </c>
      <c r="T1" s="10" t="s">
        <v>138</v>
      </c>
    </row>
    <row r="2" spans="1:20" x14ac:dyDescent="0.35">
      <c r="A2" s="6" t="s">
        <v>103</v>
      </c>
      <c r="B2" s="1" t="s">
        <v>35</v>
      </c>
      <c r="C2" s="1" t="s">
        <v>36</v>
      </c>
      <c r="D2" s="1" t="s">
        <v>37</v>
      </c>
      <c r="E2" s="1" t="s">
        <v>22</v>
      </c>
      <c r="F2" s="1" t="s">
        <v>44</v>
      </c>
      <c r="G2" s="2">
        <v>44927</v>
      </c>
      <c r="H2" s="2">
        <v>44953</v>
      </c>
      <c r="I2" s="1">
        <v>45976.91</v>
      </c>
      <c r="J2" s="1">
        <v>0.24970000000000001</v>
      </c>
      <c r="K2" s="1">
        <v>11480.43</v>
      </c>
      <c r="L2" s="1">
        <v>146828</v>
      </c>
      <c r="M2" s="1">
        <v>22431</v>
      </c>
      <c r="N2" s="1">
        <v>180649.72</v>
      </c>
      <c r="O2" s="1">
        <v>2023</v>
      </c>
      <c r="P2" s="1" t="s">
        <v>56</v>
      </c>
      <c r="Q2" s="1" t="s">
        <v>40</v>
      </c>
      <c r="R2" s="1" t="s">
        <v>61</v>
      </c>
      <c r="S2" s="1">
        <f t="shared" ref="S2:S65" si="0">H2-G2+1</f>
        <v>27</v>
      </c>
      <c r="T2" s="7" t="str">
        <f>_xlfn.TEXTJOIN("_",TRUE,Finance_Data!A2,Finance_Data!B2,Finance_Data!C2,Finance_Data!D2,Finance_Data!E2,Finance_Data!G2,Finance_Data!H2)</f>
        <v>CMP_059_East_India_Perfume_Retail_44927_44953</v>
      </c>
    </row>
    <row r="3" spans="1:20" x14ac:dyDescent="0.35">
      <c r="A3" s="6" t="s">
        <v>120</v>
      </c>
      <c r="B3" s="1" t="s">
        <v>19</v>
      </c>
      <c r="C3" s="1" t="s">
        <v>58</v>
      </c>
      <c r="D3" s="1" t="s">
        <v>63</v>
      </c>
      <c r="E3" s="1" t="s">
        <v>30</v>
      </c>
      <c r="F3" s="1" t="s">
        <v>31</v>
      </c>
      <c r="G3" s="2">
        <v>44928</v>
      </c>
      <c r="H3" s="2">
        <v>44985</v>
      </c>
      <c r="I3" s="1">
        <v>23767.95</v>
      </c>
      <c r="J3" s="1">
        <v>0.997</v>
      </c>
      <c r="K3" s="1">
        <v>23696.65</v>
      </c>
      <c r="L3" s="1">
        <v>313300</v>
      </c>
      <c r="M3" s="1">
        <v>42898</v>
      </c>
      <c r="N3" s="1">
        <v>243160.04</v>
      </c>
      <c r="O3" s="1">
        <v>2023</v>
      </c>
      <c r="P3" s="1" t="s">
        <v>56</v>
      </c>
      <c r="Q3" s="1" t="s">
        <v>40</v>
      </c>
      <c r="R3" s="1" t="s">
        <v>54</v>
      </c>
      <c r="S3" s="1">
        <f t="shared" si="0"/>
        <v>58</v>
      </c>
      <c r="T3" s="7" t="str">
        <f>_xlfn.TEXTJOIN("_",TRUE,Finance_Data!A3,Finance_Data!B3,Finance_Data!C3,Finance_Data!D3,Finance_Data!E3,Finance_Data!G3,Finance_Data!H3)</f>
        <v>CMP_001_North_UK_Skincare_Wholesale_44928_44985</v>
      </c>
    </row>
    <row r="4" spans="1:20" x14ac:dyDescent="0.35">
      <c r="A4" s="6" t="s">
        <v>96</v>
      </c>
      <c r="B4" s="1" t="s">
        <v>35</v>
      </c>
      <c r="C4" s="1" t="s">
        <v>36</v>
      </c>
      <c r="D4" s="1" t="s">
        <v>51</v>
      </c>
      <c r="E4" s="1" t="s">
        <v>30</v>
      </c>
      <c r="F4" s="1" t="s">
        <v>49</v>
      </c>
      <c r="G4" s="2">
        <v>44929</v>
      </c>
      <c r="H4" s="2">
        <v>44961</v>
      </c>
      <c r="I4" s="1">
        <v>32407.35</v>
      </c>
      <c r="J4" s="1">
        <v>1.1323000000000001</v>
      </c>
      <c r="K4" s="1">
        <v>36694.839999999997</v>
      </c>
      <c r="L4" s="1">
        <v>64382</v>
      </c>
      <c r="M4" s="1">
        <v>21268</v>
      </c>
      <c r="N4" s="1">
        <v>110974.3</v>
      </c>
      <c r="O4" s="1">
        <v>2023</v>
      </c>
      <c r="P4" s="1" t="s">
        <v>56</v>
      </c>
      <c r="Q4" s="1" t="s">
        <v>40</v>
      </c>
      <c r="R4" s="1" t="s">
        <v>54</v>
      </c>
      <c r="S4" s="1">
        <f t="shared" si="0"/>
        <v>33</v>
      </c>
      <c r="T4" s="7" t="str">
        <f>_xlfn.TEXTJOIN("_",TRUE,Finance_Data!A4,Finance_Data!B4,Finance_Data!C4,Finance_Data!D4,Finance_Data!E4,Finance_Data!G4,Finance_Data!H4)</f>
        <v>CMP_027_East_India_Watch_Wholesale_44929_44961</v>
      </c>
    </row>
    <row r="5" spans="1:20" x14ac:dyDescent="0.35">
      <c r="A5" s="6" t="s">
        <v>96</v>
      </c>
      <c r="B5" s="1" t="s">
        <v>35</v>
      </c>
      <c r="C5" s="1" t="s">
        <v>20</v>
      </c>
      <c r="D5" s="1" t="s">
        <v>21</v>
      </c>
      <c r="E5" s="1" t="s">
        <v>30</v>
      </c>
      <c r="F5" s="1" t="s">
        <v>44</v>
      </c>
      <c r="G5" s="2">
        <v>44930</v>
      </c>
      <c r="H5" s="2">
        <v>44962</v>
      </c>
      <c r="I5" s="1">
        <v>4295.8</v>
      </c>
      <c r="J5" s="1">
        <v>0.67369999999999997</v>
      </c>
      <c r="K5" s="1">
        <v>2894.08</v>
      </c>
      <c r="L5" s="1">
        <v>228677</v>
      </c>
      <c r="M5" s="1">
        <v>46629</v>
      </c>
      <c r="N5" s="1">
        <v>48638.18</v>
      </c>
      <c r="O5" s="1">
        <v>2023</v>
      </c>
      <c r="P5" s="1" t="s">
        <v>56</v>
      </c>
      <c r="Q5" s="1" t="s">
        <v>40</v>
      </c>
      <c r="R5" s="1" t="s">
        <v>61</v>
      </c>
      <c r="S5" s="1">
        <f t="shared" si="0"/>
        <v>33</v>
      </c>
      <c r="T5" s="7" t="str">
        <f>_xlfn.TEXTJOIN("_",TRUE,Finance_Data!A5,Finance_Data!B5,Finance_Data!C5,Finance_Data!D5,Finance_Data!E5,Finance_Data!G5,Finance_Data!H5)</f>
        <v>CMP_027_East_Singapore_Foundation_Wholesale_44930_44962</v>
      </c>
    </row>
    <row r="6" spans="1:20" x14ac:dyDescent="0.35">
      <c r="A6" s="6" t="s">
        <v>106</v>
      </c>
      <c r="B6" s="1" t="s">
        <v>28</v>
      </c>
      <c r="C6" s="1" t="s">
        <v>58</v>
      </c>
      <c r="D6" s="1" t="s">
        <v>51</v>
      </c>
      <c r="E6" s="1" t="s">
        <v>38</v>
      </c>
      <c r="F6" s="1" t="s">
        <v>23</v>
      </c>
      <c r="G6" s="2">
        <v>44932</v>
      </c>
      <c r="H6" s="2">
        <v>44959</v>
      </c>
      <c r="I6" s="1">
        <v>44295.24</v>
      </c>
      <c r="J6" s="1">
        <v>0.85399999999999998</v>
      </c>
      <c r="K6" s="1">
        <v>37828.129999999997</v>
      </c>
      <c r="L6" s="1">
        <v>126041</v>
      </c>
      <c r="M6" s="1">
        <v>12523</v>
      </c>
      <c r="N6" s="1">
        <v>74800.44</v>
      </c>
      <c r="O6" s="1">
        <v>2023</v>
      </c>
      <c r="P6" s="1" t="s">
        <v>56</v>
      </c>
      <c r="Q6" s="1" t="s">
        <v>40</v>
      </c>
      <c r="R6" s="1" t="s">
        <v>61</v>
      </c>
      <c r="S6" s="1">
        <f t="shared" si="0"/>
        <v>28</v>
      </c>
      <c r="T6" s="7" t="str">
        <f>_xlfn.TEXTJOIN("_",TRUE,Finance_Data!A6,Finance_Data!B6,Finance_Data!C6,Finance_Data!D6,Finance_Data!E6,Finance_Data!G6,Finance_Data!H6)</f>
        <v>CMP_009_West_UK_Watch_Ecommerce_44932_44959</v>
      </c>
    </row>
    <row r="7" spans="1:20" x14ac:dyDescent="0.35">
      <c r="A7" s="6" t="s">
        <v>115</v>
      </c>
      <c r="B7" s="1" t="s">
        <v>48</v>
      </c>
      <c r="C7" s="1" t="s">
        <v>58</v>
      </c>
      <c r="D7" s="1" t="s">
        <v>63</v>
      </c>
      <c r="E7" s="1" t="s">
        <v>22</v>
      </c>
      <c r="F7" s="1" t="s">
        <v>23</v>
      </c>
      <c r="G7" s="2">
        <v>44933</v>
      </c>
      <c r="H7" s="2">
        <v>44977</v>
      </c>
      <c r="I7" s="1">
        <v>23557.34</v>
      </c>
      <c r="J7" s="1">
        <v>0.36499999999999999</v>
      </c>
      <c r="K7" s="1">
        <v>8598.43</v>
      </c>
      <c r="L7" s="1">
        <v>122369</v>
      </c>
      <c r="M7" s="1">
        <v>437</v>
      </c>
      <c r="N7" s="1">
        <v>90681.82</v>
      </c>
      <c r="O7" s="1">
        <v>2023</v>
      </c>
      <c r="P7" s="1" t="s">
        <v>56</v>
      </c>
      <c r="Q7" s="1" t="s">
        <v>40</v>
      </c>
      <c r="R7" s="1" t="s">
        <v>54</v>
      </c>
      <c r="S7" s="1">
        <f t="shared" si="0"/>
        <v>45</v>
      </c>
      <c r="T7" s="7" t="str">
        <f>_xlfn.TEXTJOIN("_",TRUE,Finance_Data!A7,Finance_Data!B7,Finance_Data!C7,Finance_Data!D7,Finance_Data!E7,Finance_Data!G7,Finance_Data!H7)</f>
        <v>CMP_047_South_UK_Skincare_Retail_44933_44977</v>
      </c>
    </row>
    <row r="8" spans="1:20" x14ac:dyDescent="0.35">
      <c r="A8" s="6" t="s">
        <v>55</v>
      </c>
      <c r="B8" s="1" t="s">
        <v>28</v>
      </c>
      <c r="C8" s="1" t="s">
        <v>29</v>
      </c>
      <c r="D8" s="1" t="s">
        <v>37</v>
      </c>
      <c r="E8" s="1" t="s">
        <v>38</v>
      </c>
      <c r="F8" s="1" t="s">
        <v>23</v>
      </c>
      <c r="G8" s="2">
        <v>44934</v>
      </c>
      <c r="H8" s="2">
        <v>44962</v>
      </c>
      <c r="I8" s="1">
        <v>39327.61</v>
      </c>
      <c r="J8" s="1">
        <v>0.61399999999999999</v>
      </c>
      <c r="K8" s="1">
        <v>24147.15</v>
      </c>
      <c r="L8" s="1">
        <v>290608</v>
      </c>
      <c r="M8" s="1">
        <v>43267</v>
      </c>
      <c r="N8" s="1">
        <v>69802.27</v>
      </c>
      <c r="O8" s="1">
        <v>2023</v>
      </c>
      <c r="P8" s="1" t="s">
        <v>56</v>
      </c>
      <c r="Q8" s="1" t="s">
        <v>40</v>
      </c>
      <c r="R8" s="1" t="s">
        <v>26</v>
      </c>
      <c r="S8" s="1">
        <f t="shared" si="0"/>
        <v>29</v>
      </c>
      <c r="T8" s="7" t="str">
        <f>_xlfn.TEXTJOIN("_",TRUE,Finance_Data!A8,Finance_Data!B8,Finance_Data!C8,Finance_Data!D8,Finance_Data!E8,Finance_Data!G8,Finance_Data!H8)</f>
        <v>CMP_054_West_Australia_Perfume_Ecommerce_44934_44962</v>
      </c>
    </row>
    <row r="9" spans="1:20" x14ac:dyDescent="0.35">
      <c r="A9" s="6" t="s">
        <v>107</v>
      </c>
      <c r="B9" s="1" t="s">
        <v>35</v>
      </c>
      <c r="C9" s="1" t="s">
        <v>36</v>
      </c>
      <c r="D9" s="1" t="s">
        <v>63</v>
      </c>
      <c r="E9" s="1" t="s">
        <v>38</v>
      </c>
      <c r="F9" s="1" t="s">
        <v>52</v>
      </c>
      <c r="G9" s="2">
        <v>44936</v>
      </c>
      <c r="H9" s="2">
        <v>44995</v>
      </c>
      <c r="I9" s="1">
        <v>7781.33</v>
      </c>
      <c r="J9" s="1">
        <v>0.7802</v>
      </c>
      <c r="K9" s="1">
        <v>6070.99</v>
      </c>
      <c r="L9" s="1">
        <v>354625</v>
      </c>
      <c r="M9" s="1">
        <v>23530</v>
      </c>
      <c r="N9" s="1">
        <v>224159.27</v>
      </c>
      <c r="O9" s="1">
        <v>2023</v>
      </c>
      <c r="P9" s="1" t="s">
        <v>56</v>
      </c>
      <c r="Q9" s="1" t="s">
        <v>40</v>
      </c>
      <c r="R9" s="1" t="s">
        <v>26</v>
      </c>
      <c r="S9" s="1">
        <f t="shared" si="0"/>
        <v>60</v>
      </c>
      <c r="T9" s="7" t="str">
        <f>_xlfn.TEXTJOIN("_",TRUE,Finance_Data!A9,Finance_Data!B9,Finance_Data!C9,Finance_Data!D9,Finance_Data!E9,Finance_Data!G9,Finance_Data!H9)</f>
        <v>CMP_040_East_India_Skincare_Ecommerce_44936_44995</v>
      </c>
    </row>
    <row r="10" spans="1:20" x14ac:dyDescent="0.35">
      <c r="A10" s="6" t="s">
        <v>78</v>
      </c>
      <c r="B10" s="1" t="s">
        <v>35</v>
      </c>
      <c r="C10" s="1" t="s">
        <v>29</v>
      </c>
      <c r="D10" s="1" t="s">
        <v>59</v>
      </c>
      <c r="E10" s="1" t="s">
        <v>38</v>
      </c>
      <c r="F10" s="1" t="s">
        <v>31</v>
      </c>
      <c r="G10" s="2">
        <v>44936</v>
      </c>
      <c r="H10" s="2">
        <v>44955</v>
      </c>
      <c r="I10" s="1">
        <v>37414.080000000002</v>
      </c>
      <c r="J10" s="1">
        <v>0.91249999999999998</v>
      </c>
      <c r="K10" s="1">
        <v>34140.35</v>
      </c>
      <c r="L10" s="1">
        <v>723612</v>
      </c>
      <c r="M10" s="1">
        <v>46577</v>
      </c>
      <c r="N10" s="1">
        <v>92666.15</v>
      </c>
      <c r="O10" s="1">
        <v>2023</v>
      </c>
      <c r="P10" s="1" t="s">
        <v>56</v>
      </c>
      <c r="Q10" s="1" t="s">
        <v>40</v>
      </c>
      <c r="R10" s="1" t="s">
        <v>26</v>
      </c>
      <c r="S10" s="1">
        <f t="shared" si="0"/>
        <v>20</v>
      </c>
      <c r="T10" s="7" t="str">
        <f>_xlfn.TEXTJOIN("_",TRUE,Finance_Data!A10,Finance_Data!B10,Finance_Data!C10,Finance_Data!D10,Finance_Data!E10,Finance_Data!G10,Finance_Data!H10)</f>
        <v>CMP_006_East_Australia_Lipstick_Ecommerce_44936_44955</v>
      </c>
    </row>
    <row r="11" spans="1:20" x14ac:dyDescent="0.35">
      <c r="A11" s="6" t="s">
        <v>70</v>
      </c>
      <c r="B11" s="1" t="s">
        <v>19</v>
      </c>
      <c r="C11" s="1" t="s">
        <v>29</v>
      </c>
      <c r="D11" s="1" t="s">
        <v>43</v>
      </c>
      <c r="E11" s="1" t="s">
        <v>22</v>
      </c>
      <c r="F11" s="1" t="s">
        <v>49</v>
      </c>
      <c r="G11" s="2">
        <v>44936</v>
      </c>
      <c r="H11" s="2">
        <v>44944</v>
      </c>
      <c r="I11" s="1">
        <v>14037.96</v>
      </c>
      <c r="J11" s="1">
        <v>1.1467000000000001</v>
      </c>
      <c r="K11" s="1">
        <v>16097.33</v>
      </c>
      <c r="L11" s="1">
        <v>707640</v>
      </c>
      <c r="M11" s="1">
        <v>38271</v>
      </c>
      <c r="N11" s="1">
        <v>198355.76</v>
      </c>
      <c r="O11" s="1">
        <v>2023</v>
      </c>
      <c r="P11" s="1" t="s">
        <v>56</v>
      </c>
      <c r="Q11" s="1" t="s">
        <v>40</v>
      </c>
      <c r="R11" s="1" t="s">
        <v>41</v>
      </c>
      <c r="S11" s="1">
        <f t="shared" si="0"/>
        <v>9</v>
      </c>
      <c r="T11" s="7" t="str">
        <f>_xlfn.TEXTJOIN("_",TRUE,Finance_Data!A11,Finance_Data!B11,Finance_Data!C11,Finance_Data!D11,Finance_Data!E11,Finance_Data!G11,Finance_Data!H11)</f>
        <v>CMP_003_North_Australia_Luxury Bag_Retail_44936_44944</v>
      </c>
    </row>
    <row r="12" spans="1:20" x14ac:dyDescent="0.35">
      <c r="A12" s="6" t="s">
        <v>106</v>
      </c>
      <c r="B12" s="1" t="s">
        <v>35</v>
      </c>
      <c r="C12" s="1" t="s">
        <v>58</v>
      </c>
      <c r="D12" s="1" t="s">
        <v>21</v>
      </c>
      <c r="E12" s="1" t="s">
        <v>30</v>
      </c>
      <c r="F12" s="1" t="s">
        <v>31</v>
      </c>
      <c r="G12" s="2">
        <v>44939</v>
      </c>
      <c r="H12" s="2">
        <v>44980</v>
      </c>
      <c r="I12" s="1">
        <v>41722.33</v>
      </c>
      <c r="J12" s="1">
        <v>0.50560000000000005</v>
      </c>
      <c r="K12" s="1">
        <v>21094.81</v>
      </c>
      <c r="L12" s="1">
        <v>812598</v>
      </c>
      <c r="M12" s="1">
        <v>12055</v>
      </c>
      <c r="N12" s="1">
        <v>120092.36</v>
      </c>
      <c r="O12" s="1">
        <v>2023</v>
      </c>
      <c r="P12" s="1" t="s">
        <v>56</v>
      </c>
      <c r="Q12" s="1" t="s">
        <v>40</v>
      </c>
      <c r="R12" s="1" t="s">
        <v>54</v>
      </c>
      <c r="S12" s="1">
        <f t="shared" si="0"/>
        <v>42</v>
      </c>
      <c r="T12" s="7" t="str">
        <f>_xlfn.TEXTJOIN("_",TRUE,Finance_Data!A12,Finance_Data!B12,Finance_Data!C12,Finance_Data!D12,Finance_Data!E12,Finance_Data!G12,Finance_Data!H12)</f>
        <v>CMP_009_East_UK_Foundation_Wholesale_44939_44980</v>
      </c>
    </row>
    <row r="13" spans="1:20" x14ac:dyDescent="0.35">
      <c r="A13" s="6" t="s">
        <v>18</v>
      </c>
      <c r="B13" s="1" t="s">
        <v>19</v>
      </c>
      <c r="C13" s="1" t="s">
        <v>36</v>
      </c>
      <c r="D13" s="1" t="s">
        <v>43</v>
      </c>
      <c r="E13" s="1" t="s">
        <v>30</v>
      </c>
      <c r="F13" s="1" t="s">
        <v>31</v>
      </c>
      <c r="G13" s="2">
        <v>44939</v>
      </c>
      <c r="H13" s="2">
        <v>44962</v>
      </c>
      <c r="I13" s="1">
        <v>46433.9</v>
      </c>
      <c r="J13" s="1">
        <v>0.54410000000000003</v>
      </c>
      <c r="K13" s="1">
        <v>25264.68</v>
      </c>
      <c r="L13" s="1">
        <v>721451</v>
      </c>
      <c r="M13" s="1">
        <v>20788</v>
      </c>
      <c r="N13" s="1">
        <v>240631.87</v>
      </c>
      <c r="O13" s="1">
        <v>2023</v>
      </c>
      <c r="P13" s="1" t="s">
        <v>56</v>
      </c>
      <c r="Q13" s="1" t="s">
        <v>40</v>
      </c>
      <c r="R13" s="1" t="s">
        <v>54</v>
      </c>
      <c r="S13" s="1">
        <f t="shared" si="0"/>
        <v>24</v>
      </c>
      <c r="T13" s="7" t="str">
        <f>_xlfn.TEXTJOIN("_",TRUE,Finance_Data!A13,Finance_Data!B13,Finance_Data!C13,Finance_Data!D13,Finance_Data!E13,Finance_Data!G13,Finance_Data!H13)</f>
        <v>CMP_044_North_India_Luxury Bag_Wholesale_44939_44962</v>
      </c>
    </row>
    <row r="14" spans="1:20" x14ac:dyDescent="0.35">
      <c r="A14" s="6" t="s">
        <v>99</v>
      </c>
      <c r="B14" s="1" t="s">
        <v>19</v>
      </c>
      <c r="C14" s="1" t="s">
        <v>69</v>
      </c>
      <c r="D14" s="1" t="s">
        <v>43</v>
      </c>
      <c r="E14" s="1" t="s">
        <v>30</v>
      </c>
      <c r="F14" s="1" t="s">
        <v>49</v>
      </c>
      <c r="G14" s="2">
        <v>44940</v>
      </c>
      <c r="H14" s="2">
        <v>44958</v>
      </c>
      <c r="I14" s="1">
        <v>33131.72</v>
      </c>
      <c r="J14" s="1">
        <v>1.1148</v>
      </c>
      <c r="K14" s="1">
        <v>36935.24</v>
      </c>
      <c r="L14" s="1">
        <v>882496</v>
      </c>
      <c r="M14" s="1">
        <v>5340</v>
      </c>
      <c r="N14" s="1">
        <v>119674.49</v>
      </c>
      <c r="O14" s="1">
        <v>2023</v>
      </c>
      <c r="P14" s="1" t="s">
        <v>56</v>
      </c>
      <c r="Q14" s="1" t="s">
        <v>40</v>
      </c>
      <c r="R14" s="1" t="s">
        <v>41</v>
      </c>
      <c r="S14" s="1">
        <f t="shared" si="0"/>
        <v>19</v>
      </c>
      <c r="T14" s="7" t="str">
        <f>_xlfn.TEXTJOIN("_",TRUE,Finance_Data!A14,Finance_Data!B14,Finance_Data!C14,Finance_Data!D14,Finance_Data!E14,Finance_Data!G14,Finance_Data!H14)</f>
        <v>CMP_041_North_USA_Luxury Bag_Wholesale_44940_44958</v>
      </c>
    </row>
    <row r="15" spans="1:20" x14ac:dyDescent="0.35">
      <c r="A15" s="6" t="s">
        <v>103</v>
      </c>
      <c r="B15" s="1" t="s">
        <v>48</v>
      </c>
      <c r="C15" s="1" t="s">
        <v>36</v>
      </c>
      <c r="D15" s="1" t="s">
        <v>59</v>
      </c>
      <c r="E15" s="1" t="s">
        <v>22</v>
      </c>
      <c r="F15" s="1" t="s">
        <v>44</v>
      </c>
      <c r="G15" s="2">
        <v>44940</v>
      </c>
      <c r="H15" s="2">
        <v>44953</v>
      </c>
      <c r="I15" s="1">
        <v>26390.37</v>
      </c>
      <c r="J15" s="1">
        <v>0.45390000000000003</v>
      </c>
      <c r="K15" s="1">
        <v>11978.59</v>
      </c>
      <c r="L15" s="1">
        <v>518453</v>
      </c>
      <c r="M15" s="1">
        <v>27100</v>
      </c>
      <c r="N15" s="1">
        <v>88376.71</v>
      </c>
      <c r="O15" s="1">
        <v>2023</v>
      </c>
      <c r="P15" s="1" t="s">
        <v>56</v>
      </c>
      <c r="Q15" s="1" t="s">
        <v>40</v>
      </c>
      <c r="R15" s="1" t="s">
        <v>61</v>
      </c>
      <c r="S15" s="1">
        <f t="shared" si="0"/>
        <v>14</v>
      </c>
      <c r="T15" s="7" t="str">
        <f>_xlfn.TEXTJOIN("_",TRUE,Finance_Data!A15,Finance_Data!B15,Finance_Data!C15,Finance_Data!D15,Finance_Data!E15,Finance_Data!G15,Finance_Data!H15)</f>
        <v>CMP_059_South_India_Lipstick_Retail_44940_44953</v>
      </c>
    </row>
    <row r="16" spans="1:20" x14ac:dyDescent="0.35">
      <c r="A16" s="6" t="s">
        <v>99</v>
      </c>
      <c r="B16" s="1" t="s">
        <v>28</v>
      </c>
      <c r="C16" s="1" t="s">
        <v>58</v>
      </c>
      <c r="D16" s="1" t="s">
        <v>51</v>
      </c>
      <c r="E16" s="1" t="s">
        <v>38</v>
      </c>
      <c r="F16" s="1" t="s">
        <v>23</v>
      </c>
      <c r="G16" s="2">
        <v>44941</v>
      </c>
      <c r="H16" s="2">
        <v>44962</v>
      </c>
      <c r="I16" s="1">
        <v>11571.4</v>
      </c>
      <c r="J16" s="1">
        <v>1.1079000000000001</v>
      </c>
      <c r="K16" s="1">
        <v>12819.95</v>
      </c>
      <c r="L16" s="1">
        <v>837630</v>
      </c>
      <c r="M16" s="1">
        <v>26181</v>
      </c>
      <c r="N16" s="1">
        <v>129119.6</v>
      </c>
      <c r="O16" s="1">
        <v>2023</v>
      </c>
      <c r="P16" s="1" t="s">
        <v>56</v>
      </c>
      <c r="Q16" s="1" t="s">
        <v>40</v>
      </c>
      <c r="R16" s="1" t="s">
        <v>61</v>
      </c>
      <c r="S16" s="1">
        <f t="shared" si="0"/>
        <v>22</v>
      </c>
      <c r="T16" s="7" t="str">
        <f>_xlfn.TEXTJOIN("_",TRUE,Finance_Data!A16,Finance_Data!B16,Finance_Data!C16,Finance_Data!D16,Finance_Data!E16,Finance_Data!G16,Finance_Data!H16)</f>
        <v>CMP_041_West_UK_Watch_Ecommerce_44941_44962</v>
      </c>
    </row>
    <row r="17" spans="1:20" x14ac:dyDescent="0.35">
      <c r="A17" s="6" t="s">
        <v>87</v>
      </c>
      <c r="B17" s="1" t="s">
        <v>28</v>
      </c>
      <c r="C17" s="1" t="s">
        <v>69</v>
      </c>
      <c r="D17" s="1" t="s">
        <v>51</v>
      </c>
      <c r="E17" s="1" t="s">
        <v>30</v>
      </c>
      <c r="F17" s="1" t="s">
        <v>44</v>
      </c>
      <c r="G17" s="2">
        <v>44943</v>
      </c>
      <c r="H17" s="2">
        <v>44982</v>
      </c>
      <c r="I17" s="1">
        <v>33208.559999999998</v>
      </c>
      <c r="J17" s="1">
        <v>1.0428999999999999</v>
      </c>
      <c r="K17" s="1">
        <v>34633.21</v>
      </c>
      <c r="L17" s="1">
        <v>994630</v>
      </c>
      <c r="M17" s="1">
        <v>38324</v>
      </c>
      <c r="N17" s="1">
        <v>31078.47</v>
      </c>
      <c r="O17" s="1">
        <v>2023</v>
      </c>
      <c r="P17" s="1" t="s">
        <v>56</v>
      </c>
      <c r="Q17" s="1" t="s">
        <v>40</v>
      </c>
      <c r="R17" s="1" t="s">
        <v>61</v>
      </c>
      <c r="S17" s="1">
        <f t="shared" si="0"/>
        <v>40</v>
      </c>
      <c r="T17" s="7" t="str">
        <f>_xlfn.TEXTJOIN("_",TRUE,Finance_Data!A17,Finance_Data!B17,Finance_Data!C17,Finance_Data!D17,Finance_Data!E17,Finance_Data!G17,Finance_Data!H17)</f>
        <v>CMP_048_West_USA_Watch_Wholesale_44943_44982</v>
      </c>
    </row>
    <row r="18" spans="1:20" x14ac:dyDescent="0.35">
      <c r="A18" s="6" t="s">
        <v>114</v>
      </c>
      <c r="B18" s="1" t="s">
        <v>35</v>
      </c>
      <c r="C18" s="1" t="s">
        <v>29</v>
      </c>
      <c r="D18" s="1" t="s">
        <v>21</v>
      </c>
      <c r="E18" s="1" t="s">
        <v>30</v>
      </c>
      <c r="F18" s="1" t="s">
        <v>52</v>
      </c>
      <c r="G18" s="2">
        <v>44943</v>
      </c>
      <c r="H18" s="2">
        <v>44964</v>
      </c>
      <c r="I18" s="1">
        <v>28112.27</v>
      </c>
      <c r="J18" s="1">
        <v>0.70499999999999996</v>
      </c>
      <c r="K18" s="1">
        <v>19819.150000000001</v>
      </c>
      <c r="L18" s="1">
        <v>764987</v>
      </c>
      <c r="M18" s="1">
        <v>27466</v>
      </c>
      <c r="N18" s="1">
        <v>77322.11</v>
      </c>
      <c r="O18" s="1">
        <v>2023</v>
      </c>
      <c r="P18" s="1" t="s">
        <v>56</v>
      </c>
      <c r="Q18" s="1" t="s">
        <v>40</v>
      </c>
      <c r="R18" s="1" t="s">
        <v>54</v>
      </c>
      <c r="S18" s="1">
        <f t="shared" si="0"/>
        <v>22</v>
      </c>
      <c r="T18" s="7" t="str">
        <f>_xlfn.TEXTJOIN("_",TRUE,Finance_Data!A18,Finance_Data!B18,Finance_Data!C18,Finance_Data!D18,Finance_Data!E18,Finance_Data!G18,Finance_Data!H18)</f>
        <v>CMP_013_East_Australia_Foundation_Wholesale_44943_44964</v>
      </c>
    </row>
    <row r="19" spans="1:20" x14ac:dyDescent="0.35">
      <c r="A19" s="6" t="s">
        <v>50</v>
      </c>
      <c r="B19" s="1" t="s">
        <v>35</v>
      </c>
      <c r="C19" s="1" t="s">
        <v>29</v>
      </c>
      <c r="D19" s="1" t="s">
        <v>51</v>
      </c>
      <c r="E19" s="1" t="s">
        <v>38</v>
      </c>
      <c r="F19" s="1" t="s">
        <v>23</v>
      </c>
      <c r="G19" s="2">
        <v>44944</v>
      </c>
      <c r="H19" s="2">
        <v>44979</v>
      </c>
      <c r="I19" s="1">
        <v>18062.29</v>
      </c>
      <c r="J19" s="1">
        <v>0.83240000000000003</v>
      </c>
      <c r="K19" s="1">
        <v>15035.05</v>
      </c>
      <c r="L19" s="1">
        <v>155766</v>
      </c>
      <c r="M19" s="1">
        <v>29062</v>
      </c>
      <c r="N19" s="1">
        <v>222982.96</v>
      </c>
      <c r="O19" s="1">
        <v>2023</v>
      </c>
      <c r="P19" s="1" t="s">
        <v>56</v>
      </c>
      <c r="Q19" s="1" t="s">
        <v>40</v>
      </c>
      <c r="R19" s="1" t="s">
        <v>26</v>
      </c>
      <c r="S19" s="1">
        <f t="shared" si="0"/>
        <v>36</v>
      </c>
      <c r="T19" s="7" t="str">
        <f>_xlfn.TEXTJOIN("_",TRUE,Finance_Data!A19,Finance_Data!B19,Finance_Data!C19,Finance_Data!D19,Finance_Data!E19,Finance_Data!G19,Finance_Data!H19)</f>
        <v>CMP_039_East_Australia_Watch_Ecommerce_44944_44979</v>
      </c>
    </row>
    <row r="20" spans="1:20" x14ac:dyDescent="0.35">
      <c r="A20" s="6" t="s">
        <v>108</v>
      </c>
      <c r="B20" s="1" t="s">
        <v>19</v>
      </c>
      <c r="C20" s="1" t="s">
        <v>36</v>
      </c>
      <c r="D20" s="1" t="s">
        <v>63</v>
      </c>
      <c r="E20" s="1" t="s">
        <v>38</v>
      </c>
      <c r="F20" s="1" t="s">
        <v>23</v>
      </c>
      <c r="G20" s="2">
        <v>44945</v>
      </c>
      <c r="H20" s="2">
        <v>44972</v>
      </c>
      <c r="I20" s="1">
        <v>44164.4</v>
      </c>
      <c r="J20" s="1">
        <v>0.43490000000000001</v>
      </c>
      <c r="K20" s="1">
        <v>19207.099999999999</v>
      </c>
      <c r="L20" s="1">
        <v>176309</v>
      </c>
      <c r="M20" s="1">
        <v>11550</v>
      </c>
      <c r="N20" s="1">
        <v>207847.43</v>
      </c>
      <c r="O20" s="1">
        <v>2023</v>
      </c>
      <c r="P20" s="1" t="s">
        <v>56</v>
      </c>
      <c r="Q20" s="1" t="s">
        <v>40</v>
      </c>
      <c r="R20" s="1" t="s">
        <v>61</v>
      </c>
      <c r="S20" s="1">
        <f t="shared" si="0"/>
        <v>28</v>
      </c>
      <c r="T20" s="7" t="str">
        <f>_xlfn.TEXTJOIN("_",TRUE,Finance_Data!A20,Finance_Data!B20,Finance_Data!C20,Finance_Data!D20,Finance_Data!E20,Finance_Data!G20,Finance_Data!H20)</f>
        <v>CMP_058_North_India_Skincare_Ecommerce_44945_44972</v>
      </c>
    </row>
    <row r="21" spans="1:20" x14ac:dyDescent="0.35">
      <c r="A21" s="6" t="s">
        <v>109</v>
      </c>
      <c r="B21" s="1" t="s">
        <v>28</v>
      </c>
      <c r="C21" s="1" t="s">
        <v>69</v>
      </c>
      <c r="D21" s="1" t="s">
        <v>37</v>
      </c>
      <c r="E21" s="1" t="s">
        <v>38</v>
      </c>
      <c r="F21" s="1" t="s">
        <v>23</v>
      </c>
      <c r="G21" s="2">
        <v>44946</v>
      </c>
      <c r="H21" s="2">
        <v>44980</v>
      </c>
      <c r="I21" s="1">
        <v>46136.959999999999</v>
      </c>
      <c r="J21" s="1">
        <v>1.0359</v>
      </c>
      <c r="K21" s="1">
        <v>47793.279999999999</v>
      </c>
      <c r="L21" s="1">
        <v>613727</v>
      </c>
      <c r="M21" s="1">
        <v>28233</v>
      </c>
      <c r="N21" s="1">
        <v>145482.92000000001</v>
      </c>
      <c r="O21" s="1">
        <v>2023</v>
      </c>
      <c r="P21" s="1" t="s">
        <v>56</v>
      </c>
      <c r="Q21" s="1" t="s">
        <v>40</v>
      </c>
      <c r="R21" s="1" t="s">
        <v>41</v>
      </c>
      <c r="S21" s="1">
        <f t="shared" si="0"/>
        <v>35</v>
      </c>
      <c r="T21" s="7" t="str">
        <f>_xlfn.TEXTJOIN("_",TRUE,Finance_Data!A21,Finance_Data!B21,Finance_Data!C21,Finance_Data!D21,Finance_Data!E21,Finance_Data!G21,Finance_Data!H21)</f>
        <v>CMP_046_West_USA_Perfume_Ecommerce_44946_44980</v>
      </c>
    </row>
    <row r="22" spans="1:20" x14ac:dyDescent="0.35">
      <c r="A22" s="6" t="s">
        <v>72</v>
      </c>
      <c r="B22" s="1" t="s">
        <v>48</v>
      </c>
      <c r="C22" s="1" t="s">
        <v>69</v>
      </c>
      <c r="D22" s="1" t="s">
        <v>43</v>
      </c>
      <c r="E22" s="1" t="s">
        <v>38</v>
      </c>
      <c r="F22" s="1" t="s">
        <v>49</v>
      </c>
      <c r="G22" s="2">
        <v>44946</v>
      </c>
      <c r="H22" s="2">
        <v>44968</v>
      </c>
      <c r="I22" s="1">
        <v>28149.69</v>
      </c>
      <c r="J22" s="1">
        <v>0.70750000000000002</v>
      </c>
      <c r="K22" s="1">
        <v>19915.91</v>
      </c>
      <c r="L22" s="1">
        <v>116440</v>
      </c>
      <c r="M22" s="1">
        <v>16242</v>
      </c>
      <c r="N22" s="1">
        <v>191929.68</v>
      </c>
      <c r="O22" s="1">
        <v>2023</v>
      </c>
      <c r="P22" s="1" t="s">
        <v>56</v>
      </c>
      <c r="Q22" s="1" t="s">
        <v>40</v>
      </c>
      <c r="R22" s="1" t="s">
        <v>26</v>
      </c>
      <c r="S22" s="1">
        <f t="shared" si="0"/>
        <v>23</v>
      </c>
      <c r="T22" s="7" t="str">
        <f>_xlfn.TEXTJOIN("_",TRUE,Finance_Data!A22,Finance_Data!B22,Finance_Data!C22,Finance_Data!D22,Finance_Data!E22,Finance_Data!G22,Finance_Data!H22)</f>
        <v>CMP_042_South_USA_Luxury Bag_Ecommerce_44946_44968</v>
      </c>
    </row>
    <row r="23" spans="1:20" x14ac:dyDescent="0.35">
      <c r="A23" s="6" t="s">
        <v>105</v>
      </c>
      <c r="B23" s="1" t="s">
        <v>19</v>
      </c>
      <c r="C23" s="1" t="s">
        <v>20</v>
      </c>
      <c r="D23" s="1" t="s">
        <v>21</v>
      </c>
      <c r="E23" s="1" t="s">
        <v>22</v>
      </c>
      <c r="F23" s="1" t="s">
        <v>49</v>
      </c>
      <c r="G23" s="2">
        <v>44948</v>
      </c>
      <c r="H23" s="2">
        <v>44956</v>
      </c>
      <c r="I23" s="1">
        <v>2291.34</v>
      </c>
      <c r="J23" s="1">
        <v>0.94040000000000001</v>
      </c>
      <c r="K23" s="1">
        <v>2154.7800000000002</v>
      </c>
      <c r="L23" s="1">
        <v>215703</v>
      </c>
      <c r="M23" s="1">
        <v>35108</v>
      </c>
      <c r="N23" s="1">
        <v>153994.03</v>
      </c>
      <c r="O23" s="1">
        <v>2023</v>
      </c>
      <c r="P23" s="1" t="s">
        <v>56</v>
      </c>
      <c r="Q23" s="1" t="s">
        <v>40</v>
      </c>
      <c r="R23" s="1" t="s">
        <v>54</v>
      </c>
      <c r="S23" s="1">
        <f t="shared" si="0"/>
        <v>9</v>
      </c>
      <c r="T23" s="7" t="str">
        <f>_xlfn.TEXTJOIN("_",TRUE,Finance_Data!A23,Finance_Data!B23,Finance_Data!C23,Finance_Data!D23,Finance_Data!E23,Finance_Data!G23,Finance_Data!H23)</f>
        <v>CMP_025_North_Singapore_Foundation_Retail_44948_44956</v>
      </c>
    </row>
    <row r="24" spans="1:20" x14ac:dyDescent="0.35">
      <c r="A24" s="6" t="s">
        <v>114</v>
      </c>
      <c r="B24" s="1" t="s">
        <v>35</v>
      </c>
      <c r="C24" s="1" t="s">
        <v>29</v>
      </c>
      <c r="D24" s="1" t="s">
        <v>37</v>
      </c>
      <c r="E24" s="1" t="s">
        <v>38</v>
      </c>
      <c r="F24" s="1" t="s">
        <v>44</v>
      </c>
      <c r="G24" s="2">
        <v>44950</v>
      </c>
      <c r="H24" s="2">
        <v>44990</v>
      </c>
      <c r="I24" s="1">
        <v>32708.23</v>
      </c>
      <c r="J24" s="1">
        <v>0.75570000000000004</v>
      </c>
      <c r="K24" s="1">
        <v>24717.61</v>
      </c>
      <c r="L24" s="1">
        <v>960895</v>
      </c>
      <c r="M24" s="1">
        <v>5931</v>
      </c>
      <c r="N24" s="1">
        <v>243661.26</v>
      </c>
      <c r="O24" s="1">
        <v>2023</v>
      </c>
      <c r="P24" s="1" t="s">
        <v>56</v>
      </c>
      <c r="Q24" s="1" t="s">
        <v>40</v>
      </c>
      <c r="R24" s="1" t="s">
        <v>54</v>
      </c>
      <c r="S24" s="1">
        <f t="shared" si="0"/>
        <v>41</v>
      </c>
      <c r="T24" s="7" t="str">
        <f>_xlfn.TEXTJOIN("_",TRUE,Finance_Data!A24,Finance_Data!B24,Finance_Data!C24,Finance_Data!D24,Finance_Data!E24,Finance_Data!G24,Finance_Data!H24)</f>
        <v>CMP_013_East_Australia_Perfume_Ecommerce_44950_44990</v>
      </c>
    </row>
    <row r="25" spans="1:20" x14ac:dyDescent="0.35">
      <c r="A25" s="6" t="s">
        <v>70</v>
      </c>
      <c r="B25" s="1" t="s">
        <v>35</v>
      </c>
      <c r="C25" s="1" t="s">
        <v>29</v>
      </c>
      <c r="D25" s="1" t="s">
        <v>63</v>
      </c>
      <c r="E25" s="1" t="s">
        <v>30</v>
      </c>
      <c r="F25" s="1" t="s">
        <v>23</v>
      </c>
      <c r="G25" s="2">
        <v>44952</v>
      </c>
      <c r="H25" s="2">
        <v>44990</v>
      </c>
      <c r="I25" s="1">
        <v>41283.339999999997</v>
      </c>
      <c r="J25" s="1">
        <v>0.45619999999999999</v>
      </c>
      <c r="K25" s="1">
        <v>18833.46</v>
      </c>
      <c r="L25" s="1">
        <v>851814</v>
      </c>
      <c r="M25" s="1">
        <v>33440</v>
      </c>
      <c r="N25" s="1">
        <v>114161.44</v>
      </c>
      <c r="O25" s="1">
        <v>2023</v>
      </c>
      <c r="P25" s="1" t="s">
        <v>56</v>
      </c>
      <c r="Q25" s="1" t="s">
        <v>40</v>
      </c>
      <c r="R25" s="1" t="s">
        <v>26</v>
      </c>
      <c r="S25" s="1">
        <f t="shared" si="0"/>
        <v>39</v>
      </c>
      <c r="T25" s="7" t="str">
        <f>_xlfn.TEXTJOIN("_",TRUE,Finance_Data!A25,Finance_Data!B25,Finance_Data!C25,Finance_Data!D25,Finance_Data!E25,Finance_Data!G25,Finance_Data!H25)</f>
        <v>CMP_003_East_Australia_Skincare_Wholesale_44952_44990</v>
      </c>
    </row>
    <row r="26" spans="1:20" x14ac:dyDescent="0.35">
      <c r="A26" s="6" t="s">
        <v>96</v>
      </c>
      <c r="B26" s="1" t="s">
        <v>19</v>
      </c>
      <c r="C26" s="1" t="s">
        <v>69</v>
      </c>
      <c r="D26" s="1" t="s">
        <v>51</v>
      </c>
      <c r="E26" s="1" t="s">
        <v>22</v>
      </c>
      <c r="F26" s="1" t="s">
        <v>31</v>
      </c>
      <c r="G26" s="2">
        <v>44953</v>
      </c>
      <c r="H26" s="2">
        <v>44996</v>
      </c>
      <c r="I26" s="1">
        <v>13127.39</v>
      </c>
      <c r="J26" s="1">
        <v>0.33139999999999997</v>
      </c>
      <c r="K26" s="1">
        <v>4350.42</v>
      </c>
      <c r="L26" s="1">
        <v>567286</v>
      </c>
      <c r="M26" s="1">
        <v>7308</v>
      </c>
      <c r="N26" s="1">
        <v>172574.92</v>
      </c>
      <c r="O26" s="1">
        <v>2023</v>
      </c>
      <c r="P26" s="1" t="s">
        <v>56</v>
      </c>
      <c r="Q26" s="1" t="s">
        <v>40</v>
      </c>
      <c r="R26" s="1" t="s">
        <v>41</v>
      </c>
      <c r="S26" s="1">
        <f t="shared" si="0"/>
        <v>44</v>
      </c>
      <c r="T26" s="7" t="str">
        <f>_xlfn.TEXTJOIN("_",TRUE,Finance_Data!A26,Finance_Data!B26,Finance_Data!C26,Finance_Data!D26,Finance_Data!E26,Finance_Data!G26,Finance_Data!H26)</f>
        <v>CMP_027_North_USA_Watch_Retail_44953_44996</v>
      </c>
    </row>
    <row r="27" spans="1:20" x14ac:dyDescent="0.35">
      <c r="A27" s="6" t="s">
        <v>81</v>
      </c>
      <c r="B27" s="1" t="s">
        <v>19</v>
      </c>
      <c r="C27" s="1" t="s">
        <v>36</v>
      </c>
      <c r="D27" s="1" t="s">
        <v>63</v>
      </c>
      <c r="E27" s="1" t="s">
        <v>38</v>
      </c>
      <c r="F27" s="1" t="s">
        <v>49</v>
      </c>
      <c r="G27" s="2">
        <v>44953</v>
      </c>
      <c r="H27" s="2">
        <v>44981</v>
      </c>
      <c r="I27" s="1">
        <v>28147.05</v>
      </c>
      <c r="J27" s="1">
        <v>0.44900000000000001</v>
      </c>
      <c r="K27" s="1">
        <v>12638.03</v>
      </c>
      <c r="L27" s="1">
        <v>852700</v>
      </c>
      <c r="M27" s="1">
        <v>36252</v>
      </c>
      <c r="N27" s="1">
        <v>36793.949999999997</v>
      </c>
      <c r="O27" s="1">
        <v>2023</v>
      </c>
      <c r="P27" s="1" t="s">
        <v>56</v>
      </c>
      <c r="Q27" s="1" t="s">
        <v>40</v>
      </c>
      <c r="R27" s="1" t="s">
        <v>54</v>
      </c>
      <c r="S27" s="1">
        <f t="shared" si="0"/>
        <v>29</v>
      </c>
      <c r="T27" s="7" t="str">
        <f>_xlfn.TEXTJOIN("_",TRUE,Finance_Data!A27,Finance_Data!B27,Finance_Data!C27,Finance_Data!D27,Finance_Data!E27,Finance_Data!G27,Finance_Data!H27)</f>
        <v>CMP_057_North_India_Skincare_Ecommerce_44953_44981</v>
      </c>
    </row>
    <row r="28" spans="1:20" x14ac:dyDescent="0.35">
      <c r="A28" s="6" t="s">
        <v>102</v>
      </c>
      <c r="B28" s="1" t="s">
        <v>48</v>
      </c>
      <c r="C28" s="1" t="s">
        <v>20</v>
      </c>
      <c r="D28" s="1" t="s">
        <v>21</v>
      </c>
      <c r="E28" s="1" t="s">
        <v>22</v>
      </c>
      <c r="F28" s="1" t="s">
        <v>44</v>
      </c>
      <c r="G28" s="2">
        <v>44953</v>
      </c>
      <c r="H28" s="2">
        <v>44967</v>
      </c>
      <c r="I28" s="1">
        <v>39735</v>
      </c>
      <c r="J28" s="1">
        <v>1.0105</v>
      </c>
      <c r="K28" s="1">
        <v>40152.22</v>
      </c>
      <c r="L28" s="1">
        <v>554172</v>
      </c>
      <c r="M28" s="1">
        <v>48678</v>
      </c>
      <c r="N28" s="1">
        <v>151986.69</v>
      </c>
      <c r="O28" s="1">
        <v>2023</v>
      </c>
      <c r="P28" s="1" t="s">
        <v>56</v>
      </c>
      <c r="Q28" s="1" t="s">
        <v>40</v>
      </c>
      <c r="R28" s="1" t="s">
        <v>54</v>
      </c>
      <c r="S28" s="1">
        <f t="shared" si="0"/>
        <v>15</v>
      </c>
      <c r="T28" s="7" t="str">
        <f>_xlfn.TEXTJOIN("_",TRUE,Finance_Data!A28,Finance_Data!B28,Finance_Data!C28,Finance_Data!D28,Finance_Data!E28,Finance_Data!G28,Finance_Data!H28)</f>
        <v>CMP_022_South_Singapore_Foundation_Retail_44953_44967</v>
      </c>
    </row>
    <row r="29" spans="1:20" x14ac:dyDescent="0.35">
      <c r="A29" s="6" t="s">
        <v>72</v>
      </c>
      <c r="B29" s="1" t="s">
        <v>48</v>
      </c>
      <c r="C29" s="1" t="s">
        <v>29</v>
      </c>
      <c r="D29" s="1" t="s">
        <v>63</v>
      </c>
      <c r="E29" s="1" t="s">
        <v>30</v>
      </c>
      <c r="F29" s="1" t="s">
        <v>49</v>
      </c>
      <c r="G29" s="2">
        <v>44955</v>
      </c>
      <c r="H29" s="2">
        <v>44984</v>
      </c>
      <c r="I29" s="1">
        <v>3432.9</v>
      </c>
      <c r="J29" s="1">
        <v>1.026</v>
      </c>
      <c r="K29" s="1">
        <v>3522.16</v>
      </c>
      <c r="L29" s="1">
        <v>827711</v>
      </c>
      <c r="M29" s="1">
        <v>14145</v>
      </c>
      <c r="N29" s="1">
        <v>214992.24</v>
      </c>
      <c r="O29" s="1">
        <v>2023</v>
      </c>
      <c r="P29" s="1" t="s">
        <v>56</v>
      </c>
      <c r="Q29" s="1" t="s">
        <v>40</v>
      </c>
      <c r="R29" s="1" t="s">
        <v>26</v>
      </c>
      <c r="S29" s="1">
        <f t="shared" si="0"/>
        <v>30</v>
      </c>
      <c r="T29" s="7" t="str">
        <f>_xlfn.TEXTJOIN("_",TRUE,Finance_Data!A29,Finance_Data!B29,Finance_Data!C29,Finance_Data!D29,Finance_Data!E29,Finance_Data!G29,Finance_Data!H29)</f>
        <v>CMP_042_South_Australia_Skincare_Wholesale_44955_44984</v>
      </c>
    </row>
    <row r="30" spans="1:20" x14ac:dyDescent="0.35">
      <c r="A30" s="6" t="s">
        <v>78</v>
      </c>
      <c r="B30" s="1" t="s">
        <v>35</v>
      </c>
      <c r="C30" s="1" t="s">
        <v>58</v>
      </c>
      <c r="D30" s="1" t="s">
        <v>59</v>
      </c>
      <c r="E30" s="1" t="s">
        <v>22</v>
      </c>
      <c r="F30" s="1" t="s">
        <v>49</v>
      </c>
      <c r="G30" s="2">
        <v>44956</v>
      </c>
      <c r="H30" s="2">
        <v>44991</v>
      </c>
      <c r="I30" s="1">
        <v>33432.39</v>
      </c>
      <c r="J30" s="1">
        <v>0.54859999999999998</v>
      </c>
      <c r="K30" s="1">
        <v>18341.009999999998</v>
      </c>
      <c r="L30" s="1">
        <v>288479</v>
      </c>
      <c r="M30" s="1">
        <v>7854</v>
      </c>
      <c r="N30" s="1">
        <v>232097.29</v>
      </c>
      <c r="O30" s="1">
        <v>2023</v>
      </c>
      <c r="P30" s="1" t="s">
        <v>56</v>
      </c>
      <c r="Q30" s="1" t="s">
        <v>40</v>
      </c>
      <c r="R30" s="1" t="s">
        <v>54</v>
      </c>
      <c r="S30" s="1">
        <f t="shared" si="0"/>
        <v>36</v>
      </c>
      <c r="T30" s="7" t="str">
        <f>_xlfn.TEXTJOIN("_",TRUE,Finance_Data!A30,Finance_Data!B30,Finance_Data!C30,Finance_Data!D30,Finance_Data!E30,Finance_Data!G30,Finance_Data!H30)</f>
        <v>CMP_006_East_UK_Lipstick_Retail_44956_44991</v>
      </c>
    </row>
    <row r="31" spans="1:20" x14ac:dyDescent="0.35">
      <c r="A31" s="6" t="s">
        <v>91</v>
      </c>
      <c r="B31" s="1" t="s">
        <v>48</v>
      </c>
      <c r="C31" s="1" t="s">
        <v>20</v>
      </c>
      <c r="D31" s="1" t="s">
        <v>43</v>
      </c>
      <c r="E31" s="1" t="s">
        <v>22</v>
      </c>
      <c r="F31" s="1" t="s">
        <v>49</v>
      </c>
      <c r="G31" s="2">
        <v>44956</v>
      </c>
      <c r="H31" s="2">
        <v>44985</v>
      </c>
      <c r="I31" s="1">
        <v>17470.349999999999</v>
      </c>
      <c r="J31" s="1">
        <v>0.81820000000000004</v>
      </c>
      <c r="K31" s="1">
        <v>14294.24</v>
      </c>
      <c r="L31" s="1">
        <v>433956</v>
      </c>
      <c r="M31" s="1">
        <v>47559</v>
      </c>
      <c r="N31" s="1">
        <v>45435.96</v>
      </c>
      <c r="O31" s="1">
        <v>2023</v>
      </c>
      <c r="P31" s="1" t="s">
        <v>56</v>
      </c>
      <c r="Q31" s="1" t="s">
        <v>40</v>
      </c>
      <c r="R31" s="1" t="s">
        <v>26</v>
      </c>
      <c r="S31" s="1">
        <f t="shared" si="0"/>
        <v>30</v>
      </c>
      <c r="T31" s="7" t="str">
        <f>_xlfn.TEXTJOIN("_",TRUE,Finance_Data!A31,Finance_Data!B31,Finance_Data!C31,Finance_Data!D31,Finance_Data!E31,Finance_Data!G31,Finance_Data!H31)</f>
        <v>CMP_030_South_Singapore_Luxury Bag_Retail_44956_44985</v>
      </c>
    </row>
    <row r="32" spans="1:20" x14ac:dyDescent="0.35">
      <c r="A32" s="6" t="s">
        <v>72</v>
      </c>
      <c r="B32" s="1" t="s">
        <v>28</v>
      </c>
      <c r="C32" s="1" t="s">
        <v>36</v>
      </c>
      <c r="D32" s="1" t="s">
        <v>21</v>
      </c>
      <c r="E32" s="1" t="s">
        <v>30</v>
      </c>
      <c r="F32" s="1" t="s">
        <v>49</v>
      </c>
      <c r="G32" s="2">
        <v>44961</v>
      </c>
      <c r="H32" s="2">
        <v>44973</v>
      </c>
      <c r="I32" s="1">
        <v>12801.92</v>
      </c>
      <c r="J32" s="1">
        <v>0.59150000000000003</v>
      </c>
      <c r="K32" s="1">
        <v>7572.34</v>
      </c>
      <c r="L32" s="1">
        <v>731403</v>
      </c>
      <c r="M32" s="1">
        <v>39169</v>
      </c>
      <c r="N32" s="1">
        <v>238866.06</v>
      </c>
      <c r="O32" s="1">
        <v>2023</v>
      </c>
      <c r="P32" s="1" t="s">
        <v>39</v>
      </c>
      <c r="Q32" s="1" t="s">
        <v>40</v>
      </c>
      <c r="R32" s="1" t="s">
        <v>41</v>
      </c>
      <c r="S32" s="1">
        <f t="shared" si="0"/>
        <v>13</v>
      </c>
      <c r="T32" s="7" t="str">
        <f>_xlfn.TEXTJOIN("_",TRUE,Finance_Data!A32,Finance_Data!B32,Finance_Data!C32,Finance_Data!D32,Finance_Data!E32,Finance_Data!G32,Finance_Data!H32)</f>
        <v>CMP_042_West_India_Foundation_Wholesale_44961_44973</v>
      </c>
    </row>
    <row r="33" spans="1:20" x14ac:dyDescent="0.35">
      <c r="A33" s="6" t="s">
        <v>103</v>
      </c>
      <c r="B33" s="1" t="s">
        <v>19</v>
      </c>
      <c r="C33" s="1" t="s">
        <v>36</v>
      </c>
      <c r="D33" s="1" t="s">
        <v>37</v>
      </c>
      <c r="E33" s="1" t="s">
        <v>38</v>
      </c>
      <c r="F33" s="1" t="s">
        <v>52</v>
      </c>
      <c r="G33" s="2">
        <v>44964</v>
      </c>
      <c r="H33" s="2">
        <v>44978</v>
      </c>
      <c r="I33" s="1">
        <v>42837.64</v>
      </c>
      <c r="J33" s="1">
        <v>0.80369999999999997</v>
      </c>
      <c r="K33" s="1">
        <v>34428.61</v>
      </c>
      <c r="L33" s="1">
        <v>888721</v>
      </c>
      <c r="M33" s="1">
        <v>39636</v>
      </c>
      <c r="N33" s="1">
        <v>78118.179999999993</v>
      </c>
      <c r="O33" s="1">
        <v>2023</v>
      </c>
      <c r="P33" s="1" t="s">
        <v>39</v>
      </c>
      <c r="Q33" s="1" t="s">
        <v>40</v>
      </c>
      <c r="R33" s="1" t="s">
        <v>61</v>
      </c>
      <c r="S33" s="1">
        <f t="shared" si="0"/>
        <v>15</v>
      </c>
      <c r="T33" s="7" t="str">
        <f>_xlfn.TEXTJOIN("_",TRUE,Finance_Data!A33,Finance_Data!B33,Finance_Data!C33,Finance_Data!D33,Finance_Data!E33,Finance_Data!G33,Finance_Data!H33)</f>
        <v>CMP_059_North_India_Perfume_Ecommerce_44964_44978</v>
      </c>
    </row>
    <row r="34" spans="1:20" x14ac:dyDescent="0.35">
      <c r="A34" s="6" t="s">
        <v>86</v>
      </c>
      <c r="B34" s="1" t="s">
        <v>48</v>
      </c>
      <c r="C34" s="1" t="s">
        <v>69</v>
      </c>
      <c r="D34" s="1" t="s">
        <v>37</v>
      </c>
      <c r="E34" s="1" t="s">
        <v>30</v>
      </c>
      <c r="F34" s="1" t="s">
        <v>49</v>
      </c>
      <c r="G34" s="2">
        <v>44965</v>
      </c>
      <c r="H34" s="2">
        <v>45024</v>
      </c>
      <c r="I34" s="1">
        <v>37746.81</v>
      </c>
      <c r="J34" s="1">
        <v>0.53539999999999999</v>
      </c>
      <c r="K34" s="1">
        <v>20209.64</v>
      </c>
      <c r="L34" s="1">
        <v>402505</v>
      </c>
      <c r="M34" s="1">
        <v>39849</v>
      </c>
      <c r="N34" s="1">
        <v>159667.04</v>
      </c>
      <c r="O34" s="1">
        <v>2023</v>
      </c>
      <c r="P34" s="1" t="s">
        <v>39</v>
      </c>
      <c r="Q34" s="1" t="s">
        <v>40</v>
      </c>
      <c r="R34" s="1" t="s">
        <v>54</v>
      </c>
      <c r="S34" s="1">
        <f t="shared" si="0"/>
        <v>60</v>
      </c>
      <c r="T34" s="7" t="str">
        <f>_xlfn.TEXTJOIN("_",TRUE,Finance_Data!A34,Finance_Data!B34,Finance_Data!C34,Finance_Data!D34,Finance_Data!E34,Finance_Data!G34,Finance_Data!H34)</f>
        <v>CMP_002_South_USA_Perfume_Wholesale_44965_45024</v>
      </c>
    </row>
    <row r="35" spans="1:20" x14ac:dyDescent="0.35">
      <c r="A35" s="6" t="s">
        <v>104</v>
      </c>
      <c r="B35" s="1" t="s">
        <v>48</v>
      </c>
      <c r="C35" s="1" t="s">
        <v>36</v>
      </c>
      <c r="D35" s="1" t="s">
        <v>51</v>
      </c>
      <c r="E35" s="1" t="s">
        <v>22</v>
      </c>
      <c r="F35" s="1" t="s">
        <v>52</v>
      </c>
      <c r="G35" s="2">
        <v>44965</v>
      </c>
      <c r="H35" s="2">
        <v>45004</v>
      </c>
      <c r="I35" s="1">
        <v>10771.3</v>
      </c>
      <c r="J35" s="1">
        <v>0.45400000000000001</v>
      </c>
      <c r="K35" s="1">
        <v>4890.17</v>
      </c>
      <c r="L35" s="1">
        <v>24760</v>
      </c>
      <c r="M35" s="1">
        <v>21216</v>
      </c>
      <c r="N35" s="1">
        <v>190427.7</v>
      </c>
      <c r="O35" s="1">
        <v>2023</v>
      </c>
      <c r="P35" s="1" t="s">
        <v>39</v>
      </c>
      <c r="Q35" s="1" t="s">
        <v>40</v>
      </c>
      <c r="R35" s="1" t="s">
        <v>61</v>
      </c>
      <c r="S35" s="1">
        <f t="shared" si="0"/>
        <v>40</v>
      </c>
      <c r="T35" s="7" t="str">
        <f>_xlfn.TEXTJOIN("_",TRUE,Finance_Data!A35,Finance_Data!B35,Finance_Data!C35,Finance_Data!D35,Finance_Data!E35,Finance_Data!G35,Finance_Data!H35)</f>
        <v>CMP_034_South_India_Watch_Retail_44965_45004</v>
      </c>
    </row>
    <row r="36" spans="1:20" x14ac:dyDescent="0.35">
      <c r="A36" s="6" t="s">
        <v>89</v>
      </c>
      <c r="B36" s="1" t="s">
        <v>28</v>
      </c>
      <c r="C36" s="1" t="s">
        <v>20</v>
      </c>
      <c r="D36" s="1" t="s">
        <v>37</v>
      </c>
      <c r="E36" s="1" t="s">
        <v>38</v>
      </c>
      <c r="F36" s="1" t="s">
        <v>49</v>
      </c>
      <c r="G36" s="2">
        <v>44965</v>
      </c>
      <c r="H36" s="2">
        <v>44999</v>
      </c>
      <c r="I36" s="1">
        <v>33230.620000000003</v>
      </c>
      <c r="J36" s="1">
        <v>0.51270000000000004</v>
      </c>
      <c r="K36" s="1">
        <v>17037.34</v>
      </c>
      <c r="L36" s="1">
        <v>549764</v>
      </c>
      <c r="M36" s="1">
        <v>27701</v>
      </c>
      <c r="N36" s="1">
        <v>70321.63</v>
      </c>
      <c r="O36" s="1">
        <v>2023</v>
      </c>
      <c r="P36" s="1" t="s">
        <v>39</v>
      </c>
      <c r="Q36" s="1" t="s">
        <v>40</v>
      </c>
      <c r="R36" s="1" t="s">
        <v>54</v>
      </c>
      <c r="S36" s="1">
        <f t="shared" si="0"/>
        <v>35</v>
      </c>
      <c r="T36" s="7" t="str">
        <f>_xlfn.TEXTJOIN("_",TRUE,Finance_Data!A36,Finance_Data!B36,Finance_Data!C36,Finance_Data!D36,Finance_Data!E36,Finance_Data!G36,Finance_Data!H36)</f>
        <v>CMP_045_West_Singapore_Perfume_Ecommerce_44965_44999</v>
      </c>
    </row>
    <row r="37" spans="1:20" x14ac:dyDescent="0.35">
      <c r="A37" s="6" t="s">
        <v>70</v>
      </c>
      <c r="B37" s="1" t="s">
        <v>28</v>
      </c>
      <c r="C37" s="1" t="s">
        <v>69</v>
      </c>
      <c r="D37" s="1" t="s">
        <v>51</v>
      </c>
      <c r="E37" s="1" t="s">
        <v>22</v>
      </c>
      <c r="F37" s="1" t="s">
        <v>23</v>
      </c>
      <c r="G37" s="2">
        <v>44965</v>
      </c>
      <c r="H37" s="2">
        <v>44981</v>
      </c>
      <c r="I37" s="1">
        <v>14495.29</v>
      </c>
      <c r="J37" s="1">
        <v>0.1812</v>
      </c>
      <c r="K37" s="1">
        <v>2626.55</v>
      </c>
      <c r="L37" s="1">
        <v>648221</v>
      </c>
      <c r="M37" s="1">
        <v>44717</v>
      </c>
      <c r="N37" s="1">
        <v>174947.01</v>
      </c>
      <c r="O37" s="1">
        <v>2023</v>
      </c>
      <c r="P37" s="1" t="s">
        <v>39</v>
      </c>
      <c r="Q37" s="1" t="s">
        <v>40</v>
      </c>
      <c r="R37" s="1" t="s">
        <v>54</v>
      </c>
      <c r="S37" s="1">
        <f t="shared" si="0"/>
        <v>17</v>
      </c>
      <c r="T37" s="7" t="str">
        <f>_xlfn.TEXTJOIN("_",TRUE,Finance_Data!A37,Finance_Data!B37,Finance_Data!C37,Finance_Data!D37,Finance_Data!E37,Finance_Data!G37,Finance_Data!H37)</f>
        <v>CMP_003_West_USA_Watch_Retail_44965_44981</v>
      </c>
    </row>
    <row r="38" spans="1:20" x14ac:dyDescent="0.35">
      <c r="A38" s="6" t="s">
        <v>113</v>
      </c>
      <c r="B38" s="1" t="s">
        <v>48</v>
      </c>
      <c r="C38" s="1" t="s">
        <v>36</v>
      </c>
      <c r="D38" s="1" t="s">
        <v>21</v>
      </c>
      <c r="E38" s="1" t="s">
        <v>22</v>
      </c>
      <c r="F38" s="1" t="s">
        <v>23</v>
      </c>
      <c r="G38" s="2">
        <v>44966</v>
      </c>
      <c r="H38" s="2">
        <v>44994</v>
      </c>
      <c r="I38" s="1">
        <v>2413.0100000000002</v>
      </c>
      <c r="J38" s="1">
        <v>1.0742</v>
      </c>
      <c r="K38" s="1">
        <v>2592.06</v>
      </c>
      <c r="L38" s="1">
        <v>170633</v>
      </c>
      <c r="M38" s="1">
        <v>46344</v>
      </c>
      <c r="N38" s="1">
        <v>185368.06</v>
      </c>
      <c r="O38" s="1">
        <v>2023</v>
      </c>
      <c r="P38" s="1" t="s">
        <v>39</v>
      </c>
      <c r="Q38" s="1" t="s">
        <v>40</v>
      </c>
      <c r="R38" s="1" t="s">
        <v>54</v>
      </c>
      <c r="S38" s="1">
        <f t="shared" si="0"/>
        <v>29</v>
      </c>
      <c r="T38" s="7" t="str">
        <f>_xlfn.TEXTJOIN("_",TRUE,Finance_Data!A38,Finance_Data!B38,Finance_Data!C38,Finance_Data!D38,Finance_Data!E38,Finance_Data!G38,Finance_Data!H38)</f>
        <v>CMP_056_South_India_Foundation_Retail_44966_44994</v>
      </c>
    </row>
    <row r="39" spans="1:20" x14ac:dyDescent="0.35">
      <c r="A39" s="6" t="s">
        <v>119</v>
      </c>
      <c r="B39" s="1" t="s">
        <v>19</v>
      </c>
      <c r="C39" s="1" t="s">
        <v>36</v>
      </c>
      <c r="D39" s="1" t="s">
        <v>43</v>
      </c>
      <c r="E39" s="1" t="s">
        <v>30</v>
      </c>
      <c r="F39" s="1" t="s">
        <v>31</v>
      </c>
      <c r="G39" s="2">
        <v>44969</v>
      </c>
      <c r="H39" s="2">
        <v>45011</v>
      </c>
      <c r="I39" s="1">
        <v>48448.18</v>
      </c>
      <c r="J39" s="1">
        <v>1.0620000000000001</v>
      </c>
      <c r="K39" s="1">
        <v>51451.97</v>
      </c>
      <c r="L39" s="1">
        <v>867115</v>
      </c>
      <c r="M39" s="1">
        <v>12580</v>
      </c>
      <c r="N39" s="1">
        <v>52267.24</v>
      </c>
      <c r="O39" s="1">
        <v>2023</v>
      </c>
      <c r="P39" s="1" t="s">
        <v>39</v>
      </c>
      <c r="Q39" s="1" t="s">
        <v>40</v>
      </c>
      <c r="R39" s="1" t="s">
        <v>41</v>
      </c>
      <c r="S39" s="1">
        <f t="shared" si="0"/>
        <v>43</v>
      </c>
      <c r="T39" s="7" t="str">
        <f>_xlfn.TEXTJOIN("_",TRUE,Finance_Data!A39,Finance_Data!B39,Finance_Data!C39,Finance_Data!D39,Finance_Data!E39,Finance_Data!G39,Finance_Data!H39)</f>
        <v>CMP_029_North_India_Luxury Bag_Wholesale_44969_45011</v>
      </c>
    </row>
    <row r="40" spans="1:20" x14ac:dyDescent="0.35">
      <c r="A40" s="6" t="s">
        <v>87</v>
      </c>
      <c r="B40" s="1" t="s">
        <v>35</v>
      </c>
      <c r="C40" s="1" t="s">
        <v>29</v>
      </c>
      <c r="D40" s="1" t="s">
        <v>21</v>
      </c>
      <c r="E40" s="1" t="s">
        <v>30</v>
      </c>
      <c r="F40" s="1" t="s">
        <v>44</v>
      </c>
      <c r="G40" s="2">
        <v>44969</v>
      </c>
      <c r="H40" s="2">
        <v>44974</v>
      </c>
      <c r="I40" s="1">
        <v>29063.21</v>
      </c>
      <c r="J40" s="1">
        <v>0.47899999999999998</v>
      </c>
      <c r="K40" s="1">
        <v>13921.28</v>
      </c>
      <c r="L40" s="1">
        <v>584122</v>
      </c>
      <c r="M40" s="1">
        <v>5678</v>
      </c>
      <c r="N40" s="1">
        <v>79649.33</v>
      </c>
      <c r="O40" s="1">
        <v>2023</v>
      </c>
      <c r="P40" s="1" t="s">
        <v>39</v>
      </c>
      <c r="Q40" s="1" t="s">
        <v>40</v>
      </c>
      <c r="R40" s="1" t="s">
        <v>61</v>
      </c>
      <c r="S40" s="1">
        <f t="shared" si="0"/>
        <v>6</v>
      </c>
      <c r="T40" s="7" t="str">
        <f>_xlfn.TEXTJOIN("_",TRUE,Finance_Data!A40,Finance_Data!B40,Finance_Data!C40,Finance_Data!D40,Finance_Data!E40,Finance_Data!G40,Finance_Data!H40)</f>
        <v>CMP_048_East_Australia_Foundation_Wholesale_44969_44974</v>
      </c>
    </row>
    <row r="41" spans="1:20" x14ac:dyDescent="0.35">
      <c r="A41" s="6" t="s">
        <v>91</v>
      </c>
      <c r="B41" s="1" t="s">
        <v>48</v>
      </c>
      <c r="C41" s="1" t="s">
        <v>36</v>
      </c>
      <c r="D41" s="1" t="s">
        <v>37</v>
      </c>
      <c r="E41" s="1" t="s">
        <v>22</v>
      </c>
      <c r="F41" s="1" t="s">
        <v>31</v>
      </c>
      <c r="G41" s="2">
        <v>44970</v>
      </c>
      <c r="H41" s="2">
        <v>45027</v>
      </c>
      <c r="I41" s="1">
        <v>41486.17</v>
      </c>
      <c r="J41" s="1">
        <v>1.0032000000000001</v>
      </c>
      <c r="K41" s="1">
        <v>41618.93</v>
      </c>
      <c r="L41" s="1">
        <v>328677</v>
      </c>
      <c r="M41" s="1">
        <v>32481</v>
      </c>
      <c r="N41" s="1">
        <v>142023.85999999999</v>
      </c>
      <c r="O41" s="1">
        <v>2023</v>
      </c>
      <c r="P41" s="1" t="s">
        <v>39</v>
      </c>
      <c r="Q41" s="1" t="s">
        <v>40</v>
      </c>
      <c r="R41" s="1" t="s">
        <v>41</v>
      </c>
      <c r="S41" s="1">
        <f t="shared" si="0"/>
        <v>58</v>
      </c>
      <c r="T41" s="7" t="str">
        <f>_xlfn.TEXTJOIN("_",TRUE,Finance_Data!A41,Finance_Data!B41,Finance_Data!C41,Finance_Data!D41,Finance_Data!E41,Finance_Data!G41,Finance_Data!H41)</f>
        <v>CMP_030_South_India_Perfume_Retail_44970_45027</v>
      </c>
    </row>
    <row r="42" spans="1:20" x14ac:dyDescent="0.35">
      <c r="A42" s="6" t="s">
        <v>94</v>
      </c>
      <c r="B42" s="1" t="s">
        <v>48</v>
      </c>
      <c r="C42" s="1" t="s">
        <v>69</v>
      </c>
      <c r="D42" s="1" t="s">
        <v>37</v>
      </c>
      <c r="E42" s="1" t="s">
        <v>30</v>
      </c>
      <c r="F42" s="1" t="s">
        <v>31</v>
      </c>
      <c r="G42" s="2">
        <v>44971</v>
      </c>
      <c r="H42" s="2">
        <v>44980</v>
      </c>
      <c r="I42" s="1">
        <v>44387.54</v>
      </c>
      <c r="J42" s="1">
        <v>0.49919999999999998</v>
      </c>
      <c r="K42" s="1">
        <v>22158.26</v>
      </c>
      <c r="L42" s="1">
        <v>814829</v>
      </c>
      <c r="M42" s="1">
        <v>39347</v>
      </c>
      <c r="N42" s="1">
        <v>127396.13</v>
      </c>
      <c r="O42" s="1">
        <v>2023</v>
      </c>
      <c r="P42" s="1" t="s">
        <v>39</v>
      </c>
      <c r="Q42" s="1" t="s">
        <v>40</v>
      </c>
      <c r="R42" s="1" t="s">
        <v>54</v>
      </c>
      <c r="S42" s="1">
        <f t="shared" si="0"/>
        <v>10</v>
      </c>
      <c r="T42" s="7" t="str">
        <f>_xlfn.TEXTJOIN("_",TRUE,Finance_Data!A42,Finance_Data!B42,Finance_Data!C42,Finance_Data!D42,Finance_Data!E42,Finance_Data!G42,Finance_Data!H42)</f>
        <v>CMP_007_South_USA_Perfume_Wholesale_44971_44980</v>
      </c>
    </row>
    <row r="43" spans="1:20" x14ac:dyDescent="0.35">
      <c r="A43" s="6" t="s">
        <v>84</v>
      </c>
      <c r="B43" s="1" t="s">
        <v>28</v>
      </c>
      <c r="C43" s="1" t="s">
        <v>20</v>
      </c>
      <c r="D43" s="1" t="s">
        <v>37</v>
      </c>
      <c r="E43" s="1" t="s">
        <v>22</v>
      </c>
      <c r="F43" s="1" t="s">
        <v>23</v>
      </c>
      <c r="G43" s="2">
        <v>44972</v>
      </c>
      <c r="H43" s="2">
        <v>44977</v>
      </c>
      <c r="I43" s="1">
        <v>17344.27</v>
      </c>
      <c r="J43" s="1">
        <v>0.16569999999999999</v>
      </c>
      <c r="K43" s="1">
        <v>2873.95</v>
      </c>
      <c r="L43" s="1">
        <v>284680</v>
      </c>
      <c r="M43" s="1">
        <v>10689</v>
      </c>
      <c r="N43" s="1">
        <v>186601.57</v>
      </c>
      <c r="O43" s="1">
        <v>2023</v>
      </c>
      <c r="P43" s="1" t="s">
        <v>39</v>
      </c>
      <c r="Q43" s="1" t="s">
        <v>40</v>
      </c>
      <c r="R43" s="1" t="s">
        <v>61</v>
      </c>
      <c r="S43" s="1">
        <f t="shared" si="0"/>
        <v>6</v>
      </c>
      <c r="T43" s="7" t="str">
        <f>_xlfn.TEXTJOIN("_",TRUE,Finance_Data!A43,Finance_Data!B43,Finance_Data!C43,Finance_Data!D43,Finance_Data!E43,Finance_Data!G43,Finance_Data!H43)</f>
        <v>CMP_036_West_Singapore_Perfume_Retail_44972_44977</v>
      </c>
    </row>
    <row r="44" spans="1:20" x14ac:dyDescent="0.35">
      <c r="A44" s="6" t="s">
        <v>57</v>
      </c>
      <c r="B44" s="1" t="s">
        <v>19</v>
      </c>
      <c r="C44" s="1" t="s">
        <v>29</v>
      </c>
      <c r="D44" s="1" t="s">
        <v>21</v>
      </c>
      <c r="E44" s="1" t="s">
        <v>30</v>
      </c>
      <c r="F44" s="1" t="s">
        <v>49</v>
      </c>
      <c r="G44" s="2">
        <v>44973</v>
      </c>
      <c r="H44" s="2">
        <v>45014</v>
      </c>
      <c r="I44" s="1">
        <v>3978.88</v>
      </c>
      <c r="J44" s="1">
        <v>1.1672</v>
      </c>
      <c r="K44" s="1">
        <v>4644.1499999999996</v>
      </c>
      <c r="L44" s="1">
        <v>209429</v>
      </c>
      <c r="M44" s="1">
        <v>48643</v>
      </c>
      <c r="N44" s="1">
        <v>204560.71</v>
      </c>
      <c r="O44" s="1">
        <v>2023</v>
      </c>
      <c r="P44" s="1" t="s">
        <v>39</v>
      </c>
      <c r="Q44" s="1" t="s">
        <v>40</v>
      </c>
      <c r="R44" s="1" t="s">
        <v>54</v>
      </c>
      <c r="S44" s="1">
        <f t="shared" si="0"/>
        <v>42</v>
      </c>
      <c r="T44" s="7" t="str">
        <f>_xlfn.TEXTJOIN("_",TRUE,Finance_Data!A44,Finance_Data!B44,Finance_Data!C44,Finance_Data!D44,Finance_Data!E44,Finance_Data!G44,Finance_Data!H44)</f>
        <v>CMP_032_North_Australia_Foundation_Wholesale_44973_45014</v>
      </c>
    </row>
    <row r="45" spans="1:20" x14ac:dyDescent="0.35">
      <c r="A45" s="6" t="s">
        <v>117</v>
      </c>
      <c r="B45" s="1" t="s">
        <v>19</v>
      </c>
      <c r="C45" s="1" t="s">
        <v>69</v>
      </c>
      <c r="D45" s="1" t="s">
        <v>21</v>
      </c>
      <c r="E45" s="1" t="s">
        <v>22</v>
      </c>
      <c r="F45" s="1" t="s">
        <v>52</v>
      </c>
      <c r="G45" s="2">
        <v>44973</v>
      </c>
      <c r="H45" s="2">
        <v>45005</v>
      </c>
      <c r="I45" s="1">
        <v>17881.91</v>
      </c>
      <c r="J45" s="1">
        <v>8.5900000000000004E-2</v>
      </c>
      <c r="K45" s="1">
        <v>1536.06</v>
      </c>
      <c r="L45" s="1">
        <v>73182</v>
      </c>
      <c r="M45" s="1">
        <v>4623</v>
      </c>
      <c r="N45" s="1">
        <v>246603.63</v>
      </c>
      <c r="O45" s="1">
        <v>2023</v>
      </c>
      <c r="P45" s="1" t="s">
        <v>39</v>
      </c>
      <c r="Q45" s="1" t="s">
        <v>40</v>
      </c>
      <c r="R45" s="1" t="s">
        <v>54</v>
      </c>
      <c r="S45" s="1">
        <f t="shared" si="0"/>
        <v>33</v>
      </c>
      <c r="T45" s="7" t="str">
        <f>_xlfn.TEXTJOIN("_",TRUE,Finance_Data!A45,Finance_Data!B45,Finance_Data!C45,Finance_Data!D45,Finance_Data!E45,Finance_Data!G45,Finance_Data!H45)</f>
        <v>CMP_031_North_USA_Foundation_Retail_44973_45005</v>
      </c>
    </row>
    <row r="46" spans="1:20" x14ac:dyDescent="0.35">
      <c r="A46" s="6" t="s">
        <v>50</v>
      </c>
      <c r="B46" s="1" t="s">
        <v>48</v>
      </c>
      <c r="C46" s="1" t="s">
        <v>69</v>
      </c>
      <c r="D46" s="1" t="s">
        <v>43</v>
      </c>
      <c r="E46" s="1" t="s">
        <v>38</v>
      </c>
      <c r="F46" s="1" t="s">
        <v>52</v>
      </c>
      <c r="G46" s="2">
        <v>44973</v>
      </c>
      <c r="H46" s="2">
        <v>44980</v>
      </c>
      <c r="I46" s="1">
        <v>7714.78</v>
      </c>
      <c r="J46" s="1">
        <v>0.40629999999999999</v>
      </c>
      <c r="K46" s="1">
        <v>3134.52</v>
      </c>
      <c r="L46" s="1">
        <v>506756</v>
      </c>
      <c r="M46" s="1">
        <v>34134</v>
      </c>
      <c r="N46" s="1">
        <v>116962.2</v>
      </c>
      <c r="O46" s="1">
        <v>2023</v>
      </c>
      <c r="P46" s="1" t="s">
        <v>39</v>
      </c>
      <c r="Q46" s="1" t="s">
        <v>40</v>
      </c>
      <c r="R46" s="1" t="s">
        <v>54</v>
      </c>
      <c r="S46" s="1">
        <f t="shared" si="0"/>
        <v>8</v>
      </c>
      <c r="T46" s="7" t="str">
        <f>_xlfn.TEXTJOIN("_",TRUE,Finance_Data!A46,Finance_Data!B46,Finance_Data!C46,Finance_Data!D46,Finance_Data!E46,Finance_Data!G46,Finance_Data!H46)</f>
        <v>CMP_039_South_USA_Luxury Bag_Ecommerce_44973_44980</v>
      </c>
    </row>
    <row r="47" spans="1:20" x14ac:dyDescent="0.35">
      <c r="A47" s="6" t="s">
        <v>88</v>
      </c>
      <c r="B47" s="1" t="s">
        <v>48</v>
      </c>
      <c r="C47" s="1" t="s">
        <v>36</v>
      </c>
      <c r="D47" s="1" t="s">
        <v>51</v>
      </c>
      <c r="E47" s="1" t="s">
        <v>38</v>
      </c>
      <c r="F47" s="1" t="s">
        <v>52</v>
      </c>
      <c r="G47" s="2">
        <v>44974</v>
      </c>
      <c r="H47" s="2">
        <v>45027</v>
      </c>
      <c r="I47" s="1">
        <v>31185.37</v>
      </c>
      <c r="J47" s="1">
        <v>0.23499999999999999</v>
      </c>
      <c r="K47" s="1">
        <v>7328.56</v>
      </c>
      <c r="L47" s="1">
        <v>571479</v>
      </c>
      <c r="M47" s="1">
        <v>19379</v>
      </c>
      <c r="N47" s="1">
        <v>198449.01</v>
      </c>
      <c r="O47" s="1">
        <v>2023</v>
      </c>
      <c r="P47" s="1" t="s">
        <v>39</v>
      </c>
      <c r="Q47" s="1" t="s">
        <v>40</v>
      </c>
      <c r="R47" s="1" t="s">
        <v>54</v>
      </c>
      <c r="S47" s="1">
        <f t="shared" si="0"/>
        <v>54</v>
      </c>
      <c r="T47" s="7" t="str">
        <f>_xlfn.TEXTJOIN("_",TRUE,Finance_Data!A47,Finance_Data!B47,Finance_Data!C47,Finance_Data!D47,Finance_Data!E47,Finance_Data!G47,Finance_Data!H47)</f>
        <v>CMP_021_South_India_Watch_Ecommerce_44974_45027</v>
      </c>
    </row>
    <row r="48" spans="1:20" x14ac:dyDescent="0.35">
      <c r="A48" s="6" t="s">
        <v>104</v>
      </c>
      <c r="B48" s="1" t="s">
        <v>28</v>
      </c>
      <c r="C48" s="1" t="s">
        <v>20</v>
      </c>
      <c r="D48" s="1" t="s">
        <v>51</v>
      </c>
      <c r="E48" s="1" t="s">
        <v>22</v>
      </c>
      <c r="F48" s="1" t="s">
        <v>52</v>
      </c>
      <c r="G48" s="2">
        <v>44974</v>
      </c>
      <c r="H48" s="2">
        <v>44999</v>
      </c>
      <c r="I48" s="1">
        <v>40011.03</v>
      </c>
      <c r="J48" s="1">
        <v>0.35909999999999997</v>
      </c>
      <c r="K48" s="1">
        <v>14367.96</v>
      </c>
      <c r="L48" s="1">
        <v>403049</v>
      </c>
      <c r="M48" s="1">
        <v>28325</v>
      </c>
      <c r="N48" s="1">
        <v>40664.6</v>
      </c>
      <c r="O48" s="1">
        <v>2023</v>
      </c>
      <c r="P48" s="1" t="s">
        <v>39</v>
      </c>
      <c r="Q48" s="1" t="s">
        <v>40</v>
      </c>
      <c r="R48" s="1" t="s">
        <v>61</v>
      </c>
      <c r="S48" s="1">
        <f t="shared" si="0"/>
        <v>26</v>
      </c>
      <c r="T48" s="7" t="str">
        <f>_xlfn.TEXTJOIN("_",TRUE,Finance_Data!A48,Finance_Data!B48,Finance_Data!C48,Finance_Data!D48,Finance_Data!E48,Finance_Data!G48,Finance_Data!H48)</f>
        <v>CMP_034_West_Singapore_Watch_Retail_44974_44999</v>
      </c>
    </row>
    <row r="49" spans="1:20" x14ac:dyDescent="0.35">
      <c r="A49" s="6" t="s">
        <v>62</v>
      </c>
      <c r="B49" s="1" t="s">
        <v>48</v>
      </c>
      <c r="C49" s="1" t="s">
        <v>36</v>
      </c>
      <c r="D49" s="1" t="s">
        <v>59</v>
      </c>
      <c r="E49" s="1" t="s">
        <v>30</v>
      </c>
      <c r="F49" s="1" t="s">
        <v>31</v>
      </c>
      <c r="G49" s="2">
        <v>44975</v>
      </c>
      <c r="H49" s="2">
        <v>45032</v>
      </c>
      <c r="I49" s="1">
        <v>1509.41</v>
      </c>
      <c r="J49" s="1">
        <v>0.1351</v>
      </c>
      <c r="K49" s="1">
        <v>203.92</v>
      </c>
      <c r="L49" s="1">
        <v>348542</v>
      </c>
      <c r="M49" s="1">
        <v>45162</v>
      </c>
      <c r="N49" s="1">
        <v>182442.07</v>
      </c>
      <c r="O49" s="1">
        <v>2023</v>
      </c>
      <c r="P49" s="1" t="s">
        <v>39</v>
      </c>
      <c r="Q49" s="1" t="s">
        <v>40</v>
      </c>
      <c r="R49" s="1" t="s">
        <v>26</v>
      </c>
      <c r="S49" s="1">
        <f t="shared" si="0"/>
        <v>58</v>
      </c>
      <c r="T49" s="7" t="str">
        <f>_xlfn.TEXTJOIN("_",TRUE,Finance_Data!A49,Finance_Data!B49,Finance_Data!C49,Finance_Data!D49,Finance_Data!E49,Finance_Data!G49,Finance_Data!H49)</f>
        <v>CMP_015_South_India_Lipstick_Wholesale_44975_45032</v>
      </c>
    </row>
    <row r="50" spans="1:20" x14ac:dyDescent="0.35">
      <c r="A50" s="6" t="s">
        <v>105</v>
      </c>
      <c r="B50" s="1" t="s">
        <v>35</v>
      </c>
      <c r="C50" s="1" t="s">
        <v>20</v>
      </c>
      <c r="D50" s="1" t="s">
        <v>21</v>
      </c>
      <c r="E50" s="1" t="s">
        <v>22</v>
      </c>
      <c r="F50" s="1" t="s">
        <v>49</v>
      </c>
      <c r="G50" s="2">
        <v>44976</v>
      </c>
      <c r="H50" s="2">
        <v>45005</v>
      </c>
      <c r="I50" s="1">
        <v>22472.79</v>
      </c>
      <c r="J50" s="1">
        <v>0.50939999999999996</v>
      </c>
      <c r="K50" s="1">
        <v>11447.64</v>
      </c>
      <c r="L50" s="1">
        <v>184418</v>
      </c>
      <c r="M50" s="1">
        <v>27233</v>
      </c>
      <c r="N50" s="1">
        <v>125805.09</v>
      </c>
      <c r="O50" s="1">
        <v>2023</v>
      </c>
      <c r="P50" s="1" t="s">
        <v>39</v>
      </c>
      <c r="Q50" s="1" t="s">
        <v>40</v>
      </c>
      <c r="R50" s="1" t="s">
        <v>61</v>
      </c>
      <c r="S50" s="1">
        <f t="shared" si="0"/>
        <v>30</v>
      </c>
      <c r="T50" s="7" t="str">
        <f>_xlfn.TEXTJOIN("_",TRUE,Finance_Data!A50,Finance_Data!B50,Finance_Data!C50,Finance_Data!D50,Finance_Data!E50,Finance_Data!G50,Finance_Data!H50)</f>
        <v>CMP_025_East_Singapore_Foundation_Retail_44976_45005</v>
      </c>
    </row>
    <row r="51" spans="1:20" x14ac:dyDescent="0.35">
      <c r="A51" s="6" t="s">
        <v>119</v>
      </c>
      <c r="B51" s="1" t="s">
        <v>48</v>
      </c>
      <c r="C51" s="1" t="s">
        <v>20</v>
      </c>
      <c r="D51" s="1" t="s">
        <v>63</v>
      </c>
      <c r="E51" s="1" t="s">
        <v>30</v>
      </c>
      <c r="F51" s="1" t="s">
        <v>49</v>
      </c>
      <c r="G51" s="2">
        <v>44977</v>
      </c>
      <c r="H51" s="2">
        <v>45033</v>
      </c>
      <c r="I51" s="1">
        <v>25202.78</v>
      </c>
      <c r="J51" s="1">
        <v>6.5699999999999995E-2</v>
      </c>
      <c r="K51" s="1">
        <v>1655.82</v>
      </c>
      <c r="L51" s="1">
        <v>297745</v>
      </c>
      <c r="M51" s="1">
        <v>27706</v>
      </c>
      <c r="N51" s="1">
        <v>34218.46</v>
      </c>
      <c r="O51" s="1">
        <v>2023</v>
      </c>
      <c r="P51" s="1" t="s">
        <v>39</v>
      </c>
      <c r="Q51" s="1" t="s">
        <v>40</v>
      </c>
      <c r="R51" s="1" t="s">
        <v>61</v>
      </c>
      <c r="S51" s="1">
        <f t="shared" si="0"/>
        <v>57</v>
      </c>
      <c r="T51" s="7" t="str">
        <f>_xlfn.TEXTJOIN("_",TRUE,Finance_Data!A51,Finance_Data!B51,Finance_Data!C51,Finance_Data!D51,Finance_Data!E51,Finance_Data!G51,Finance_Data!H51)</f>
        <v>CMP_029_South_Singapore_Skincare_Wholesale_44977_45033</v>
      </c>
    </row>
    <row r="52" spans="1:20" x14ac:dyDescent="0.35">
      <c r="A52" s="6" t="s">
        <v>77</v>
      </c>
      <c r="B52" s="1" t="s">
        <v>19</v>
      </c>
      <c r="C52" s="1" t="s">
        <v>29</v>
      </c>
      <c r="D52" s="1" t="s">
        <v>21</v>
      </c>
      <c r="E52" s="1" t="s">
        <v>38</v>
      </c>
      <c r="F52" s="1" t="s">
        <v>49</v>
      </c>
      <c r="G52" s="2">
        <v>44978</v>
      </c>
      <c r="H52" s="2">
        <v>45026</v>
      </c>
      <c r="I52" s="1">
        <v>36847.35</v>
      </c>
      <c r="J52" s="1">
        <v>0.47749999999999998</v>
      </c>
      <c r="K52" s="1">
        <v>17594.61</v>
      </c>
      <c r="L52" s="1">
        <v>477262</v>
      </c>
      <c r="M52" s="1">
        <v>49438</v>
      </c>
      <c r="N52" s="1">
        <v>150807.39000000001</v>
      </c>
      <c r="O52" s="1">
        <v>2023</v>
      </c>
      <c r="P52" s="1" t="s">
        <v>39</v>
      </c>
      <c r="Q52" s="1" t="s">
        <v>40</v>
      </c>
      <c r="R52" s="1" t="s">
        <v>61</v>
      </c>
      <c r="S52" s="1">
        <f t="shared" si="0"/>
        <v>49</v>
      </c>
      <c r="T52" s="7" t="str">
        <f>_xlfn.TEXTJOIN("_",TRUE,Finance_Data!A52,Finance_Data!B52,Finance_Data!C52,Finance_Data!D52,Finance_Data!E52,Finance_Data!G52,Finance_Data!H52)</f>
        <v>CMP_033_North_Australia_Foundation_Ecommerce_44978_45026</v>
      </c>
    </row>
    <row r="53" spans="1:20" x14ac:dyDescent="0.35">
      <c r="A53" s="6" t="s">
        <v>72</v>
      </c>
      <c r="B53" s="1" t="s">
        <v>19</v>
      </c>
      <c r="C53" s="1" t="s">
        <v>20</v>
      </c>
      <c r="D53" s="1" t="s">
        <v>51</v>
      </c>
      <c r="E53" s="1" t="s">
        <v>22</v>
      </c>
      <c r="F53" s="1" t="s">
        <v>52</v>
      </c>
      <c r="G53" s="2">
        <v>44979</v>
      </c>
      <c r="H53" s="2">
        <v>44991</v>
      </c>
      <c r="I53" s="1">
        <v>19764.79</v>
      </c>
      <c r="J53" s="1">
        <v>0.56379999999999997</v>
      </c>
      <c r="K53" s="1">
        <v>11143.39</v>
      </c>
      <c r="L53" s="1">
        <v>52859</v>
      </c>
      <c r="M53" s="1">
        <v>24058</v>
      </c>
      <c r="N53" s="1">
        <v>94776.08</v>
      </c>
      <c r="O53" s="1">
        <v>2023</v>
      </c>
      <c r="P53" s="1" t="s">
        <v>39</v>
      </c>
      <c r="Q53" s="1" t="s">
        <v>40</v>
      </c>
      <c r="R53" s="1" t="s">
        <v>41</v>
      </c>
      <c r="S53" s="1">
        <f t="shared" si="0"/>
        <v>13</v>
      </c>
      <c r="T53" s="7" t="str">
        <f>_xlfn.TEXTJOIN("_",TRUE,Finance_Data!A53,Finance_Data!B53,Finance_Data!C53,Finance_Data!D53,Finance_Data!E53,Finance_Data!G53,Finance_Data!H53)</f>
        <v>CMP_042_North_Singapore_Watch_Retail_44979_44991</v>
      </c>
    </row>
    <row r="54" spans="1:20" x14ac:dyDescent="0.35">
      <c r="A54" s="6" t="s">
        <v>95</v>
      </c>
      <c r="B54" s="1" t="s">
        <v>35</v>
      </c>
      <c r="C54" s="1" t="s">
        <v>20</v>
      </c>
      <c r="D54" s="1" t="s">
        <v>43</v>
      </c>
      <c r="E54" s="1" t="s">
        <v>22</v>
      </c>
      <c r="F54" s="1" t="s">
        <v>49</v>
      </c>
      <c r="G54" s="2">
        <v>44980</v>
      </c>
      <c r="H54" s="2">
        <v>44993</v>
      </c>
      <c r="I54" s="1">
        <v>37344.18</v>
      </c>
      <c r="J54" s="1">
        <v>0.63600000000000001</v>
      </c>
      <c r="K54" s="1">
        <v>23750.9</v>
      </c>
      <c r="L54" s="1">
        <v>791886</v>
      </c>
      <c r="M54" s="1">
        <v>4265</v>
      </c>
      <c r="N54" s="1">
        <v>121680.26</v>
      </c>
      <c r="O54" s="1">
        <v>2023</v>
      </c>
      <c r="P54" s="1" t="s">
        <v>39</v>
      </c>
      <c r="Q54" s="1" t="s">
        <v>40</v>
      </c>
      <c r="R54" s="1" t="s">
        <v>61</v>
      </c>
      <c r="S54" s="1">
        <f t="shared" si="0"/>
        <v>14</v>
      </c>
      <c r="T54" s="7" t="str">
        <f>_xlfn.TEXTJOIN("_",TRUE,Finance_Data!A54,Finance_Data!B54,Finance_Data!C54,Finance_Data!D54,Finance_Data!E54,Finance_Data!G54,Finance_Data!H54)</f>
        <v>CMP_050_East_Singapore_Luxury Bag_Retail_44980_44993</v>
      </c>
    </row>
    <row r="55" spans="1:20" x14ac:dyDescent="0.35">
      <c r="A55" s="6" t="s">
        <v>64</v>
      </c>
      <c r="B55" s="1" t="s">
        <v>19</v>
      </c>
      <c r="C55" s="1" t="s">
        <v>36</v>
      </c>
      <c r="D55" s="1" t="s">
        <v>51</v>
      </c>
      <c r="E55" s="1" t="s">
        <v>38</v>
      </c>
      <c r="F55" s="1" t="s">
        <v>31</v>
      </c>
      <c r="G55" s="2">
        <v>44981</v>
      </c>
      <c r="H55" s="2">
        <v>44998</v>
      </c>
      <c r="I55" s="1">
        <v>6521.28</v>
      </c>
      <c r="J55" s="1">
        <v>0.18759999999999999</v>
      </c>
      <c r="K55" s="1">
        <v>1223.3900000000001</v>
      </c>
      <c r="L55" s="1">
        <v>894769</v>
      </c>
      <c r="M55" s="1">
        <v>31191</v>
      </c>
      <c r="N55" s="1">
        <v>126891.14</v>
      </c>
      <c r="O55" s="1">
        <v>2023</v>
      </c>
      <c r="P55" s="1" t="s">
        <v>39</v>
      </c>
      <c r="Q55" s="1" t="s">
        <v>40</v>
      </c>
      <c r="R55" s="1" t="s">
        <v>61</v>
      </c>
      <c r="S55" s="1">
        <f t="shared" si="0"/>
        <v>18</v>
      </c>
      <c r="T55" s="7" t="str">
        <f>_xlfn.TEXTJOIN("_",TRUE,Finance_Data!A55,Finance_Data!B55,Finance_Data!C55,Finance_Data!D55,Finance_Data!E55,Finance_Data!G55,Finance_Data!H55)</f>
        <v>CMP_011_North_India_Watch_Ecommerce_44981_44998</v>
      </c>
    </row>
    <row r="56" spans="1:20" x14ac:dyDescent="0.35">
      <c r="A56" s="6" t="s">
        <v>109</v>
      </c>
      <c r="B56" s="1" t="s">
        <v>28</v>
      </c>
      <c r="C56" s="1" t="s">
        <v>58</v>
      </c>
      <c r="D56" s="1" t="s">
        <v>37</v>
      </c>
      <c r="E56" s="1" t="s">
        <v>38</v>
      </c>
      <c r="F56" s="1" t="s">
        <v>23</v>
      </c>
      <c r="G56" s="2">
        <v>44981</v>
      </c>
      <c r="H56" s="2">
        <v>44998</v>
      </c>
      <c r="I56" s="1">
        <v>8282.42</v>
      </c>
      <c r="J56" s="1">
        <v>0.28349999999999997</v>
      </c>
      <c r="K56" s="1">
        <v>2348.0700000000002</v>
      </c>
      <c r="L56" s="1">
        <v>47604</v>
      </c>
      <c r="M56" s="1">
        <v>30918</v>
      </c>
      <c r="N56" s="1">
        <v>68754.87</v>
      </c>
      <c r="O56" s="1">
        <v>2023</v>
      </c>
      <c r="P56" s="1" t="s">
        <v>39</v>
      </c>
      <c r="Q56" s="1" t="s">
        <v>40</v>
      </c>
      <c r="R56" s="1" t="s">
        <v>54</v>
      </c>
      <c r="S56" s="1">
        <f t="shared" si="0"/>
        <v>18</v>
      </c>
      <c r="T56" s="7" t="str">
        <f>_xlfn.TEXTJOIN("_",TRUE,Finance_Data!A56,Finance_Data!B56,Finance_Data!C56,Finance_Data!D56,Finance_Data!E56,Finance_Data!G56,Finance_Data!H56)</f>
        <v>CMP_046_West_UK_Perfume_Ecommerce_44981_44998</v>
      </c>
    </row>
    <row r="57" spans="1:20" x14ac:dyDescent="0.35">
      <c r="A57" s="6" t="s">
        <v>86</v>
      </c>
      <c r="B57" s="1" t="s">
        <v>48</v>
      </c>
      <c r="C57" s="1" t="s">
        <v>69</v>
      </c>
      <c r="D57" s="1" t="s">
        <v>59</v>
      </c>
      <c r="E57" s="1" t="s">
        <v>22</v>
      </c>
      <c r="F57" s="1" t="s">
        <v>52</v>
      </c>
      <c r="G57" s="2">
        <v>44982</v>
      </c>
      <c r="H57" s="2">
        <v>45031</v>
      </c>
      <c r="I57" s="1">
        <v>6194.48</v>
      </c>
      <c r="J57" s="1">
        <v>0.70209999999999995</v>
      </c>
      <c r="K57" s="1">
        <v>4349.1400000000003</v>
      </c>
      <c r="L57" s="1">
        <v>509988</v>
      </c>
      <c r="M57" s="1">
        <v>39023</v>
      </c>
      <c r="N57" s="1">
        <v>218266.86</v>
      </c>
      <c r="O57" s="1">
        <v>2023</v>
      </c>
      <c r="P57" s="1" t="s">
        <v>39</v>
      </c>
      <c r="Q57" s="1" t="s">
        <v>40</v>
      </c>
      <c r="R57" s="1" t="s">
        <v>26</v>
      </c>
      <c r="S57" s="1">
        <f t="shared" si="0"/>
        <v>50</v>
      </c>
      <c r="T57" s="7" t="str">
        <f>_xlfn.TEXTJOIN("_",TRUE,Finance_Data!A57,Finance_Data!B57,Finance_Data!C57,Finance_Data!D57,Finance_Data!E57,Finance_Data!G57,Finance_Data!H57)</f>
        <v>CMP_002_South_USA_Lipstick_Retail_44982_45031</v>
      </c>
    </row>
    <row r="58" spans="1:20" x14ac:dyDescent="0.35">
      <c r="A58" s="6" t="s">
        <v>99</v>
      </c>
      <c r="B58" s="1" t="s">
        <v>19</v>
      </c>
      <c r="C58" s="1" t="s">
        <v>69</v>
      </c>
      <c r="D58" s="1" t="s">
        <v>37</v>
      </c>
      <c r="E58" s="1" t="s">
        <v>22</v>
      </c>
      <c r="F58" s="1" t="s">
        <v>49</v>
      </c>
      <c r="G58" s="2">
        <v>44984</v>
      </c>
      <c r="H58" s="2">
        <v>44999</v>
      </c>
      <c r="I58" s="1">
        <v>13654.72</v>
      </c>
      <c r="J58" s="1">
        <v>0.22420000000000001</v>
      </c>
      <c r="K58" s="1">
        <v>3061.39</v>
      </c>
      <c r="L58" s="1">
        <v>435151</v>
      </c>
      <c r="M58" s="1">
        <v>39379</v>
      </c>
      <c r="N58" s="1">
        <v>242464.7</v>
      </c>
      <c r="O58" s="1">
        <v>2023</v>
      </c>
      <c r="P58" s="1" t="s">
        <v>39</v>
      </c>
      <c r="Q58" s="1" t="s">
        <v>40</v>
      </c>
      <c r="R58" s="1" t="s">
        <v>54</v>
      </c>
      <c r="S58" s="1">
        <f t="shared" si="0"/>
        <v>16</v>
      </c>
      <c r="T58" s="7" t="str">
        <f>_xlfn.TEXTJOIN("_",TRUE,Finance_Data!A58,Finance_Data!B58,Finance_Data!C58,Finance_Data!D58,Finance_Data!E58,Finance_Data!G58,Finance_Data!H58)</f>
        <v>CMP_041_North_USA_Perfume_Retail_44984_44999</v>
      </c>
    </row>
    <row r="59" spans="1:20" x14ac:dyDescent="0.35">
      <c r="A59" s="6" t="s">
        <v>81</v>
      </c>
      <c r="B59" s="1" t="s">
        <v>48</v>
      </c>
      <c r="C59" s="1" t="s">
        <v>69</v>
      </c>
      <c r="D59" s="1" t="s">
        <v>59</v>
      </c>
      <c r="E59" s="1" t="s">
        <v>30</v>
      </c>
      <c r="F59" s="1" t="s">
        <v>49</v>
      </c>
      <c r="G59" s="2">
        <v>44985</v>
      </c>
      <c r="H59" s="2">
        <v>44998</v>
      </c>
      <c r="I59" s="1">
        <v>22489.24</v>
      </c>
      <c r="J59" s="1">
        <v>0.3463</v>
      </c>
      <c r="K59" s="1">
        <v>7788.02</v>
      </c>
      <c r="L59" s="1">
        <v>339384</v>
      </c>
      <c r="M59" s="1">
        <v>23015</v>
      </c>
      <c r="N59" s="1">
        <v>152591.92000000001</v>
      </c>
      <c r="O59" s="1">
        <v>2023</v>
      </c>
      <c r="P59" s="1" t="s">
        <v>39</v>
      </c>
      <c r="Q59" s="1" t="s">
        <v>40</v>
      </c>
      <c r="R59" s="1" t="s">
        <v>54</v>
      </c>
      <c r="S59" s="1">
        <f t="shared" si="0"/>
        <v>14</v>
      </c>
      <c r="T59" s="7" t="str">
        <f>_xlfn.TEXTJOIN("_",TRUE,Finance_Data!A59,Finance_Data!B59,Finance_Data!C59,Finance_Data!D59,Finance_Data!E59,Finance_Data!G59,Finance_Data!H59)</f>
        <v>CMP_057_South_USA_Lipstick_Wholesale_44985_44998</v>
      </c>
    </row>
    <row r="60" spans="1:20" x14ac:dyDescent="0.35">
      <c r="A60" s="6" t="s">
        <v>83</v>
      </c>
      <c r="B60" s="1" t="s">
        <v>48</v>
      </c>
      <c r="C60" s="1" t="s">
        <v>69</v>
      </c>
      <c r="D60" s="1" t="s">
        <v>51</v>
      </c>
      <c r="E60" s="1" t="s">
        <v>22</v>
      </c>
      <c r="F60" s="1" t="s">
        <v>49</v>
      </c>
      <c r="G60" s="2">
        <v>44986</v>
      </c>
      <c r="H60" s="2">
        <v>45026</v>
      </c>
      <c r="I60" s="1">
        <v>21221.200000000001</v>
      </c>
      <c r="J60" s="1">
        <v>0.50560000000000005</v>
      </c>
      <c r="K60" s="1">
        <v>10729.44</v>
      </c>
      <c r="L60" s="1">
        <v>565736</v>
      </c>
      <c r="M60" s="1">
        <v>8887</v>
      </c>
      <c r="N60" s="1">
        <v>100162.67</v>
      </c>
      <c r="O60" s="1">
        <v>2023</v>
      </c>
      <c r="P60" s="1" t="s">
        <v>60</v>
      </c>
      <c r="Q60" s="1" t="s">
        <v>40</v>
      </c>
      <c r="R60" s="1" t="s">
        <v>41</v>
      </c>
      <c r="S60" s="1">
        <f t="shared" si="0"/>
        <v>41</v>
      </c>
      <c r="T60" s="7" t="str">
        <f>_xlfn.TEXTJOIN("_",TRUE,Finance_Data!A60,Finance_Data!B60,Finance_Data!C60,Finance_Data!D60,Finance_Data!E60,Finance_Data!G60,Finance_Data!H60)</f>
        <v>CMP_017_South_USA_Watch_Retail_44986_45026</v>
      </c>
    </row>
    <row r="61" spans="1:20" x14ac:dyDescent="0.35">
      <c r="A61" s="6" t="s">
        <v>70</v>
      </c>
      <c r="B61" s="1" t="s">
        <v>48</v>
      </c>
      <c r="C61" s="1" t="s">
        <v>29</v>
      </c>
      <c r="D61" s="1" t="s">
        <v>21</v>
      </c>
      <c r="E61" s="1" t="s">
        <v>22</v>
      </c>
      <c r="F61" s="1" t="s">
        <v>49</v>
      </c>
      <c r="G61" s="2">
        <v>44988</v>
      </c>
      <c r="H61" s="2">
        <v>45010</v>
      </c>
      <c r="I61" s="1">
        <v>42874.14</v>
      </c>
      <c r="J61" s="1">
        <v>0.46689999999999998</v>
      </c>
      <c r="K61" s="1">
        <v>20017.939999999999</v>
      </c>
      <c r="L61" s="1">
        <v>29764</v>
      </c>
      <c r="M61" s="1">
        <v>25173</v>
      </c>
      <c r="N61" s="1">
        <v>99242.5</v>
      </c>
      <c r="O61" s="1">
        <v>2023</v>
      </c>
      <c r="P61" s="1" t="s">
        <v>60</v>
      </c>
      <c r="Q61" s="1" t="s">
        <v>40</v>
      </c>
      <c r="R61" s="1" t="s">
        <v>26</v>
      </c>
      <c r="S61" s="1">
        <f t="shared" si="0"/>
        <v>23</v>
      </c>
      <c r="T61" s="7" t="str">
        <f>_xlfn.TEXTJOIN("_",TRUE,Finance_Data!A61,Finance_Data!B61,Finance_Data!C61,Finance_Data!D61,Finance_Data!E61,Finance_Data!G61,Finance_Data!H61)</f>
        <v>CMP_003_South_Australia_Foundation_Retail_44988_45010</v>
      </c>
    </row>
    <row r="62" spans="1:20" x14ac:dyDescent="0.35">
      <c r="A62" s="6" t="s">
        <v>113</v>
      </c>
      <c r="B62" s="1" t="s">
        <v>19</v>
      </c>
      <c r="C62" s="1" t="s">
        <v>58</v>
      </c>
      <c r="D62" s="1" t="s">
        <v>63</v>
      </c>
      <c r="E62" s="1" t="s">
        <v>38</v>
      </c>
      <c r="F62" s="1" t="s">
        <v>52</v>
      </c>
      <c r="G62" s="2">
        <v>44990</v>
      </c>
      <c r="H62" s="2">
        <v>45046</v>
      </c>
      <c r="I62" s="1">
        <v>18713.150000000001</v>
      </c>
      <c r="J62" s="1">
        <v>0.52180000000000004</v>
      </c>
      <c r="K62" s="1">
        <v>9764.52</v>
      </c>
      <c r="L62" s="1">
        <v>506405</v>
      </c>
      <c r="M62" s="1">
        <v>14086</v>
      </c>
      <c r="N62" s="1">
        <v>18248.990000000002</v>
      </c>
      <c r="O62" s="1">
        <v>2023</v>
      </c>
      <c r="P62" s="1" t="s">
        <v>60</v>
      </c>
      <c r="Q62" s="1" t="s">
        <v>40</v>
      </c>
      <c r="R62" s="1" t="s">
        <v>26</v>
      </c>
      <c r="S62" s="1">
        <f t="shared" si="0"/>
        <v>57</v>
      </c>
      <c r="T62" s="7" t="str">
        <f>_xlfn.TEXTJOIN("_",TRUE,Finance_Data!A62,Finance_Data!B62,Finance_Data!C62,Finance_Data!D62,Finance_Data!E62,Finance_Data!G62,Finance_Data!H62)</f>
        <v>CMP_056_North_UK_Skincare_Ecommerce_44990_45046</v>
      </c>
    </row>
    <row r="63" spans="1:20" x14ac:dyDescent="0.35">
      <c r="A63" s="6" t="s">
        <v>86</v>
      </c>
      <c r="B63" s="1" t="s">
        <v>28</v>
      </c>
      <c r="C63" s="1" t="s">
        <v>20</v>
      </c>
      <c r="D63" s="1" t="s">
        <v>43</v>
      </c>
      <c r="E63" s="1" t="s">
        <v>30</v>
      </c>
      <c r="F63" s="1" t="s">
        <v>49</v>
      </c>
      <c r="G63" s="2">
        <v>44992</v>
      </c>
      <c r="H63" s="2">
        <v>45042</v>
      </c>
      <c r="I63" s="1">
        <v>45535.15</v>
      </c>
      <c r="J63" s="1">
        <v>0.95630000000000004</v>
      </c>
      <c r="K63" s="1">
        <v>43545.26</v>
      </c>
      <c r="L63" s="1">
        <v>203871</v>
      </c>
      <c r="M63" s="1">
        <v>26663</v>
      </c>
      <c r="N63" s="1">
        <v>204152.64</v>
      </c>
      <c r="O63" s="1">
        <v>2023</v>
      </c>
      <c r="P63" s="1" t="s">
        <v>60</v>
      </c>
      <c r="Q63" s="1" t="s">
        <v>40</v>
      </c>
      <c r="R63" s="1" t="s">
        <v>26</v>
      </c>
      <c r="S63" s="1">
        <f t="shared" si="0"/>
        <v>51</v>
      </c>
      <c r="T63" s="7" t="str">
        <f>_xlfn.TEXTJOIN("_",TRUE,Finance_Data!A63,Finance_Data!B63,Finance_Data!C63,Finance_Data!D63,Finance_Data!E63,Finance_Data!G63,Finance_Data!H63)</f>
        <v>CMP_002_West_Singapore_Luxury Bag_Wholesale_44992_45042</v>
      </c>
    </row>
    <row r="64" spans="1:20" x14ac:dyDescent="0.35">
      <c r="A64" s="6" t="s">
        <v>78</v>
      </c>
      <c r="B64" s="1" t="s">
        <v>19</v>
      </c>
      <c r="C64" s="1" t="s">
        <v>69</v>
      </c>
      <c r="D64" s="1" t="s">
        <v>43</v>
      </c>
      <c r="E64" s="1" t="s">
        <v>22</v>
      </c>
      <c r="F64" s="1" t="s">
        <v>23</v>
      </c>
      <c r="G64" s="2">
        <v>44992</v>
      </c>
      <c r="H64" s="2">
        <v>45027</v>
      </c>
      <c r="I64" s="1">
        <v>27873.25</v>
      </c>
      <c r="J64" s="1">
        <v>4.1399999999999999E-2</v>
      </c>
      <c r="K64" s="1">
        <v>1153.95</v>
      </c>
      <c r="L64" s="1">
        <v>426297</v>
      </c>
      <c r="M64" s="1">
        <v>34439</v>
      </c>
      <c r="N64" s="1">
        <v>192424.11</v>
      </c>
      <c r="O64" s="1">
        <v>2023</v>
      </c>
      <c r="P64" s="1" t="s">
        <v>60</v>
      </c>
      <c r="Q64" s="1" t="s">
        <v>40</v>
      </c>
      <c r="R64" s="1" t="s">
        <v>54</v>
      </c>
      <c r="S64" s="1">
        <f t="shared" si="0"/>
        <v>36</v>
      </c>
      <c r="T64" s="7" t="str">
        <f>_xlfn.TEXTJOIN("_",TRUE,Finance_Data!A64,Finance_Data!B64,Finance_Data!C64,Finance_Data!D64,Finance_Data!E64,Finance_Data!G64,Finance_Data!H64)</f>
        <v>CMP_006_North_USA_Luxury Bag_Retail_44992_45027</v>
      </c>
    </row>
    <row r="65" spans="1:20" x14ac:dyDescent="0.35">
      <c r="A65" s="6" t="s">
        <v>86</v>
      </c>
      <c r="B65" s="1" t="s">
        <v>48</v>
      </c>
      <c r="C65" s="1" t="s">
        <v>29</v>
      </c>
      <c r="D65" s="1" t="s">
        <v>59</v>
      </c>
      <c r="E65" s="1" t="s">
        <v>22</v>
      </c>
      <c r="F65" s="1" t="s">
        <v>52</v>
      </c>
      <c r="G65" s="2">
        <v>44994</v>
      </c>
      <c r="H65" s="2">
        <v>45018</v>
      </c>
      <c r="I65" s="1">
        <v>35768.9</v>
      </c>
      <c r="J65" s="1">
        <v>0.49</v>
      </c>
      <c r="K65" s="1">
        <v>17526.759999999998</v>
      </c>
      <c r="L65" s="1">
        <v>828430</v>
      </c>
      <c r="M65" s="1">
        <v>34459</v>
      </c>
      <c r="N65" s="1">
        <v>220436.48000000001</v>
      </c>
      <c r="O65" s="1">
        <v>2023</v>
      </c>
      <c r="P65" s="1" t="s">
        <v>60</v>
      </c>
      <c r="Q65" s="1" t="s">
        <v>40</v>
      </c>
      <c r="R65" s="1" t="s">
        <v>26</v>
      </c>
      <c r="S65" s="1">
        <f t="shared" si="0"/>
        <v>25</v>
      </c>
      <c r="T65" s="7" t="str">
        <f>_xlfn.TEXTJOIN("_",TRUE,Finance_Data!A65,Finance_Data!B65,Finance_Data!C65,Finance_Data!D65,Finance_Data!E65,Finance_Data!G65,Finance_Data!H65)</f>
        <v>CMP_002_South_Australia_Lipstick_Retail_44994_45018</v>
      </c>
    </row>
    <row r="66" spans="1:20" x14ac:dyDescent="0.35">
      <c r="A66" s="6" t="s">
        <v>57</v>
      </c>
      <c r="B66" s="1" t="s">
        <v>28</v>
      </c>
      <c r="C66" s="1" t="s">
        <v>58</v>
      </c>
      <c r="D66" s="1" t="s">
        <v>59</v>
      </c>
      <c r="E66" s="1" t="s">
        <v>38</v>
      </c>
      <c r="F66" s="1" t="s">
        <v>52</v>
      </c>
      <c r="G66" s="2">
        <v>44994</v>
      </c>
      <c r="H66" s="2">
        <v>45012</v>
      </c>
      <c r="I66" s="1">
        <v>45743.67</v>
      </c>
      <c r="J66" s="1">
        <v>0.68489999999999995</v>
      </c>
      <c r="K66" s="1">
        <v>31329.84</v>
      </c>
      <c r="L66" s="1">
        <v>762787</v>
      </c>
      <c r="M66" s="1">
        <v>20722</v>
      </c>
      <c r="N66" s="1">
        <v>57093.5</v>
      </c>
      <c r="O66" s="1">
        <v>2023</v>
      </c>
      <c r="P66" s="1" t="s">
        <v>60</v>
      </c>
      <c r="Q66" s="1" t="s">
        <v>40</v>
      </c>
      <c r="R66" s="1" t="s">
        <v>61</v>
      </c>
      <c r="S66" s="1">
        <f t="shared" ref="S66:S129" si="1">H66-G66+1</f>
        <v>19</v>
      </c>
      <c r="T66" s="7" t="str">
        <f>_xlfn.TEXTJOIN("_",TRUE,Finance_Data!A66,Finance_Data!B66,Finance_Data!C66,Finance_Data!D66,Finance_Data!E66,Finance_Data!G66,Finance_Data!H66)</f>
        <v>CMP_032_West_UK_Lipstick_Ecommerce_44994_45012</v>
      </c>
    </row>
    <row r="67" spans="1:20" x14ac:dyDescent="0.35">
      <c r="A67" s="6" t="s">
        <v>107</v>
      </c>
      <c r="B67" s="1" t="s">
        <v>28</v>
      </c>
      <c r="C67" s="1" t="s">
        <v>29</v>
      </c>
      <c r="D67" s="1" t="s">
        <v>43</v>
      </c>
      <c r="E67" s="1" t="s">
        <v>30</v>
      </c>
      <c r="F67" s="1" t="s">
        <v>44</v>
      </c>
      <c r="G67" s="2">
        <v>44994</v>
      </c>
      <c r="H67" s="2">
        <v>45005</v>
      </c>
      <c r="I67" s="1">
        <v>34200.660000000003</v>
      </c>
      <c r="J67" s="1">
        <v>0.67549999999999999</v>
      </c>
      <c r="K67" s="1">
        <v>23102.55</v>
      </c>
      <c r="L67" s="1">
        <v>319242</v>
      </c>
      <c r="M67" s="1">
        <v>25099</v>
      </c>
      <c r="N67" s="1">
        <v>103412.35</v>
      </c>
      <c r="O67" s="1">
        <v>2023</v>
      </c>
      <c r="P67" s="1" t="s">
        <v>60</v>
      </c>
      <c r="Q67" s="1" t="s">
        <v>40</v>
      </c>
      <c r="R67" s="1" t="s">
        <v>26</v>
      </c>
      <c r="S67" s="1">
        <f t="shared" si="1"/>
        <v>12</v>
      </c>
      <c r="T67" s="7" t="str">
        <f>_xlfn.TEXTJOIN("_",TRUE,Finance_Data!A67,Finance_Data!B67,Finance_Data!C67,Finance_Data!D67,Finance_Data!E67,Finance_Data!G67,Finance_Data!H67)</f>
        <v>CMP_040_West_Australia_Luxury Bag_Wholesale_44994_45005</v>
      </c>
    </row>
    <row r="68" spans="1:20" x14ac:dyDescent="0.35">
      <c r="A68" s="6" t="s">
        <v>94</v>
      </c>
      <c r="B68" s="1" t="s">
        <v>28</v>
      </c>
      <c r="C68" s="1" t="s">
        <v>36</v>
      </c>
      <c r="D68" s="1" t="s">
        <v>43</v>
      </c>
      <c r="E68" s="1" t="s">
        <v>38</v>
      </c>
      <c r="F68" s="1" t="s">
        <v>49</v>
      </c>
      <c r="G68" s="2">
        <v>44995</v>
      </c>
      <c r="H68" s="2">
        <v>45000</v>
      </c>
      <c r="I68" s="1">
        <v>8498.08</v>
      </c>
      <c r="J68" s="1">
        <v>1.0570999999999999</v>
      </c>
      <c r="K68" s="1">
        <v>8983.32</v>
      </c>
      <c r="L68" s="1">
        <v>555073</v>
      </c>
      <c r="M68" s="1">
        <v>6448</v>
      </c>
      <c r="N68" s="1">
        <v>65565.490000000005</v>
      </c>
      <c r="O68" s="1">
        <v>2023</v>
      </c>
      <c r="P68" s="1" t="s">
        <v>60</v>
      </c>
      <c r="Q68" s="1" t="s">
        <v>40</v>
      </c>
      <c r="R68" s="1" t="s">
        <v>26</v>
      </c>
      <c r="S68" s="1">
        <f t="shared" si="1"/>
        <v>6</v>
      </c>
      <c r="T68" s="7" t="str">
        <f>_xlfn.TEXTJOIN("_",TRUE,Finance_Data!A68,Finance_Data!B68,Finance_Data!C68,Finance_Data!D68,Finance_Data!E68,Finance_Data!G68,Finance_Data!H68)</f>
        <v>CMP_007_West_India_Luxury Bag_Ecommerce_44995_45000</v>
      </c>
    </row>
    <row r="69" spans="1:20" x14ac:dyDescent="0.35">
      <c r="A69" s="6" t="s">
        <v>102</v>
      </c>
      <c r="B69" s="1" t="s">
        <v>28</v>
      </c>
      <c r="C69" s="1" t="s">
        <v>58</v>
      </c>
      <c r="D69" s="1" t="s">
        <v>51</v>
      </c>
      <c r="E69" s="1" t="s">
        <v>30</v>
      </c>
      <c r="F69" s="1" t="s">
        <v>52</v>
      </c>
      <c r="G69" s="2">
        <v>44996</v>
      </c>
      <c r="H69" s="2">
        <v>45056</v>
      </c>
      <c r="I69" s="1">
        <v>3189.44</v>
      </c>
      <c r="J69" s="1">
        <v>0.58260000000000001</v>
      </c>
      <c r="K69" s="1">
        <v>1858.17</v>
      </c>
      <c r="L69" s="1">
        <v>334745</v>
      </c>
      <c r="M69" s="1">
        <v>37177</v>
      </c>
      <c r="N69" s="1">
        <v>115831.73</v>
      </c>
      <c r="O69" s="1">
        <v>2023</v>
      </c>
      <c r="P69" s="1" t="s">
        <v>60</v>
      </c>
      <c r="Q69" s="1" t="s">
        <v>40</v>
      </c>
      <c r="R69" s="1" t="s">
        <v>61</v>
      </c>
      <c r="S69" s="1">
        <f t="shared" si="1"/>
        <v>61</v>
      </c>
      <c r="T69" s="7" t="str">
        <f>_xlfn.TEXTJOIN("_",TRUE,Finance_Data!A69,Finance_Data!B69,Finance_Data!C69,Finance_Data!D69,Finance_Data!E69,Finance_Data!G69,Finance_Data!H69)</f>
        <v>CMP_022_West_UK_Watch_Wholesale_44996_45056</v>
      </c>
    </row>
    <row r="70" spans="1:20" x14ac:dyDescent="0.35">
      <c r="A70" s="6" t="s">
        <v>113</v>
      </c>
      <c r="B70" s="1" t="s">
        <v>28</v>
      </c>
      <c r="C70" s="1" t="s">
        <v>36</v>
      </c>
      <c r="D70" s="1" t="s">
        <v>51</v>
      </c>
      <c r="E70" s="1" t="s">
        <v>38</v>
      </c>
      <c r="F70" s="1" t="s">
        <v>31</v>
      </c>
      <c r="G70" s="2">
        <v>44996</v>
      </c>
      <c r="H70" s="2">
        <v>45034</v>
      </c>
      <c r="I70" s="1">
        <v>27660.02</v>
      </c>
      <c r="J70" s="1">
        <v>0.94579999999999997</v>
      </c>
      <c r="K70" s="1">
        <v>26160.85</v>
      </c>
      <c r="L70" s="1">
        <v>542280</v>
      </c>
      <c r="M70" s="1">
        <v>36416</v>
      </c>
      <c r="N70" s="1">
        <v>9981.91</v>
      </c>
      <c r="O70" s="1">
        <v>2023</v>
      </c>
      <c r="P70" s="1" t="s">
        <v>60</v>
      </c>
      <c r="Q70" s="1" t="s">
        <v>40</v>
      </c>
      <c r="R70" s="1" t="s">
        <v>41</v>
      </c>
      <c r="S70" s="1">
        <f t="shared" si="1"/>
        <v>39</v>
      </c>
      <c r="T70" s="7" t="str">
        <f>_xlfn.TEXTJOIN("_",TRUE,Finance_Data!A70,Finance_Data!B70,Finance_Data!C70,Finance_Data!D70,Finance_Data!E70,Finance_Data!G70,Finance_Data!H70)</f>
        <v>CMP_056_West_India_Watch_Ecommerce_44996_45034</v>
      </c>
    </row>
    <row r="71" spans="1:20" x14ac:dyDescent="0.35">
      <c r="A71" s="6" t="s">
        <v>66</v>
      </c>
      <c r="B71" s="1" t="s">
        <v>19</v>
      </c>
      <c r="C71" s="1" t="s">
        <v>69</v>
      </c>
      <c r="D71" s="1" t="s">
        <v>59</v>
      </c>
      <c r="E71" s="1" t="s">
        <v>22</v>
      </c>
      <c r="F71" s="1" t="s">
        <v>44</v>
      </c>
      <c r="G71" s="2">
        <v>44997</v>
      </c>
      <c r="H71" s="2">
        <v>45055</v>
      </c>
      <c r="I71" s="1">
        <v>38492.71</v>
      </c>
      <c r="J71" s="1">
        <v>0.25650000000000001</v>
      </c>
      <c r="K71" s="1">
        <v>9873.3799999999992</v>
      </c>
      <c r="L71" s="1">
        <v>236441</v>
      </c>
      <c r="M71" s="1">
        <v>15369</v>
      </c>
      <c r="N71" s="1">
        <v>85497.09</v>
      </c>
      <c r="O71" s="1">
        <v>2023</v>
      </c>
      <c r="P71" s="1" t="s">
        <v>60</v>
      </c>
      <c r="Q71" s="1" t="s">
        <v>40</v>
      </c>
      <c r="R71" s="1" t="s">
        <v>41</v>
      </c>
      <c r="S71" s="1">
        <f t="shared" si="1"/>
        <v>59</v>
      </c>
      <c r="T71" s="7" t="str">
        <f>_xlfn.TEXTJOIN("_",TRUE,Finance_Data!A71,Finance_Data!B71,Finance_Data!C71,Finance_Data!D71,Finance_Data!E71,Finance_Data!G71,Finance_Data!H71)</f>
        <v>CMP_010_North_USA_Lipstick_Retail_44997_45055</v>
      </c>
    </row>
    <row r="72" spans="1:20" x14ac:dyDescent="0.35">
      <c r="A72" s="6" t="s">
        <v>120</v>
      </c>
      <c r="B72" s="1" t="s">
        <v>28</v>
      </c>
      <c r="C72" s="1" t="s">
        <v>29</v>
      </c>
      <c r="D72" s="1" t="s">
        <v>37</v>
      </c>
      <c r="E72" s="1" t="s">
        <v>30</v>
      </c>
      <c r="F72" s="1" t="s">
        <v>31</v>
      </c>
      <c r="G72" s="2">
        <v>44997</v>
      </c>
      <c r="H72" s="2">
        <v>45035</v>
      </c>
      <c r="I72" s="1">
        <v>8596.25</v>
      </c>
      <c r="J72" s="1">
        <v>0.3619</v>
      </c>
      <c r="K72" s="1">
        <v>3110.98</v>
      </c>
      <c r="L72" s="1">
        <v>286141</v>
      </c>
      <c r="M72" s="1">
        <v>35594</v>
      </c>
      <c r="N72" s="1">
        <v>94942.61</v>
      </c>
      <c r="O72" s="1">
        <v>2023</v>
      </c>
      <c r="P72" s="1" t="s">
        <v>60</v>
      </c>
      <c r="Q72" s="1" t="s">
        <v>40</v>
      </c>
      <c r="R72" s="1" t="s">
        <v>61</v>
      </c>
      <c r="S72" s="1">
        <f t="shared" si="1"/>
        <v>39</v>
      </c>
      <c r="T72" s="7" t="str">
        <f>_xlfn.TEXTJOIN("_",TRUE,Finance_Data!A72,Finance_Data!B72,Finance_Data!C72,Finance_Data!D72,Finance_Data!E72,Finance_Data!G72,Finance_Data!H72)</f>
        <v>CMP_001_West_Australia_Perfume_Wholesale_44997_45035</v>
      </c>
    </row>
    <row r="73" spans="1:20" x14ac:dyDescent="0.35">
      <c r="A73" s="6" t="s">
        <v>105</v>
      </c>
      <c r="B73" s="1" t="s">
        <v>28</v>
      </c>
      <c r="C73" s="1" t="s">
        <v>58</v>
      </c>
      <c r="D73" s="1" t="s">
        <v>63</v>
      </c>
      <c r="E73" s="1" t="s">
        <v>22</v>
      </c>
      <c r="F73" s="1" t="s">
        <v>31</v>
      </c>
      <c r="G73" s="2">
        <v>44998</v>
      </c>
      <c r="H73" s="2">
        <v>45012</v>
      </c>
      <c r="I73" s="1">
        <v>37307.480000000003</v>
      </c>
      <c r="J73" s="1">
        <v>1.1665000000000001</v>
      </c>
      <c r="K73" s="1">
        <v>43519.18</v>
      </c>
      <c r="L73" s="1">
        <v>106214</v>
      </c>
      <c r="M73" s="1">
        <v>48997</v>
      </c>
      <c r="N73" s="1">
        <v>134968.26</v>
      </c>
      <c r="O73" s="1">
        <v>2023</v>
      </c>
      <c r="P73" s="1" t="s">
        <v>60</v>
      </c>
      <c r="Q73" s="1" t="s">
        <v>40</v>
      </c>
      <c r="R73" s="1" t="s">
        <v>41</v>
      </c>
      <c r="S73" s="1">
        <f t="shared" si="1"/>
        <v>15</v>
      </c>
      <c r="T73" s="7" t="str">
        <f>_xlfn.TEXTJOIN("_",TRUE,Finance_Data!A73,Finance_Data!B73,Finance_Data!C73,Finance_Data!D73,Finance_Data!E73,Finance_Data!G73,Finance_Data!H73)</f>
        <v>CMP_025_West_UK_Skincare_Retail_44998_45012</v>
      </c>
    </row>
    <row r="74" spans="1:20" x14ac:dyDescent="0.35">
      <c r="A74" s="6" t="s">
        <v>111</v>
      </c>
      <c r="B74" s="1" t="s">
        <v>48</v>
      </c>
      <c r="C74" s="1" t="s">
        <v>58</v>
      </c>
      <c r="D74" s="1" t="s">
        <v>59</v>
      </c>
      <c r="E74" s="1" t="s">
        <v>38</v>
      </c>
      <c r="F74" s="1" t="s">
        <v>49</v>
      </c>
      <c r="G74" s="2">
        <v>44999</v>
      </c>
      <c r="H74" s="2">
        <v>45044</v>
      </c>
      <c r="I74" s="1">
        <v>36901.07</v>
      </c>
      <c r="J74" s="1">
        <v>1.1944999999999999</v>
      </c>
      <c r="K74" s="1">
        <v>44078.33</v>
      </c>
      <c r="L74" s="1">
        <v>740650</v>
      </c>
      <c r="M74" s="1">
        <v>42408</v>
      </c>
      <c r="N74" s="1">
        <v>52193.72</v>
      </c>
      <c r="O74" s="1">
        <v>2023</v>
      </c>
      <c r="P74" s="1" t="s">
        <v>60</v>
      </c>
      <c r="Q74" s="1" t="s">
        <v>40</v>
      </c>
      <c r="R74" s="1" t="s">
        <v>54</v>
      </c>
      <c r="S74" s="1">
        <f t="shared" si="1"/>
        <v>46</v>
      </c>
      <c r="T74" s="7" t="str">
        <f>_xlfn.TEXTJOIN("_",TRUE,Finance_Data!A74,Finance_Data!B74,Finance_Data!C74,Finance_Data!D74,Finance_Data!E74,Finance_Data!G74,Finance_Data!H74)</f>
        <v>CMP_024_South_UK_Lipstick_Ecommerce_44999_45044</v>
      </c>
    </row>
    <row r="75" spans="1:20" x14ac:dyDescent="0.35">
      <c r="A75" s="6" t="s">
        <v>81</v>
      </c>
      <c r="B75" s="1" t="s">
        <v>35</v>
      </c>
      <c r="C75" s="1" t="s">
        <v>29</v>
      </c>
      <c r="D75" s="1" t="s">
        <v>21</v>
      </c>
      <c r="E75" s="1" t="s">
        <v>22</v>
      </c>
      <c r="F75" s="1" t="s">
        <v>52</v>
      </c>
      <c r="G75" s="2">
        <v>44999</v>
      </c>
      <c r="H75" s="2">
        <v>45018</v>
      </c>
      <c r="I75" s="1">
        <v>19770.43</v>
      </c>
      <c r="J75" s="1">
        <v>0.87960000000000005</v>
      </c>
      <c r="K75" s="1">
        <v>17390.07</v>
      </c>
      <c r="L75" s="1">
        <v>117402</v>
      </c>
      <c r="M75" s="1">
        <v>6863</v>
      </c>
      <c r="N75" s="1">
        <v>81771.11</v>
      </c>
      <c r="O75" s="1">
        <v>2023</v>
      </c>
      <c r="P75" s="1" t="s">
        <v>60</v>
      </c>
      <c r="Q75" s="1" t="s">
        <v>40</v>
      </c>
      <c r="R75" s="1" t="s">
        <v>26</v>
      </c>
      <c r="S75" s="1">
        <f t="shared" si="1"/>
        <v>20</v>
      </c>
      <c r="T75" s="7" t="str">
        <f>_xlfn.TEXTJOIN("_",TRUE,Finance_Data!A75,Finance_Data!B75,Finance_Data!C75,Finance_Data!D75,Finance_Data!E75,Finance_Data!G75,Finance_Data!H75)</f>
        <v>CMP_057_East_Australia_Foundation_Retail_44999_45018</v>
      </c>
    </row>
    <row r="76" spans="1:20" x14ac:dyDescent="0.35">
      <c r="A76" s="6" t="s">
        <v>112</v>
      </c>
      <c r="B76" s="1" t="s">
        <v>19</v>
      </c>
      <c r="C76" s="1" t="s">
        <v>36</v>
      </c>
      <c r="D76" s="1" t="s">
        <v>63</v>
      </c>
      <c r="E76" s="1" t="s">
        <v>30</v>
      </c>
      <c r="F76" s="1" t="s">
        <v>44</v>
      </c>
      <c r="G76" s="2">
        <v>45001</v>
      </c>
      <c r="H76" s="2">
        <v>45012</v>
      </c>
      <c r="I76" s="1">
        <v>28293</v>
      </c>
      <c r="J76" s="1">
        <v>7.1999999999999995E-2</v>
      </c>
      <c r="K76" s="1">
        <v>2037.1</v>
      </c>
      <c r="L76" s="1">
        <v>986292</v>
      </c>
      <c r="M76" s="1">
        <v>15490</v>
      </c>
      <c r="N76" s="1">
        <v>120378.44</v>
      </c>
      <c r="O76" s="1">
        <v>2023</v>
      </c>
      <c r="P76" s="1" t="s">
        <v>60</v>
      </c>
      <c r="Q76" s="1" t="s">
        <v>40</v>
      </c>
      <c r="R76" s="1" t="s">
        <v>54</v>
      </c>
      <c r="S76" s="1">
        <f t="shared" si="1"/>
        <v>12</v>
      </c>
      <c r="T76" s="7" t="str">
        <f>_xlfn.TEXTJOIN("_",TRUE,Finance_Data!A76,Finance_Data!B76,Finance_Data!C76,Finance_Data!D76,Finance_Data!E76,Finance_Data!G76,Finance_Data!H76)</f>
        <v>CMP_023_North_India_Skincare_Wholesale_45001_45012</v>
      </c>
    </row>
    <row r="77" spans="1:20" x14ac:dyDescent="0.35">
      <c r="A77" s="6" t="s">
        <v>87</v>
      </c>
      <c r="B77" s="1" t="s">
        <v>28</v>
      </c>
      <c r="C77" s="1" t="s">
        <v>69</v>
      </c>
      <c r="D77" s="1" t="s">
        <v>21</v>
      </c>
      <c r="E77" s="1" t="s">
        <v>30</v>
      </c>
      <c r="F77" s="1" t="s">
        <v>52</v>
      </c>
      <c r="G77" s="2">
        <v>45002</v>
      </c>
      <c r="H77" s="2">
        <v>45054</v>
      </c>
      <c r="I77" s="1">
        <v>46115.46</v>
      </c>
      <c r="J77" s="1">
        <v>1.1404000000000001</v>
      </c>
      <c r="K77" s="1">
        <v>52590.07</v>
      </c>
      <c r="L77" s="1">
        <v>964911</v>
      </c>
      <c r="M77" s="1">
        <v>26896</v>
      </c>
      <c r="N77" s="1">
        <v>159553.84</v>
      </c>
      <c r="O77" s="1">
        <v>2023</v>
      </c>
      <c r="P77" s="1" t="s">
        <v>60</v>
      </c>
      <c r="Q77" s="1" t="s">
        <v>40</v>
      </c>
      <c r="R77" s="1" t="s">
        <v>61</v>
      </c>
      <c r="S77" s="1">
        <f t="shared" si="1"/>
        <v>53</v>
      </c>
      <c r="T77" s="7" t="str">
        <f>_xlfn.TEXTJOIN("_",TRUE,Finance_Data!A77,Finance_Data!B77,Finance_Data!C77,Finance_Data!D77,Finance_Data!E77,Finance_Data!G77,Finance_Data!H77)</f>
        <v>CMP_048_West_USA_Foundation_Wholesale_45002_45054</v>
      </c>
    </row>
    <row r="78" spans="1:20" x14ac:dyDescent="0.35">
      <c r="A78" s="6" t="s">
        <v>81</v>
      </c>
      <c r="B78" s="1" t="s">
        <v>48</v>
      </c>
      <c r="C78" s="1" t="s">
        <v>69</v>
      </c>
      <c r="D78" s="1" t="s">
        <v>63</v>
      </c>
      <c r="E78" s="1" t="s">
        <v>22</v>
      </c>
      <c r="F78" s="1" t="s">
        <v>49</v>
      </c>
      <c r="G78" s="2">
        <v>45002</v>
      </c>
      <c r="H78" s="2">
        <v>45041</v>
      </c>
      <c r="I78" s="1">
        <v>11444.56</v>
      </c>
      <c r="J78" s="1">
        <v>0.3256</v>
      </c>
      <c r="K78" s="1">
        <v>3726.35</v>
      </c>
      <c r="L78" s="1">
        <v>988593</v>
      </c>
      <c r="M78" s="1">
        <v>22972</v>
      </c>
      <c r="N78" s="1">
        <v>220811.72</v>
      </c>
      <c r="O78" s="1">
        <v>2023</v>
      </c>
      <c r="P78" s="1" t="s">
        <v>60</v>
      </c>
      <c r="Q78" s="1" t="s">
        <v>40</v>
      </c>
      <c r="R78" s="1" t="s">
        <v>41</v>
      </c>
      <c r="S78" s="1">
        <f t="shared" si="1"/>
        <v>40</v>
      </c>
      <c r="T78" s="7" t="str">
        <f>_xlfn.TEXTJOIN("_",TRUE,Finance_Data!A78,Finance_Data!B78,Finance_Data!C78,Finance_Data!D78,Finance_Data!E78,Finance_Data!G78,Finance_Data!H78)</f>
        <v>CMP_057_South_USA_Skincare_Retail_45002_45041</v>
      </c>
    </row>
    <row r="79" spans="1:20" x14ac:dyDescent="0.35">
      <c r="A79" s="6" t="s">
        <v>78</v>
      </c>
      <c r="B79" s="1" t="s">
        <v>35</v>
      </c>
      <c r="C79" s="1" t="s">
        <v>58</v>
      </c>
      <c r="D79" s="1" t="s">
        <v>51</v>
      </c>
      <c r="E79" s="1" t="s">
        <v>22</v>
      </c>
      <c r="F79" s="1" t="s">
        <v>44</v>
      </c>
      <c r="G79" s="2">
        <v>45003</v>
      </c>
      <c r="H79" s="2">
        <v>45043</v>
      </c>
      <c r="I79" s="1">
        <v>13493.4</v>
      </c>
      <c r="J79" s="1">
        <v>0.46429999999999999</v>
      </c>
      <c r="K79" s="1">
        <v>6264.99</v>
      </c>
      <c r="L79" s="1">
        <v>957556</v>
      </c>
      <c r="M79" s="1">
        <v>10803</v>
      </c>
      <c r="N79" s="1">
        <v>103014.55</v>
      </c>
      <c r="O79" s="1">
        <v>2023</v>
      </c>
      <c r="P79" s="1" t="s">
        <v>60</v>
      </c>
      <c r="Q79" s="1" t="s">
        <v>40</v>
      </c>
      <c r="R79" s="1" t="s">
        <v>61</v>
      </c>
      <c r="S79" s="1">
        <f t="shared" si="1"/>
        <v>41</v>
      </c>
      <c r="T79" s="7" t="str">
        <f>_xlfn.TEXTJOIN("_",TRUE,Finance_Data!A79,Finance_Data!B79,Finance_Data!C79,Finance_Data!D79,Finance_Data!E79,Finance_Data!G79,Finance_Data!H79)</f>
        <v>CMP_006_East_UK_Watch_Retail_45003_45043</v>
      </c>
    </row>
    <row r="80" spans="1:20" x14ac:dyDescent="0.35">
      <c r="A80" s="6" t="s">
        <v>83</v>
      </c>
      <c r="B80" s="1" t="s">
        <v>48</v>
      </c>
      <c r="C80" s="1" t="s">
        <v>20</v>
      </c>
      <c r="D80" s="1" t="s">
        <v>37</v>
      </c>
      <c r="E80" s="1" t="s">
        <v>38</v>
      </c>
      <c r="F80" s="1" t="s">
        <v>23</v>
      </c>
      <c r="G80" s="2">
        <v>45005</v>
      </c>
      <c r="H80" s="2">
        <v>45058</v>
      </c>
      <c r="I80" s="1">
        <v>6156</v>
      </c>
      <c r="J80" s="1">
        <v>0.92220000000000002</v>
      </c>
      <c r="K80" s="1">
        <v>5677.06</v>
      </c>
      <c r="L80" s="1">
        <v>351849</v>
      </c>
      <c r="M80" s="1">
        <v>26976</v>
      </c>
      <c r="N80" s="1">
        <v>115479.32</v>
      </c>
      <c r="O80" s="1">
        <v>2023</v>
      </c>
      <c r="P80" s="1" t="s">
        <v>60</v>
      </c>
      <c r="Q80" s="1" t="s">
        <v>40</v>
      </c>
      <c r="R80" s="1" t="s">
        <v>26</v>
      </c>
      <c r="S80" s="1">
        <f t="shared" si="1"/>
        <v>54</v>
      </c>
      <c r="T80" s="7" t="str">
        <f>_xlfn.TEXTJOIN("_",TRUE,Finance_Data!A80,Finance_Data!B80,Finance_Data!C80,Finance_Data!D80,Finance_Data!E80,Finance_Data!G80,Finance_Data!H80)</f>
        <v>CMP_017_South_Singapore_Perfume_Ecommerce_45005_45058</v>
      </c>
    </row>
    <row r="81" spans="1:20" x14ac:dyDescent="0.35">
      <c r="A81" s="6" t="s">
        <v>91</v>
      </c>
      <c r="B81" s="1" t="s">
        <v>19</v>
      </c>
      <c r="C81" s="1" t="s">
        <v>58</v>
      </c>
      <c r="D81" s="1" t="s">
        <v>43</v>
      </c>
      <c r="E81" s="1" t="s">
        <v>30</v>
      </c>
      <c r="F81" s="1" t="s">
        <v>52</v>
      </c>
      <c r="G81" s="2">
        <v>45005</v>
      </c>
      <c r="H81" s="2">
        <v>45051</v>
      </c>
      <c r="I81" s="1">
        <v>43348.25</v>
      </c>
      <c r="J81" s="1">
        <v>1.0278</v>
      </c>
      <c r="K81" s="1">
        <v>44553.33</v>
      </c>
      <c r="L81" s="1">
        <v>654883</v>
      </c>
      <c r="M81" s="1">
        <v>39033</v>
      </c>
      <c r="N81" s="1">
        <v>129231.62</v>
      </c>
      <c r="O81" s="1">
        <v>2023</v>
      </c>
      <c r="P81" s="1" t="s">
        <v>60</v>
      </c>
      <c r="Q81" s="1" t="s">
        <v>40</v>
      </c>
      <c r="R81" s="1" t="s">
        <v>41</v>
      </c>
      <c r="S81" s="1">
        <f t="shared" si="1"/>
        <v>47</v>
      </c>
      <c r="T81" s="7" t="str">
        <f>_xlfn.TEXTJOIN("_",TRUE,Finance_Data!A81,Finance_Data!B81,Finance_Data!C81,Finance_Data!D81,Finance_Data!E81,Finance_Data!G81,Finance_Data!H81)</f>
        <v>CMP_030_North_UK_Luxury Bag_Wholesale_45005_45051</v>
      </c>
    </row>
    <row r="82" spans="1:20" x14ac:dyDescent="0.35">
      <c r="A82" s="6" t="s">
        <v>116</v>
      </c>
      <c r="B82" s="1" t="s">
        <v>19</v>
      </c>
      <c r="C82" s="1" t="s">
        <v>69</v>
      </c>
      <c r="D82" s="1" t="s">
        <v>21</v>
      </c>
      <c r="E82" s="1" t="s">
        <v>30</v>
      </c>
      <c r="F82" s="1" t="s">
        <v>44</v>
      </c>
      <c r="G82" s="2">
        <v>45005</v>
      </c>
      <c r="H82" s="2">
        <v>45016</v>
      </c>
      <c r="I82" s="1">
        <v>9073.5400000000009</v>
      </c>
      <c r="J82" s="1">
        <v>0.14330000000000001</v>
      </c>
      <c r="K82" s="1">
        <v>1300.24</v>
      </c>
      <c r="L82" s="1">
        <v>165141</v>
      </c>
      <c r="M82" s="1">
        <v>32627</v>
      </c>
      <c r="N82" s="1">
        <v>41872.03</v>
      </c>
      <c r="O82" s="1">
        <v>2023</v>
      </c>
      <c r="P82" s="1" t="s">
        <v>60</v>
      </c>
      <c r="Q82" s="1" t="s">
        <v>40</v>
      </c>
      <c r="R82" s="1" t="s">
        <v>61</v>
      </c>
      <c r="S82" s="1">
        <f t="shared" si="1"/>
        <v>12</v>
      </c>
      <c r="T82" s="7" t="str">
        <f>_xlfn.TEXTJOIN("_",TRUE,Finance_Data!A82,Finance_Data!B82,Finance_Data!C82,Finance_Data!D82,Finance_Data!E82,Finance_Data!G82,Finance_Data!H82)</f>
        <v>CMP_014_North_USA_Foundation_Wholesale_45005_45016</v>
      </c>
    </row>
    <row r="83" spans="1:20" x14ac:dyDescent="0.35">
      <c r="A83" s="6" t="s">
        <v>94</v>
      </c>
      <c r="B83" s="1" t="s">
        <v>48</v>
      </c>
      <c r="C83" s="1" t="s">
        <v>20</v>
      </c>
      <c r="D83" s="1" t="s">
        <v>43</v>
      </c>
      <c r="E83" s="1" t="s">
        <v>30</v>
      </c>
      <c r="F83" s="1" t="s">
        <v>49</v>
      </c>
      <c r="G83" s="2">
        <v>45006</v>
      </c>
      <c r="H83" s="2">
        <v>45048</v>
      </c>
      <c r="I83" s="1">
        <v>8468.67</v>
      </c>
      <c r="J83" s="1">
        <v>0.87949999999999995</v>
      </c>
      <c r="K83" s="1">
        <v>7448.2</v>
      </c>
      <c r="L83" s="1">
        <v>303586</v>
      </c>
      <c r="M83" s="1">
        <v>11786</v>
      </c>
      <c r="N83" s="1">
        <v>69419.72</v>
      </c>
      <c r="O83" s="1">
        <v>2023</v>
      </c>
      <c r="P83" s="1" t="s">
        <v>60</v>
      </c>
      <c r="Q83" s="1" t="s">
        <v>40</v>
      </c>
      <c r="R83" s="1" t="s">
        <v>41</v>
      </c>
      <c r="S83" s="1">
        <f t="shared" si="1"/>
        <v>43</v>
      </c>
      <c r="T83" s="7" t="str">
        <f>_xlfn.TEXTJOIN("_",TRUE,Finance_Data!A83,Finance_Data!B83,Finance_Data!C83,Finance_Data!D83,Finance_Data!E83,Finance_Data!G83,Finance_Data!H83)</f>
        <v>CMP_007_South_Singapore_Luxury Bag_Wholesale_45006_45048</v>
      </c>
    </row>
    <row r="84" spans="1:20" x14ac:dyDescent="0.35">
      <c r="A84" s="6" t="s">
        <v>113</v>
      </c>
      <c r="B84" s="1" t="s">
        <v>19</v>
      </c>
      <c r="C84" s="1" t="s">
        <v>29</v>
      </c>
      <c r="D84" s="1" t="s">
        <v>51</v>
      </c>
      <c r="E84" s="1" t="s">
        <v>30</v>
      </c>
      <c r="F84" s="1" t="s">
        <v>44</v>
      </c>
      <c r="G84" s="2">
        <v>45007</v>
      </c>
      <c r="H84" s="2">
        <v>45061</v>
      </c>
      <c r="I84" s="1">
        <v>3740.21</v>
      </c>
      <c r="J84" s="1">
        <v>0.9274</v>
      </c>
      <c r="K84" s="1">
        <v>3468.67</v>
      </c>
      <c r="L84" s="1">
        <v>374831</v>
      </c>
      <c r="M84" s="1">
        <v>28562</v>
      </c>
      <c r="N84" s="1">
        <v>107047.82</v>
      </c>
      <c r="O84" s="1">
        <v>2023</v>
      </c>
      <c r="P84" s="1" t="s">
        <v>60</v>
      </c>
      <c r="Q84" s="1" t="s">
        <v>40</v>
      </c>
      <c r="R84" s="1" t="s">
        <v>26</v>
      </c>
      <c r="S84" s="1">
        <f t="shared" si="1"/>
        <v>55</v>
      </c>
      <c r="T84" s="7" t="str">
        <f>_xlfn.TEXTJOIN("_",TRUE,Finance_Data!A84,Finance_Data!B84,Finance_Data!C84,Finance_Data!D84,Finance_Data!E84,Finance_Data!G84,Finance_Data!H84)</f>
        <v>CMP_056_North_Australia_Watch_Wholesale_45007_45061</v>
      </c>
    </row>
    <row r="85" spans="1:20" x14ac:dyDescent="0.35">
      <c r="A85" s="6" t="s">
        <v>66</v>
      </c>
      <c r="B85" s="1" t="s">
        <v>48</v>
      </c>
      <c r="C85" s="1" t="s">
        <v>58</v>
      </c>
      <c r="D85" s="1" t="s">
        <v>51</v>
      </c>
      <c r="E85" s="1" t="s">
        <v>38</v>
      </c>
      <c r="F85" s="1" t="s">
        <v>49</v>
      </c>
      <c r="G85" s="2">
        <v>45007</v>
      </c>
      <c r="H85" s="2">
        <v>45051</v>
      </c>
      <c r="I85" s="1">
        <v>43671.14</v>
      </c>
      <c r="J85" s="1">
        <v>0.74750000000000005</v>
      </c>
      <c r="K85" s="1">
        <v>32644.18</v>
      </c>
      <c r="L85" s="1">
        <v>262528</v>
      </c>
      <c r="M85" s="1">
        <v>32715</v>
      </c>
      <c r="N85" s="1">
        <v>228643.11</v>
      </c>
      <c r="O85" s="1">
        <v>2023</v>
      </c>
      <c r="P85" s="1" t="s">
        <v>60</v>
      </c>
      <c r="Q85" s="1" t="s">
        <v>40</v>
      </c>
      <c r="R85" s="1" t="s">
        <v>41</v>
      </c>
      <c r="S85" s="1">
        <f t="shared" si="1"/>
        <v>45</v>
      </c>
      <c r="T85" s="7" t="str">
        <f>_xlfn.TEXTJOIN("_",TRUE,Finance_Data!A85,Finance_Data!B85,Finance_Data!C85,Finance_Data!D85,Finance_Data!E85,Finance_Data!G85,Finance_Data!H85)</f>
        <v>CMP_010_South_UK_Watch_Ecommerce_45007_45051</v>
      </c>
    </row>
    <row r="86" spans="1:20" x14ac:dyDescent="0.35">
      <c r="A86" s="6" t="s">
        <v>72</v>
      </c>
      <c r="B86" s="1" t="s">
        <v>35</v>
      </c>
      <c r="C86" s="1" t="s">
        <v>29</v>
      </c>
      <c r="D86" s="1" t="s">
        <v>21</v>
      </c>
      <c r="E86" s="1" t="s">
        <v>38</v>
      </c>
      <c r="F86" s="1" t="s">
        <v>49</v>
      </c>
      <c r="G86" s="2">
        <v>45008</v>
      </c>
      <c r="H86" s="2">
        <v>45057</v>
      </c>
      <c r="I86" s="1">
        <v>39211.49</v>
      </c>
      <c r="J86" s="1">
        <v>0.1696</v>
      </c>
      <c r="K86" s="1">
        <v>6650.27</v>
      </c>
      <c r="L86" s="1">
        <v>897240</v>
      </c>
      <c r="M86" s="1">
        <v>39730</v>
      </c>
      <c r="N86" s="1">
        <v>119847.06</v>
      </c>
      <c r="O86" s="1">
        <v>2023</v>
      </c>
      <c r="P86" s="1" t="s">
        <v>60</v>
      </c>
      <c r="Q86" s="1" t="s">
        <v>40</v>
      </c>
      <c r="R86" s="1" t="s">
        <v>61</v>
      </c>
      <c r="S86" s="1">
        <f t="shared" si="1"/>
        <v>50</v>
      </c>
      <c r="T86" s="7" t="str">
        <f>_xlfn.TEXTJOIN("_",TRUE,Finance_Data!A86,Finance_Data!B86,Finance_Data!C86,Finance_Data!D86,Finance_Data!E86,Finance_Data!G86,Finance_Data!H86)</f>
        <v>CMP_042_East_Australia_Foundation_Ecommerce_45008_45057</v>
      </c>
    </row>
    <row r="87" spans="1:20" x14ac:dyDescent="0.35">
      <c r="A87" s="6" t="s">
        <v>62</v>
      </c>
      <c r="B87" s="1" t="s">
        <v>28</v>
      </c>
      <c r="C87" s="1" t="s">
        <v>58</v>
      </c>
      <c r="D87" s="1" t="s">
        <v>59</v>
      </c>
      <c r="E87" s="1" t="s">
        <v>30</v>
      </c>
      <c r="F87" s="1" t="s">
        <v>52</v>
      </c>
      <c r="G87" s="2">
        <v>45008</v>
      </c>
      <c r="H87" s="2">
        <v>45035</v>
      </c>
      <c r="I87" s="1">
        <v>28462.400000000001</v>
      </c>
      <c r="J87" s="1">
        <v>0.10100000000000001</v>
      </c>
      <c r="K87" s="1">
        <v>2874.7</v>
      </c>
      <c r="L87" s="1">
        <v>389895</v>
      </c>
      <c r="M87" s="1">
        <v>42916</v>
      </c>
      <c r="N87" s="1">
        <v>123617.86</v>
      </c>
      <c r="O87" s="1">
        <v>2023</v>
      </c>
      <c r="P87" s="1" t="s">
        <v>60</v>
      </c>
      <c r="Q87" s="1" t="s">
        <v>40</v>
      </c>
      <c r="R87" s="1" t="s">
        <v>61</v>
      </c>
      <c r="S87" s="1">
        <f t="shared" si="1"/>
        <v>28</v>
      </c>
      <c r="T87" s="7" t="str">
        <f>_xlfn.TEXTJOIN("_",TRUE,Finance_Data!A87,Finance_Data!B87,Finance_Data!C87,Finance_Data!D87,Finance_Data!E87,Finance_Data!G87,Finance_Data!H87)</f>
        <v>CMP_015_West_UK_Lipstick_Wholesale_45008_45035</v>
      </c>
    </row>
    <row r="88" spans="1:20" x14ac:dyDescent="0.35">
      <c r="A88" s="6" t="s">
        <v>98</v>
      </c>
      <c r="B88" s="1" t="s">
        <v>48</v>
      </c>
      <c r="C88" s="1" t="s">
        <v>29</v>
      </c>
      <c r="D88" s="1" t="s">
        <v>59</v>
      </c>
      <c r="E88" s="1" t="s">
        <v>38</v>
      </c>
      <c r="F88" s="1" t="s">
        <v>31</v>
      </c>
      <c r="G88" s="2">
        <v>45010</v>
      </c>
      <c r="H88" s="2">
        <v>45051</v>
      </c>
      <c r="I88" s="1">
        <v>40575.97</v>
      </c>
      <c r="J88" s="1">
        <v>1.1883999999999999</v>
      </c>
      <c r="K88" s="1">
        <v>48220.480000000003</v>
      </c>
      <c r="L88" s="1">
        <v>246588</v>
      </c>
      <c r="M88" s="1">
        <v>45290</v>
      </c>
      <c r="N88" s="1">
        <v>108835.96</v>
      </c>
      <c r="O88" s="1">
        <v>2023</v>
      </c>
      <c r="P88" s="1" t="s">
        <v>60</v>
      </c>
      <c r="Q88" s="1" t="s">
        <v>40</v>
      </c>
      <c r="R88" s="1" t="s">
        <v>26</v>
      </c>
      <c r="S88" s="1">
        <f t="shared" si="1"/>
        <v>42</v>
      </c>
      <c r="T88" s="7" t="str">
        <f>_xlfn.TEXTJOIN("_",TRUE,Finance_Data!A88,Finance_Data!B88,Finance_Data!C88,Finance_Data!D88,Finance_Data!E88,Finance_Data!G88,Finance_Data!H88)</f>
        <v>CMP_005_South_Australia_Lipstick_Ecommerce_45010_45051</v>
      </c>
    </row>
    <row r="89" spans="1:20" x14ac:dyDescent="0.35">
      <c r="A89" s="6" t="s">
        <v>111</v>
      </c>
      <c r="B89" s="1" t="s">
        <v>28</v>
      </c>
      <c r="C89" s="1" t="s">
        <v>20</v>
      </c>
      <c r="D89" s="1" t="s">
        <v>43</v>
      </c>
      <c r="E89" s="1" t="s">
        <v>30</v>
      </c>
      <c r="F89" s="1" t="s">
        <v>49</v>
      </c>
      <c r="G89" s="2">
        <v>45010</v>
      </c>
      <c r="H89" s="2">
        <v>45020</v>
      </c>
      <c r="I89" s="1">
        <v>4047.49</v>
      </c>
      <c r="J89" s="1">
        <v>1.0672999999999999</v>
      </c>
      <c r="K89" s="1">
        <v>4319.8900000000003</v>
      </c>
      <c r="L89" s="1">
        <v>509387</v>
      </c>
      <c r="M89" s="1">
        <v>14176</v>
      </c>
      <c r="N89" s="1">
        <v>114310.2</v>
      </c>
      <c r="O89" s="1">
        <v>2023</v>
      </c>
      <c r="P89" s="1" t="s">
        <v>60</v>
      </c>
      <c r="Q89" s="1" t="s">
        <v>40</v>
      </c>
      <c r="R89" s="1" t="s">
        <v>41</v>
      </c>
      <c r="S89" s="1">
        <f t="shared" si="1"/>
        <v>11</v>
      </c>
      <c r="T89" s="7" t="str">
        <f>_xlfn.TEXTJOIN("_",TRUE,Finance_Data!A89,Finance_Data!B89,Finance_Data!C89,Finance_Data!D89,Finance_Data!E89,Finance_Data!G89,Finance_Data!H89)</f>
        <v>CMP_024_West_Singapore_Luxury Bag_Wholesale_45010_45020</v>
      </c>
    </row>
    <row r="90" spans="1:20" x14ac:dyDescent="0.35">
      <c r="A90" s="6" t="s">
        <v>42</v>
      </c>
      <c r="B90" s="1" t="s">
        <v>19</v>
      </c>
      <c r="C90" s="1" t="s">
        <v>36</v>
      </c>
      <c r="D90" s="1" t="s">
        <v>59</v>
      </c>
      <c r="E90" s="1" t="s">
        <v>38</v>
      </c>
      <c r="F90" s="1" t="s">
        <v>31</v>
      </c>
      <c r="G90" s="2">
        <v>45011</v>
      </c>
      <c r="H90" s="2">
        <v>45025</v>
      </c>
      <c r="I90" s="1">
        <v>31744.46</v>
      </c>
      <c r="J90" s="1">
        <v>0.76970000000000005</v>
      </c>
      <c r="K90" s="1">
        <v>24433.71</v>
      </c>
      <c r="L90" s="1">
        <v>617497</v>
      </c>
      <c r="M90" s="1">
        <v>6877</v>
      </c>
      <c r="N90" s="1">
        <v>32178.22</v>
      </c>
      <c r="O90" s="1">
        <v>2023</v>
      </c>
      <c r="P90" s="1" t="s">
        <v>60</v>
      </c>
      <c r="Q90" s="1" t="s">
        <v>40</v>
      </c>
      <c r="R90" s="1" t="s">
        <v>61</v>
      </c>
      <c r="S90" s="1">
        <f t="shared" si="1"/>
        <v>15</v>
      </c>
      <c r="T90" s="7" t="str">
        <f>_xlfn.TEXTJOIN("_",TRUE,Finance_Data!A90,Finance_Data!B90,Finance_Data!C90,Finance_Data!D90,Finance_Data!E90,Finance_Data!G90,Finance_Data!H90)</f>
        <v>CMP_060_North_India_Lipstick_Ecommerce_45011_45025</v>
      </c>
    </row>
    <row r="91" spans="1:20" x14ac:dyDescent="0.35">
      <c r="A91" s="6" t="s">
        <v>88</v>
      </c>
      <c r="B91" s="1" t="s">
        <v>48</v>
      </c>
      <c r="C91" s="1" t="s">
        <v>58</v>
      </c>
      <c r="D91" s="1" t="s">
        <v>63</v>
      </c>
      <c r="E91" s="1" t="s">
        <v>38</v>
      </c>
      <c r="F91" s="1" t="s">
        <v>49</v>
      </c>
      <c r="G91" s="2">
        <v>45012</v>
      </c>
      <c r="H91" s="2">
        <v>45058</v>
      </c>
      <c r="I91" s="1">
        <v>22002.03</v>
      </c>
      <c r="J91" s="1">
        <v>1.0416000000000001</v>
      </c>
      <c r="K91" s="1">
        <v>22917.31</v>
      </c>
      <c r="L91" s="1">
        <v>200556</v>
      </c>
      <c r="M91" s="1">
        <v>3395</v>
      </c>
      <c r="N91" s="1">
        <v>68738.3</v>
      </c>
      <c r="O91" s="1">
        <v>2023</v>
      </c>
      <c r="P91" s="1" t="s">
        <v>60</v>
      </c>
      <c r="Q91" s="1" t="s">
        <v>40</v>
      </c>
      <c r="R91" s="1" t="s">
        <v>41</v>
      </c>
      <c r="S91" s="1">
        <f t="shared" si="1"/>
        <v>47</v>
      </c>
      <c r="T91" s="7" t="str">
        <f>_xlfn.TEXTJOIN("_",TRUE,Finance_Data!A91,Finance_Data!B91,Finance_Data!C91,Finance_Data!D91,Finance_Data!E91,Finance_Data!G91,Finance_Data!H91)</f>
        <v>CMP_021_South_UK_Skincare_Ecommerce_45012_45058</v>
      </c>
    </row>
    <row r="92" spans="1:20" x14ac:dyDescent="0.35">
      <c r="A92" s="6" t="s">
        <v>104</v>
      </c>
      <c r="B92" s="1" t="s">
        <v>35</v>
      </c>
      <c r="C92" s="1" t="s">
        <v>29</v>
      </c>
      <c r="D92" s="1" t="s">
        <v>37</v>
      </c>
      <c r="E92" s="1" t="s">
        <v>30</v>
      </c>
      <c r="F92" s="1" t="s">
        <v>44</v>
      </c>
      <c r="G92" s="2">
        <v>45013</v>
      </c>
      <c r="H92" s="2">
        <v>45020</v>
      </c>
      <c r="I92" s="1">
        <v>27334.240000000002</v>
      </c>
      <c r="J92" s="1">
        <v>0.47410000000000002</v>
      </c>
      <c r="K92" s="1">
        <v>12959.16</v>
      </c>
      <c r="L92" s="1">
        <v>763800</v>
      </c>
      <c r="M92" s="1">
        <v>48600</v>
      </c>
      <c r="N92" s="1">
        <v>220569.53</v>
      </c>
      <c r="O92" s="1">
        <v>2023</v>
      </c>
      <c r="P92" s="1" t="s">
        <v>60</v>
      </c>
      <c r="Q92" s="1" t="s">
        <v>40</v>
      </c>
      <c r="R92" s="1" t="s">
        <v>41</v>
      </c>
      <c r="S92" s="1">
        <f t="shared" si="1"/>
        <v>8</v>
      </c>
      <c r="T92" s="7" t="str">
        <f>_xlfn.TEXTJOIN("_",TRUE,Finance_Data!A92,Finance_Data!B92,Finance_Data!C92,Finance_Data!D92,Finance_Data!E92,Finance_Data!G92,Finance_Data!H92)</f>
        <v>CMP_034_East_Australia_Perfume_Wholesale_45013_45020</v>
      </c>
    </row>
    <row r="93" spans="1:20" x14ac:dyDescent="0.35">
      <c r="A93" s="6" t="s">
        <v>105</v>
      </c>
      <c r="B93" s="1" t="s">
        <v>28</v>
      </c>
      <c r="C93" s="1" t="s">
        <v>36</v>
      </c>
      <c r="D93" s="1" t="s">
        <v>59</v>
      </c>
      <c r="E93" s="1" t="s">
        <v>38</v>
      </c>
      <c r="F93" s="1" t="s">
        <v>44</v>
      </c>
      <c r="G93" s="2">
        <v>45014</v>
      </c>
      <c r="H93" s="2">
        <v>45052</v>
      </c>
      <c r="I93" s="1">
        <v>35656.68</v>
      </c>
      <c r="J93" s="1">
        <v>0.875</v>
      </c>
      <c r="K93" s="1">
        <v>31199.599999999999</v>
      </c>
      <c r="L93" s="1">
        <v>546521</v>
      </c>
      <c r="M93" s="1">
        <v>40212</v>
      </c>
      <c r="N93" s="1">
        <v>237689.7</v>
      </c>
      <c r="O93" s="1">
        <v>2023</v>
      </c>
      <c r="P93" s="1" t="s">
        <v>60</v>
      </c>
      <c r="Q93" s="1" t="s">
        <v>40</v>
      </c>
      <c r="R93" s="1" t="s">
        <v>61</v>
      </c>
      <c r="S93" s="1">
        <f t="shared" si="1"/>
        <v>39</v>
      </c>
      <c r="T93" s="7" t="str">
        <f>_xlfn.TEXTJOIN("_",TRUE,Finance_Data!A93,Finance_Data!B93,Finance_Data!C93,Finance_Data!D93,Finance_Data!E93,Finance_Data!G93,Finance_Data!H93)</f>
        <v>CMP_025_West_India_Lipstick_Ecommerce_45014_45052</v>
      </c>
    </row>
    <row r="94" spans="1:20" x14ac:dyDescent="0.35">
      <c r="A94" s="6" t="s">
        <v>114</v>
      </c>
      <c r="B94" s="1" t="s">
        <v>28</v>
      </c>
      <c r="C94" s="1" t="s">
        <v>69</v>
      </c>
      <c r="D94" s="1" t="s">
        <v>37</v>
      </c>
      <c r="E94" s="1" t="s">
        <v>38</v>
      </c>
      <c r="F94" s="1" t="s">
        <v>31</v>
      </c>
      <c r="G94" s="2">
        <v>45014</v>
      </c>
      <c r="H94" s="2">
        <v>45030</v>
      </c>
      <c r="I94" s="1">
        <v>36857.129999999997</v>
      </c>
      <c r="J94" s="1">
        <v>1.1017999999999999</v>
      </c>
      <c r="K94" s="1">
        <v>40609.19</v>
      </c>
      <c r="L94" s="1">
        <v>977301</v>
      </c>
      <c r="M94" s="1">
        <v>26114</v>
      </c>
      <c r="N94" s="1">
        <v>193213.08</v>
      </c>
      <c r="O94" s="1">
        <v>2023</v>
      </c>
      <c r="P94" s="1" t="s">
        <v>60</v>
      </c>
      <c r="Q94" s="1" t="s">
        <v>40</v>
      </c>
      <c r="R94" s="1" t="s">
        <v>54</v>
      </c>
      <c r="S94" s="1">
        <f t="shared" si="1"/>
        <v>17</v>
      </c>
      <c r="T94" s="7" t="str">
        <f>_xlfn.TEXTJOIN("_",TRUE,Finance_Data!A94,Finance_Data!B94,Finance_Data!C94,Finance_Data!D94,Finance_Data!E94,Finance_Data!G94,Finance_Data!H94)</f>
        <v>CMP_013_West_USA_Perfume_Ecommerce_45014_45030</v>
      </c>
    </row>
    <row r="95" spans="1:20" x14ac:dyDescent="0.35">
      <c r="A95" s="6" t="s">
        <v>106</v>
      </c>
      <c r="B95" s="1" t="s">
        <v>19</v>
      </c>
      <c r="C95" s="1" t="s">
        <v>58</v>
      </c>
      <c r="D95" s="1" t="s">
        <v>37</v>
      </c>
      <c r="E95" s="1" t="s">
        <v>38</v>
      </c>
      <c r="F95" s="1" t="s">
        <v>44</v>
      </c>
      <c r="G95" s="2">
        <v>45014</v>
      </c>
      <c r="H95" s="2">
        <v>45022</v>
      </c>
      <c r="I95" s="1">
        <v>45919</v>
      </c>
      <c r="J95" s="1">
        <v>0.45910000000000001</v>
      </c>
      <c r="K95" s="1">
        <v>21081.41</v>
      </c>
      <c r="L95" s="1">
        <v>943320</v>
      </c>
      <c r="M95" s="1">
        <v>45540</v>
      </c>
      <c r="N95" s="1">
        <v>20931.91</v>
      </c>
      <c r="O95" s="1">
        <v>2023</v>
      </c>
      <c r="P95" s="1" t="s">
        <v>60</v>
      </c>
      <c r="Q95" s="1" t="s">
        <v>40</v>
      </c>
      <c r="R95" s="1" t="s">
        <v>54</v>
      </c>
      <c r="S95" s="1">
        <f t="shared" si="1"/>
        <v>9</v>
      </c>
      <c r="T95" s="7" t="str">
        <f>_xlfn.TEXTJOIN("_",TRUE,Finance_Data!A95,Finance_Data!B95,Finance_Data!C95,Finance_Data!D95,Finance_Data!E95,Finance_Data!G95,Finance_Data!H95)</f>
        <v>CMP_009_North_UK_Perfume_Ecommerce_45014_45022</v>
      </c>
    </row>
    <row r="96" spans="1:20" x14ac:dyDescent="0.35">
      <c r="A96" s="6" t="s">
        <v>106</v>
      </c>
      <c r="B96" s="1" t="s">
        <v>19</v>
      </c>
      <c r="C96" s="1" t="s">
        <v>69</v>
      </c>
      <c r="D96" s="1" t="s">
        <v>21</v>
      </c>
      <c r="E96" s="1" t="s">
        <v>30</v>
      </c>
      <c r="F96" s="1" t="s">
        <v>44</v>
      </c>
      <c r="G96" s="2">
        <v>45015</v>
      </c>
      <c r="H96" s="2">
        <v>45057</v>
      </c>
      <c r="I96" s="1">
        <v>2187.91</v>
      </c>
      <c r="J96" s="1">
        <v>1.1521999999999999</v>
      </c>
      <c r="K96" s="1">
        <v>2520.91</v>
      </c>
      <c r="L96" s="1">
        <v>110879</v>
      </c>
      <c r="M96" s="1">
        <v>13439</v>
      </c>
      <c r="N96" s="1">
        <v>13143.6</v>
      </c>
      <c r="O96" s="1">
        <v>2023</v>
      </c>
      <c r="P96" s="1" t="s">
        <v>60</v>
      </c>
      <c r="Q96" s="1" t="s">
        <v>40</v>
      </c>
      <c r="R96" s="1" t="s">
        <v>26</v>
      </c>
      <c r="S96" s="1">
        <f t="shared" si="1"/>
        <v>43</v>
      </c>
      <c r="T96" s="7" t="str">
        <f>_xlfn.TEXTJOIN("_",TRUE,Finance_Data!A96,Finance_Data!B96,Finance_Data!C96,Finance_Data!D96,Finance_Data!E96,Finance_Data!G96,Finance_Data!H96)</f>
        <v>CMP_009_North_USA_Foundation_Wholesale_45015_45057</v>
      </c>
    </row>
    <row r="97" spans="1:20" x14ac:dyDescent="0.35">
      <c r="A97" s="6" t="s">
        <v>79</v>
      </c>
      <c r="B97" s="1" t="s">
        <v>48</v>
      </c>
      <c r="C97" s="1" t="s">
        <v>36</v>
      </c>
      <c r="D97" s="1" t="s">
        <v>63</v>
      </c>
      <c r="E97" s="1" t="s">
        <v>22</v>
      </c>
      <c r="F97" s="1" t="s">
        <v>52</v>
      </c>
      <c r="G97" s="2">
        <v>45015</v>
      </c>
      <c r="H97" s="2">
        <v>45051</v>
      </c>
      <c r="I97" s="1">
        <v>43975.39</v>
      </c>
      <c r="J97" s="1">
        <v>0.45219999999999999</v>
      </c>
      <c r="K97" s="1">
        <v>19885.669999999998</v>
      </c>
      <c r="L97" s="1">
        <v>879749</v>
      </c>
      <c r="M97" s="1">
        <v>19933</v>
      </c>
      <c r="N97" s="1">
        <v>57954.27</v>
      </c>
      <c r="O97" s="1">
        <v>2023</v>
      </c>
      <c r="P97" s="1" t="s">
        <v>60</v>
      </c>
      <c r="Q97" s="1" t="s">
        <v>40</v>
      </c>
      <c r="R97" s="1" t="s">
        <v>26</v>
      </c>
      <c r="S97" s="1">
        <f t="shared" si="1"/>
        <v>37</v>
      </c>
      <c r="T97" s="7" t="str">
        <f>_xlfn.TEXTJOIN("_",TRUE,Finance_Data!A97,Finance_Data!B97,Finance_Data!C97,Finance_Data!D97,Finance_Data!E97,Finance_Data!G97,Finance_Data!H97)</f>
        <v>CMP_020_South_India_Skincare_Retail_45015_45051</v>
      </c>
    </row>
    <row r="98" spans="1:20" x14ac:dyDescent="0.35">
      <c r="A98" s="6" t="s">
        <v>104</v>
      </c>
      <c r="B98" s="1" t="s">
        <v>19</v>
      </c>
      <c r="C98" s="1" t="s">
        <v>36</v>
      </c>
      <c r="D98" s="1" t="s">
        <v>37</v>
      </c>
      <c r="E98" s="1" t="s">
        <v>30</v>
      </c>
      <c r="F98" s="1" t="s">
        <v>31</v>
      </c>
      <c r="G98" s="2">
        <v>45015</v>
      </c>
      <c r="H98" s="2">
        <v>45037</v>
      </c>
      <c r="I98" s="1">
        <v>39203.97</v>
      </c>
      <c r="J98" s="1">
        <v>0.43020000000000003</v>
      </c>
      <c r="K98" s="1">
        <v>16865.55</v>
      </c>
      <c r="L98" s="1">
        <v>424337</v>
      </c>
      <c r="M98" s="1">
        <v>26671</v>
      </c>
      <c r="N98" s="1">
        <v>148589.64000000001</v>
      </c>
      <c r="O98" s="1">
        <v>2023</v>
      </c>
      <c r="P98" s="1" t="s">
        <v>60</v>
      </c>
      <c r="Q98" s="1" t="s">
        <v>40</v>
      </c>
      <c r="R98" s="1" t="s">
        <v>41</v>
      </c>
      <c r="S98" s="1">
        <f t="shared" si="1"/>
        <v>23</v>
      </c>
      <c r="T98" s="7" t="str">
        <f>_xlfn.TEXTJOIN("_",TRUE,Finance_Data!A98,Finance_Data!B98,Finance_Data!C98,Finance_Data!D98,Finance_Data!E98,Finance_Data!G98,Finance_Data!H98)</f>
        <v>CMP_034_North_India_Perfume_Wholesale_45015_45037</v>
      </c>
    </row>
    <row r="99" spans="1:20" x14ac:dyDescent="0.35">
      <c r="A99" s="6" t="s">
        <v>68</v>
      </c>
      <c r="B99" s="1" t="s">
        <v>35</v>
      </c>
      <c r="C99" s="1" t="s">
        <v>29</v>
      </c>
      <c r="D99" s="1" t="s">
        <v>59</v>
      </c>
      <c r="E99" s="1" t="s">
        <v>38</v>
      </c>
      <c r="F99" s="1" t="s">
        <v>23</v>
      </c>
      <c r="G99" s="2">
        <v>45015</v>
      </c>
      <c r="H99" s="2">
        <v>45026</v>
      </c>
      <c r="I99" s="1">
        <v>7860.64</v>
      </c>
      <c r="J99" s="1">
        <v>0.15659999999999999</v>
      </c>
      <c r="K99" s="1">
        <v>1230.98</v>
      </c>
      <c r="L99" s="1">
        <v>775470</v>
      </c>
      <c r="M99" s="1">
        <v>25267</v>
      </c>
      <c r="N99" s="1">
        <v>91126.23</v>
      </c>
      <c r="O99" s="1">
        <v>2023</v>
      </c>
      <c r="P99" s="1" t="s">
        <v>60</v>
      </c>
      <c r="Q99" s="1" t="s">
        <v>40</v>
      </c>
      <c r="R99" s="1" t="s">
        <v>61</v>
      </c>
      <c r="S99" s="1">
        <f t="shared" si="1"/>
        <v>12</v>
      </c>
      <c r="T99" s="7" t="str">
        <f>_xlfn.TEXTJOIN("_",TRUE,Finance_Data!A99,Finance_Data!B99,Finance_Data!C99,Finance_Data!D99,Finance_Data!E99,Finance_Data!G99,Finance_Data!H99)</f>
        <v>CMP_028_East_Australia_Lipstick_Ecommerce_45015_45026</v>
      </c>
    </row>
    <row r="100" spans="1:20" x14ac:dyDescent="0.35">
      <c r="A100" s="6" t="s">
        <v>93</v>
      </c>
      <c r="B100" s="1" t="s">
        <v>35</v>
      </c>
      <c r="C100" s="1" t="s">
        <v>29</v>
      </c>
      <c r="D100" s="1" t="s">
        <v>63</v>
      </c>
      <c r="E100" s="1" t="s">
        <v>38</v>
      </c>
      <c r="F100" s="1" t="s">
        <v>44</v>
      </c>
      <c r="G100" s="2">
        <v>45016</v>
      </c>
      <c r="H100" s="2">
        <v>45028</v>
      </c>
      <c r="I100" s="1">
        <v>5367.83</v>
      </c>
      <c r="J100" s="1">
        <v>0.89129999999999998</v>
      </c>
      <c r="K100" s="1">
        <v>4784.3500000000004</v>
      </c>
      <c r="L100" s="1">
        <v>992736</v>
      </c>
      <c r="M100" s="1">
        <v>12431</v>
      </c>
      <c r="N100" s="1">
        <v>187431.35</v>
      </c>
      <c r="O100" s="1">
        <v>2023</v>
      </c>
      <c r="P100" s="1" t="s">
        <v>60</v>
      </c>
      <c r="Q100" s="1" t="s">
        <v>40</v>
      </c>
      <c r="R100" s="1" t="s">
        <v>26</v>
      </c>
      <c r="S100" s="1">
        <f t="shared" si="1"/>
        <v>13</v>
      </c>
      <c r="T100" s="7" t="str">
        <f>_xlfn.TEXTJOIN("_",TRUE,Finance_Data!A100,Finance_Data!B100,Finance_Data!C100,Finance_Data!D100,Finance_Data!E100,Finance_Data!G100,Finance_Data!H100)</f>
        <v>CMP_008_East_Australia_Skincare_Ecommerce_45016_45028</v>
      </c>
    </row>
    <row r="101" spans="1:20" x14ac:dyDescent="0.35">
      <c r="A101" s="6" t="s">
        <v>87</v>
      </c>
      <c r="B101" s="1" t="s">
        <v>35</v>
      </c>
      <c r="C101" s="1" t="s">
        <v>20</v>
      </c>
      <c r="D101" s="1" t="s">
        <v>21</v>
      </c>
      <c r="E101" s="1" t="s">
        <v>30</v>
      </c>
      <c r="F101" s="1" t="s">
        <v>31</v>
      </c>
      <c r="G101" s="2">
        <v>45019</v>
      </c>
      <c r="H101" s="2">
        <v>45074</v>
      </c>
      <c r="I101" s="1">
        <v>20334.150000000001</v>
      </c>
      <c r="J101" s="1">
        <v>0.32469999999999999</v>
      </c>
      <c r="K101" s="1">
        <v>6602.5</v>
      </c>
      <c r="L101" s="1">
        <v>139592</v>
      </c>
      <c r="M101" s="1">
        <v>29904</v>
      </c>
      <c r="N101" s="1">
        <v>95303.49</v>
      </c>
      <c r="O101" s="1">
        <v>2023</v>
      </c>
      <c r="P101" s="1" t="s">
        <v>76</v>
      </c>
      <c r="Q101" s="1" t="s">
        <v>46</v>
      </c>
      <c r="R101" s="1" t="s">
        <v>26</v>
      </c>
      <c r="S101" s="1">
        <f t="shared" si="1"/>
        <v>56</v>
      </c>
      <c r="T101" s="7" t="str">
        <f>_xlfn.TEXTJOIN("_",TRUE,Finance_Data!A101,Finance_Data!B101,Finance_Data!C101,Finance_Data!D101,Finance_Data!E101,Finance_Data!G101,Finance_Data!H101)</f>
        <v>CMP_048_East_Singapore_Foundation_Wholesale_45019_45074</v>
      </c>
    </row>
    <row r="102" spans="1:20" x14ac:dyDescent="0.35">
      <c r="A102" s="6" t="s">
        <v>116</v>
      </c>
      <c r="B102" s="1" t="s">
        <v>35</v>
      </c>
      <c r="C102" s="1" t="s">
        <v>29</v>
      </c>
      <c r="D102" s="1" t="s">
        <v>37</v>
      </c>
      <c r="E102" s="1" t="s">
        <v>30</v>
      </c>
      <c r="F102" s="1" t="s">
        <v>52</v>
      </c>
      <c r="G102" s="2">
        <v>45019</v>
      </c>
      <c r="H102" s="2">
        <v>45034</v>
      </c>
      <c r="I102" s="1">
        <v>40572.25</v>
      </c>
      <c r="J102" s="1">
        <v>0.372</v>
      </c>
      <c r="K102" s="1">
        <v>15092.88</v>
      </c>
      <c r="L102" s="1">
        <v>748936</v>
      </c>
      <c r="M102" s="1">
        <v>45770</v>
      </c>
      <c r="N102" s="1">
        <v>152809.10999999999</v>
      </c>
      <c r="O102" s="1">
        <v>2023</v>
      </c>
      <c r="P102" s="1" t="s">
        <v>76</v>
      </c>
      <c r="Q102" s="1" t="s">
        <v>46</v>
      </c>
      <c r="R102" s="1" t="s">
        <v>41</v>
      </c>
      <c r="S102" s="1">
        <f t="shared" si="1"/>
        <v>16</v>
      </c>
      <c r="T102" s="7" t="str">
        <f>_xlfn.TEXTJOIN("_",TRUE,Finance_Data!A102,Finance_Data!B102,Finance_Data!C102,Finance_Data!D102,Finance_Data!E102,Finance_Data!G102,Finance_Data!H102)</f>
        <v>CMP_014_East_Australia_Perfume_Wholesale_45019_45034</v>
      </c>
    </row>
    <row r="103" spans="1:20" x14ac:dyDescent="0.35">
      <c r="A103" s="6" t="s">
        <v>57</v>
      </c>
      <c r="B103" s="1" t="s">
        <v>35</v>
      </c>
      <c r="C103" s="1" t="s">
        <v>58</v>
      </c>
      <c r="D103" s="1" t="s">
        <v>51</v>
      </c>
      <c r="E103" s="1" t="s">
        <v>22</v>
      </c>
      <c r="F103" s="1" t="s">
        <v>31</v>
      </c>
      <c r="G103" s="2">
        <v>45019</v>
      </c>
      <c r="H103" s="2">
        <v>45033</v>
      </c>
      <c r="I103" s="1">
        <v>1721.52</v>
      </c>
      <c r="J103" s="1">
        <v>0.26850000000000002</v>
      </c>
      <c r="K103" s="1">
        <v>462.23</v>
      </c>
      <c r="L103" s="1">
        <v>450656</v>
      </c>
      <c r="M103" s="1">
        <v>20519</v>
      </c>
      <c r="N103" s="1">
        <v>197502.71</v>
      </c>
      <c r="O103" s="1">
        <v>2023</v>
      </c>
      <c r="P103" s="1" t="s">
        <v>76</v>
      </c>
      <c r="Q103" s="1" t="s">
        <v>46</v>
      </c>
      <c r="R103" s="1" t="s">
        <v>26</v>
      </c>
      <c r="S103" s="1">
        <f t="shared" si="1"/>
        <v>15</v>
      </c>
      <c r="T103" s="7" t="str">
        <f>_xlfn.TEXTJOIN("_",TRUE,Finance_Data!A103,Finance_Data!B103,Finance_Data!C103,Finance_Data!D103,Finance_Data!E103,Finance_Data!G103,Finance_Data!H103)</f>
        <v>CMP_032_East_UK_Watch_Retail_45019_45033</v>
      </c>
    </row>
    <row r="104" spans="1:20" x14ac:dyDescent="0.35">
      <c r="A104" s="6" t="s">
        <v>106</v>
      </c>
      <c r="B104" s="1" t="s">
        <v>19</v>
      </c>
      <c r="C104" s="1" t="s">
        <v>20</v>
      </c>
      <c r="D104" s="1" t="s">
        <v>43</v>
      </c>
      <c r="E104" s="1" t="s">
        <v>30</v>
      </c>
      <c r="F104" s="1" t="s">
        <v>31</v>
      </c>
      <c r="G104" s="2">
        <v>45020</v>
      </c>
      <c r="H104" s="2">
        <v>45078</v>
      </c>
      <c r="I104" s="1">
        <v>5182.8500000000004</v>
      </c>
      <c r="J104" s="1">
        <v>0.52390000000000003</v>
      </c>
      <c r="K104" s="1">
        <v>2715.3</v>
      </c>
      <c r="L104" s="1">
        <v>790758</v>
      </c>
      <c r="M104" s="1">
        <v>48517</v>
      </c>
      <c r="N104" s="1">
        <v>96298.48</v>
      </c>
      <c r="O104" s="1">
        <v>2023</v>
      </c>
      <c r="P104" s="1" t="s">
        <v>76</v>
      </c>
      <c r="Q104" s="1" t="s">
        <v>46</v>
      </c>
      <c r="R104" s="1" t="s">
        <v>26</v>
      </c>
      <c r="S104" s="1">
        <f t="shared" si="1"/>
        <v>59</v>
      </c>
      <c r="T104" s="7" t="str">
        <f>_xlfn.TEXTJOIN("_",TRUE,Finance_Data!A104,Finance_Data!B104,Finance_Data!C104,Finance_Data!D104,Finance_Data!E104,Finance_Data!G104,Finance_Data!H104)</f>
        <v>CMP_009_North_Singapore_Luxury Bag_Wholesale_45020_45078</v>
      </c>
    </row>
    <row r="105" spans="1:20" x14ac:dyDescent="0.35">
      <c r="A105" s="6" t="s">
        <v>108</v>
      </c>
      <c r="B105" s="1" t="s">
        <v>19</v>
      </c>
      <c r="C105" s="1" t="s">
        <v>29</v>
      </c>
      <c r="D105" s="1" t="s">
        <v>43</v>
      </c>
      <c r="E105" s="1" t="s">
        <v>38</v>
      </c>
      <c r="F105" s="1" t="s">
        <v>49</v>
      </c>
      <c r="G105" s="2">
        <v>45020</v>
      </c>
      <c r="H105" s="2">
        <v>45076</v>
      </c>
      <c r="I105" s="1">
        <v>31131.26</v>
      </c>
      <c r="J105" s="1">
        <v>0.18060000000000001</v>
      </c>
      <c r="K105" s="1">
        <v>5622.31</v>
      </c>
      <c r="L105" s="1">
        <v>508560</v>
      </c>
      <c r="M105" s="1">
        <v>116</v>
      </c>
      <c r="N105" s="1">
        <v>84217.78</v>
      </c>
      <c r="O105" s="1">
        <v>2023</v>
      </c>
      <c r="P105" s="1" t="s">
        <v>76</v>
      </c>
      <c r="Q105" s="1" t="s">
        <v>46</v>
      </c>
      <c r="R105" s="1" t="s">
        <v>54</v>
      </c>
      <c r="S105" s="1">
        <f t="shared" si="1"/>
        <v>57</v>
      </c>
      <c r="T105" s="7" t="str">
        <f>_xlfn.TEXTJOIN("_",TRUE,Finance_Data!A105,Finance_Data!B105,Finance_Data!C105,Finance_Data!D105,Finance_Data!E105,Finance_Data!G105,Finance_Data!H105)</f>
        <v>CMP_058_North_Australia_Luxury Bag_Ecommerce_45020_45076</v>
      </c>
    </row>
    <row r="106" spans="1:20" x14ac:dyDescent="0.35">
      <c r="A106" s="6" t="s">
        <v>112</v>
      </c>
      <c r="B106" s="1" t="s">
        <v>48</v>
      </c>
      <c r="C106" s="1" t="s">
        <v>20</v>
      </c>
      <c r="D106" s="1" t="s">
        <v>37</v>
      </c>
      <c r="E106" s="1" t="s">
        <v>22</v>
      </c>
      <c r="F106" s="1" t="s">
        <v>49</v>
      </c>
      <c r="G106" s="2">
        <v>45020</v>
      </c>
      <c r="H106" s="2">
        <v>45068</v>
      </c>
      <c r="I106" s="1">
        <v>31313.599999999999</v>
      </c>
      <c r="J106" s="1">
        <v>1.1176999999999999</v>
      </c>
      <c r="K106" s="1">
        <v>34999.21</v>
      </c>
      <c r="L106" s="1">
        <v>806456</v>
      </c>
      <c r="M106" s="1">
        <v>41068</v>
      </c>
      <c r="N106" s="1">
        <v>19712.82</v>
      </c>
      <c r="O106" s="1">
        <v>2023</v>
      </c>
      <c r="P106" s="1" t="s">
        <v>76</v>
      </c>
      <c r="Q106" s="1" t="s">
        <v>46</v>
      </c>
      <c r="R106" s="1" t="s">
        <v>61</v>
      </c>
      <c r="S106" s="1">
        <f t="shared" si="1"/>
        <v>49</v>
      </c>
      <c r="T106" s="7" t="str">
        <f>_xlfn.TEXTJOIN("_",TRUE,Finance_Data!A106,Finance_Data!B106,Finance_Data!C106,Finance_Data!D106,Finance_Data!E106,Finance_Data!G106,Finance_Data!H106)</f>
        <v>CMP_023_South_Singapore_Perfume_Retail_45020_45068</v>
      </c>
    </row>
    <row r="107" spans="1:20" x14ac:dyDescent="0.35">
      <c r="A107" s="6" t="s">
        <v>50</v>
      </c>
      <c r="B107" s="1" t="s">
        <v>19</v>
      </c>
      <c r="C107" s="1" t="s">
        <v>36</v>
      </c>
      <c r="D107" s="1" t="s">
        <v>59</v>
      </c>
      <c r="E107" s="1" t="s">
        <v>30</v>
      </c>
      <c r="F107" s="1" t="s">
        <v>44</v>
      </c>
      <c r="G107" s="2">
        <v>45021</v>
      </c>
      <c r="H107" s="2">
        <v>45060</v>
      </c>
      <c r="I107" s="1">
        <v>36504.65</v>
      </c>
      <c r="J107" s="1">
        <v>0.23669999999999999</v>
      </c>
      <c r="K107" s="1">
        <v>8640.65</v>
      </c>
      <c r="L107" s="1">
        <v>291502</v>
      </c>
      <c r="M107" s="1">
        <v>24818</v>
      </c>
      <c r="N107" s="1">
        <v>170049.62</v>
      </c>
      <c r="O107" s="1">
        <v>2023</v>
      </c>
      <c r="P107" s="1" t="s">
        <v>76</v>
      </c>
      <c r="Q107" s="1" t="s">
        <v>46</v>
      </c>
      <c r="R107" s="1" t="s">
        <v>61</v>
      </c>
      <c r="S107" s="1">
        <f t="shared" si="1"/>
        <v>40</v>
      </c>
      <c r="T107" s="7" t="str">
        <f>_xlfn.TEXTJOIN("_",TRUE,Finance_Data!A107,Finance_Data!B107,Finance_Data!C107,Finance_Data!D107,Finance_Data!E107,Finance_Data!G107,Finance_Data!H107)</f>
        <v>CMP_039_North_India_Lipstick_Wholesale_45021_45060</v>
      </c>
    </row>
    <row r="108" spans="1:20" x14ac:dyDescent="0.35">
      <c r="A108" s="6" t="s">
        <v>66</v>
      </c>
      <c r="B108" s="1" t="s">
        <v>19</v>
      </c>
      <c r="C108" s="1" t="s">
        <v>36</v>
      </c>
      <c r="D108" s="1" t="s">
        <v>59</v>
      </c>
      <c r="E108" s="1" t="s">
        <v>38</v>
      </c>
      <c r="F108" s="1" t="s">
        <v>44</v>
      </c>
      <c r="G108" s="2">
        <v>45022</v>
      </c>
      <c r="H108" s="2">
        <v>45079</v>
      </c>
      <c r="I108" s="1">
        <v>47647.98</v>
      </c>
      <c r="J108" s="1">
        <v>0.28949999999999998</v>
      </c>
      <c r="K108" s="1">
        <v>13794.09</v>
      </c>
      <c r="L108" s="1">
        <v>335498</v>
      </c>
      <c r="M108" s="1">
        <v>14822</v>
      </c>
      <c r="N108" s="1">
        <v>202607.91</v>
      </c>
      <c r="O108" s="1">
        <v>2023</v>
      </c>
      <c r="P108" s="1" t="s">
        <v>76</v>
      </c>
      <c r="Q108" s="1" t="s">
        <v>46</v>
      </c>
      <c r="R108" s="1" t="s">
        <v>26</v>
      </c>
      <c r="S108" s="1">
        <f t="shared" si="1"/>
        <v>58</v>
      </c>
      <c r="T108" s="7" t="str">
        <f>_xlfn.TEXTJOIN("_",TRUE,Finance_Data!A108,Finance_Data!B108,Finance_Data!C108,Finance_Data!D108,Finance_Data!E108,Finance_Data!G108,Finance_Data!H108)</f>
        <v>CMP_010_North_India_Lipstick_Ecommerce_45022_45079</v>
      </c>
    </row>
    <row r="109" spans="1:20" x14ac:dyDescent="0.35">
      <c r="A109" s="6" t="s">
        <v>75</v>
      </c>
      <c r="B109" s="1" t="s">
        <v>19</v>
      </c>
      <c r="C109" s="1" t="s">
        <v>29</v>
      </c>
      <c r="D109" s="1" t="s">
        <v>21</v>
      </c>
      <c r="E109" s="1" t="s">
        <v>22</v>
      </c>
      <c r="F109" s="1" t="s">
        <v>49</v>
      </c>
      <c r="G109" s="2">
        <v>45022</v>
      </c>
      <c r="H109" s="2">
        <v>45075</v>
      </c>
      <c r="I109" s="1">
        <v>42586.09</v>
      </c>
      <c r="J109" s="1">
        <v>0.2079</v>
      </c>
      <c r="K109" s="1">
        <v>8853.65</v>
      </c>
      <c r="L109" s="1">
        <v>519231</v>
      </c>
      <c r="M109" s="1">
        <v>31646</v>
      </c>
      <c r="N109" s="1">
        <v>57368.09</v>
      </c>
      <c r="O109" s="1">
        <v>2023</v>
      </c>
      <c r="P109" s="1" t="s">
        <v>76</v>
      </c>
      <c r="Q109" s="1" t="s">
        <v>46</v>
      </c>
      <c r="R109" s="1" t="s">
        <v>41</v>
      </c>
      <c r="S109" s="1">
        <f t="shared" si="1"/>
        <v>54</v>
      </c>
      <c r="T109" s="7" t="str">
        <f>_xlfn.TEXTJOIN("_",TRUE,Finance_Data!A109,Finance_Data!B109,Finance_Data!C109,Finance_Data!D109,Finance_Data!E109,Finance_Data!G109,Finance_Data!H109)</f>
        <v>CMP_026_North_Australia_Foundation_Retail_45022_45075</v>
      </c>
    </row>
    <row r="110" spans="1:20" x14ac:dyDescent="0.35">
      <c r="A110" s="6" t="s">
        <v>66</v>
      </c>
      <c r="B110" s="1" t="s">
        <v>28</v>
      </c>
      <c r="C110" s="1" t="s">
        <v>69</v>
      </c>
      <c r="D110" s="1" t="s">
        <v>43</v>
      </c>
      <c r="E110" s="1" t="s">
        <v>30</v>
      </c>
      <c r="F110" s="1" t="s">
        <v>31</v>
      </c>
      <c r="G110" s="2">
        <v>45022</v>
      </c>
      <c r="H110" s="2">
        <v>45041</v>
      </c>
      <c r="I110" s="1">
        <v>49620.6</v>
      </c>
      <c r="J110" s="1">
        <v>1.0964</v>
      </c>
      <c r="K110" s="1">
        <v>54404.03</v>
      </c>
      <c r="L110" s="1">
        <v>493863</v>
      </c>
      <c r="M110" s="1">
        <v>7798</v>
      </c>
      <c r="N110" s="1">
        <v>163688.87</v>
      </c>
      <c r="O110" s="1">
        <v>2023</v>
      </c>
      <c r="P110" s="1" t="s">
        <v>76</v>
      </c>
      <c r="Q110" s="1" t="s">
        <v>46</v>
      </c>
      <c r="R110" s="1" t="s">
        <v>54</v>
      </c>
      <c r="S110" s="1">
        <f t="shared" si="1"/>
        <v>20</v>
      </c>
      <c r="T110" s="7" t="str">
        <f>_xlfn.TEXTJOIN("_",TRUE,Finance_Data!A110,Finance_Data!B110,Finance_Data!C110,Finance_Data!D110,Finance_Data!E110,Finance_Data!G110,Finance_Data!H110)</f>
        <v>CMP_010_West_USA_Luxury Bag_Wholesale_45022_45041</v>
      </c>
    </row>
    <row r="111" spans="1:20" x14ac:dyDescent="0.35">
      <c r="A111" s="6" t="s">
        <v>107</v>
      </c>
      <c r="B111" s="1" t="s">
        <v>19</v>
      </c>
      <c r="C111" s="1" t="s">
        <v>20</v>
      </c>
      <c r="D111" s="1" t="s">
        <v>21</v>
      </c>
      <c r="E111" s="1" t="s">
        <v>22</v>
      </c>
      <c r="F111" s="1" t="s">
        <v>52</v>
      </c>
      <c r="G111" s="2">
        <v>45022</v>
      </c>
      <c r="H111" s="2">
        <v>45032</v>
      </c>
      <c r="I111" s="1">
        <v>2256.37</v>
      </c>
      <c r="J111" s="1">
        <v>2.3699999999999999E-2</v>
      </c>
      <c r="K111" s="1">
        <v>53.48</v>
      </c>
      <c r="L111" s="1">
        <v>817437</v>
      </c>
      <c r="M111" s="1">
        <v>38981</v>
      </c>
      <c r="N111" s="1">
        <v>42496.91</v>
      </c>
      <c r="O111" s="1">
        <v>2023</v>
      </c>
      <c r="P111" s="1" t="s">
        <v>76</v>
      </c>
      <c r="Q111" s="1" t="s">
        <v>46</v>
      </c>
      <c r="R111" s="1" t="s">
        <v>54</v>
      </c>
      <c r="S111" s="1">
        <f t="shared" si="1"/>
        <v>11</v>
      </c>
      <c r="T111" s="7" t="str">
        <f>_xlfn.TEXTJOIN("_",TRUE,Finance_Data!A111,Finance_Data!B111,Finance_Data!C111,Finance_Data!D111,Finance_Data!E111,Finance_Data!G111,Finance_Data!H111)</f>
        <v>CMP_040_North_Singapore_Foundation_Retail_45022_45032</v>
      </c>
    </row>
    <row r="112" spans="1:20" x14ac:dyDescent="0.35">
      <c r="A112" s="6" t="s">
        <v>57</v>
      </c>
      <c r="B112" s="1" t="s">
        <v>19</v>
      </c>
      <c r="C112" s="1" t="s">
        <v>58</v>
      </c>
      <c r="D112" s="1" t="s">
        <v>37</v>
      </c>
      <c r="E112" s="1" t="s">
        <v>38</v>
      </c>
      <c r="F112" s="1" t="s">
        <v>23</v>
      </c>
      <c r="G112" s="2">
        <v>45022</v>
      </c>
      <c r="H112" s="2">
        <v>45031</v>
      </c>
      <c r="I112" s="1">
        <v>25218.01</v>
      </c>
      <c r="J112" s="1">
        <v>0.44009999999999999</v>
      </c>
      <c r="K112" s="1">
        <v>11098.45</v>
      </c>
      <c r="L112" s="1">
        <v>889037</v>
      </c>
      <c r="M112" s="1">
        <v>13729</v>
      </c>
      <c r="N112" s="1">
        <v>100746.05</v>
      </c>
      <c r="O112" s="1">
        <v>2023</v>
      </c>
      <c r="P112" s="1" t="s">
        <v>76</v>
      </c>
      <c r="Q112" s="1" t="s">
        <v>46</v>
      </c>
      <c r="R112" s="1" t="s">
        <v>61</v>
      </c>
      <c r="S112" s="1">
        <f t="shared" si="1"/>
        <v>10</v>
      </c>
      <c r="T112" s="7" t="str">
        <f>_xlfn.TEXTJOIN("_",TRUE,Finance_Data!A112,Finance_Data!B112,Finance_Data!C112,Finance_Data!D112,Finance_Data!E112,Finance_Data!G112,Finance_Data!H112)</f>
        <v>CMP_032_North_UK_Perfume_Ecommerce_45022_45031</v>
      </c>
    </row>
    <row r="113" spans="1:20" x14ac:dyDescent="0.35">
      <c r="A113" s="6" t="s">
        <v>67</v>
      </c>
      <c r="B113" s="1" t="s">
        <v>48</v>
      </c>
      <c r="C113" s="1" t="s">
        <v>69</v>
      </c>
      <c r="D113" s="1" t="s">
        <v>63</v>
      </c>
      <c r="E113" s="1" t="s">
        <v>22</v>
      </c>
      <c r="F113" s="1" t="s">
        <v>44</v>
      </c>
      <c r="G113" s="2">
        <v>45023</v>
      </c>
      <c r="H113" s="2">
        <v>45030</v>
      </c>
      <c r="I113" s="1">
        <v>23558.12</v>
      </c>
      <c r="J113" s="1">
        <v>0.1958</v>
      </c>
      <c r="K113" s="1">
        <v>4612.68</v>
      </c>
      <c r="L113" s="1">
        <v>287860</v>
      </c>
      <c r="M113" s="1">
        <v>24157</v>
      </c>
      <c r="N113" s="1">
        <v>222958.21</v>
      </c>
      <c r="O113" s="1">
        <v>2023</v>
      </c>
      <c r="P113" s="1" t="s">
        <v>76</v>
      </c>
      <c r="Q113" s="1" t="s">
        <v>46</v>
      </c>
      <c r="R113" s="1" t="s">
        <v>54</v>
      </c>
      <c r="S113" s="1">
        <f t="shared" si="1"/>
        <v>8</v>
      </c>
      <c r="T113" s="7" t="str">
        <f>_xlfn.TEXTJOIN("_",TRUE,Finance_Data!A113,Finance_Data!B113,Finance_Data!C113,Finance_Data!D113,Finance_Data!E113,Finance_Data!G113,Finance_Data!H113)</f>
        <v>CMP_016_South_USA_Skincare_Retail_45023_45030</v>
      </c>
    </row>
    <row r="114" spans="1:20" x14ac:dyDescent="0.35">
      <c r="A114" s="6" t="s">
        <v>71</v>
      </c>
      <c r="B114" s="1" t="s">
        <v>35</v>
      </c>
      <c r="C114" s="1" t="s">
        <v>58</v>
      </c>
      <c r="D114" s="1" t="s">
        <v>43</v>
      </c>
      <c r="E114" s="1" t="s">
        <v>30</v>
      </c>
      <c r="F114" s="1" t="s">
        <v>23</v>
      </c>
      <c r="G114" s="2">
        <v>45024</v>
      </c>
      <c r="H114" s="2">
        <v>45076</v>
      </c>
      <c r="I114" s="1">
        <v>29821.59</v>
      </c>
      <c r="J114" s="1">
        <v>0.47539999999999999</v>
      </c>
      <c r="K114" s="1">
        <v>14177.18</v>
      </c>
      <c r="L114" s="1">
        <v>881861</v>
      </c>
      <c r="M114" s="1">
        <v>39794</v>
      </c>
      <c r="N114" s="1">
        <v>215529.25</v>
      </c>
      <c r="O114" s="1">
        <v>2023</v>
      </c>
      <c r="P114" s="1" t="s">
        <v>76</v>
      </c>
      <c r="Q114" s="1" t="s">
        <v>46</v>
      </c>
      <c r="R114" s="1" t="s">
        <v>41</v>
      </c>
      <c r="S114" s="1">
        <f t="shared" si="1"/>
        <v>53</v>
      </c>
      <c r="T114" s="7" t="str">
        <f>_xlfn.TEXTJOIN("_",TRUE,Finance_Data!A114,Finance_Data!B114,Finance_Data!C114,Finance_Data!D114,Finance_Data!E114,Finance_Data!G114,Finance_Data!H114)</f>
        <v>CMP_051_East_UK_Luxury Bag_Wholesale_45024_45076</v>
      </c>
    </row>
    <row r="115" spans="1:20" x14ac:dyDescent="0.35">
      <c r="A115" s="6" t="s">
        <v>72</v>
      </c>
      <c r="B115" s="1" t="s">
        <v>35</v>
      </c>
      <c r="C115" s="1" t="s">
        <v>20</v>
      </c>
      <c r="D115" s="1" t="s">
        <v>21</v>
      </c>
      <c r="E115" s="1" t="s">
        <v>22</v>
      </c>
      <c r="F115" s="1" t="s">
        <v>49</v>
      </c>
      <c r="G115" s="2">
        <v>45025</v>
      </c>
      <c r="H115" s="2">
        <v>45052</v>
      </c>
      <c r="I115" s="1">
        <v>48733.78</v>
      </c>
      <c r="J115" s="1">
        <v>0.2238</v>
      </c>
      <c r="K115" s="1">
        <v>10906.62</v>
      </c>
      <c r="L115" s="1">
        <v>65021</v>
      </c>
      <c r="M115" s="1">
        <v>7790</v>
      </c>
      <c r="N115" s="1">
        <v>245167.81</v>
      </c>
      <c r="O115" s="1">
        <v>2023</v>
      </c>
      <c r="P115" s="1" t="s">
        <v>76</v>
      </c>
      <c r="Q115" s="1" t="s">
        <v>46</v>
      </c>
      <c r="R115" s="1" t="s">
        <v>61</v>
      </c>
      <c r="S115" s="1">
        <f t="shared" si="1"/>
        <v>28</v>
      </c>
      <c r="T115" s="7" t="str">
        <f>_xlfn.TEXTJOIN("_",TRUE,Finance_Data!A115,Finance_Data!B115,Finance_Data!C115,Finance_Data!D115,Finance_Data!E115,Finance_Data!G115,Finance_Data!H115)</f>
        <v>CMP_042_East_Singapore_Foundation_Retail_45025_45052</v>
      </c>
    </row>
    <row r="116" spans="1:20" x14ac:dyDescent="0.35">
      <c r="A116" s="6" t="s">
        <v>62</v>
      </c>
      <c r="B116" s="1" t="s">
        <v>48</v>
      </c>
      <c r="C116" s="1" t="s">
        <v>20</v>
      </c>
      <c r="D116" s="1" t="s">
        <v>63</v>
      </c>
      <c r="E116" s="1" t="s">
        <v>38</v>
      </c>
      <c r="F116" s="1" t="s">
        <v>49</v>
      </c>
      <c r="G116" s="2">
        <v>45026</v>
      </c>
      <c r="H116" s="2">
        <v>45060</v>
      </c>
      <c r="I116" s="1">
        <v>16209.19</v>
      </c>
      <c r="J116" s="1">
        <v>0.77690000000000003</v>
      </c>
      <c r="K116" s="1">
        <v>12592.92</v>
      </c>
      <c r="L116" s="1">
        <v>813726</v>
      </c>
      <c r="M116" s="1">
        <v>30600</v>
      </c>
      <c r="N116" s="1">
        <v>120283.74</v>
      </c>
      <c r="O116" s="1">
        <v>2023</v>
      </c>
      <c r="P116" s="1" t="s">
        <v>76</v>
      </c>
      <c r="Q116" s="1" t="s">
        <v>46</v>
      </c>
      <c r="R116" s="1" t="s">
        <v>61</v>
      </c>
      <c r="S116" s="1">
        <f t="shared" si="1"/>
        <v>35</v>
      </c>
      <c r="T116" s="7" t="str">
        <f>_xlfn.TEXTJOIN("_",TRUE,Finance_Data!A116,Finance_Data!B116,Finance_Data!C116,Finance_Data!D116,Finance_Data!E116,Finance_Data!G116,Finance_Data!H116)</f>
        <v>CMP_015_South_Singapore_Skincare_Ecommerce_45026_45060</v>
      </c>
    </row>
    <row r="117" spans="1:20" x14ac:dyDescent="0.35">
      <c r="A117" s="6" t="s">
        <v>68</v>
      </c>
      <c r="B117" s="1" t="s">
        <v>48</v>
      </c>
      <c r="C117" s="1" t="s">
        <v>29</v>
      </c>
      <c r="D117" s="1" t="s">
        <v>63</v>
      </c>
      <c r="E117" s="1" t="s">
        <v>22</v>
      </c>
      <c r="F117" s="1" t="s">
        <v>52</v>
      </c>
      <c r="G117" s="2">
        <v>45026</v>
      </c>
      <c r="H117" s="2">
        <v>45035</v>
      </c>
      <c r="I117" s="1">
        <v>38913.440000000002</v>
      </c>
      <c r="J117" s="1">
        <v>0.50719999999999998</v>
      </c>
      <c r="K117" s="1">
        <v>19736.900000000001</v>
      </c>
      <c r="L117" s="1">
        <v>447090</v>
      </c>
      <c r="M117" s="1">
        <v>42994</v>
      </c>
      <c r="N117" s="1">
        <v>75643.360000000001</v>
      </c>
      <c r="O117" s="1">
        <v>2023</v>
      </c>
      <c r="P117" s="1" t="s">
        <v>76</v>
      </c>
      <c r="Q117" s="1" t="s">
        <v>46</v>
      </c>
      <c r="R117" s="1" t="s">
        <v>61</v>
      </c>
      <c r="S117" s="1">
        <f t="shared" si="1"/>
        <v>10</v>
      </c>
      <c r="T117" s="7" t="str">
        <f>_xlfn.TEXTJOIN("_",TRUE,Finance_Data!A117,Finance_Data!B117,Finance_Data!C117,Finance_Data!D117,Finance_Data!E117,Finance_Data!G117,Finance_Data!H117)</f>
        <v>CMP_028_South_Australia_Skincare_Retail_45026_45035</v>
      </c>
    </row>
    <row r="118" spans="1:20" x14ac:dyDescent="0.35">
      <c r="A118" s="6" t="s">
        <v>111</v>
      </c>
      <c r="B118" s="1" t="s">
        <v>35</v>
      </c>
      <c r="C118" s="1" t="s">
        <v>58</v>
      </c>
      <c r="D118" s="1" t="s">
        <v>37</v>
      </c>
      <c r="E118" s="1" t="s">
        <v>30</v>
      </c>
      <c r="F118" s="1" t="s">
        <v>52</v>
      </c>
      <c r="G118" s="2">
        <v>45027</v>
      </c>
      <c r="H118" s="2">
        <v>45083</v>
      </c>
      <c r="I118" s="1">
        <v>49084.6</v>
      </c>
      <c r="J118" s="1">
        <v>0.56869999999999998</v>
      </c>
      <c r="K118" s="1">
        <v>27914.41</v>
      </c>
      <c r="L118" s="1">
        <v>890521</v>
      </c>
      <c r="M118" s="1">
        <v>21086</v>
      </c>
      <c r="N118" s="1">
        <v>229010.97</v>
      </c>
      <c r="O118" s="1">
        <v>2023</v>
      </c>
      <c r="P118" s="1" t="s">
        <v>76</v>
      </c>
      <c r="Q118" s="1" t="s">
        <v>46</v>
      </c>
      <c r="R118" s="1" t="s">
        <v>61</v>
      </c>
      <c r="S118" s="1">
        <f t="shared" si="1"/>
        <v>57</v>
      </c>
      <c r="T118" s="7" t="str">
        <f>_xlfn.TEXTJOIN("_",TRUE,Finance_Data!A118,Finance_Data!B118,Finance_Data!C118,Finance_Data!D118,Finance_Data!E118,Finance_Data!G118,Finance_Data!H118)</f>
        <v>CMP_024_East_UK_Perfume_Wholesale_45027_45083</v>
      </c>
    </row>
    <row r="119" spans="1:20" x14ac:dyDescent="0.35">
      <c r="A119" s="6" t="s">
        <v>75</v>
      </c>
      <c r="B119" s="1" t="s">
        <v>35</v>
      </c>
      <c r="C119" s="1" t="s">
        <v>36</v>
      </c>
      <c r="D119" s="1" t="s">
        <v>51</v>
      </c>
      <c r="E119" s="1" t="s">
        <v>38</v>
      </c>
      <c r="F119" s="1" t="s">
        <v>49</v>
      </c>
      <c r="G119" s="2">
        <v>45027</v>
      </c>
      <c r="H119" s="2">
        <v>45059</v>
      </c>
      <c r="I119" s="1">
        <v>12375.06</v>
      </c>
      <c r="J119" s="1">
        <v>0.10050000000000001</v>
      </c>
      <c r="K119" s="1">
        <v>1243.69</v>
      </c>
      <c r="L119" s="1">
        <v>644565</v>
      </c>
      <c r="M119" s="1">
        <v>40330</v>
      </c>
      <c r="N119" s="1">
        <v>238940.31</v>
      </c>
      <c r="O119" s="1">
        <v>2023</v>
      </c>
      <c r="P119" s="1" t="s">
        <v>76</v>
      </c>
      <c r="Q119" s="1" t="s">
        <v>46</v>
      </c>
      <c r="R119" s="1" t="s">
        <v>54</v>
      </c>
      <c r="S119" s="1">
        <f t="shared" si="1"/>
        <v>33</v>
      </c>
      <c r="T119" s="7" t="str">
        <f>_xlfn.TEXTJOIN("_",TRUE,Finance_Data!A119,Finance_Data!B119,Finance_Data!C119,Finance_Data!D119,Finance_Data!E119,Finance_Data!G119,Finance_Data!H119)</f>
        <v>CMP_026_East_India_Watch_Ecommerce_45027_45059</v>
      </c>
    </row>
    <row r="120" spans="1:20" x14ac:dyDescent="0.35">
      <c r="A120" s="6" t="s">
        <v>90</v>
      </c>
      <c r="B120" s="1" t="s">
        <v>28</v>
      </c>
      <c r="C120" s="1" t="s">
        <v>36</v>
      </c>
      <c r="D120" s="1" t="s">
        <v>21</v>
      </c>
      <c r="E120" s="1" t="s">
        <v>22</v>
      </c>
      <c r="F120" s="1" t="s">
        <v>52</v>
      </c>
      <c r="G120" s="2">
        <v>45027</v>
      </c>
      <c r="H120" s="2">
        <v>45047</v>
      </c>
      <c r="I120" s="1">
        <v>37149.65</v>
      </c>
      <c r="J120" s="1">
        <v>1.0451999999999999</v>
      </c>
      <c r="K120" s="1">
        <v>38828.81</v>
      </c>
      <c r="L120" s="1">
        <v>403774</v>
      </c>
      <c r="M120" s="1">
        <v>14561</v>
      </c>
      <c r="N120" s="1">
        <v>23014.78</v>
      </c>
      <c r="O120" s="1">
        <v>2023</v>
      </c>
      <c r="P120" s="1" t="s">
        <v>76</v>
      </c>
      <c r="Q120" s="1" t="s">
        <v>46</v>
      </c>
      <c r="R120" s="1" t="s">
        <v>54</v>
      </c>
      <c r="S120" s="1">
        <f t="shared" si="1"/>
        <v>21</v>
      </c>
      <c r="T120" s="7" t="str">
        <f>_xlfn.TEXTJOIN("_",TRUE,Finance_Data!A120,Finance_Data!B120,Finance_Data!C120,Finance_Data!D120,Finance_Data!E120,Finance_Data!G120,Finance_Data!H120)</f>
        <v>CMP_038_West_India_Foundation_Retail_45027_45047</v>
      </c>
    </row>
    <row r="121" spans="1:20" x14ac:dyDescent="0.35">
      <c r="A121" s="6" t="s">
        <v>81</v>
      </c>
      <c r="B121" s="1" t="s">
        <v>48</v>
      </c>
      <c r="C121" s="1" t="s">
        <v>69</v>
      </c>
      <c r="D121" s="1" t="s">
        <v>63</v>
      </c>
      <c r="E121" s="1" t="s">
        <v>30</v>
      </c>
      <c r="F121" s="1" t="s">
        <v>23</v>
      </c>
      <c r="G121" s="2">
        <v>45028</v>
      </c>
      <c r="H121" s="2">
        <v>45055</v>
      </c>
      <c r="I121" s="1">
        <v>14954.76</v>
      </c>
      <c r="J121" s="1">
        <v>0.15110000000000001</v>
      </c>
      <c r="K121" s="1">
        <v>2259.66</v>
      </c>
      <c r="L121" s="1">
        <v>297150</v>
      </c>
      <c r="M121" s="1">
        <v>31992</v>
      </c>
      <c r="N121" s="1">
        <v>112534.6</v>
      </c>
      <c r="O121" s="1">
        <v>2023</v>
      </c>
      <c r="P121" s="1" t="s">
        <v>76</v>
      </c>
      <c r="Q121" s="1" t="s">
        <v>46</v>
      </c>
      <c r="R121" s="1" t="s">
        <v>61</v>
      </c>
      <c r="S121" s="1">
        <f t="shared" si="1"/>
        <v>28</v>
      </c>
      <c r="T121" s="7" t="str">
        <f>_xlfn.TEXTJOIN("_",TRUE,Finance_Data!A121,Finance_Data!B121,Finance_Data!C121,Finance_Data!D121,Finance_Data!E121,Finance_Data!G121,Finance_Data!H121)</f>
        <v>CMP_057_South_USA_Skincare_Wholesale_45028_45055</v>
      </c>
    </row>
    <row r="122" spans="1:20" x14ac:dyDescent="0.35">
      <c r="A122" s="6" t="s">
        <v>89</v>
      </c>
      <c r="B122" s="1" t="s">
        <v>35</v>
      </c>
      <c r="C122" s="1" t="s">
        <v>36</v>
      </c>
      <c r="D122" s="1" t="s">
        <v>63</v>
      </c>
      <c r="E122" s="1" t="s">
        <v>22</v>
      </c>
      <c r="F122" s="1" t="s">
        <v>44</v>
      </c>
      <c r="G122" s="2">
        <v>45028</v>
      </c>
      <c r="H122" s="2">
        <v>45035</v>
      </c>
      <c r="I122" s="1">
        <v>28979.599999999999</v>
      </c>
      <c r="J122" s="1">
        <v>1.0052000000000001</v>
      </c>
      <c r="K122" s="1">
        <v>29130.29</v>
      </c>
      <c r="L122" s="1">
        <v>699880</v>
      </c>
      <c r="M122" s="1">
        <v>32206</v>
      </c>
      <c r="N122" s="1">
        <v>133826.23000000001</v>
      </c>
      <c r="O122" s="1">
        <v>2023</v>
      </c>
      <c r="P122" s="1" t="s">
        <v>76</v>
      </c>
      <c r="Q122" s="1" t="s">
        <v>46</v>
      </c>
      <c r="R122" s="1" t="s">
        <v>26</v>
      </c>
      <c r="S122" s="1">
        <f t="shared" si="1"/>
        <v>8</v>
      </c>
      <c r="T122" s="7" t="str">
        <f>_xlfn.TEXTJOIN("_",TRUE,Finance_Data!A122,Finance_Data!B122,Finance_Data!C122,Finance_Data!D122,Finance_Data!E122,Finance_Data!G122,Finance_Data!H122)</f>
        <v>CMP_045_East_India_Skincare_Retail_45028_45035</v>
      </c>
    </row>
    <row r="123" spans="1:20" x14ac:dyDescent="0.35">
      <c r="A123" s="6" t="s">
        <v>27</v>
      </c>
      <c r="B123" s="1" t="s">
        <v>35</v>
      </c>
      <c r="C123" s="1" t="s">
        <v>58</v>
      </c>
      <c r="D123" s="1" t="s">
        <v>63</v>
      </c>
      <c r="E123" s="1" t="s">
        <v>38</v>
      </c>
      <c r="F123" s="1" t="s">
        <v>49</v>
      </c>
      <c r="G123" s="2">
        <v>45029</v>
      </c>
      <c r="H123" s="2">
        <v>45053</v>
      </c>
      <c r="I123" s="1">
        <v>40390.74</v>
      </c>
      <c r="J123" s="1">
        <v>0.40949999999999998</v>
      </c>
      <c r="K123" s="1">
        <v>16540.009999999998</v>
      </c>
      <c r="L123" s="1">
        <v>524496</v>
      </c>
      <c r="M123" s="1">
        <v>48256</v>
      </c>
      <c r="N123" s="1">
        <v>90941.36</v>
      </c>
      <c r="O123" s="1">
        <v>2023</v>
      </c>
      <c r="P123" s="1" t="s">
        <v>76</v>
      </c>
      <c r="Q123" s="1" t="s">
        <v>46</v>
      </c>
      <c r="R123" s="1" t="s">
        <v>26</v>
      </c>
      <c r="S123" s="1">
        <f t="shared" si="1"/>
        <v>25</v>
      </c>
      <c r="T123" s="7" t="str">
        <f>_xlfn.TEXTJOIN("_",TRUE,Finance_Data!A123,Finance_Data!B123,Finance_Data!C123,Finance_Data!D123,Finance_Data!E123,Finance_Data!G123,Finance_Data!H123)</f>
        <v>CMP_035_East_UK_Skincare_Ecommerce_45029_45053</v>
      </c>
    </row>
    <row r="124" spans="1:20" x14ac:dyDescent="0.35">
      <c r="A124" s="6" t="s">
        <v>18</v>
      </c>
      <c r="B124" s="1" t="s">
        <v>19</v>
      </c>
      <c r="C124" s="1" t="s">
        <v>29</v>
      </c>
      <c r="D124" s="1" t="s">
        <v>21</v>
      </c>
      <c r="E124" s="1" t="s">
        <v>30</v>
      </c>
      <c r="F124" s="1" t="s">
        <v>23</v>
      </c>
      <c r="G124" s="2">
        <v>45029</v>
      </c>
      <c r="H124" s="2">
        <v>45047</v>
      </c>
      <c r="I124" s="1">
        <v>25908.83</v>
      </c>
      <c r="J124" s="1">
        <v>0.94540000000000002</v>
      </c>
      <c r="K124" s="1">
        <v>24494.21</v>
      </c>
      <c r="L124" s="1">
        <v>849756</v>
      </c>
      <c r="M124" s="1">
        <v>36182</v>
      </c>
      <c r="N124" s="1">
        <v>155436.21</v>
      </c>
      <c r="O124" s="1">
        <v>2023</v>
      </c>
      <c r="P124" s="1" t="s">
        <v>76</v>
      </c>
      <c r="Q124" s="1" t="s">
        <v>46</v>
      </c>
      <c r="R124" s="1" t="s">
        <v>26</v>
      </c>
      <c r="S124" s="1">
        <f t="shared" si="1"/>
        <v>19</v>
      </c>
      <c r="T124" s="7" t="str">
        <f>_xlfn.TEXTJOIN("_",TRUE,Finance_Data!A124,Finance_Data!B124,Finance_Data!C124,Finance_Data!D124,Finance_Data!E124,Finance_Data!G124,Finance_Data!H124)</f>
        <v>CMP_044_North_Australia_Foundation_Wholesale_45029_45047</v>
      </c>
    </row>
    <row r="125" spans="1:20" x14ac:dyDescent="0.35">
      <c r="A125" s="6" t="s">
        <v>70</v>
      </c>
      <c r="B125" s="1" t="s">
        <v>28</v>
      </c>
      <c r="C125" s="1" t="s">
        <v>58</v>
      </c>
      <c r="D125" s="1" t="s">
        <v>59</v>
      </c>
      <c r="E125" s="1" t="s">
        <v>30</v>
      </c>
      <c r="F125" s="1" t="s">
        <v>52</v>
      </c>
      <c r="G125" s="2">
        <v>45030</v>
      </c>
      <c r="H125" s="2">
        <v>45073</v>
      </c>
      <c r="I125" s="1">
        <v>2645.24</v>
      </c>
      <c r="J125" s="1">
        <v>0.72140000000000004</v>
      </c>
      <c r="K125" s="1">
        <v>1908.28</v>
      </c>
      <c r="L125" s="1">
        <v>747449</v>
      </c>
      <c r="M125" s="1">
        <v>3290</v>
      </c>
      <c r="N125" s="1">
        <v>64959.87</v>
      </c>
      <c r="O125" s="1">
        <v>2023</v>
      </c>
      <c r="P125" s="1" t="s">
        <v>76</v>
      </c>
      <c r="Q125" s="1" t="s">
        <v>46</v>
      </c>
      <c r="R125" s="1" t="s">
        <v>26</v>
      </c>
      <c r="S125" s="1">
        <f t="shared" si="1"/>
        <v>44</v>
      </c>
      <c r="T125" s="7" t="str">
        <f>_xlfn.TEXTJOIN("_",TRUE,Finance_Data!A125,Finance_Data!B125,Finance_Data!C125,Finance_Data!D125,Finance_Data!E125,Finance_Data!G125,Finance_Data!H125)</f>
        <v>CMP_003_West_UK_Lipstick_Wholesale_45030_45073</v>
      </c>
    </row>
    <row r="126" spans="1:20" x14ac:dyDescent="0.35">
      <c r="A126" s="6" t="s">
        <v>100</v>
      </c>
      <c r="B126" s="1" t="s">
        <v>35</v>
      </c>
      <c r="C126" s="1" t="s">
        <v>69</v>
      </c>
      <c r="D126" s="1" t="s">
        <v>21</v>
      </c>
      <c r="E126" s="1" t="s">
        <v>30</v>
      </c>
      <c r="F126" s="1" t="s">
        <v>31</v>
      </c>
      <c r="G126" s="2">
        <v>45030</v>
      </c>
      <c r="H126" s="2">
        <v>45042</v>
      </c>
      <c r="I126" s="1">
        <v>25436.9</v>
      </c>
      <c r="J126" s="1">
        <v>7.1300000000000002E-2</v>
      </c>
      <c r="K126" s="1">
        <v>1813.65</v>
      </c>
      <c r="L126" s="1">
        <v>576795</v>
      </c>
      <c r="M126" s="1">
        <v>21787</v>
      </c>
      <c r="N126" s="1">
        <v>10522.91</v>
      </c>
      <c r="O126" s="1">
        <v>2023</v>
      </c>
      <c r="P126" s="1" t="s">
        <v>76</v>
      </c>
      <c r="Q126" s="1" t="s">
        <v>46</v>
      </c>
      <c r="R126" s="1" t="s">
        <v>26</v>
      </c>
      <c r="S126" s="1">
        <f t="shared" si="1"/>
        <v>13</v>
      </c>
      <c r="T126" s="7" t="str">
        <f>_xlfn.TEXTJOIN("_",TRUE,Finance_Data!A126,Finance_Data!B126,Finance_Data!C126,Finance_Data!D126,Finance_Data!E126,Finance_Data!G126,Finance_Data!H126)</f>
        <v>CMP_053_East_USA_Foundation_Wholesale_45030_45042</v>
      </c>
    </row>
    <row r="127" spans="1:20" x14ac:dyDescent="0.35">
      <c r="A127" s="6" t="s">
        <v>68</v>
      </c>
      <c r="B127" s="1" t="s">
        <v>28</v>
      </c>
      <c r="C127" s="1" t="s">
        <v>29</v>
      </c>
      <c r="D127" s="1" t="s">
        <v>63</v>
      </c>
      <c r="E127" s="1" t="s">
        <v>30</v>
      </c>
      <c r="F127" s="1" t="s">
        <v>31</v>
      </c>
      <c r="G127" s="2">
        <v>45032</v>
      </c>
      <c r="H127" s="2">
        <v>45069</v>
      </c>
      <c r="I127" s="1">
        <v>44436.39</v>
      </c>
      <c r="J127" s="1">
        <v>0.50419999999999998</v>
      </c>
      <c r="K127" s="1">
        <v>22404.83</v>
      </c>
      <c r="L127" s="1">
        <v>11269</v>
      </c>
      <c r="M127" s="1">
        <v>14800</v>
      </c>
      <c r="N127" s="1">
        <v>10880.21</v>
      </c>
      <c r="O127" s="1">
        <v>2023</v>
      </c>
      <c r="P127" s="1" t="s">
        <v>76</v>
      </c>
      <c r="Q127" s="1" t="s">
        <v>46</v>
      </c>
      <c r="R127" s="1" t="s">
        <v>61</v>
      </c>
      <c r="S127" s="1">
        <f t="shared" si="1"/>
        <v>38</v>
      </c>
      <c r="T127" s="7" t="str">
        <f>_xlfn.TEXTJOIN("_",TRUE,Finance_Data!A127,Finance_Data!B127,Finance_Data!C127,Finance_Data!D127,Finance_Data!E127,Finance_Data!G127,Finance_Data!H127)</f>
        <v>CMP_028_West_Australia_Skincare_Wholesale_45032_45069</v>
      </c>
    </row>
    <row r="128" spans="1:20" x14ac:dyDescent="0.35">
      <c r="A128" s="6" t="s">
        <v>107</v>
      </c>
      <c r="B128" s="1" t="s">
        <v>28</v>
      </c>
      <c r="C128" s="1" t="s">
        <v>69</v>
      </c>
      <c r="D128" s="1" t="s">
        <v>43</v>
      </c>
      <c r="E128" s="1" t="s">
        <v>22</v>
      </c>
      <c r="F128" s="1" t="s">
        <v>52</v>
      </c>
      <c r="G128" s="2">
        <v>45033</v>
      </c>
      <c r="H128" s="2">
        <v>45064</v>
      </c>
      <c r="I128" s="1">
        <v>45650.11</v>
      </c>
      <c r="J128" s="1">
        <v>0.58440000000000003</v>
      </c>
      <c r="K128" s="1">
        <v>26677.919999999998</v>
      </c>
      <c r="L128" s="1">
        <v>606580</v>
      </c>
      <c r="M128" s="1">
        <v>44559</v>
      </c>
      <c r="N128" s="1">
        <v>112349.89</v>
      </c>
      <c r="O128" s="1">
        <v>2023</v>
      </c>
      <c r="P128" s="1" t="s">
        <v>76</v>
      </c>
      <c r="Q128" s="1" t="s">
        <v>46</v>
      </c>
      <c r="R128" s="1" t="s">
        <v>54</v>
      </c>
      <c r="S128" s="1">
        <f t="shared" si="1"/>
        <v>32</v>
      </c>
      <c r="T128" s="7" t="str">
        <f>_xlfn.TEXTJOIN("_",TRUE,Finance_Data!A128,Finance_Data!B128,Finance_Data!C128,Finance_Data!D128,Finance_Data!E128,Finance_Data!G128,Finance_Data!H128)</f>
        <v>CMP_040_West_USA_Luxury Bag_Retail_45033_45064</v>
      </c>
    </row>
    <row r="129" spans="1:20" x14ac:dyDescent="0.35">
      <c r="A129" s="6" t="s">
        <v>81</v>
      </c>
      <c r="B129" s="1" t="s">
        <v>28</v>
      </c>
      <c r="C129" s="1" t="s">
        <v>69</v>
      </c>
      <c r="D129" s="1" t="s">
        <v>21</v>
      </c>
      <c r="E129" s="1" t="s">
        <v>30</v>
      </c>
      <c r="F129" s="1" t="s">
        <v>49</v>
      </c>
      <c r="G129" s="2">
        <v>45035</v>
      </c>
      <c r="H129" s="2">
        <v>45076</v>
      </c>
      <c r="I129" s="1">
        <v>39197.69</v>
      </c>
      <c r="J129" s="1">
        <v>0.94499999999999995</v>
      </c>
      <c r="K129" s="1">
        <v>37041.82</v>
      </c>
      <c r="L129" s="1">
        <v>919613</v>
      </c>
      <c r="M129" s="1">
        <v>35203</v>
      </c>
      <c r="N129" s="1">
        <v>220633.27</v>
      </c>
      <c r="O129" s="1">
        <v>2023</v>
      </c>
      <c r="P129" s="1" t="s">
        <v>76</v>
      </c>
      <c r="Q129" s="1" t="s">
        <v>46</v>
      </c>
      <c r="R129" s="1" t="s">
        <v>54</v>
      </c>
      <c r="S129" s="1">
        <f t="shared" si="1"/>
        <v>42</v>
      </c>
      <c r="T129" s="7" t="str">
        <f>_xlfn.TEXTJOIN("_",TRUE,Finance_Data!A129,Finance_Data!B129,Finance_Data!C129,Finance_Data!D129,Finance_Data!E129,Finance_Data!G129,Finance_Data!H129)</f>
        <v>CMP_057_West_USA_Foundation_Wholesale_45035_45076</v>
      </c>
    </row>
    <row r="130" spans="1:20" x14ac:dyDescent="0.35">
      <c r="A130" s="6" t="s">
        <v>97</v>
      </c>
      <c r="B130" s="1" t="s">
        <v>48</v>
      </c>
      <c r="C130" s="1" t="s">
        <v>58</v>
      </c>
      <c r="D130" s="1" t="s">
        <v>51</v>
      </c>
      <c r="E130" s="1" t="s">
        <v>38</v>
      </c>
      <c r="F130" s="1" t="s">
        <v>52</v>
      </c>
      <c r="G130" s="2">
        <v>45036</v>
      </c>
      <c r="H130" s="2">
        <v>45066</v>
      </c>
      <c r="I130" s="1">
        <v>1450.24</v>
      </c>
      <c r="J130" s="1">
        <v>1.0243</v>
      </c>
      <c r="K130" s="1">
        <v>1485.48</v>
      </c>
      <c r="L130" s="1">
        <v>341272</v>
      </c>
      <c r="M130" s="1">
        <v>9583</v>
      </c>
      <c r="N130" s="1">
        <v>204956.25</v>
      </c>
      <c r="O130" s="1">
        <v>2023</v>
      </c>
      <c r="P130" s="1" t="s">
        <v>76</v>
      </c>
      <c r="Q130" s="1" t="s">
        <v>46</v>
      </c>
      <c r="R130" s="1" t="s">
        <v>41</v>
      </c>
      <c r="S130" s="1">
        <f t="shared" ref="S130:S193" si="2">H130-G130+1</f>
        <v>31</v>
      </c>
      <c r="T130" s="7" t="str">
        <f>_xlfn.TEXTJOIN("_",TRUE,Finance_Data!A130,Finance_Data!B130,Finance_Data!C130,Finance_Data!D130,Finance_Data!E130,Finance_Data!G130,Finance_Data!H130)</f>
        <v>CMP_019_South_UK_Watch_Ecommerce_45036_45066</v>
      </c>
    </row>
    <row r="131" spans="1:20" x14ac:dyDescent="0.35">
      <c r="A131" s="6" t="s">
        <v>106</v>
      </c>
      <c r="B131" s="1" t="s">
        <v>35</v>
      </c>
      <c r="C131" s="1" t="s">
        <v>69</v>
      </c>
      <c r="D131" s="1" t="s">
        <v>21</v>
      </c>
      <c r="E131" s="1" t="s">
        <v>38</v>
      </c>
      <c r="F131" s="1" t="s">
        <v>44</v>
      </c>
      <c r="G131" s="2">
        <v>45037</v>
      </c>
      <c r="H131" s="2">
        <v>45048</v>
      </c>
      <c r="I131" s="1">
        <v>1602.14</v>
      </c>
      <c r="J131" s="1">
        <v>0.85880000000000001</v>
      </c>
      <c r="K131" s="1">
        <v>1375.92</v>
      </c>
      <c r="L131" s="1">
        <v>631686</v>
      </c>
      <c r="M131" s="1">
        <v>12788</v>
      </c>
      <c r="N131" s="1">
        <v>226570.65</v>
      </c>
      <c r="O131" s="1">
        <v>2023</v>
      </c>
      <c r="P131" s="1" t="s">
        <v>76</v>
      </c>
      <c r="Q131" s="1" t="s">
        <v>46</v>
      </c>
      <c r="R131" s="1" t="s">
        <v>54</v>
      </c>
      <c r="S131" s="1">
        <f t="shared" si="2"/>
        <v>12</v>
      </c>
      <c r="T131" s="7" t="str">
        <f>_xlfn.TEXTJOIN("_",TRUE,Finance_Data!A131,Finance_Data!B131,Finance_Data!C131,Finance_Data!D131,Finance_Data!E131,Finance_Data!G131,Finance_Data!H131)</f>
        <v>CMP_009_East_USA_Foundation_Ecommerce_45037_45048</v>
      </c>
    </row>
    <row r="132" spans="1:20" x14ac:dyDescent="0.35">
      <c r="A132" s="6" t="s">
        <v>116</v>
      </c>
      <c r="B132" s="1" t="s">
        <v>28</v>
      </c>
      <c r="C132" s="1" t="s">
        <v>69</v>
      </c>
      <c r="D132" s="1" t="s">
        <v>37</v>
      </c>
      <c r="E132" s="1" t="s">
        <v>22</v>
      </c>
      <c r="F132" s="1" t="s">
        <v>49</v>
      </c>
      <c r="G132" s="2">
        <v>45038</v>
      </c>
      <c r="H132" s="2">
        <v>45083</v>
      </c>
      <c r="I132" s="1">
        <v>29057.97</v>
      </c>
      <c r="J132" s="1">
        <v>0.95909999999999995</v>
      </c>
      <c r="K132" s="1">
        <v>27869.5</v>
      </c>
      <c r="L132" s="1">
        <v>863779</v>
      </c>
      <c r="M132" s="1">
        <v>9452</v>
      </c>
      <c r="N132" s="1">
        <v>70910.23</v>
      </c>
      <c r="O132" s="1">
        <v>2023</v>
      </c>
      <c r="P132" s="1" t="s">
        <v>76</v>
      </c>
      <c r="Q132" s="1" t="s">
        <v>46</v>
      </c>
      <c r="R132" s="1" t="s">
        <v>26</v>
      </c>
      <c r="S132" s="1">
        <f t="shared" si="2"/>
        <v>46</v>
      </c>
      <c r="T132" s="7" t="str">
        <f>_xlfn.TEXTJOIN("_",TRUE,Finance_Data!A132,Finance_Data!B132,Finance_Data!C132,Finance_Data!D132,Finance_Data!E132,Finance_Data!G132,Finance_Data!H132)</f>
        <v>CMP_014_West_USA_Perfume_Retail_45038_45083</v>
      </c>
    </row>
    <row r="133" spans="1:20" x14ac:dyDescent="0.35">
      <c r="A133" s="6" t="s">
        <v>77</v>
      </c>
      <c r="B133" s="1" t="s">
        <v>19</v>
      </c>
      <c r="C133" s="1" t="s">
        <v>58</v>
      </c>
      <c r="D133" s="1" t="s">
        <v>43</v>
      </c>
      <c r="E133" s="1" t="s">
        <v>22</v>
      </c>
      <c r="F133" s="1" t="s">
        <v>31</v>
      </c>
      <c r="G133" s="2">
        <v>45038</v>
      </c>
      <c r="H133" s="2">
        <v>45081</v>
      </c>
      <c r="I133" s="1">
        <v>22293.62</v>
      </c>
      <c r="J133" s="1">
        <v>0.877</v>
      </c>
      <c r="K133" s="1">
        <v>19551.5</v>
      </c>
      <c r="L133" s="1">
        <v>338914</v>
      </c>
      <c r="M133" s="1">
        <v>28699</v>
      </c>
      <c r="N133" s="1">
        <v>153521.17000000001</v>
      </c>
      <c r="O133" s="1">
        <v>2023</v>
      </c>
      <c r="P133" s="1" t="s">
        <v>76</v>
      </c>
      <c r="Q133" s="1" t="s">
        <v>46</v>
      </c>
      <c r="R133" s="1" t="s">
        <v>26</v>
      </c>
      <c r="S133" s="1">
        <f t="shared" si="2"/>
        <v>44</v>
      </c>
      <c r="T133" s="7" t="str">
        <f>_xlfn.TEXTJOIN("_",TRUE,Finance_Data!A133,Finance_Data!B133,Finance_Data!C133,Finance_Data!D133,Finance_Data!E133,Finance_Data!G133,Finance_Data!H133)</f>
        <v>CMP_033_North_UK_Luxury Bag_Retail_45038_45081</v>
      </c>
    </row>
    <row r="134" spans="1:20" x14ac:dyDescent="0.35">
      <c r="A134" s="6" t="s">
        <v>94</v>
      </c>
      <c r="B134" s="1" t="s">
        <v>48</v>
      </c>
      <c r="C134" s="1" t="s">
        <v>36</v>
      </c>
      <c r="D134" s="1" t="s">
        <v>51</v>
      </c>
      <c r="E134" s="1" t="s">
        <v>30</v>
      </c>
      <c r="F134" s="1" t="s">
        <v>49</v>
      </c>
      <c r="G134" s="2">
        <v>45038</v>
      </c>
      <c r="H134" s="2">
        <v>45064</v>
      </c>
      <c r="I134" s="1">
        <v>28906.240000000002</v>
      </c>
      <c r="J134" s="1">
        <v>0.54730000000000001</v>
      </c>
      <c r="K134" s="1">
        <v>15820.39</v>
      </c>
      <c r="L134" s="1">
        <v>948206</v>
      </c>
      <c r="M134" s="1">
        <v>20065</v>
      </c>
      <c r="N134" s="1">
        <v>27844.17</v>
      </c>
      <c r="O134" s="1">
        <v>2023</v>
      </c>
      <c r="P134" s="1" t="s">
        <v>76</v>
      </c>
      <c r="Q134" s="1" t="s">
        <v>46</v>
      </c>
      <c r="R134" s="1" t="s">
        <v>26</v>
      </c>
      <c r="S134" s="1">
        <f t="shared" si="2"/>
        <v>27</v>
      </c>
      <c r="T134" s="7" t="str">
        <f>_xlfn.TEXTJOIN("_",TRUE,Finance_Data!A134,Finance_Data!B134,Finance_Data!C134,Finance_Data!D134,Finance_Data!E134,Finance_Data!G134,Finance_Data!H134)</f>
        <v>CMP_007_South_India_Watch_Wholesale_45038_45064</v>
      </c>
    </row>
    <row r="135" spans="1:20" x14ac:dyDescent="0.35">
      <c r="A135" s="6" t="s">
        <v>119</v>
      </c>
      <c r="B135" s="1" t="s">
        <v>35</v>
      </c>
      <c r="C135" s="1" t="s">
        <v>36</v>
      </c>
      <c r="D135" s="1" t="s">
        <v>37</v>
      </c>
      <c r="E135" s="1" t="s">
        <v>22</v>
      </c>
      <c r="F135" s="1" t="s">
        <v>23</v>
      </c>
      <c r="G135" s="2">
        <v>45038</v>
      </c>
      <c r="H135" s="2">
        <v>45052</v>
      </c>
      <c r="I135" s="1">
        <v>27490.98</v>
      </c>
      <c r="J135" s="1">
        <v>0.5232</v>
      </c>
      <c r="K135" s="1">
        <v>14383.28</v>
      </c>
      <c r="L135" s="1">
        <v>653790</v>
      </c>
      <c r="M135" s="1">
        <v>42261</v>
      </c>
      <c r="N135" s="1">
        <v>31031.18</v>
      </c>
      <c r="O135" s="1">
        <v>2023</v>
      </c>
      <c r="P135" s="1" t="s">
        <v>76</v>
      </c>
      <c r="Q135" s="1" t="s">
        <v>46</v>
      </c>
      <c r="R135" s="1" t="s">
        <v>41</v>
      </c>
      <c r="S135" s="1">
        <f t="shared" si="2"/>
        <v>15</v>
      </c>
      <c r="T135" s="7" t="str">
        <f>_xlfn.TEXTJOIN("_",TRUE,Finance_Data!A135,Finance_Data!B135,Finance_Data!C135,Finance_Data!D135,Finance_Data!E135,Finance_Data!G135,Finance_Data!H135)</f>
        <v>CMP_029_East_India_Perfume_Retail_45038_45052</v>
      </c>
    </row>
    <row r="136" spans="1:20" x14ac:dyDescent="0.35">
      <c r="A136" s="6" t="s">
        <v>79</v>
      </c>
      <c r="B136" s="1" t="s">
        <v>35</v>
      </c>
      <c r="C136" s="1" t="s">
        <v>69</v>
      </c>
      <c r="D136" s="1" t="s">
        <v>63</v>
      </c>
      <c r="E136" s="1" t="s">
        <v>38</v>
      </c>
      <c r="F136" s="1" t="s">
        <v>23</v>
      </c>
      <c r="G136" s="2">
        <v>45039</v>
      </c>
      <c r="H136" s="2">
        <v>45051</v>
      </c>
      <c r="I136" s="1">
        <v>19109.71</v>
      </c>
      <c r="J136" s="1">
        <v>0.35460000000000003</v>
      </c>
      <c r="K136" s="1">
        <v>6776.3</v>
      </c>
      <c r="L136" s="1">
        <v>558171</v>
      </c>
      <c r="M136" s="1">
        <v>10146</v>
      </c>
      <c r="N136" s="1">
        <v>33846.839999999997</v>
      </c>
      <c r="O136" s="1">
        <v>2023</v>
      </c>
      <c r="P136" s="1" t="s">
        <v>76</v>
      </c>
      <c r="Q136" s="1" t="s">
        <v>46</v>
      </c>
      <c r="R136" s="1" t="s">
        <v>61</v>
      </c>
      <c r="S136" s="1">
        <f t="shared" si="2"/>
        <v>13</v>
      </c>
      <c r="T136" s="7" t="str">
        <f>_xlfn.TEXTJOIN("_",TRUE,Finance_Data!A136,Finance_Data!B136,Finance_Data!C136,Finance_Data!D136,Finance_Data!E136,Finance_Data!G136,Finance_Data!H136)</f>
        <v>CMP_020_East_USA_Skincare_Ecommerce_45039_45051</v>
      </c>
    </row>
    <row r="137" spans="1:20" x14ac:dyDescent="0.35">
      <c r="A137" s="6" t="s">
        <v>115</v>
      </c>
      <c r="B137" s="1" t="s">
        <v>19</v>
      </c>
      <c r="C137" s="1" t="s">
        <v>69</v>
      </c>
      <c r="D137" s="1" t="s">
        <v>51</v>
      </c>
      <c r="E137" s="1" t="s">
        <v>22</v>
      </c>
      <c r="F137" s="1" t="s">
        <v>49</v>
      </c>
      <c r="G137" s="2">
        <v>45040</v>
      </c>
      <c r="H137" s="2">
        <v>45098</v>
      </c>
      <c r="I137" s="1">
        <v>29133.49</v>
      </c>
      <c r="J137" s="1">
        <v>0.59799999999999998</v>
      </c>
      <c r="K137" s="1">
        <v>17421.830000000002</v>
      </c>
      <c r="L137" s="1">
        <v>104458</v>
      </c>
      <c r="M137" s="1">
        <v>33635</v>
      </c>
      <c r="N137" s="1">
        <v>23386.81</v>
      </c>
      <c r="O137" s="1">
        <v>2023</v>
      </c>
      <c r="P137" s="1" t="s">
        <v>76</v>
      </c>
      <c r="Q137" s="1" t="s">
        <v>46</v>
      </c>
      <c r="R137" s="1" t="s">
        <v>41</v>
      </c>
      <c r="S137" s="1">
        <f t="shared" si="2"/>
        <v>59</v>
      </c>
      <c r="T137" s="7" t="str">
        <f>_xlfn.TEXTJOIN("_",TRUE,Finance_Data!A137,Finance_Data!B137,Finance_Data!C137,Finance_Data!D137,Finance_Data!E137,Finance_Data!G137,Finance_Data!H137)</f>
        <v>CMP_047_North_USA_Watch_Retail_45040_45098</v>
      </c>
    </row>
    <row r="138" spans="1:20" x14ac:dyDescent="0.35">
      <c r="A138" s="6" t="s">
        <v>71</v>
      </c>
      <c r="B138" s="1" t="s">
        <v>28</v>
      </c>
      <c r="C138" s="1" t="s">
        <v>36</v>
      </c>
      <c r="D138" s="1" t="s">
        <v>37</v>
      </c>
      <c r="E138" s="1" t="s">
        <v>38</v>
      </c>
      <c r="F138" s="1" t="s">
        <v>44</v>
      </c>
      <c r="G138" s="2">
        <v>45040</v>
      </c>
      <c r="H138" s="2">
        <v>45094</v>
      </c>
      <c r="I138" s="1">
        <v>15116.98</v>
      </c>
      <c r="J138" s="1">
        <v>0.36840000000000001</v>
      </c>
      <c r="K138" s="1">
        <v>5569.1</v>
      </c>
      <c r="L138" s="1">
        <v>60068</v>
      </c>
      <c r="M138" s="1">
        <v>15726</v>
      </c>
      <c r="N138" s="1">
        <v>107857.26</v>
      </c>
      <c r="O138" s="1">
        <v>2023</v>
      </c>
      <c r="P138" s="1" t="s">
        <v>76</v>
      </c>
      <c r="Q138" s="1" t="s">
        <v>46</v>
      </c>
      <c r="R138" s="1" t="s">
        <v>26</v>
      </c>
      <c r="S138" s="1">
        <f t="shared" si="2"/>
        <v>55</v>
      </c>
      <c r="T138" s="7" t="str">
        <f>_xlfn.TEXTJOIN("_",TRUE,Finance_Data!A138,Finance_Data!B138,Finance_Data!C138,Finance_Data!D138,Finance_Data!E138,Finance_Data!G138,Finance_Data!H138)</f>
        <v>CMP_051_West_India_Perfume_Ecommerce_45040_45094</v>
      </c>
    </row>
    <row r="139" spans="1:20" x14ac:dyDescent="0.35">
      <c r="A139" s="6" t="s">
        <v>100</v>
      </c>
      <c r="B139" s="1" t="s">
        <v>35</v>
      </c>
      <c r="C139" s="1" t="s">
        <v>36</v>
      </c>
      <c r="D139" s="1" t="s">
        <v>63</v>
      </c>
      <c r="E139" s="1" t="s">
        <v>30</v>
      </c>
      <c r="F139" s="1" t="s">
        <v>23</v>
      </c>
      <c r="G139" s="2">
        <v>45042</v>
      </c>
      <c r="H139" s="2">
        <v>45094</v>
      </c>
      <c r="I139" s="1">
        <v>3672.36</v>
      </c>
      <c r="J139" s="1">
        <v>1.1392</v>
      </c>
      <c r="K139" s="1">
        <v>4183.55</v>
      </c>
      <c r="L139" s="1">
        <v>981746</v>
      </c>
      <c r="M139" s="1">
        <v>9778</v>
      </c>
      <c r="N139" s="1">
        <v>217844.33</v>
      </c>
      <c r="O139" s="1">
        <v>2023</v>
      </c>
      <c r="P139" s="1" t="s">
        <v>76</v>
      </c>
      <c r="Q139" s="1" t="s">
        <v>46</v>
      </c>
      <c r="R139" s="1" t="s">
        <v>41</v>
      </c>
      <c r="S139" s="1">
        <f t="shared" si="2"/>
        <v>53</v>
      </c>
      <c r="T139" s="7" t="str">
        <f>_xlfn.TEXTJOIN("_",TRUE,Finance_Data!A139,Finance_Data!B139,Finance_Data!C139,Finance_Data!D139,Finance_Data!E139,Finance_Data!G139,Finance_Data!H139)</f>
        <v>CMP_053_East_India_Skincare_Wholesale_45042_45094</v>
      </c>
    </row>
    <row r="140" spans="1:20" x14ac:dyDescent="0.35">
      <c r="A140" s="6" t="s">
        <v>96</v>
      </c>
      <c r="B140" s="1" t="s">
        <v>35</v>
      </c>
      <c r="C140" s="1" t="s">
        <v>69</v>
      </c>
      <c r="D140" s="1" t="s">
        <v>43</v>
      </c>
      <c r="E140" s="1" t="s">
        <v>30</v>
      </c>
      <c r="F140" s="1" t="s">
        <v>49</v>
      </c>
      <c r="G140" s="2">
        <v>45043</v>
      </c>
      <c r="H140" s="2">
        <v>45095</v>
      </c>
      <c r="I140" s="1">
        <v>33417.339999999997</v>
      </c>
      <c r="J140" s="1">
        <v>0.22370000000000001</v>
      </c>
      <c r="K140" s="1">
        <v>7475.46</v>
      </c>
      <c r="L140" s="1">
        <v>201059</v>
      </c>
      <c r="M140" s="1">
        <v>25852</v>
      </c>
      <c r="N140" s="1">
        <v>16088.39</v>
      </c>
      <c r="O140" s="1">
        <v>2023</v>
      </c>
      <c r="P140" s="1" t="s">
        <v>76</v>
      </c>
      <c r="Q140" s="1" t="s">
        <v>46</v>
      </c>
      <c r="R140" s="1" t="s">
        <v>54</v>
      </c>
      <c r="S140" s="1">
        <f t="shared" si="2"/>
        <v>53</v>
      </c>
      <c r="T140" s="7" t="str">
        <f>_xlfn.TEXTJOIN("_",TRUE,Finance_Data!A140,Finance_Data!B140,Finance_Data!C140,Finance_Data!D140,Finance_Data!E140,Finance_Data!G140,Finance_Data!H140)</f>
        <v>CMP_027_East_USA_Luxury Bag_Wholesale_45043_45095</v>
      </c>
    </row>
    <row r="141" spans="1:20" x14ac:dyDescent="0.35">
      <c r="A141" s="6" t="s">
        <v>86</v>
      </c>
      <c r="B141" s="1" t="s">
        <v>28</v>
      </c>
      <c r="C141" s="1" t="s">
        <v>29</v>
      </c>
      <c r="D141" s="1" t="s">
        <v>21</v>
      </c>
      <c r="E141" s="1" t="s">
        <v>38</v>
      </c>
      <c r="F141" s="1" t="s">
        <v>23</v>
      </c>
      <c r="G141" s="2">
        <v>45043</v>
      </c>
      <c r="H141" s="2">
        <v>45084</v>
      </c>
      <c r="I141" s="1">
        <v>10790.2</v>
      </c>
      <c r="J141" s="1">
        <v>1.1967000000000001</v>
      </c>
      <c r="K141" s="1">
        <v>12912.63</v>
      </c>
      <c r="L141" s="1">
        <v>198667</v>
      </c>
      <c r="M141" s="1">
        <v>44776</v>
      </c>
      <c r="N141" s="1">
        <v>193066.39</v>
      </c>
      <c r="O141" s="1">
        <v>2023</v>
      </c>
      <c r="P141" s="1" t="s">
        <v>76</v>
      </c>
      <c r="Q141" s="1" t="s">
        <v>46</v>
      </c>
      <c r="R141" s="1" t="s">
        <v>54</v>
      </c>
      <c r="S141" s="1">
        <f t="shared" si="2"/>
        <v>42</v>
      </c>
      <c r="T141" s="7" t="str">
        <f>_xlfn.TEXTJOIN("_",TRUE,Finance_Data!A141,Finance_Data!B141,Finance_Data!C141,Finance_Data!D141,Finance_Data!E141,Finance_Data!G141,Finance_Data!H141)</f>
        <v>CMP_002_West_Australia_Foundation_Ecommerce_45043_45084</v>
      </c>
    </row>
    <row r="142" spans="1:20" x14ac:dyDescent="0.35">
      <c r="A142" s="6" t="s">
        <v>95</v>
      </c>
      <c r="B142" s="1" t="s">
        <v>35</v>
      </c>
      <c r="C142" s="1" t="s">
        <v>58</v>
      </c>
      <c r="D142" s="1" t="s">
        <v>59</v>
      </c>
      <c r="E142" s="1" t="s">
        <v>30</v>
      </c>
      <c r="F142" s="1" t="s">
        <v>31</v>
      </c>
      <c r="G142" s="2">
        <v>45043</v>
      </c>
      <c r="H142" s="2">
        <v>45049</v>
      </c>
      <c r="I142" s="1">
        <v>37048.07</v>
      </c>
      <c r="J142" s="1">
        <v>0.60389999999999999</v>
      </c>
      <c r="K142" s="1">
        <v>22373.33</v>
      </c>
      <c r="L142" s="1">
        <v>415785</v>
      </c>
      <c r="M142" s="1">
        <v>36909</v>
      </c>
      <c r="N142" s="1">
        <v>33851.440000000002</v>
      </c>
      <c r="O142" s="1">
        <v>2023</v>
      </c>
      <c r="P142" s="1" t="s">
        <v>76</v>
      </c>
      <c r="Q142" s="1" t="s">
        <v>46</v>
      </c>
      <c r="R142" s="1" t="s">
        <v>54</v>
      </c>
      <c r="S142" s="1">
        <f t="shared" si="2"/>
        <v>7</v>
      </c>
      <c r="T142" s="7" t="str">
        <f>_xlfn.TEXTJOIN("_",TRUE,Finance_Data!A142,Finance_Data!B142,Finance_Data!C142,Finance_Data!D142,Finance_Data!E142,Finance_Data!G142,Finance_Data!H142)</f>
        <v>CMP_050_East_UK_Lipstick_Wholesale_45043_45049</v>
      </c>
    </row>
    <row r="143" spans="1:20" x14ac:dyDescent="0.35">
      <c r="A143" s="6" t="s">
        <v>81</v>
      </c>
      <c r="B143" s="1" t="s">
        <v>48</v>
      </c>
      <c r="C143" s="1" t="s">
        <v>58</v>
      </c>
      <c r="D143" s="1" t="s">
        <v>21</v>
      </c>
      <c r="E143" s="1" t="s">
        <v>38</v>
      </c>
      <c r="F143" s="1" t="s">
        <v>44</v>
      </c>
      <c r="G143" s="2">
        <v>45046</v>
      </c>
      <c r="H143" s="2">
        <v>45059</v>
      </c>
      <c r="I143" s="1">
        <v>3221.99</v>
      </c>
      <c r="J143" s="1">
        <v>5.4300000000000001E-2</v>
      </c>
      <c r="K143" s="1">
        <v>174.95</v>
      </c>
      <c r="L143" s="1">
        <v>526554</v>
      </c>
      <c r="M143" s="1">
        <v>7710</v>
      </c>
      <c r="N143" s="1">
        <v>28812.04</v>
      </c>
      <c r="O143" s="1">
        <v>2023</v>
      </c>
      <c r="P143" s="1" t="s">
        <v>76</v>
      </c>
      <c r="Q143" s="1" t="s">
        <v>46</v>
      </c>
      <c r="R143" s="1" t="s">
        <v>54</v>
      </c>
      <c r="S143" s="1">
        <f t="shared" si="2"/>
        <v>14</v>
      </c>
      <c r="T143" s="7" t="str">
        <f>_xlfn.TEXTJOIN("_",TRUE,Finance_Data!A143,Finance_Data!B143,Finance_Data!C143,Finance_Data!D143,Finance_Data!E143,Finance_Data!G143,Finance_Data!H143)</f>
        <v>CMP_057_South_UK_Foundation_Ecommerce_45046_45059</v>
      </c>
    </row>
    <row r="144" spans="1:20" x14ac:dyDescent="0.35">
      <c r="A144" s="6" t="s">
        <v>64</v>
      </c>
      <c r="B144" s="1" t="s">
        <v>35</v>
      </c>
      <c r="C144" s="1" t="s">
        <v>36</v>
      </c>
      <c r="D144" s="1" t="s">
        <v>59</v>
      </c>
      <c r="E144" s="1" t="s">
        <v>30</v>
      </c>
      <c r="F144" s="1" t="s">
        <v>23</v>
      </c>
      <c r="G144" s="2">
        <v>45047</v>
      </c>
      <c r="H144" s="2">
        <v>45073</v>
      </c>
      <c r="I144" s="1">
        <v>49693.24</v>
      </c>
      <c r="J144" s="1">
        <v>0.58589999999999998</v>
      </c>
      <c r="K144" s="1">
        <v>29115.27</v>
      </c>
      <c r="L144" s="1">
        <v>653830</v>
      </c>
      <c r="M144" s="1">
        <v>39421</v>
      </c>
      <c r="N144" s="1">
        <v>138888.28</v>
      </c>
      <c r="O144" s="1">
        <v>2023</v>
      </c>
      <c r="P144" s="1" t="s">
        <v>45</v>
      </c>
      <c r="Q144" s="1" t="s">
        <v>46</v>
      </c>
      <c r="R144" s="1" t="s">
        <v>26</v>
      </c>
      <c r="S144" s="1">
        <f t="shared" si="2"/>
        <v>27</v>
      </c>
      <c r="T144" s="7" t="str">
        <f>_xlfn.TEXTJOIN("_",TRUE,Finance_Data!A144,Finance_Data!B144,Finance_Data!C144,Finance_Data!D144,Finance_Data!E144,Finance_Data!G144,Finance_Data!H144)</f>
        <v>CMP_011_East_India_Lipstick_Wholesale_45047_45073</v>
      </c>
    </row>
    <row r="145" spans="1:20" x14ac:dyDescent="0.35">
      <c r="A145" s="6" t="s">
        <v>110</v>
      </c>
      <c r="B145" s="1" t="s">
        <v>28</v>
      </c>
      <c r="C145" s="1" t="s">
        <v>20</v>
      </c>
      <c r="D145" s="1" t="s">
        <v>63</v>
      </c>
      <c r="E145" s="1" t="s">
        <v>30</v>
      </c>
      <c r="F145" s="1" t="s">
        <v>52</v>
      </c>
      <c r="G145" s="2">
        <v>45048</v>
      </c>
      <c r="H145" s="2">
        <v>45076</v>
      </c>
      <c r="I145" s="1">
        <v>46242.66</v>
      </c>
      <c r="J145" s="1">
        <v>1.1046</v>
      </c>
      <c r="K145" s="1">
        <v>51079.64</v>
      </c>
      <c r="L145" s="1">
        <v>949090</v>
      </c>
      <c r="M145" s="1">
        <v>2940</v>
      </c>
      <c r="N145" s="1">
        <v>153104.06</v>
      </c>
      <c r="O145" s="1">
        <v>2023</v>
      </c>
      <c r="P145" s="1" t="s">
        <v>45</v>
      </c>
      <c r="Q145" s="1" t="s">
        <v>46</v>
      </c>
      <c r="R145" s="1" t="s">
        <v>54</v>
      </c>
      <c r="S145" s="1">
        <f t="shared" si="2"/>
        <v>29</v>
      </c>
      <c r="T145" s="7" t="str">
        <f>_xlfn.TEXTJOIN("_",TRUE,Finance_Data!A145,Finance_Data!B145,Finance_Data!C145,Finance_Data!D145,Finance_Data!E145,Finance_Data!G145,Finance_Data!H145)</f>
        <v>CMP_012_West_Singapore_Skincare_Wholesale_45048_45076</v>
      </c>
    </row>
    <row r="146" spans="1:20" x14ac:dyDescent="0.35">
      <c r="A146" s="6" t="s">
        <v>64</v>
      </c>
      <c r="B146" s="1" t="s">
        <v>19</v>
      </c>
      <c r="C146" s="1" t="s">
        <v>69</v>
      </c>
      <c r="D146" s="1" t="s">
        <v>59</v>
      </c>
      <c r="E146" s="1" t="s">
        <v>38</v>
      </c>
      <c r="F146" s="1" t="s">
        <v>52</v>
      </c>
      <c r="G146" s="2">
        <v>45049</v>
      </c>
      <c r="H146" s="2">
        <v>45063</v>
      </c>
      <c r="I146" s="1">
        <v>20345.759999999998</v>
      </c>
      <c r="J146" s="1">
        <v>0.83709999999999996</v>
      </c>
      <c r="K146" s="1">
        <v>17031.439999999999</v>
      </c>
      <c r="L146" s="1">
        <v>116663</v>
      </c>
      <c r="M146" s="1">
        <v>48690</v>
      </c>
      <c r="N146" s="1">
        <v>231696.13</v>
      </c>
      <c r="O146" s="1">
        <v>2023</v>
      </c>
      <c r="P146" s="1" t="s">
        <v>45</v>
      </c>
      <c r="Q146" s="1" t="s">
        <v>46</v>
      </c>
      <c r="R146" s="1" t="s">
        <v>54</v>
      </c>
      <c r="S146" s="1">
        <f t="shared" si="2"/>
        <v>15</v>
      </c>
      <c r="T146" s="7" t="str">
        <f>_xlfn.TEXTJOIN("_",TRUE,Finance_Data!A146,Finance_Data!B146,Finance_Data!C146,Finance_Data!D146,Finance_Data!E146,Finance_Data!G146,Finance_Data!H146)</f>
        <v>CMP_011_North_USA_Lipstick_Ecommerce_45049_45063</v>
      </c>
    </row>
    <row r="147" spans="1:20" x14ac:dyDescent="0.35">
      <c r="A147" s="6" t="s">
        <v>106</v>
      </c>
      <c r="B147" s="1" t="s">
        <v>19</v>
      </c>
      <c r="C147" s="1" t="s">
        <v>58</v>
      </c>
      <c r="D147" s="1" t="s">
        <v>37</v>
      </c>
      <c r="E147" s="1" t="s">
        <v>30</v>
      </c>
      <c r="F147" s="1" t="s">
        <v>49</v>
      </c>
      <c r="G147" s="2">
        <v>45050</v>
      </c>
      <c r="H147" s="2">
        <v>45103</v>
      </c>
      <c r="I147" s="1">
        <v>23002.95</v>
      </c>
      <c r="J147" s="1">
        <v>1.1394</v>
      </c>
      <c r="K147" s="1">
        <v>26209.56</v>
      </c>
      <c r="L147" s="1">
        <v>185284</v>
      </c>
      <c r="M147" s="1">
        <v>13986</v>
      </c>
      <c r="N147" s="1">
        <v>203072.88</v>
      </c>
      <c r="O147" s="1">
        <v>2023</v>
      </c>
      <c r="P147" s="1" t="s">
        <v>45</v>
      </c>
      <c r="Q147" s="1" t="s">
        <v>46</v>
      </c>
      <c r="R147" s="1" t="s">
        <v>61</v>
      </c>
      <c r="S147" s="1">
        <f t="shared" si="2"/>
        <v>54</v>
      </c>
      <c r="T147" s="7" t="str">
        <f>_xlfn.TEXTJOIN("_",TRUE,Finance_Data!A147,Finance_Data!B147,Finance_Data!C147,Finance_Data!D147,Finance_Data!E147,Finance_Data!G147,Finance_Data!H147)</f>
        <v>CMP_009_North_UK_Perfume_Wholesale_45050_45103</v>
      </c>
    </row>
    <row r="148" spans="1:20" x14ac:dyDescent="0.35">
      <c r="A148" s="6" t="s">
        <v>105</v>
      </c>
      <c r="B148" s="1" t="s">
        <v>19</v>
      </c>
      <c r="C148" s="1" t="s">
        <v>69</v>
      </c>
      <c r="D148" s="1" t="s">
        <v>63</v>
      </c>
      <c r="E148" s="1" t="s">
        <v>30</v>
      </c>
      <c r="F148" s="1" t="s">
        <v>31</v>
      </c>
      <c r="G148" s="2">
        <v>45050</v>
      </c>
      <c r="H148" s="2">
        <v>45099</v>
      </c>
      <c r="I148" s="1">
        <v>26392.05</v>
      </c>
      <c r="J148" s="1">
        <v>0.3856</v>
      </c>
      <c r="K148" s="1">
        <v>10176.77</v>
      </c>
      <c r="L148" s="1">
        <v>18827</v>
      </c>
      <c r="M148" s="1">
        <v>874</v>
      </c>
      <c r="N148" s="1">
        <v>170155.25</v>
      </c>
      <c r="O148" s="1">
        <v>2023</v>
      </c>
      <c r="P148" s="1" t="s">
        <v>45</v>
      </c>
      <c r="Q148" s="1" t="s">
        <v>46</v>
      </c>
      <c r="R148" s="1" t="s">
        <v>61</v>
      </c>
      <c r="S148" s="1">
        <f t="shared" si="2"/>
        <v>50</v>
      </c>
      <c r="T148" s="7" t="str">
        <f>_xlfn.TEXTJOIN("_",TRUE,Finance_Data!A148,Finance_Data!B148,Finance_Data!C148,Finance_Data!D148,Finance_Data!E148,Finance_Data!G148,Finance_Data!H148)</f>
        <v>CMP_025_North_USA_Skincare_Wholesale_45050_45099</v>
      </c>
    </row>
    <row r="149" spans="1:20" x14ac:dyDescent="0.35">
      <c r="A149" s="6" t="s">
        <v>90</v>
      </c>
      <c r="B149" s="1" t="s">
        <v>48</v>
      </c>
      <c r="C149" s="1" t="s">
        <v>69</v>
      </c>
      <c r="D149" s="1" t="s">
        <v>37</v>
      </c>
      <c r="E149" s="1" t="s">
        <v>22</v>
      </c>
      <c r="F149" s="1" t="s">
        <v>31</v>
      </c>
      <c r="G149" s="2">
        <v>45050</v>
      </c>
      <c r="H149" s="2">
        <v>45098</v>
      </c>
      <c r="I149" s="1">
        <v>29222.38</v>
      </c>
      <c r="J149" s="1">
        <v>0.1734</v>
      </c>
      <c r="K149" s="1">
        <v>5067.16</v>
      </c>
      <c r="L149" s="1">
        <v>887057</v>
      </c>
      <c r="M149" s="1">
        <v>14074</v>
      </c>
      <c r="N149" s="1">
        <v>192235.83</v>
      </c>
      <c r="O149" s="1">
        <v>2023</v>
      </c>
      <c r="P149" s="1" t="s">
        <v>45</v>
      </c>
      <c r="Q149" s="1" t="s">
        <v>46</v>
      </c>
      <c r="R149" s="1" t="s">
        <v>61</v>
      </c>
      <c r="S149" s="1">
        <f t="shared" si="2"/>
        <v>49</v>
      </c>
      <c r="T149" s="7" t="str">
        <f>_xlfn.TEXTJOIN("_",TRUE,Finance_Data!A149,Finance_Data!B149,Finance_Data!C149,Finance_Data!D149,Finance_Data!E149,Finance_Data!G149,Finance_Data!H149)</f>
        <v>CMP_038_South_USA_Perfume_Retail_45050_45098</v>
      </c>
    </row>
    <row r="150" spans="1:20" x14ac:dyDescent="0.35">
      <c r="A150" s="6" t="s">
        <v>67</v>
      </c>
      <c r="B150" s="1" t="s">
        <v>28</v>
      </c>
      <c r="C150" s="1" t="s">
        <v>36</v>
      </c>
      <c r="D150" s="1" t="s">
        <v>43</v>
      </c>
      <c r="E150" s="1" t="s">
        <v>30</v>
      </c>
      <c r="F150" s="1" t="s">
        <v>31</v>
      </c>
      <c r="G150" s="2">
        <v>45050</v>
      </c>
      <c r="H150" s="2">
        <v>45097</v>
      </c>
      <c r="I150" s="1">
        <v>46872.91</v>
      </c>
      <c r="J150" s="1">
        <v>0.22389999999999999</v>
      </c>
      <c r="K150" s="1">
        <v>10494.84</v>
      </c>
      <c r="L150" s="1">
        <v>29895</v>
      </c>
      <c r="M150" s="1">
        <v>18119</v>
      </c>
      <c r="N150" s="1">
        <v>197755.48</v>
      </c>
      <c r="O150" s="1">
        <v>2023</v>
      </c>
      <c r="P150" s="1" t="s">
        <v>45</v>
      </c>
      <c r="Q150" s="1" t="s">
        <v>46</v>
      </c>
      <c r="R150" s="1" t="s">
        <v>54</v>
      </c>
      <c r="S150" s="1">
        <f t="shared" si="2"/>
        <v>48</v>
      </c>
      <c r="T150" s="7" t="str">
        <f>_xlfn.TEXTJOIN("_",TRUE,Finance_Data!A150,Finance_Data!B150,Finance_Data!C150,Finance_Data!D150,Finance_Data!E150,Finance_Data!G150,Finance_Data!H150)</f>
        <v>CMP_016_West_India_Luxury Bag_Wholesale_45050_45097</v>
      </c>
    </row>
    <row r="151" spans="1:20" x14ac:dyDescent="0.35">
      <c r="A151" s="6" t="s">
        <v>82</v>
      </c>
      <c r="B151" s="1" t="s">
        <v>28</v>
      </c>
      <c r="C151" s="1" t="s">
        <v>36</v>
      </c>
      <c r="D151" s="1" t="s">
        <v>63</v>
      </c>
      <c r="E151" s="1" t="s">
        <v>22</v>
      </c>
      <c r="F151" s="1" t="s">
        <v>49</v>
      </c>
      <c r="G151" s="2">
        <v>45050</v>
      </c>
      <c r="H151" s="2">
        <v>45091</v>
      </c>
      <c r="I151" s="1">
        <v>20082.04</v>
      </c>
      <c r="J151" s="1">
        <v>0.70079999999999998</v>
      </c>
      <c r="K151" s="1">
        <v>14073.49</v>
      </c>
      <c r="L151" s="1">
        <v>45739</v>
      </c>
      <c r="M151" s="1">
        <v>42377</v>
      </c>
      <c r="N151" s="1">
        <v>164353.47</v>
      </c>
      <c r="O151" s="1">
        <v>2023</v>
      </c>
      <c r="P151" s="1" t="s">
        <v>45</v>
      </c>
      <c r="Q151" s="1" t="s">
        <v>46</v>
      </c>
      <c r="R151" s="1" t="s">
        <v>54</v>
      </c>
      <c r="S151" s="1">
        <f t="shared" si="2"/>
        <v>42</v>
      </c>
      <c r="T151" s="7" t="str">
        <f>_xlfn.TEXTJOIN("_",TRUE,Finance_Data!A151,Finance_Data!B151,Finance_Data!C151,Finance_Data!D151,Finance_Data!E151,Finance_Data!G151,Finance_Data!H151)</f>
        <v>CMP_043_West_India_Skincare_Retail_45050_45091</v>
      </c>
    </row>
    <row r="152" spans="1:20" x14ac:dyDescent="0.35">
      <c r="A152" s="6" t="s">
        <v>95</v>
      </c>
      <c r="B152" s="1" t="s">
        <v>35</v>
      </c>
      <c r="C152" s="1" t="s">
        <v>29</v>
      </c>
      <c r="D152" s="1" t="s">
        <v>51</v>
      </c>
      <c r="E152" s="1" t="s">
        <v>30</v>
      </c>
      <c r="F152" s="1" t="s">
        <v>44</v>
      </c>
      <c r="G152" s="2">
        <v>45050</v>
      </c>
      <c r="H152" s="2">
        <v>45090</v>
      </c>
      <c r="I152" s="1">
        <v>11980.69</v>
      </c>
      <c r="J152" s="1">
        <v>0.31680000000000003</v>
      </c>
      <c r="K152" s="1">
        <v>3795.48</v>
      </c>
      <c r="L152" s="1">
        <v>366855</v>
      </c>
      <c r="M152" s="1">
        <v>23381</v>
      </c>
      <c r="N152" s="1">
        <v>193496.61</v>
      </c>
      <c r="O152" s="1">
        <v>2023</v>
      </c>
      <c r="P152" s="1" t="s">
        <v>45</v>
      </c>
      <c r="Q152" s="1" t="s">
        <v>46</v>
      </c>
      <c r="R152" s="1" t="s">
        <v>26</v>
      </c>
      <c r="S152" s="1">
        <f t="shared" si="2"/>
        <v>41</v>
      </c>
      <c r="T152" s="7" t="str">
        <f>_xlfn.TEXTJOIN("_",TRUE,Finance_Data!A152,Finance_Data!B152,Finance_Data!C152,Finance_Data!D152,Finance_Data!E152,Finance_Data!G152,Finance_Data!H152)</f>
        <v>CMP_050_East_Australia_Watch_Wholesale_45050_45090</v>
      </c>
    </row>
    <row r="153" spans="1:20" x14ac:dyDescent="0.35">
      <c r="A153" s="6" t="s">
        <v>107</v>
      </c>
      <c r="B153" s="1" t="s">
        <v>48</v>
      </c>
      <c r="C153" s="1" t="s">
        <v>36</v>
      </c>
      <c r="D153" s="1" t="s">
        <v>37</v>
      </c>
      <c r="E153" s="1" t="s">
        <v>38</v>
      </c>
      <c r="F153" s="1" t="s">
        <v>49</v>
      </c>
      <c r="G153" s="2">
        <v>45050</v>
      </c>
      <c r="H153" s="2">
        <v>45063</v>
      </c>
      <c r="I153" s="1">
        <v>20662.87</v>
      </c>
      <c r="J153" s="1">
        <v>0.33589999999999998</v>
      </c>
      <c r="K153" s="1">
        <v>6940.66</v>
      </c>
      <c r="L153" s="1">
        <v>211512</v>
      </c>
      <c r="M153" s="1">
        <v>9681</v>
      </c>
      <c r="N153" s="1">
        <v>109444.23</v>
      </c>
      <c r="O153" s="1">
        <v>2023</v>
      </c>
      <c r="P153" s="1" t="s">
        <v>45</v>
      </c>
      <c r="Q153" s="1" t="s">
        <v>46</v>
      </c>
      <c r="R153" s="1" t="s">
        <v>41</v>
      </c>
      <c r="S153" s="1">
        <f t="shared" si="2"/>
        <v>14</v>
      </c>
      <c r="T153" s="7" t="str">
        <f>_xlfn.TEXTJOIN("_",TRUE,Finance_Data!A153,Finance_Data!B153,Finance_Data!C153,Finance_Data!D153,Finance_Data!E153,Finance_Data!G153,Finance_Data!H153)</f>
        <v>CMP_040_South_India_Perfume_Ecommerce_45050_45063</v>
      </c>
    </row>
    <row r="154" spans="1:20" x14ac:dyDescent="0.35">
      <c r="A154" s="6" t="s">
        <v>92</v>
      </c>
      <c r="B154" s="1" t="s">
        <v>19</v>
      </c>
      <c r="C154" s="1" t="s">
        <v>69</v>
      </c>
      <c r="D154" s="1" t="s">
        <v>43</v>
      </c>
      <c r="E154" s="1" t="s">
        <v>38</v>
      </c>
      <c r="F154" s="1" t="s">
        <v>23</v>
      </c>
      <c r="G154" s="2">
        <v>45051</v>
      </c>
      <c r="H154" s="2">
        <v>45092</v>
      </c>
      <c r="I154" s="1">
        <v>27229.9</v>
      </c>
      <c r="J154" s="1">
        <v>1.19</v>
      </c>
      <c r="K154" s="1">
        <v>32403.58</v>
      </c>
      <c r="L154" s="1">
        <v>359636</v>
      </c>
      <c r="M154" s="1">
        <v>44784</v>
      </c>
      <c r="N154" s="1">
        <v>79192.88</v>
      </c>
      <c r="O154" s="1">
        <v>2023</v>
      </c>
      <c r="P154" s="1" t="s">
        <v>45</v>
      </c>
      <c r="Q154" s="1" t="s">
        <v>46</v>
      </c>
      <c r="R154" s="1" t="s">
        <v>54</v>
      </c>
      <c r="S154" s="1">
        <f t="shared" si="2"/>
        <v>42</v>
      </c>
      <c r="T154" s="7" t="str">
        <f>_xlfn.TEXTJOIN("_",TRUE,Finance_Data!A154,Finance_Data!B154,Finance_Data!C154,Finance_Data!D154,Finance_Data!E154,Finance_Data!G154,Finance_Data!H154)</f>
        <v>CMP_004_North_USA_Luxury Bag_Ecommerce_45051_45092</v>
      </c>
    </row>
    <row r="155" spans="1:20" x14ac:dyDescent="0.35">
      <c r="A155" s="6" t="s">
        <v>27</v>
      </c>
      <c r="B155" s="1" t="s">
        <v>35</v>
      </c>
      <c r="C155" s="1" t="s">
        <v>20</v>
      </c>
      <c r="D155" s="1" t="s">
        <v>51</v>
      </c>
      <c r="E155" s="1" t="s">
        <v>38</v>
      </c>
      <c r="F155" s="1" t="s">
        <v>44</v>
      </c>
      <c r="G155" s="2">
        <v>45051</v>
      </c>
      <c r="H155" s="2">
        <v>45075</v>
      </c>
      <c r="I155" s="1">
        <v>20823.310000000001</v>
      </c>
      <c r="J155" s="1">
        <v>1.1794</v>
      </c>
      <c r="K155" s="1">
        <v>24559.01</v>
      </c>
      <c r="L155" s="1">
        <v>870116</v>
      </c>
      <c r="M155" s="1">
        <v>15496</v>
      </c>
      <c r="N155" s="1">
        <v>211221.6</v>
      </c>
      <c r="O155" s="1">
        <v>2023</v>
      </c>
      <c r="P155" s="1" t="s">
        <v>45</v>
      </c>
      <c r="Q155" s="1" t="s">
        <v>46</v>
      </c>
      <c r="R155" s="1" t="s">
        <v>26</v>
      </c>
      <c r="S155" s="1">
        <f t="shared" si="2"/>
        <v>25</v>
      </c>
      <c r="T155" s="7" t="str">
        <f>_xlfn.TEXTJOIN("_",TRUE,Finance_Data!A155,Finance_Data!B155,Finance_Data!C155,Finance_Data!D155,Finance_Data!E155,Finance_Data!G155,Finance_Data!H155)</f>
        <v>CMP_035_East_Singapore_Watch_Ecommerce_45051_45075</v>
      </c>
    </row>
    <row r="156" spans="1:20" x14ac:dyDescent="0.35">
      <c r="A156" s="6" t="s">
        <v>66</v>
      </c>
      <c r="B156" s="1" t="s">
        <v>19</v>
      </c>
      <c r="C156" s="1" t="s">
        <v>20</v>
      </c>
      <c r="D156" s="1" t="s">
        <v>43</v>
      </c>
      <c r="E156" s="1" t="s">
        <v>38</v>
      </c>
      <c r="F156" s="1" t="s">
        <v>31</v>
      </c>
      <c r="G156" s="2">
        <v>45051</v>
      </c>
      <c r="H156" s="2">
        <v>45057</v>
      </c>
      <c r="I156" s="1">
        <v>20823.55</v>
      </c>
      <c r="J156" s="1">
        <v>0.60429999999999995</v>
      </c>
      <c r="K156" s="1">
        <v>12583.67</v>
      </c>
      <c r="L156" s="1">
        <v>162446</v>
      </c>
      <c r="M156" s="1">
        <v>30118</v>
      </c>
      <c r="N156" s="1">
        <v>232313.77</v>
      </c>
      <c r="O156" s="1">
        <v>2023</v>
      </c>
      <c r="P156" s="1" t="s">
        <v>45</v>
      </c>
      <c r="Q156" s="1" t="s">
        <v>46</v>
      </c>
      <c r="R156" s="1" t="s">
        <v>54</v>
      </c>
      <c r="S156" s="1">
        <f t="shared" si="2"/>
        <v>7</v>
      </c>
      <c r="T156" s="7" t="str">
        <f>_xlfn.TEXTJOIN("_",TRUE,Finance_Data!A156,Finance_Data!B156,Finance_Data!C156,Finance_Data!D156,Finance_Data!E156,Finance_Data!G156,Finance_Data!H156)</f>
        <v>CMP_010_North_Singapore_Luxury Bag_Ecommerce_45051_45057</v>
      </c>
    </row>
    <row r="157" spans="1:20" x14ac:dyDescent="0.35">
      <c r="A157" s="6" t="s">
        <v>90</v>
      </c>
      <c r="B157" s="1" t="s">
        <v>35</v>
      </c>
      <c r="C157" s="1" t="s">
        <v>58</v>
      </c>
      <c r="D157" s="1" t="s">
        <v>63</v>
      </c>
      <c r="E157" s="1" t="s">
        <v>38</v>
      </c>
      <c r="F157" s="1" t="s">
        <v>44</v>
      </c>
      <c r="G157" s="2">
        <v>45052</v>
      </c>
      <c r="H157" s="2">
        <v>45071</v>
      </c>
      <c r="I157" s="1">
        <v>42067.35</v>
      </c>
      <c r="J157" s="1">
        <v>0.873</v>
      </c>
      <c r="K157" s="1">
        <v>36724.800000000003</v>
      </c>
      <c r="L157" s="1">
        <v>302047</v>
      </c>
      <c r="M157" s="1">
        <v>46859</v>
      </c>
      <c r="N157" s="1">
        <v>192663.18</v>
      </c>
      <c r="O157" s="1">
        <v>2023</v>
      </c>
      <c r="P157" s="1" t="s">
        <v>45</v>
      </c>
      <c r="Q157" s="1" t="s">
        <v>46</v>
      </c>
      <c r="R157" s="1" t="s">
        <v>54</v>
      </c>
      <c r="S157" s="1">
        <f t="shared" si="2"/>
        <v>20</v>
      </c>
      <c r="T157" s="7" t="str">
        <f>_xlfn.TEXTJOIN("_",TRUE,Finance_Data!A157,Finance_Data!B157,Finance_Data!C157,Finance_Data!D157,Finance_Data!E157,Finance_Data!G157,Finance_Data!H157)</f>
        <v>CMP_038_East_UK_Skincare_Ecommerce_45052_45071</v>
      </c>
    </row>
    <row r="158" spans="1:20" x14ac:dyDescent="0.35">
      <c r="A158" s="6" t="s">
        <v>103</v>
      </c>
      <c r="B158" s="1" t="s">
        <v>48</v>
      </c>
      <c r="C158" s="1" t="s">
        <v>69</v>
      </c>
      <c r="D158" s="1" t="s">
        <v>59</v>
      </c>
      <c r="E158" s="1" t="s">
        <v>38</v>
      </c>
      <c r="F158" s="1" t="s">
        <v>23</v>
      </c>
      <c r="G158" s="2">
        <v>45054</v>
      </c>
      <c r="H158" s="2">
        <v>45113</v>
      </c>
      <c r="I158" s="1">
        <v>8741.19</v>
      </c>
      <c r="J158" s="1">
        <v>0.55330000000000001</v>
      </c>
      <c r="K158" s="1">
        <v>4836.5</v>
      </c>
      <c r="L158" s="1">
        <v>458580</v>
      </c>
      <c r="M158" s="1">
        <v>13359</v>
      </c>
      <c r="N158" s="1">
        <v>248945.05</v>
      </c>
      <c r="O158" s="1">
        <v>2023</v>
      </c>
      <c r="P158" s="1" t="s">
        <v>45</v>
      </c>
      <c r="Q158" s="1" t="s">
        <v>46</v>
      </c>
      <c r="R158" s="1" t="s">
        <v>41</v>
      </c>
      <c r="S158" s="1">
        <f t="shared" si="2"/>
        <v>60</v>
      </c>
      <c r="T158" s="7" t="str">
        <f>_xlfn.TEXTJOIN("_",TRUE,Finance_Data!A158,Finance_Data!B158,Finance_Data!C158,Finance_Data!D158,Finance_Data!E158,Finance_Data!G158,Finance_Data!H158)</f>
        <v>CMP_059_South_USA_Lipstick_Ecommerce_45054_45113</v>
      </c>
    </row>
    <row r="159" spans="1:20" x14ac:dyDescent="0.35">
      <c r="A159" s="6" t="s">
        <v>87</v>
      </c>
      <c r="B159" s="1" t="s">
        <v>19</v>
      </c>
      <c r="C159" s="1" t="s">
        <v>58</v>
      </c>
      <c r="D159" s="1" t="s">
        <v>21</v>
      </c>
      <c r="E159" s="1" t="s">
        <v>38</v>
      </c>
      <c r="F159" s="1" t="s">
        <v>49</v>
      </c>
      <c r="G159" s="2">
        <v>45055</v>
      </c>
      <c r="H159" s="2">
        <v>45107</v>
      </c>
      <c r="I159" s="1">
        <v>11381.35</v>
      </c>
      <c r="J159" s="1">
        <v>0.74670000000000003</v>
      </c>
      <c r="K159" s="1">
        <v>8498.4500000000007</v>
      </c>
      <c r="L159" s="1">
        <v>239540</v>
      </c>
      <c r="M159" s="1">
        <v>25809</v>
      </c>
      <c r="N159" s="1">
        <v>50004.97</v>
      </c>
      <c r="O159" s="1">
        <v>2023</v>
      </c>
      <c r="P159" s="1" t="s">
        <v>45</v>
      </c>
      <c r="Q159" s="1" t="s">
        <v>46</v>
      </c>
      <c r="R159" s="1" t="s">
        <v>54</v>
      </c>
      <c r="S159" s="1">
        <f t="shared" si="2"/>
        <v>53</v>
      </c>
      <c r="T159" s="7" t="str">
        <f>_xlfn.TEXTJOIN("_",TRUE,Finance_Data!A159,Finance_Data!B159,Finance_Data!C159,Finance_Data!D159,Finance_Data!E159,Finance_Data!G159,Finance_Data!H159)</f>
        <v>CMP_048_North_UK_Foundation_Ecommerce_45055_45107</v>
      </c>
    </row>
    <row r="160" spans="1:20" x14ac:dyDescent="0.35">
      <c r="A160" s="6" t="s">
        <v>113</v>
      </c>
      <c r="B160" s="1" t="s">
        <v>19</v>
      </c>
      <c r="C160" s="1" t="s">
        <v>36</v>
      </c>
      <c r="D160" s="1" t="s">
        <v>21</v>
      </c>
      <c r="E160" s="1" t="s">
        <v>38</v>
      </c>
      <c r="F160" s="1" t="s">
        <v>52</v>
      </c>
      <c r="G160" s="2">
        <v>45057</v>
      </c>
      <c r="H160" s="2">
        <v>45110</v>
      </c>
      <c r="I160" s="1">
        <v>1667.6</v>
      </c>
      <c r="J160" s="1">
        <v>0.62870000000000004</v>
      </c>
      <c r="K160" s="1">
        <v>1048.42</v>
      </c>
      <c r="L160" s="1">
        <v>137378</v>
      </c>
      <c r="M160" s="1">
        <v>10991</v>
      </c>
      <c r="N160" s="1">
        <v>53355.06</v>
      </c>
      <c r="O160" s="1">
        <v>2023</v>
      </c>
      <c r="P160" s="1" t="s">
        <v>45</v>
      </c>
      <c r="Q160" s="1" t="s">
        <v>46</v>
      </c>
      <c r="R160" s="1" t="s">
        <v>54</v>
      </c>
      <c r="S160" s="1">
        <f t="shared" si="2"/>
        <v>54</v>
      </c>
      <c r="T160" s="7" t="str">
        <f>_xlfn.TEXTJOIN("_",TRUE,Finance_Data!A160,Finance_Data!B160,Finance_Data!C160,Finance_Data!D160,Finance_Data!E160,Finance_Data!G160,Finance_Data!H160)</f>
        <v>CMP_056_North_India_Foundation_Ecommerce_45057_45110</v>
      </c>
    </row>
    <row r="161" spans="1:20" x14ac:dyDescent="0.35">
      <c r="A161" s="6" t="s">
        <v>91</v>
      </c>
      <c r="B161" s="1" t="s">
        <v>48</v>
      </c>
      <c r="C161" s="1" t="s">
        <v>58</v>
      </c>
      <c r="D161" s="1" t="s">
        <v>37</v>
      </c>
      <c r="E161" s="1" t="s">
        <v>38</v>
      </c>
      <c r="F161" s="1" t="s">
        <v>44</v>
      </c>
      <c r="G161" s="2">
        <v>45057</v>
      </c>
      <c r="H161" s="2">
        <v>45093</v>
      </c>
      <c r="I161" s="1">
        <v>40044.22</v>
      </c>
      <c r="J161" s="1">
        <v>0.36859999999999998</v>
      </c>
      <c r="K161" s="1">
        <v>14760.3</v>
      </c>
      <c r="L161" s="1">
        <v>715756</v>
      </c>
      <c r="M161" s="1">
        <v>36062</v>
      </c>
      <c r="N161" s="1">
        <v>246868.8</v>
      </c>
      <c r="O161" s="1">
        <v>2023</v>
      </c>
      <c r="P161" s="1" t="s">
        <v>45</v>
      </c>
      <c r="Q161" s="1" t="s">
        <v>46</v>
      </c>
      <c r="R161" s="1" t="s">
        <v>61</v>
      </c>
      <c r="S161" s="1">
        <f t="shared" si="2"/>
        <v>37</v>
      </c>
      <c r="T161" s="7" t="str">
        <f>_xlfn.TEXTJOIN("_",TRUE,Finance_Data!A161,Finance_Data!B161,Finance_Data!C161,Finance_Data!D161,Finance_Data!E161,Finance_Data!G161,Finance_Data!H161)</f>
        <v>CMP_030_South_UK_Perfume_Ecommerce_45057_45093</v>
      </c>
    </row>
    <row r="162" spans="1:20" x14ac:dyDescent="0.35">
      <c r="A162" s="6" t="s">
        <v>100</v>
      </c>
      <c r="B162" s="1" t="s">
        <v>35</v>
      </c>
      <c r="C162" s="1" t="s">
        <v>20</v>
      </c>
      <c r="D162" s="1" t="s">
        <v>43</v>
      </c>
      <c r="E162" s="1" t="s">
        <v>30</v>
      </c>
      <c r="F162" s="1" t="s">
        <v>23</v>
      </c>
      <c r="G162" s="2">
        <v>45057</v>
      </c>
      <c r="H162" s="2">
        <v>45087</v>
      </c>
      <c r="I162" s="1">
        <v>35149.51</v>
      </c>
      <c r="J162" s="1">
        <v>0.29730000000000001</v>
      </c>
      <c r="K162" s="1">
        <v>10449.950000000001</v>
      </c>
      <c r="L162" s="1">
        <v>317643</v>
      </c>
      <c r="M162" s="1">
        <v>7900</v>
      </c>
      <c r="N162" s="1">
        <v>87518.03</v>
      </c>
      <c r="O162" s="1">
        <v>2023</v>
      </c>
      <c r="P162" s="1" t="s">
        <v>45</v>
      </c>
      <c r="Q162" s="1" t="s">
        <v>46</v>
      </c>
      <c r="R162" s="1" t="s">
        <v>26</v>
      </c>
      <c r="S162" s="1">
        <f t="shared" si="2"/>
        <v>31</v>
      </c>
      <c r="T162" s="7" t="str">
        <f>_xlfn.TEXTJOIN("_",TRUE,Finance_Data!A162,Finance_Data!B162,Finance_Data!C162,Finance_Data!D162,Finance_Data!E162,Finance_Data!G162,Finance_Data!H162)</f>
        <v>CMP_053_East_Singapore_Luxury Bag_Wholesale_45057_45087</v>
      </c>
    </row>
    <row r="163" spans="1:20" x14ac:dyDescent="0.35">
      <c r="A163" s="6" t="s">
        <v>68</v>
      </c>
      <c r="B163" s="1" t="s">
        <v>48</v>
      </c>
      <c r="C163" s="1" t="s">
        <v>20</v>
      </c>
      <c r="D163" s="1" t="s">
        <v>51</v>
      </c>
      <c r="E163" s="1" t="s">
        <v>30</v>
      </c>
      <c r="F163" s="1" t="s">
        <v>52</v>
      </c>
      <c r="G163" s="2">
        <v>45058</v>
      </c>
      <c r="H163" s="2">
        <v>45105</v>
      </c>
      <c r="I163" s="1">
        <v>24288.84</v>
      </c>
      <c r="J163" s="1">
        <v>0.6643</v>
      </c>
      <c r="K163" s="1">
        <v>16135.08</v>
      </c>
      <c r="L163" s="1">
        <v>287932</v>
      </c>
      <c r="M163" s="1">
        <v>34681</v>
      </c>
      <c r="N163" s="1">
        <v>218746.1</v>
      </c>
      <c r="O163" s="1">
        <v>2023</v>
      </c>
      <c r="P163" s="1" t="s">
        <v>45</v>
      </c>
      <c r="Q163" s="1" t="s">
        <v>46</v>
      </c>
      <c r="R163" s="1" t="s">
        <v>41</v>
      </c>
      <c r="S163" s="1">
        <f t="shared" si="2"/>
        <v>48</v>
      </c>
      <c r="T163" s="7" t="str">
        <f>_xlfn.TEXTJOIN("_",TRUE,Finance_Data!A163,Finance_Data!B163,Finance_Data!C163,Finance_Data!D163,Finance_Data!E163,Finance_Data!G163,Finance_Data!H163)</f>
        <v>CMP_028_South_Singapore_Watch_Wholesale_45058_45105</v>
      </c>
    </row>
    <row r="164" spans="1:20" x14ac:dyDescent="0.35">
      <c r="A164" s="6" t="s">
        <v>34</v>
      </c>
      <c r="B164" s="1" t="s">
        <v>48</v>
      </c>
      <c r="C164" s="1" t="s">
        <v>29</v>
      </c>
      <c r="D164" s="1" t="s">
        <v>43</v>
      </c>
      <c r="E164" s="1" t="s">
        <v>30</v>
      </c>
      <c r="F164" s="1" t="s">
        <v>49</v>
      </c>
      <c r="G164" s="2">
        <v>45058</v>
      </c>
      <c r="H164" s="2">
        <v>45069</v>
      </c>
      <c r="I164" s="1">
        <v>20301.28</v>
      </c>
      <c r="J164" s="1">
        <v>0.95589999999999997</v>
      </c>
      <c r="K164" s="1">
        <v>19405.990000000002</v>
      </c>
      <c r="L164" s="1">
        <v>365556</v>
      </c>
      <c r="M164" s="1">
        <v>36658</v>
      </c>
      <c r="N164" s="1">
        <v>235042.4</v>
      </c>
      <c r="O164" s="1">
        <v>2023</v>
      </c>
      <c r="P164" s="1" t="s">
        <v>45</v>
      </c>
      <c r="Q164" s="1" t="s">
        <v>46</v>
      </c>
      <c r="R164" s="1" t="s">
        <v>26</v>
      </c>
      <c r="S164" s="1">
        <f t="shared" si="2"/>
        <v>12</v>
      </c>
      <c r="T164" s="7" t="str">
        <f>_xlfn.TEXTJOIN("_",TRUE,Finance_Data!A164,Finance_Data!B164,Finance_Data!C164,Finance_Data!D164,Finance_Data!E164,Finance_Data!G164,Finance_Data!H164)</f>
        <v>CMP_049_South_Australia_Luxury Bag_Wholesale_45058_45069</v>
      </c>
    </row>
    <row r="165" spans="1:20" x14ac:dyDescent="0.35">
      <c r="A165" s="6" t="s">
        <v>70</v>
      </c>
      <c r="B165" s="1" t="s">
        <v>48</v>
      </c>
      <c r="C165" s="1" t="s">
        <v>20</v>
      </c>
      <c r="D165" s="1" t="s">
        <v>63</v>
      </c>
      <c r="E165" s="1" t="s">
        <v>22</v>
      </c>
      <c r="F165" s="1" t="s">
        <v>44</v>
      </c>
      <c r="G165" s="2">
        <v>45059</v>
      </c>
      <c r="H165" s="2">
        <v>45109</v>
      </c>
      <c r="I165" s="1">
        <v>26146.09</v>
      </c>
      <c r="J165" s="1">
        <v>0.63970000000000005</v>
      </c>
      <c r="K165" s="1">
        <v>16725.650000000001</v>
      </c>
      <c r="L165" s="1">
        <v>738205</v>
      </c>
      <c r="M165" s="1">
        <v>14035</v>
      </c>
      <c r="N165" s="1">
        <v>116580.93</v>
      </c>
      <c r="O165" s="1">
        <v>2023</v>
      </c>
      <c r="P165" s="1" t="s">
        <v>45</v>
      </c>
      <c r="Q165" s="1" t="s">
        <v>46</v>
      </c>
      <c r="R165" s="1" t="s">
        <v>54</v>
      </c>
      <c r="S165" s="1">
        <f t="shared" si="2"/>
        <v>51</v>
      </c>
      <c r="T165" s="7" t="str">
        <f>_xlfn.TEXTJOIN("_",TRUE,Finance_Data!A165,Finance_Data!B165,Finance_Data!C165,Finance_Data!D165,Finance_Data!E165,Finance_Data!G165,Finance_Data!H165)</f>
        <v>CMP_003_South_Singapore_Skincare_Retail_45059_45109</v>
      </c>
    </row>
    <row r="166" spans="1:20" x14ac:dyDescent="0.35">
      <c r="A166" s="6" t="s">
        <v>85</v>
      </c>
      <c r="B166" s="1" t="s">
        <v>28</v>
      </c>
      <c r="C166" s="1" t="s">
        <v>29</v>
      </c>
      <c r="D166" s="1" t="s">
        <v>59</v>
      </c>
      <c r="E166" s="1" t="s">
        <v>22</v>
      </c>
      <c r="F166" s="1" t="s">
        <v>23</v>
      </c>
      <c r="G166" s="2">
        <v>45060</v>
      </c>
      <c r="H166" s="2">
        <v>45113</v>
      </c>
      <c r="I166" s="1">
        <v>19156.47</v>
      </c>
      <c r="J166" s="1">
        <v>0.6784</v>
      </c>
      <c r="K166" s="1">
        <v>12995.75</v>
      </c>
      <c r="L166" s="1">
        <v>344617</v>
      </c>
      <c r="M166" s="1">
        <v>15942</v>
      </c>
      <c r="N166" s="1">
        <v>119285.78</v>
      </c>
      <c r="O166" s="1">
        <v>2023</v>
      </c>
      <c r="P166" s="1" t="s">
        <v>45</v>
      </c>
      <c r="Q166" s="1" t="s">
        <v>46</v>
      </c>
      <c r="R166" s="1" t="s">
        <v>41</v>
      </c>
      <c r="S166" s="1">
        <f t="shared" si="2"/>
        <v>54</v>
      </c>
      <c r="T166" s="7" t="str">
        <f>_xlfn.TEXTJOIN("_",TRUE,Finance_Data!A166,Finance_Data!B166,Finance_Data!C166,Finance_Data!D166,Finance_Data!E166,Finance_Data!G166,Finance_Data!H166)</f>
        <v>CMP_018_West_Australia_Lipstick_Retail_45060_45113</v>
      </c>
    </row>
    <row r="167" spans="1:20" x14ac:dyDescent="0.35">
      <c r="A167" s="6" t="s">
        <v>95</v>
      </c>
      <c r="B167" s="1" t="s">
        <v>28</v>
      </c>
      <c r="C167" s="1" t="s">
        <v>29</v>
      </c>
      <c r="D167" s="1" t="s">
        <v>37</v>
      </c>
      <c r="E167" s="1" t="s">
        <v>38</v>
      </c>
      <c r="F167" s="1" t="s">
        <v>49</v>
      </c>
      <c r="G167" s="2">
        <v>45060</v>
      </c>
      <c r="H167" s="2">
        <v>45079</v>
      </c>
      <c r="I167" s="1">
        <v>45918.16</v>
      </c>
      <c r="J167" s="1">
        <v>0.46879999999999999</v>
      </c>
      <c r="K167" s="1">
        <v>21526.43</v>
      </c>
      <c r="L167" s="1">
        <v>484409</v>
      </c>
      <c r="M167" s="1">
        <v>40763</v>
      </c>
      <c r="N167" s="1">
        <v>130798.69</v>
      </c>
      <c r="O167" s="1">
        <v>2023</v>
      </c>
      <c r="P167" s="1" t="s">
        <v>45</v>
      </c>
      <c r="Q167" s="1" t="s">
        <v>46</v>
      </c>
      <c r="R167" s="1" t="s">
        <v>61</v>
      </c>
      <c r="S167" s="1">
        <f t="shared" si="2"/>
        <v>20</v>
      </c>
      <c r="T167" s="7" t="str">
        <f>_xlfn.TEXTJOIN("_",TRUE,Finance_Data!A167,Finance_Data!B167,Finance_Data!C167,Finance_Data!D167,Finance_Data!E167,Finance_Data!G167,Finance_Data!H167)</f>
        <v>CMP_050_West_Australia_Perfume_Ecommerce_45060_45079</v>
      </c>
    </row>
    <row r="168" spans="1:20" x14ac:dyDescent="0.35">
      <c r="A168" s="6" t="s">
        <v>111</v>
      </c>
      <c r="B168" s="1" t="s">
        <v>28</v>
      </c>
      <c r="C168" s="1" t="s">
        <v>29</v>
      </c>
      <c r="D168" s="1" t="s">
        <v>43</v>
      </c>
      <c r="E168" s="1" t="s">
        <v>22</v>
      </c>
      <c r="F168" s="1" t="s">
        <v>31</v>
      </c>
      <c r="G168" s="2">
        <v>45061</v>
      </c>
      <c r="H168" s="2">
        <v>45084</v>
      </c>
      <c r="I168" s="1">
        <v>36426.76</v>
      </c>
      <c r="J168" s="1">
        <v>0.47449999999999998</v>
      </c>
      <c r="K168" s="1">
        <v>17284.5</v>
      </c>
      <c r="L168" s="1">
        <v>447110</v>
      </c>
      <c r="M168" s="1">
        <v>44212</v>
      </c>
      <c r="N168" s="1">
        <v>164862.54999999999</v>
      </c>
      <c r="O168" s="1">
        <v>2023</v>
      </c>
      <c r="P168" s="1" t="s">
        <v>45</v>
      </c>
      <c r="Q168" s="1" t="s">
        <v>46</v>
      </c>
      <c r="R168" s="1" t="s">
        <v>26</v>
      </c>
      <c r="S168" s="1">
        <f t="shared" si="2"/>
        <v>24</v>
      </c>
      <c r="T168" s="7" t="str">
        <f>_xlfn.TEXTJOIN("_",TRUE,Finance_Data!A168,Finance_Data!B168,Finance_Data!C168,Finance_Data!D168,Finance_Data!E168,Finance_Data!G168,Finance_Data!H168)</f>
        <v>CMP_024_West_Australia_Luxury Bag_Retail_45061_45084</v>
      </c>
    </row>
    <row r="169" spans="1:20" x14ac:dyDescent="0.35">
      <c r="A169" s="6" t="s">
        <v>120</v>
      </c>
      <c r="B169" s="1" t="s">
        <v>48</v>
      </c>
      <c r="C169" s="1" t="s">
        <v>36</v>
      </c>
      <c r="D169" s="1" t="s">
        <v>51</v>
      </c>
      <c r="E169" s="1" t="s">
        <v>38</v>
      </c>
      <c r="F169" s="1" t="s">
        <v>49</v>
      </c>
      <c r="G169" s="2">
        <v>45061</v>
      </c>
      <c r="H169" s="2">
        <v>45073</v>
      </c>
      <c r="I169" s="1">
        <v>47926.25</v>
      </c>
      <c r="J169" s="1">
        <v>0.95330000000000004</v>
      </c>
      <c r="K169" s="1">
        <v>45688.09</v>
      </c>
      <c r="L169" s="1">
        <v>142250</v>
      </c>
      <c r="M169" s="1">
        <v>10293</v>
      </c>
      <c r="N169" s="1">
        <v>89309.53</v>
      </c>
      <c r="O169" s="1">
        <v>2023</v>
      </c>
      <c r="P169" s="1" t="s">
        <v>45</v>
      </c>
      <c r="Q169" s="1" t="s">
        <v>46</v>
      </c>
      <c r="R169" s="1" t="s">
        <v>26</v>
      </c>
      <c r="S169" s="1">
        <f t="shared" si="2"/>
        <v>13</v>
      </c>
      <c r="T169" s="7" t="str">
        <f>_xlfn.TEXTJOIN("_",TRUE,Finance_Data!A169,Finance_Data!B169,Finance_Data!C169,Finance_Data!D169,Finance_Data!E169,Finance_Data!G169,Finance_Data!H169)</f>
        <v>CMP_001_South_India_Watch_Ecommerce_45061_45073</v>
      </c>
    </row>
    <row r="170" spans="1:20" x14ac:dyDescent="0.35">
      <c r="A170" s="6" t="s">
        <v>110</v>
      </c>
      <c r="B170" s="1" t="s">
        <v>48</v>
      </c>
      <c r="C170" s="1" t="s">
        <v>58</v>
      </c>
      <c r="D170" s="1" t="s">
        <v>63</v>
      </c>
      <c r="E170" s="1" t="s">
        <v>22</v>
      </c>
      <c r="F170" s="1" t="s">
        <v>31</v>
      </c>
      <c r="G170" s="2">
        <v>45062</v>
      </c>
      <c r="H170" s="2">
        <v>45106</v>
      </c>
      <c r="I170" s="1">
        <v>14767.62</v>
      </c>
      <c r="J170" s="1">
        <v>1.0308999999999999</v>
      </c>
      <c r="K170" s="1">
        <v>15223.94</v>
      </c>
      <c r="L170" s="1">
        <v>24892</v>
      </c>
      <c r="M170" s="1">
        <v>48690</v>
      </c>
      <c r="N170" s="1">
        <v>32329.599999999999</v>
      </c>
      <c r="O170" s="1">
        <v>2023</v>
      </c>
      <c r="P170" s="1" t="s">
        <v>45</v>
      </c>
      <c r="Q170" s="1" t="s">
        <v>46</v>
      </c>
      <c r="R170" s="1" t="s">
        <v>61</v>
      </c>
      <c r="S170" s="1">
        <f t="shared" si="2"/>
        <v>45</v>
      </c>
      <c r="T170" s="7" t="str">
        <f>_xlfn.TEXTJOIN("_",TRUE,Finance_Data!A170,Finance_Data!B170,Finance_Data!C170,Finance_Data!D170,Finance_Data!E170,Finance_Data!G170,Finance_Data!H170)</f>
        <v>CMP_012_South_UK_Skincare_Retail_45062_45106</v>
      </c>
    </row>
    <row r="171" spans="1:20" x14ac:dyDescent="0.35">
      <c r="A171" s="6" t="s">
        <v>79</v>
      </c>
      <c r="B171" s="1" t="s">
        <v>19</v>
      </c>
      <c r="C171" s="1" t="s">
        <v>58</v>
      </c>
      <c r="D171" s="1" t="s">
        <v>63</v>
      </c>
      <c r="E171" s="1" t="s">
        <v>22</v>
      </c>
      <c r="F171" s="1" t="s">
        <v>52</v>
      </c>
      <c r="G171" s="2">
        <v>45062</v>
      </c>
      <c r="H171" s="2">
        <v>45099</v>
      </c>
      <c r="I171" s="1">
        <v>21355.8</v>
      </c>
      <c r="J171" s="1">
        <v>0.68110000000000004</v>
      </c>
      <c r="K171" s="1">
        <v>14545.44</v>
      </c>
      <c r="L171" s="1">
        <v>595941</v>
      </c>
      <c r="M171" s="1">
        <v>30402</v>
      </c>
      <c r="N171" s="1">
        <v>169828.09</v>
      </c>
      <c r="O171" s="1">
        <v>2023</v>
      </c>
      <c r="P171" s="1" t="s">
        <v>45</v>
      </c>
      <c r="Q171" s="1" t="s">
        <v>46</v>
      </c>
      <c r="R171" s="1" t="s">
        <v>26</v>
      </c>
      <c r="S171" s="1">
        <f t="shared" si="2"/>
        <v>38</v>
      </c>
      <c r="T171" s="7" t="str">
        <f>_xlfn.TEXTJOIN("_",TRUE,Finance_Data!A171,Finance_Data!B171,Finance_Data!C171,Finance_Data!D171,Finance_Data!E171,Finance_Data!G171,Finance_Data!H171)</f>
        <v>CMP_020_North_UK_Skincare_Retail_45062_45099</v>
      </c>
    </row>
    <row r="172" spans="1:20" x14ac:dyDescent="0.35">
      <c r="A172" s="6" t="s">
        <v>79</v>
      </c>
      <c r="B172" s="1" t="s">
        <v>48</v>
      </c>
      <c r="C172" s="1" t="s">
        <v>58</v>
      </c>
      <c r="D172" s="1" t="s">
        <v>43</v>
      </c>
      <c r="E172" s="1" t="s">
        <v>30</v>
      </c>
      <c r="F172" s="1" t="s">
        <v>44</v>
      </c>
      <c r="G172" s="2">
        <v>45062</v>
      </c>
      <c r="H172" s="2">
        <v>45089</v>
      </c>
      <c r="I172" s="1">
        <v>15493.73</v>
      </c>
      <c r="J172" s="1">
        <v>0.78069999999999995</v>
      </c>
      <c r="K172" s="1">
        <v>12095.96</v>
      </c>
      <c r="L172" s="1">
        <v>105136</v>
      </c>
      <c r="M172" s="1">
        <v>1143</v>
      </c>
      <c r="N172" s="1">
        <v>122546.82</v>
      </c>
      <c r="O172" s="1">
        <v>2023</v>
      </c>
      <c r="P172" s="1" t="s">
        <v>45</v>
      </c>
      <c r="Q172" s="1" t="s">
        <v>46</v>
      </c>
      <c r="R172" s="1" t="s">
        <v>26</v>
      </c>
      <c r="S172" s="1">
        <f t="shared" si="2"/>
        <v>28</v>
      </c>
      <c r="T172" s="7" t="str">
        <f>_xlfn.TEXTJOIN("_",TRUE,Finance_Data!A172,Finance_Data!B172,Finance_Data!C172,Finance_Data!D172,Finance_Data!E172,Finance_Data!G172,Finance_Data!H172)</f>
        <v>CMP_020_South_UK_Luxury Bag_Wholesale_45062_45089</v>
      </c>
    </row>
    <row r="173" spans="1:20" x14ac:dyDescent="0.35">
      <c r="A173" s="6" t="s">
        <v>78</v>
      </c>
      <c r="B173" s="1" t="s">
        <v>28</v>
      </c>
      <c r="C173" s="1" t="s">
        <v>20</v>
      </c>
      <c r="D173" s="1" t="s">
        <v>21</v>
      </c>
      <c r="E173" s="1" t="s">
        <v>30</v>
      </c>
      <c r="F173" s="1" t="s">
        <v>52</v>
      </c>
      <c r="G173" s="2">
        <v>45062</v>
      </c>
      <c r="H173" s="2">
        <v>45088</v>
      </c>
      <c r="I173" s="1">
        <v>5044.71</v>
      </c>
      <c r="J173" s="1">
        <v>0.69</v>
      </c>
      <c r="K173" s="1">
        <v>3480.85</v>
      </c>
      <c r="L173" s="1">
        <v>61706</v>
      </c>
      <c r="M173" s="1">
        <v>36023</v>
      </c>
      <c r="N173" s="1">
        <v>102801.87</v>
      </c>
      <c r="O173" s="1">
        <v>2023</v>
      </c>
      <c r="P173" s="1" t="s">
        <v>45</v>
      </c>
      <c r="Q173" s="1" t="s">
        <v>46</v>
      </c>
      <c r="R173" s="1" t="s">
        <v>61</v>
      </c>
      <c r="S173" s="1">
        <f t="shared" si="2"/>
        <v>27</v>
      </c>
      <c r="T173" s="7" t="str">
        <f>_xlfn.TEXTJOIN("_",TRUE,Finance_Data!A173,Finance_Data!B173,Finance_Data!C173,Finance_Data!D173,Finance_Data!E173,Finance_Data!G173,Finance_Data!H173)</f>
        <v>CMP_006_West_Singapore_Foundation_Wholesale_45062_45088</v>
      </c>
    </row>
    <row r="174" spans="1:20" x14ac:dyDescent="0.35">
      <c r="A174" s="6" t="s">
        <v>70</v>
      </c>
      <c r="B174" s="1" t="s">
        <v>48</v>
      </c>
      <c r="C174" s="1" t="s">
        <v>58</v>
      </c>
      <c r="D174" s="1" t="s">
        <v>63</v>
      </c>
      <c r="E174" s="1" t="s">
        <v>30</v>
      </c>
      <c r="F174" s="1" t="s">
        <v>31</v>
      </c>
      <c r="G174" s="2">
        <v>45062</v>
      </c>
      <c r="H174" s="2">
        <v>45072</v>
      </c>
      <c r="I174" s="1">
        <v>16548.55</v>
      </c>
      <c r="J174" s="1">
        <v>0.64119999999999999</v>
      </c>
      <c r="K174" s="1">
        <v>10610.93</v>
      </c>
      <c r="L174" s="1">
        <v>158683</v>
      </c>
      <c r="M174" s="1">
        <v>17165</v>
      </c>
      <c r="N174" s="1">
        <v>33626.300000000003</v>
      </c>
      <c r="O174" s="1">
        <v>2023</v>
      </c>
      <c r="P174" s="1" t="s">
        <v>45</v>
      </c>
      <c r="Q174" s="1" t="s">
        <v>46</v>
      </c>
      <c r="R174" s="1" t="s">
        <v>54</v>
      </c>
      <c r="S174" s="1">
        <f t="shared" si="2"/>
        <v>11</v>
      </c>
      <c r="T174" s="7" t="str">
        <f>_xlfn.TEXTJOIN("_",TRUE,Finance_Data!A174,Finance_Data!B174,Finance_Data!C174,Finance_Data!D174,Finance_Data!E174,Finance_Data!G174,Finance_Data!H174)</f>
        <v>CMP_003_South_UK_Skincare_Wholesale_45062_45072</v>
      </c>
    </row>
    <row r="175" spans="1:20" x14ac:dyDescent="0.35">
      <c r="A175" s="6" t="s">
        <v>97</v>
      </c>
      <c r="B175" s="1" t="s">
        <v>48</v>
      </c>
      <c r="C175" s="1" t="s">
        <v>29</v>
      </c>
      <c r="D175" s="1" t="s">
        <v>51</v>
      </c>
      <c r="E175" s="1" t="s">
        <v>22</v>
      </c>
      <c r="F175" s="1" t="s">
        <v>49</v>
      </c>
      <c r="G175" s="2">
        <v>45063</v>
      </c>
      <c r="H175" s="2">
        <v>45108</v>
      </c>
      <c r="I175" s="1">
        <v>29115.200000000001</v>
      </c>
      <c r="J175" s="1">
        <v>0.2477</v>
      </c>
      <c r="K175" s="1">
        <v>7211.84</v>
      </c>
      <c r="L175" s="1">
        <v>274760</v>
      </c>
      <c r="M175" s="1">
        <v>32284</v>
      </c>
      <c r="N175" s="1">
        <v>112191.14</v>
      </c>
      <c r="O175" s="1">
        <v>2023</v>
      </c>
      <c r="P175" s="1" t="s">
        <v>45</v>
      </c>
      <c r="Q175" s="1" t="s">
        <v>46</v>
      </c>
      <c r="R175" s="1" t="s">
        <v>61</v>
      </c>
      <c r="S175" s="1">
        <f t="shared" si="2"/>
        <v>46</v>
      </c>
      <c r="T175" s="7" t="str">
        <f>_xlfn.TEXTJOIN("_",TRUE,Finance_Data!A175,Finance_Data!B175,Finance_Data!C175,Finance_Data!D175,Finance_Data!E175,Finance_Data!G175,Finance_Data!H175)</f>
        <v>CMP_019_South_Australia_Watch_Retail_45063_45108</v>
      </c>
    </row>
    <row r="176" spans="1:20" x14ac:dyDescent="0.35">
      <c r="A176" s="6" t="s">
        <v>120</v>
      </c>
      <c r="B176" s="1" t="s">
        <v>35</v>
      </c>
      <c r="C176" s="1" t="s">
        <v>20</v>
      </c>
      <c r="D176" s="1" t="s">
        <v>63</v>
      </c>
      <c r="E176" s="1" t="s">
        <v>38</v>
      </c>
      <c r="F176" s="1" t="s">
        <v>23</v>
      </c>
      <c r="G176" s="2">
        <v>45063</v>
      </c>
      <c r="H176" s="2">
        <v>45085</v>
      </c>
      <c r="I176" s="1">
        <v>43795.76</v>
      </c>
      <c r="J176" s="1">
        <v>7.1300000000000002E-2</v>
      </c>
      <c r="K176" s="1">
        <v>3122.64</v>
      </c>
      <c r="L176" s="1">
        <v>271103</v>
      </c>
      <c r="M176" s="1">
        <v>13860</v>
      </c>
      <c r="N176" s="1">
        <v>135975.76</v>
      </c>
      <c r="O176" s="1">
        <v>2023</v>
      </c>
      <c r="P176" s="1" t="s">
        <v>45</v>
      </c>
      <c r="Q176" s="1" t="s">
        <v>46</v>
      </c>
      <c r="R176" s="1" t="s">
        <v>41</v>
      </c>
      <c r="S176" s="1">
        <f t="shared" si="2"/>
        <v>23</v>
      </c>
      <c r="T176" s="7" t="str">
        <f>_xlfn.TEXTJOIN("_",TRUE,Finance_Data!A176,Finance_Data!B176,Finance_Data!C176,Finance_Data!D176,Finance_Data!E176,Finance_Data!G176,Finance_Data!H176)</f>
        <v>CMP_001_East_Singapore_Skincare_Ecommerce_45063_45085</v>
      </c>
    </row>
    <row r="177" spans="1:20" x14ac:dyDescent="0.35">
      <c r="A177" s="6" t="s">
        <v>115</v>
      </c>
      <c r="B177" s="1" t="s">
        <v>28</v>
      </c>
      <c r="C177" s="1" t="s">
        <v>69</v>
      </c>
      <c r="D177" s="1" t="s">
        <v>51</v>
      </c>
      <c r="E177" s="1" t="s">
        <v>22</v>
      </c>
      <c r="F177" s="1" t="s">
        <v>23</v>
      </c>
      <c r="G177" s="2">
        <v>45064</v>
      </c>
      <c r="H177" s="2">
        <v>45123</v>
      </c>
      <c r="I177" s="1">
        <v>25706.42</v>
      </c>
      <c r="J177" s="1">
        <v>0.3347</v>
      </c>
      <c r="K177" s="1">
        <v>8603.94</v>
      </c>
      <c r="L177" s="1">
        <v>858102</v>
      </c>
      <c r="M177" s="1">
        <v>7482</v>
      </c>
      <c r="N177" s="1">
        <v>86017.600000000006</v>
      </c>
      <c r="O177" s="1">
        <v>2023</v>
      </c>
      <c r="P177" s="1" t="s">
        <v>45</v>
      </c>
      <c r="Q177" s="1" t="s">
        <v>46</v>
      </c>
      <c r="R177" s="1" t="s">
        <v>41</v>
      </c>
      <c r="S177" s="1">
        <f t="shared" si="2"/>
        <v>60</v>
      </c>
      <c r="T177" s="7" t="str">
        <f>_xlfn.TEXTJOIN("_",TRUE,Finance_Data!A177,Finance_Data!B177,Finance_Data!C177,Finance_Data!D177,Finance_Data!E177,Finance_Data!G177,Finance_Data!H177)</f>
        <v>CMP_047_West_USA_Watch_Retail_45064_45123</v>
      </c>
    </row>
    <row r="178" spans="1:20" x14ac:dyDescent="0.35">
      <c r="A178" s="6" t="s">
        <v>91</v>
      </c>
      <c r="B178" s="1" t="s">
        <v>35</v>
      </c>
      <c r="C178" s="1" t="s">
        <v>58</v>
      </c>
      <c r="D178" s="1" t="s">
        <v>21</v>
      </c>
      <c r="E178" s="1" t="s">
        <v>38</v>
      </c>
      <c r="F178" s="1" t="s">
        <v>49</v>
      </c>
      <c r="G178" s="2">
        <v>45064</v>
      </c>
      <c r="H178" s="2">
        <v>45117</v>
      </c>
      <c r="I178" s="1">
        <v>5117.38</v>
      </c>
      <c r="J178" s="1">
        <v>0.53900000000000003</v>
      </c>
      <c r="K178" s="1">
        <v>2758.27</v>
      </c>
      <c r="L178" s="1">
        <v>378653</v>
      </c>
      <c r="M178" s="1">
        <v>15184</v>
      </c>
      <c r="N178" s="1">
        <v>148070.75</v>
      </c>
      <c r="O178" s="1">
        <v>2023</v>
      </c>
      <c r="P178" s="1" t="s">
        <v>45</v>
      </c>
      <c r="Q178" s="1" t="s">
        <v>46</v>
      </c>
      <c r="R178" s="1" t="s">
        <v>54</v>
      </c>
      <c r="S178" s="1">
        <f t="shared" si="2"/>
        <v>54</v>
      </c>
      <c r="T178" s="7" t="str">
        <f>_xlfn.TEXTJOIN("_",TRUE,Finance_Data!A178,Finance_Data!B178,Finance_Data!C178,Finance_Data!D178,Finance_Data!E178,Finance_Data!G178,Finance_Data!H178)</f>
        <v>CMP_030_East_UK_Foundation_Ecommerce_45064_45117</v>
      </c>
    </row>
    <row r="179" spans="1:20" x14ac:dyDescent="0.35">
      <c r="A179" s="6" t="s">
        <v>115</v>
      </c>
      <c r="B179" s="1" t="s">
        <v>19</v>
      </c>
      <c r="C179" s="1" t="s">
        <v>58</v>
      </c>
      <c r="D179" s="1" t="s">
        <v>43</v>
      </c>
      <c r="E179" s="1" t="s">
        <v>30</v>
      </c>
      <c r="F179" s="1" t="s">
        <v>52</v>
      </c>
      <c r="G179" s="2">
        <v>45066</v>
      </c>
      <c r="H179" s="2">
        <v>45085</v>
      </c>
      <c r="I179" s="1">
        <v>44857.56</v>
      </c>
      <c r="J179" s="1">
        <v>0.7712</v>
      </c>
      <c r="K179" s="1">
        <v>34594.15</v>
      </c>
      <c r="L179" s="1">
        <v>172293</v>
      </c>
      <c r="M179" s="1">
        <v>19819</v>
      </c>
      <c r="N179" s="1">
        <v>158918.67000000001</v>
      </c>
      <c r="O179" s="1">
        <v>2023</v>
      </c>
      <c r="P179" s="1" t="s">
        <v>45</v>
      </c>
      <c r="Q179" s="1" t="s">
        <v>46</v>
      </c>
      <c r="R179" s="1" t="s">
        <v>26</v>
      </c>
      <c r="S179" s="1">
        <f t="shared" si="2"/>
        <v>20</v>
      </c>
      <c r="T179" s="7" t="str">
        <f>_xlfn.TEXTJOIN("_",TRUE,Finance_Data!A179,Finance_Data!B179,Finance_Data!C179,Finance_Data!D179,Finance_Data!E179,Finance_Data!G179,Finance_Data!H179)</f>
        <v>CMP_047_North_UK_Luxury Bag_Wholesale_45066_45085</v>
      </c>
    </row>
    <row r="180" spans="1:20" x14ac:dyDescent="0.35">
      <c r="A180" s="6" t="s">
        <v>110</v>
      </c>
      <c r="B180" s="1" t="s">
        <v>35</v>
      </c>
      <c r="C180" s="1" t="s">
        <v>29</v>
      </c>
      <c r="D180" s="1" t="s">
        <v>51</v>
      </c>
      <c r="E180" s="1" t="s">
        <v>30</v>
      </c>
      <c r="F180" s="1" t="s">
        <v>52</v>
      </c>
      <c r="G180" s="2">
        <v>45066</v>
      </c>
      <c r="H180" s="2">
        <v>45081</v>
      </c>
      <c r="I180" s="1">
        <v>36885.25</v>
      </c>
      <c r="J180" s="1">
        <v>0.52990000000000004</v>
      </c>
      <c r="K180" s="1">
        <v>19545.490000000002</v>
      </c>
      <c r="L180" s="1">
        <v>680318</v>
      </c>
      <c r="M180" s="1">
        <v>32029</v>
      </c>
      <c r="N180" s="1">
        <v>164049.17000000001</v>
      </c>
      <c r="O180" s="1">
        <v>2023</v>
      </c>
      <c r="P180" s="1" t="s">
        <v>45</v>
      </c>
      <c r="Q180" s="1" t="s">
        <v>46</v>
      </c>
      <c r="R180" s="1" t="s">
        <v>54</v>
      </c>
      <c r="S180" s="1">
        <f t="shared" si="2"/>
        <v>16</v>
      </c>
      <c r="T180" s="7" t="str">
        <f>_xlfn.TEXTJOIN("_",TRUE,Finance_Data!A180,Finance_Data!B180,Finance_Data!C180,Finance_Data!D180,Finance_Data!E180,Finance_Data!G180,Finance_Data!H180)</f>
        <v>CMP_012_East_Australia_Watch_Wholesale_45066_45081</v>
      </c>
    </row>
    <row r="181" spans="1:20" x14ac:dyDescent="0.35">
      <c r="A181" s="6" t="s">
        <v>91</v>
      </c>
      <c r="B181" s="1" t="s">
        <v>35</v>
      </c>
      <c r="C181" s="1" t="s">
        <v>36</v>
      </c>
      <c r="D181" s="1" t="s">
        <v>43</v>
      </c>
      <c r="E181" s="1" t="s">
        <v>30</v>
      </c>
      <c r="F181" s="1" t="s">
        <v>44</v>
      </c>
      <c r="G181" s="2">
        <v>45067</v>
      </c>
      <c r="H181" s="2">
        <v>45125</v>
      </c>
      <c r="I181" s="1">
        <v>31904.38</v>
      </c>
      <c r="J181" s="1">
        <v>9.0899999999999995E-2</v>
      </c>
      <c r="K181" s="1">
        <v>2900.11</v>
      </c>
      <c r="L181" s="1">
        <v>168366</v>
      </c>
      <c r="M181" s="1">
        <v>699</v>
      </c>
      <c r="N181" s="1">
        <v>58586.32</v>
      </c>
      <c r="O181" s="1">
        <v>2023</v>
      </c>
      <c r="P181" s="1" t="s">
        <v>45</v>
      </c>
      <c r="Q181" s="1" t="s">
        <v>46</v>
      </c>
      <c r="R181" s="1" t="s">
        <v>54</v>
      </c>
      <c r="S181" s="1">
        <f t="shared" si="2"/>
        <v>59</v>
      </c>
      <c r="T181" s="7" t="str">
        <f>_xlfn.TEXTJOIN("_",TRUE,Finance_Data!A181,Finance_Data!B181,Finance_Data!C181,Finance_Data!D181,Finance_Data!E181,Finance_Data!G181,Finance_Data!H181)</f>
        <v>CMP_030_East_India_Luxury Bag_Wholesale_45067_45125</v>
      </c>
    </row>
    <row r="182" spans="1:20" x14ac:dyDescent="0.35">
      <c r="A182" s="6" t="s">
        <v>27</v>
      </c>
      <c r="B182" s="1" t="s">
        <v>28</v>
      </c>
      <c r="C182" s="1" t="s">
        <v>20</v>
      </c>
      <c r="D182" s="1" t="s">
        <v>43</v>
      </c>
      <c r="E182" s="1" t="s">
        <v>22</v>
      </c>
      <c r="F182" s="1" t="s">
        <v>49</v>
      </c>
      <c r="G182" s="2">
        <v>45068</v>
      </c>
      <c r="H182" s="2">
        <v>45124</v>
      </c>
      <c r="I182" s="1">
        <v>47257.48</v>
      </c>
      <c r="J182" s="1">
        <v>1.1067</v>
      </c>
      <c r="K182" s="1">
        <v>52299.85</v>
      </c>
      <c r="L182" s="1">
        <v>411798</v>
      </c>
      <c r="M182" s="1">
        <v>27537</v>
      </c>
      <c r="N182" s="1">
        <v>139588.12</v>
      </c>
      <c r="O182" s="1">
        <v>2023</v>
      </c>
      <c r="P182" s="1" t="s">
        <v>45</v>
      </c>
      <c r="Q182" s="1" t="s">
        <v>46</v>
      </c>
      <c r="R182" s="1" t="s">
        <v>26</v>
      </c>
      <c r="S182" s="1">
        <f t="shared" si="2"/>
        <v>57</v>
      </c>
      <c r="T182" s="7" t="str">
        <f>_xlfn.TEXTJOIN("_",TRUE,Finance_Data!A182,Finance_Data!B182,Finance_Data!C182,Finance_Data!D182,Finance_Data!E182,Finance_Data!G182,Finance_Data!H182)</f>
        <v>CMP_035_West_Singapore_Luxury Bag_Retail_45068_45124</v>
      </c>
    </row>
    <row r="183" spans="1:20" x14ac:dyDescent="0.35">
      <c r="A183" s="6" t="s">
        <v>119</v>
      </c>
      <c r="B183" s="1" t="s">
        <v>35</v>
      </c>
      <c r="C183" s="1" t="s">
        <v>36</v>
      </c>
      <c r="D183" s="1" t="s">
        <v>63</v>
      </c>
      <c r="E183" s="1" t="s">
        <v>22</v>
      </c>
      <c r="F183" s="1" t="s">
        <v>44</v>
      </c>
      <c r="G183" s="2">
        <v>45069</v>
      </c>
      <c r="H183" s="2">
        <v>45117</v>
      </c>
      <c r="I183" s="1">
        <v>27997.040000000001</v>
      </c>
      <c r="J183" s="1">
        <v>0.37659999999999999</v>
      </c>
      <c r="K183" s="1">
        <v>10543.69</v>
      </c>
      <c r="L183" s="1">
        <v>431139</v>
      </c>
      <c r="M183" s="1">
        <v>40569</v>
      </c>
      <c r="N183" s="1">
        <v>211014.84</v>
      </c>
      <c r="O183" s="1">
        <v>2023</v>
      </c>
      <c r="P183" s="1" t="s">
        <v>45</v>
      </c>
      <c r="Q183" s="1" t="s">
        <v>46</v>
      </c>
      <c r="R183" s="1" t="s">
        <v>61</v>
      </c>
      <c r="S183" s="1">
        <f t="shared" si="2"/>
        <v>49</v>
      </c>
      <c r="T183" s="7" t="str">
        <f>_xlfn.TEXTJOIN("_",TRUE,Finance_Data!A183,Finance_Data!B183,Finance_Data!C183,Finance_Data!D183,Finance_Data!E183,Finance_Data!G183,Finance_Data!H183)</f>
        <v>CMP_029_East_India_Skincare_Retail_45069_45117</v>
      </c>
    </row>
    <row r="184" spans="1:20" x14ac:dyDescent="0.35">
      <c r="A184" s="6" t="s">
        <v>97</v>
      </c>
      <c r="B184" s="1" t="s">
        <v>35</v>
      </c>
      <c r="C184" s="1" t="s">
        <v>20</v>
      </c>
      <c r="D184" s="1" t="s">
        <v>63</v>
      </c>
      <c r="E184" s="1" t="s">
        <v>30</v>
      </c>
      <c r="F184" s="1" t="s">
        <v>31</v>
      </c>
      <c r="G184" s="2">
        <v>45070</v>
      </c>
      <c r="H184" s="2">
        <v>45122</v>
      </c>
      <c r="I184" s="1">
        <v>43836.54</v>
      </c>
      <c r="J184" s="1">
        <v>0.50760000000000005</v>
      </c>
      <c r="K184" s="1">
        <v>22251.43</v>
      </c>
      <c r="L184" s="1">
        <v>19708</v>
      </c>
      <c r="M184" s="1">
        <v>19547</v>
      </c>
      <c r="N184" s="1">
        <v>33807.9</v>
      </c>
      <c r="O184" s="1">
        <v>2023</v>
      </c>
      <c r="P184" s="1" t="s">
        <v>45</v>
      </c>
      <c r="Q184" s="1" t="s">
        <v>46</v>
      </c>
      <c r="R184" s="1" t="s">
        <v>61</v>
      </c>
      <c r="S184" s="1">
        <f t="shared" si="2"/>
        <v>53</v>
      </c>
      <c r="T184" s="7" t="str">
        <f>_xlfn.TEXTJOIN("_",TRUE,Finance_Data!A184,Finance_Data!B184,Finance_Data!C184,Finance_Data!D184,Finance_Data!E184,Finance_Data!G184,Finance_Data!H184)</f>
        <v>CMP_019_East_Singapore_Skincare_Wholesale_45070_45122</v>
      </c>
    </row>
    <row r="185" spans="1:20" x14ac:dyDescent="0.35">
      <c r="A185" s="6" t="s">
        <v>92</v>
      </c>
      <c r="B185" s="1" t="s">
        <v>19</v>
      </c>
      <c r="C185" s="1" t="s">
        <v>36</v>
      </c>
      <c r="D185" s="1" t="s">
        <v>51</v>
      </c>
      <c r="E185" s="1" t="s">
        <v>22</v>
      </c>
      <c r="F185" s="1" t="s">
        <v>23</v>
      </c>
      <c r="G185" s="2">
        <v>45070</v>
      </c>
      <c r="H185" s="2">
        <v>45121</v>
      </c>
      <c r="I185" s="1">
        <v>27780.77</v>
      </c>
      <c r="J185" s="1">
        <v>0.22900000000000001</v>
      </c>
      <c r="K185" s="1">
        <v>6361.8</v>
      </c>
      <c r="L185" s="1">
        <v>942566</v>
      </c>
      <c r="M185" s="1">
        <v>35629</v>
      </c>
      <c r="N185" s="1">
        <v>247629.27</v>
      </c>
      <c r="O185" s="1">
        <v>2023</v>
      </c>
      <c r="P185" s="1" t="s">
        <v>45</v>
      </c>
      <c r="Q185" s="1" t="s">
        <v>46</v>
      </c>
      <c r="R185" s="1" t="s">
        <v>54</v>
      </c>
      <c r="S185" s="1">
        <f t="shared" si="2"/>
        <v>52</v>
      </c>
      <c r="T185" s="7" t="str">
        <f>_xlfn.TEXTJOIN("_",TRUE,Finance_Data!A185,Finance_Data!B185,Finance_Data!C185,Finance_Data!D185,Finance_Data!E185,Finance_Data!G185,Finance_Data!H185)</f>
        <v>CMP_004_North_India_Watch_Retail_45070_45121</v>
      </c>
    </row>
    <row r="186" spans="1:20" x14ac:dyDescent="0.35">
      <c r="A186" s="6" t="s">
        <v>77</v>
      </c>
      <c r="B186" s="1" t="s">
        <v>48</v>
      </c>
      <c r="C186" s="1" t="s">
        <v>36</v>
      </c>
      <c r="D186" s="1" t="s">
        <v>51</v>
      </c>
      <c r="E186" s="1" t="s">
        <v>22</v>
      </c>
      <c r="F186" s="1" t="s">
        <v>52</v>
      </c>
      <c r="G186" s="2">
        <v>45070</v>
      </c>
      <c r="H186" s="2">
        <v>45111</v>
      </c>
      <c r="I186" s="1">
        <v>25031.7</v>
      </c>
      <c r="J186" s="1">
        <v>0.38240000000000002</v>
      </c>
      <c r="K186" s="1">
        <v>9572.1200000000008</v>
      </c>
      <c r="L186" s="1">
        <v>965025</v>
      </c>
      <c r="M186" s="1">
        <v>23176</v>
      </c>
      <c r="N186" s="1">
        <v>153512.17000000001</v>
      </c>
      <c r="O186" s="1">
        <v>2023</v>
      </c>
      <c r="P186" s="1" t="s">
        <v>45</v>
      </c>
      <c r="Q186" s="1" t="s">
        <v>46</v>
      </c>
      <c r="R186" s="1" t="s">
        <v>26</v>
      </c>
      <c r="S186" s="1">
        <f t="shared" si="2"/>
        <v>42</v>
      </c>
      <c r="T186" s="7" t="str">
        <f>_xlfn.TEXTJOIN("_",TRUE,Finance_Data!A186,Finance_Data!B186,Finance_Data!C186,Finance_Data!D186,Finance_Data!E186,Finance_Data!G186,Finance_Data!H186)</f>
        <v>CMP_033_South_India_Watch_Retail_45070_45111</v>
      </c>
    </row>
    <row r="187" spans="1:20" x14ac:dyDescent="0.35">
      <c r="A187" s="6" t="s">
        <v>101</v>
      </c>
      <c r="B187" s="1" t="s">
        <v>35</v>
      </c>
      <c r="C187" s="1" t="s">
        <v>29</v>
      </c>
      <c r="D187" s="1" t="s">
        <v>63</v>
      </c>
      <c r="E187" s="1" t="s">
        <v>22</v>
      </c>
      <c r="F187" s="1" t="s">
        <v>44</v>
      </c>
      <c r="G187" s="2">
        <v>45070</v>
      </c>
      <c r="H187" s="2">
        <v>45107</v>
      </c>
      <c r="I187" s="1">
        <v>49680.69</v>
      </c>
      <c r="J187" s="1">
        <v>0.28870000000000001</v>
      </c>
      <c r="K187" s="1">
        <v>14342.82</v>
      </c>
      <c r="L187" s="1">
        <v>970911</v>
      </c>
      <c r="M187" s="1">
        <v>48040</v>
      </c>
      <c r="N187" s="1">
        <v>146147.03</v>
      </c>
      <c r="O187" s="1">
        <v>2023</v>
      </c>
      <c r="P187" s="1" t="s">
        <v>45</v>
      </c>
      <c r="Q187" s="1" t="s">
        <v>46</v>
      </c>
      <c r="R187" s="1" t="s">
        <v>61</v>
      </c>
      <c r="S187" s="1">
        <f t="shared" si="2"/>
        <v>38</v>
      </c>
      <c r="T187" s="7" t="str">
        <f>_xlfn.TEXTJOIN("_",TRUE,Finance_Data!A187,Finance_Data!B187,Finance_Data!C187,Finance_Data!D187,Finance_Data!E187,Finance_Data!G187,Finance_Data!H187)</f>
        <v>CMP_037_East_Australia_Skincare_Retail_45070_45107</v>
      </c>
    </row>
    <row r="188" spans="1:20" x14ac:dyDescent="0.35">
      <c r="A188" s="6" t="s">
        <v>50</v>
      </c>
      <c r="B188" s="1" t="s">
        <v>35</v>
      </c>
      <c r="C188" s="1" t="s">
        <v>58</v>
      </c>
      <c r="D188" s="1" t="s">
        <v>21</v>
      </c>
      <c r="E188" s="1" t="s">
        <v>22</v>
      </c>
      <c r="F188" s="1" t="s">
        <v>31</v>
      </c>
      <c r="G188" s="2">
        <v>45071</v>
      </c>
      <c r="H188" s="2">
        <v>45094</v>
      </c>
      <c r="I188" s="1">
        <v>26639.31</v>
      </c>
      <c r="J188" s="1">
        <v>0.25330000000000003</v>
      </c>
      <c r="K188" s="1">
        <v>6747.74</v>
      </c>
      <c r="L188" s="1">
        <v>653825</v>
      </c>
      <c r="M188" s="1">
        <v>46923</v>
      </c>
      <c r="N188" s="1">
        <v>95957.06</v>
      </c>
      <c r="O188" s="1">
        <v>2023</v>
      </c>
      <c r="P188" s="1" t="s">
        <v>45</v>
      </c>
      <c r="Q188" s="1" t="s">
        <v>46</v>
      </c>
      <c r="R188" s="1" t="s">
        <v>61</v>
      </c>
      <c r="S188" s="1">
        <f t="shared" si="2"/>
        <v>24</v>
      </c>
      <c r="T188" s="7" t="str">
        <f>_xlfn.TEXTJOIN("_",TRUE,Finance_Data!A188,Finance_Data!B188,Finance_Data!C188,Finance_Data!D188,Finance_Data!E188,Finance_Data!G188,Finance_Data!H188)</f>
        <v>CMP_039_East_UK_Foundation_Retail_45071_45094</v>
      </c>
    </row>
    <row r="189" spans="1:20" x14ac:dyDescent="0.35">
      <c r="A189" s="6" t="s">
        <v>116</v>
      </c>
      <c r="B189" s="1" t="s">
        <v>48</v>
      </c>
      <c r="C189" s="1" t="s">
        <v>58</v>
      </c>
      <c r="D189" s="1" t="s">
        <v>37</v>
      </c>
      <c r="E189" s="1" t="s">
        <v>22</v>
      </c>
      <c r="F189" s="1" t="s">
        <v>44</v>
      </c>
      <c r="G189" s="2">
        <v>45072</v>
      </c>
      <c r="H189" s="2">
        <v>45127</v>
      </c>
      <c r="I189" s="1">
        <v>29891.59</v>
      </c>
      <c r="J189" s="1">
        <v>6.7900000000000002E-2</v>
      </c>
      <c r="K189" s="1">
        <v>2029.64</v>
      </c>
      <c r="L189" s="1">
        <v>947692</v>
      </c>
      <c r="M189" s="1">
        <v>20099</v>
      </c>
      <c r="N189" s="1">
        <v>222819.02</v>
      </c>
      <c r="O189" s="1">
        <v>2023</v>
      </c>
      <c r="P189" s="1" t="s">
        <v>45</v>
      </c>
      <c r="Q189" s="1" t="s">
        <v>46</v>
      </c>
      <c r="R189" s="1" t="s">
        <v>41</v>
      </c>
      <c r="S189" s="1">
        <f t="shared" si="2"/>
        <v>56</v>
      </c>
      <c r="T189" s="7" t="str">
        <f>_xlfn.TEXTJOIN("_",TRUE,Finance_Data!A189,Finance_Data!B189,Finance_Data!C189,Finance_Data!D189,Finance_Data!E189,Finance_Data!G189,Finance_Data!H189)</f>
        <v>CMP_014_South_UK_Perfume_Retail_45072_45127</v>
      </c>
    </row>
    <row r="190" spans="1:20" x14ac:dyDescent="0.35">
      <c r="A190" s="6" t="s">
        <v>96</v>
      </c>
      <c r="B190" s="1" t="s">
        <v>48</v>
      </c>
      <c r="C190" s="1" t="s">
        <v>69</v>
      </c>
      <c r="D190" s="1" t="s">
        <v>59</v>
      </c>
      <c r="E190" s="1" t="s">
        <v>22</v>
      </c>
      <c r="F190" s="1" t="s">
        <v>23</v>
      </c>
      <c r="G190" s="2">
        <v>45072</v>
      </c>
      <c r="H190" s="2">
        <v>45081</v>
      </c>
      <c r="I190" s="1">
        <v>14421.36</v>
      </c>
      <c r="J190" s="1">
        <v>0.1072</v>
      </c>
      <c r="K190" s="1">
        <v>1545.97</v>
      </c>
      <c r="L190" s="1">
        <v>926220</v>
      </c>
      <c r="M190" s="1">
        <v>46775</v>
      </c>
      <c r="N190" s="1">
        <v>115598.13</v>
      </c>
      <c r="O190" s="1">
        <v>2023</v>
      </c>
      <c r="P190" s="1" t="s">
        <v>45</v>
      </c>
      <c r="Q190" s="1" t="s">
        <v>46</v>
      </c>
      <c r="R190" s="1" t="s">
        <v>54</v>
      </c>
      <c r="S190" s="1">
        <f t="shared" si="2"/>
        <v>10</v>
      </c>
      <c r="T190" s="7" t="str">
        <f>_xlfn.TEXTJOIN("_",TRUE,Finance_Data!A190,Finance_Data!B190,Finance_Data!C190,Finance_Data!D190,Finance_Data!E190,Finance_Data!G190,Finance_Data!H190)</f>
        <v>CMP_027_South_USA_Lipstick_Retail_45072_45081</v>
      </c>
    </row>
    <row r="191" spans="1:20" x14ac:dyDescent="0.35">
      <c r="A191" s="6" t="s">
        <v>95</v>
      </c>
      <c r="B191" s="1" t="s">
        <v>35</v>
      </c>
      <c r="C191" s="1" t="s">
        <v>69</v>
      </c>
      <c r="D191" s="1" t="s">
        <v>21</v>
      </c>
      <c r="E191" s="1" t="s">
        <v>30</v>
      </c>
      <c r="F191" s="1" t="s">
        <v>23</v>
      </c>
      <c r="G191" s="2">
        <v>45073</v>
      </c>
      <c r="H191" s="2">
        <v>45132</v>
      </c>
      <c r="I191" s="1">
        <v>30771.07</v>
      </c>
      <c r="J191" s="1">
        <v>0.93979999999999997</v>
      </c>
      <c r="K191" s="1">
        <v>28918.65</v>
      </c>
      <c r="L191" s="1">
        <v>46489</v>
      </c>
      <c r="M191" s="1">
        <v>8372</v>
      </c>
      <c r="N191" s="1">
        <v>21472.17</v>
      </c>
      <c r="O191" s="1">
        <v>2023</v>
      </c>
      <c r="P191" s="1" t="s">
        <v>45</v>
      </c>
      <c r="Q191" s="1" t="s">
        <v>46</v>
      </c>
      <c r="R191" s="1" t="s">
        <v>61</v>
      </c>
      <c r="S191" s="1">
        <f t="shared" si="2"/>
        <v>60</v>
      </c>
      <c r="T191" s="7" t="str">
        <f>_xlfn.TEXTJOIN("_",TRUE,Finance_Data!A191,Finance_Data!B191,Finance_Data!C191,Finance_Data!D191,Finance_Data!E191,Finance_Data!G191,Finance_Data!H191)</f>
        <v>CMP_050_East_USA_Foundation_Wholesale_45073_45132</v>
      </c>
    </row>
    <row r="192" spans="1:20" x14ac:dyDescent="0.35">
      <c r="A192" s="6" t="s">
        <v>70</v>
      </c>
      <c r="B192" s="1" t="s">
        <v>48</v>
      </c>
      <c r="C192" s="1" t="s">
        <v>58</v>
      </c>
      <c r="D192" s="1" t="s">
        <v>43</v>
      </c>
      <c r="E192" s="1" t="s">
        <v>22</v>
      </c>
      <c r="F192" s="1" t="s">
        <v>31</v>
      </c>
      <c r="G192" s="2">
        <v>45073</v>
      </c>
      <c r="H192" s="2">
        <v>45118</v>
      </c>
      <c r="I192" s="1">
        <v>14276.54</v>
      </c>
      <c r="J192" s="1">
        <v>0.54600000000000004</v>
      </c>
      <c r="K192" s="1">
        <v>7794.99</v>
      </c>
      <c r="L192" s="1">
        <v>260875</v>
      </c>
      <c r="M192" s="1">
        <v>11539</v>
      </c>
      <c r="N192" s="1">
        <v>154581.81</v>
      </c>
      <c r="O192" s="1">
        <v>2023</v>
      </c>
      <c r="P192" s="1" t="s">
        <v>45</v>
      </c>
      <c r="Q192" s="1" t="s">
        <v>46</v>
      </c>
      <c r="R192" s="1" t="s">
        <v>41</v>
      </c>
      <c r="S192" s="1">
        <f t="shared" si="2"/>
        <v>46</v>
      </c>
      <c r="T192" s="7" t="str">
        <f>_xlfn.TEXTJOIN("_",TRUE,Finance_Data!A192,Finance_Data!B192,Finance_Data!C192,Finance_Data!D192,Finance_Data!E192,Finance_Data!G192,Finance_Data!H192)</f>
        <v>CMP_003_South_UK_Luxury Bag_Retail_45073_45118</v>
      </c>
    </row>
    <row r="193" spans="1:20" x14ac:dyDescent="0.35">
      <c r="A193" s="6" t="s">
        <v>110</v>
      </c>
      <c r="B193" s="1" t="s">
        <v>35</v>
      </c>
      <c r="C193" s="1" t="s">
        <v>36</v>
      </c>
      <c r="D193" s="1" t="s">
        <v>37</v>
      </c>
      <c r="E193" s="1" t="s">
        <v>38</v>
      </c>
      <c r="F193" s="1" t="s">
        <v>31</v>
      </c>
      <c r="G193" s="2">
        <v>45073</v>
      </c>
      <c r="H193" s="2">
        <v>45098</v>
      </c>
      <c r="I193" s="1">
        <v>43257.3</v>
      </c>
      <c r="J193" s="1">
        <v>0.22459999999999999</v>
      </c>
      <c r="K193" s="1">
        <v>9715.59</v>
      </c>
      <c r="L193" s="1">
        <v>94736</v>
      </c>
      <c r="M193" s="1">
        <v>32054</v>
      </c>
      <c r="N193" s="1">
        <v>86494.21</v>
      </c>
      <c r="O193" s="1">
        <v>2023</v>
      </c>
      <c r="P193" s="1" t="s">
        <v>45</v>
      </c>
      <c r="Q193" s="1" t="s">
        <v>46</v>
      </c>
      <c r="R193" s="1" t="s">
        <v>61</v>
      </c>
      <c r="S193" s="1">
        <f t="shared" si="2"/>
        <v>26</v>
      </c>
      <c r="T193" s="7" t="str">
        <f>_xlfn.TEXTJOIN("_",TRUE,Finance_Data!A193,Finance_Data!B193,Finance_Data!C193,Finance_Data!D193,Finance_Data!E193,Finance_Data!G193,Finance_Data!H193)</f>
        <v>CMP_012_East_India_Perfume_Ecommerce_45073_45098</v>
      </c>
    </row>
    <row r="194" spans="1:20" x14ac:dyDescent="0.35">
      <c r="A194" s="6" t="s">
        <v>118</v>
      </c>
      <c r="B194" s="1" t="s">
        <v>28</v>
      </c>
      <c r="C194" s="1" t="s">
        <v>58</v>
      </c>
      <c r="D194" s="1" t="s">
        <v>51</v>
      </c>
      <c r="E194" s="1" t="s">
        <v>30</v>
      </c>
      <c r="F194" s="1" t="s">
        <v>49</v>
      </c>
      <c r="G194" s="2">
        <v>45074</v>
      </c>
      <c r="H194" s="2">
        <v>45125</v>
      </c>
      <c r="I194" s="1">
        <v>44359.55</v>
      </c>
      <c r="J194" s="1">
        <v>0.79290000000000005</v>
      </c>
      <c r="K194" s="1">
        <v>35172.69</v>
      </c>
      <c r="L194" s="1">
        <v>152371</v>
      </c>
      <c r="M194" s="1">
        <v>5648</v>
      </c>
      <c r="N194" s="1">
        <v>38618.97</v>
      </c>
      <c r="O194" s="1">
        <v>2023</v>
      </c>
      <c r="P194" s="1" t="s">
        <v>45</v>
      </c>
      <c r="Q194" s="1" t="s">
        <v>46</v>
      </c>
      <c r="R194" s="1" t="s">
        <v>61</v>
      </c>
      <c r="S194" s="1">
        <f t="shared" ref="S194:S257" si="3">H194-G194+1</f>
        <v>52</v>
      </c>
      <c r="T194" s="7" t="str">
        <f>_xlfn.TEXTJOIN("_",TRUE,Finance_Data!A194,Finance_Data!B194,Finance_Data!C194,Finance_Data!D194,Finance_Data!E194,Finance_Data!G194,Finance_Data!H194)</f>
        <v>CMP_052_West_UK_Watch_Wholesale_45074_45125</v>
      </c>
    </row>
    <row r="195" spans="1:20" x14ac:dyDescent="0.35">
      <c r="A195" s="6" t="s">
        <v>115</v>
      </c>
      <c r="B195" s="1" t="s">
        <v>19</v>
      </c>
      <c r="C195" s="1" t="s">
        <v>29</v>
      </c>
      <c r="D195" s="1" t="s">
        <v>21</v>
      </c>
      <c r="E195" s="1" t="s">
        <v>38</v>
      </c>
      <c r="F195" s="1" t="s">
        <v>52</v>
      </c>
      <c r="G195" s="2">
        <v>45075</v>
      </c>
      <c r="H195" s="2">
        <v>45093</v>
      </c>
      <c r="I195" s="1">
        <v>11688.69</v>
      </c>
      <c r="J195" s="1">
        <v>0.90059999999999996</v>
      </c>
      <c r="K195" s="1">
        <v>10526.83</v>
      </c>
      <c r="L195" s="1">
        <v>781037</v>
      </c>
      <c r="M195" s="1">
        <v>42779</v>
      </c>
      <c r="N195" s="1">
        <v>7237.47</v>
      </c>
      <c r="O195" s="1">
        <v>2023</v>
      </c>
      <c r="P195" s="1" t="s">
        <v>45</v>
      </c>
      <c r="Q195" s="1" t="s">
        <v>46</v>
      </c>
      <c r="R195" s="1" t="s">
        <v>26</v>
      </c>
      <c r="S195" s="1">
        <f t="shared" si="3"/>
        <v>19</v>
      </c>
      <c r="T195" s="7" t="str">
        <f>_xlfn.TEXTJOIN("_",TRUE,Finance_Data!A195,Finance_Data!B195,Finance_Data!C195,Finance_Data!D195,Finance_Data!E195,Finance_Data!G195,Finance_Data!H195)</f>
        <v>CMP_047_North_Australia_Foundation_Ecommerce_45075_45093</v>
      </c>
    </row>
    <row r="196" spans="1:20" x14ac:dyDescent="0.35">
      <c r="A196" s="6" t="s">
        <v>57</v>
      </c>
      <c r="B196" s="1" t="s">
        <v>28</v>
      </c>
      <c r="C196" s="1" t="s">
        <v>58</v>
      </c>
      <c r="D196" s="1" t="s">
        <v>51</v>
      </c>
      <c r="E196" s="1" t="s">
        <v>38</v>
      </c>
      <c r="F196" s="1" t="s">
        <v>44</v>
      </c>
      <c r="G196" s="2">
        <v>45075</v>
      </c>
      <c r="H196" s="2">
        <v>45085</v>
      </c>
      <c r="I196" s="1">
        <v>16829.62</v>
      </c>
      <c r="J196" s="1">
        <v>0.1618</v>
      </c>
      <c r="K196" s="1">
        <v>2723.03</v>
      </c>
      <c r="L196" s="1">
        <v>814819</v>
      </c>
      <c r="M196" s="1">
        <v>25332</v>
      </c>
      <c r="N196" s="1">
        <v>91389.15</v>
      </c>
      <c r="O196" s="1">
        <v>2023</v>
      </c>
      <c r="P196" s="1" t="s">
        <v>45</v>
      </c>
      <c r="Q196" s="1" t="s">
        <v>46</v>
      </c>
      <c r="R196" s="1" t="s">
        <v>41</v>
      </c>
      <c r="S196" s="1">
        <f t="shared" si="3"/>
        <v>11</v>
      </c>
      <c r="T196" s="7" t="str">
        <f>_xlfn.TEXTJOIN("_",TRUE,Finance_Data!A196,Finance_Data!B196,Finance_Data!C196,Finance_Data!D196,Finance_Data!E196,Finance_Data!G196,Finance_Data!H196)</f>
        <v>CMP_032_West_UK_Watch_Ecommerce_45075_45085</v>
      </c>
    </row>
    <row r="197" spans="1:20" x14ac:dyDescent="0.35">
      <c r="A197" s="6" t="s">
        <v>47</v>
      </c>
      <c r="B197" s="1" t="s">
        <v>48</v>
      </c>
      <c r="C197" s="1" t="s">
        <v>20</v>
      </c>
      <c r="D197" s="1" t="s">
        <v>43</v>
      </c>
      <c r="E197" s="1" t="s">
        <v>22</v>
      </c>
      <c r="F197" s="1" t="s">
        <v>23</v>
      </c>
      <c r="G197" s="2">
        <v>45076</v>
      </c>
      <c r="H197" s="2">
        <v>45135</v>
      </c>
      <c r="I197" s="1">
        <v>37563.699999999997</v>
      </c>
      <c r="J197" s="1">
        <v>0.34010000000000001</v>
      </c>
      <c r="K197" s="1">
        <v>12775.41</v>
      </c>
      <c r="L197" s="1">
        <v>617913</v>
      </c>
      <c r="M197" s="1">
        <v>22895</v>
      </c>
      <c r="N197" s="1">
        <v>91289.8</v>
      </c>
      <c r="O197" s="1">
        <v>2023</v>
      </c>
      <c r="P197" s="1" t="s">
        <v>45</v>
      </c>
      <c r="Q197" s="1" t="s">
        <v>46</v>
      </c>
      <c r="R197" s="1" t="s">
        <v>26</v>
      </c>
      <c r="S197" s="1">
        <f t="shared" si="3"/>
        <v>60</v>
      </c>
      <c r="T197" s="7" t="str">
        <f>_xlfn.TEXTJOIN("_",TRUE,Finance_Data!A197,Finance_Data!B197,Finance_Data!C197,Finance_Data!D197,Finance_Data!E197,Finance_Data!G197,Finance_Data!H197)</f>
        <v>CMP_055_South_Singapore_Luxury Bag_Retail_45076_45135</v>
      </c>
    </row>
    <row r="198" spans="1:20" x14ac:dyDescent="0.35">
      <c r="A198" s="6" t="s">
        <v>79</v>
      </c>
      <c r="B198" s="1" t="s">
        <v>19</v>
      </c>
      <c r="C198" s="1" t="s">
        <v>69</v>
      </c>
      <c r="D198" s="1" t="s">
        <v>51</v>
      </c>
      <c r="E198" s="1" t="s">
        <v>30</v>
      </c>
      <c r="F198" s="1" t="s">
        <v>49</v>
      </c>
      <c r="G198" s="2">
        <v>45076</v>
      </c>
      <c r="H198" s="2">
        <v>45128</v>
      </c>
      <c r="I198" s="1">
        <v>33602.18</v>
      </c>
      <c r="J198" s="1">
        <v>0.96350000000000002</v>
      </c>
      <c r="K198" s="1">
        <v>32375.7</v>
      </c>
      <c r="L198" s="1">
        <v>747114</v>
      </c>
      <c r="M198" s="1">
        <v>2350</v>
      </c>
      <c r="N198" s="1">
        <v>151725.68</v>
      </c>
      <c r="O198" s="1">
        <v>2023</v>
      </c>
      <c r="P198" s="1" t="s">
        <v>45</v>
      </c>
      <c r="Q198" s="1" t="s">
        <v>46</v>
      </c>
      <c r="R198" s="1" t="s">
        <v>61</v>
      </c>
      <c r="S198" s="1">
        <f t="shared" si="3"/>
        <v>53</v>
      </c>
      <c r="T198" s="7" t="str">
        <f>_xlfn.TEXTJOIN("_",TRUE,Finance_Data!A198,Finance_Data!B198,Finance_Data!C198,Finance_Data!D198,Finance_Data!E198,Finance_Data!G198,Finance_Data!H198)</f>
        <v>CMP_020_North_USA_Watch_Wholesale_45076_45128</v>
      </c>
    </row>
    <row r="199" spans="1:20" x14ac:dyDescent="0.35">
      <c r="A199" s="6" t="s">
        <v>57</v>
      </c>
      <c r="B199" s="1" t="s">
        <v>48</v>
      </c>
      <c r="C199" s="1" t="s">
        <v>69</v>
      </c>
      <c r="D199" s="1" t="s">
        <v>37</v>
      </c>
      <c r="E199" s="1" t="s">
        <v>38</v>
      </c>
      <c r="F199" s="1" t="s">
        <v>52</v>
      </c>
      <c r="G199" s="2">
        <v>45078</v>
      </c>
      <c r="H199" s="2">
        <v>45113</v>
      </c>
      <c r="I199" s="1">
        <v>5590.86</v>
      </c>
      <c r="J199" s="1">
        <v>0.22600000000000001</v>
      </c>
      <c r="K199" s="1">
        <v>1263.53</v>
      </c>
      <c r="L199" s="1">
        <v>204015</v>
      </c>
      <c r="M199" s="1">
        <v>11641</v>
      </c>
      <c r="N199" s="1">
        <v>51270.68</v>
      </c>
      <c r="O199" s="1">
        <v>2023</v>
      </c>
      <c r="P199" s="1" t="s">
        <v>53</v>
      </c>
      <c r="Q199" s="1" t="s">
        <v>46</v>
      </c>
      <c r="R199" s="1" t="s">
        <v>61</v>
      </c>
      <c r="S199" s="1">
        <f t="shared" si="3"/>
        <v>36</v>
      </c>
      <c r="T199" s="7" t="str">
        <f>_xlfn.TEXTJOIN("_",TRUE,Finance_Data!A199,Finance_Data!B199,Finance_Data!C199,Finance_Data!D199,Finance_Data!E199,Finance_Data!G199,Finance_Data!H199)</f>
        <v>CMP_032_South_USA_Perfume_Ecommerce_45078_45113</v>
      </c>
    </row>
    <row r="200" spans="1:20" x14ac:dyDescent="0.35">
      <c r="A200" s="6" t="s">
        <v>67</v>
      </c>
      <c r="B200" s="1" t="s">
        <v>28</v>
      </c>
      <c r="C200" s="1" t="s">
        <v>69</v>
      </c>
      <c r="D200" s="1" t="s">
        <v>59</v>
      </c>
      <c r="E200" s="1" t="s">
        <v>30</v>
      </c>
      <c r="F200" s="1" t="s">
        <v>23</v>
      </c>
      <c r="G200" s="2">
        <v>45078</v>
      </c>
      <c r="H200" s="2">
        <v>45109</v>
      </c>
      <c r="I200" s="1">
        <v>42957.01</v>
      </c>
      <c r="J200" s="1">
        <v>0.79459999999999997</v>
      </c>
      <c r="K200" s="1">
        <v>34133.64</v>
      </c>
      <c r="L200" s="1">
        <v>158513</v>
      </c>
      <c r="M200" s="1">
        <v>23509</v>
      </c>
      <c r="N200" s="1">
        <v>126968.9</v>
      </c>
      <c r="O200" s="1">
        <v>2023</v>
      </c>
      <c r="P200" s="1" t="s">
        <v>53</v>
      </c>
      <c r="Q200" s="1" t="s">
        <v>46</v>
      </c>
      <c r="R200" s="1" t="s">
        <v>61</v>
      </c>
      <c r="S200" s="1">
        <f t="shared" si="3"/>
        <v>32</v>
      </c>
      <c r="T200" s="7" t="str">
        <f>_xlfn.TEXTJOIN("_",TRUE,Finance_Data!A200,Finance_Data!B200,Finance_Data!C200,Finance_Data!D200,Finance_Data!E200,Finance_Data!G200,Finance_Data!H200)</f>
        <v>CMP_016_West_USA_Lipstick_Wholesale_45078_45109</v>
      </c>
    </row>
    <row r="201" spans="1:20" x14ac:dyDescent="0.35">
      <c r="A201" s="6" t="s">
        <v>96</v>
      </c>
      <c r="B201" s="1" t="s">
        <v>48</v>
      </c>
      <c r="C201" s="1" t="s">
        <v>20</v>
      </c>
      <c r="D201" s="1" t="s">
        <v>21</v>
      </c>
      <c r="E201" s="1" t="s">
        <v>38</v>
      </c>
      <c r="F201" s="1" t="s">
        <v>49</v>
      </c>
      <c r="G201" s="2">
        <v>45079</v>
      </c>
      <c r="H201" s="2">
        <v>45135</v>
      </c>
      <c r="I201" s="1">
        <v>28579.14</v>
      </c>
      <c r="J201" s="1">
        <v>0.37159999999999999</v>
      </c>
      <c r="K201" s="1">
        <v>10620.01</v>
      </c>
      <c r="L201" s="1">
        <v>270247</v>
      </c>
      <c r="M201" s="1">
        <v>7862</v>
      </c>
      <c r="N201" s="1">
        <v>141727.89000000001</v>
      </c>
      <c r="O201" s="1">
        <v>2023</v>
      </c>
      <c r="P201" s="1" t="s">
        <v>53</v>
      </c>
      <c r="Q201" s="1" t="s">
        <v>46</v>
      </c>
      <c r="R201" s="1" t="s">
        <v>41</v>
      </c>
      <c r="S201" s="1">
        <f t="shared" si="3"/>
        <v>57</v>
      </c>
      <c r="T201" s="7" t="str">
        <f>_xlfn.TEXTJOIN("_",TRUE,Finance_Data!A201,Finance_Data!B201,Finance_Data!C201,Finance_Data!D201,Finance_Data!E201,Finance_Data!G201,Finance_Data!H201)</f>
        <v>CMP_027_South_Singapore_Foundation_Ecommerce_45079_45135</v>
      </c>
    </row>
    <row r="202" spans="1:20" x14ac:dyDescent="0.35">
      <c r="A202" s="6" t="s">
        <v>85</v>
      </c>
      <c r="B202" s="1" t="s">
        <v>28</v>
      </c>
      <c r="C202" s="1" t="s">
        <v>69</v>
      </c>
      <c r="D202" s="1" t="s">
        <v>63</v>
      </c>
      <c r="E202" s="1" t="s">
        <v>30</v>
      </c>
      <c r="F202" s="1" t="s">
        <v>23</v>
      </c>
      <c r="G202" s="2">
        <v>45080</v>
      </c>
      <c r="H202" s="2">
        <v>45127</v>
      </c>
      <c r="I202" s="1">
        <v>34670.879999999997</v>
      </c>
      <c r="J202" s="1">
        <v>0.75349999999999995</v>
      </c>
      <c r="K202" s="1">
        <v>26124.51</v>
      </c>
      <c r="L202" s="1">
        <v>310947</v>
      </c>
      <c r="M202" s="1">
        <v>22931</v>
      </c>
      <c r="N202" s="1">
        <v>219473.53</v>
      </c>
      <c r="O202" s="1">
        <v>2023</v>
      </c>
      <c r="P202" s="1" t="s">
        <v>53</v>
      </c>
      <c r="Q202" s="1" t="s">
        <v>46</v>
      </c>
      <c r="R202" s="1" t="s">
        <v>26</v>
      </c>
      <c r="S202" s="1">
        <f t="shared" si="3"/>
        <v>48</v>
      </c>
      <c r="T202" s="7" t="str">
        <f>_xlfn.TEXTJOIN("_",TRUE,Finance_Data!A202,Finance_Data!B202,Finance_Data!C202,Finance_Data!D202,Finance_Data!E202,Finance_Data!G202,Finance_Data!H202)</f>
        <v>CMP_018_West_USA_Skincare_Wholesale_45080_45127</v>
      </c>
    </row>
    <row r="203" spans="1:20" x14ac:dyDescent="0.35">
      <c r="A203" s="6" t="s">
        <v>88</v>
      </c>
      <c r="B203" s="1" t="s">
        <v>48</v>
      </c>
      <c r="C203" s="1" t="s">
        <v>36</v>
      </c>
      <c r="D203" s="1" t="s">
        <v>51</v>
      </c>
      <c r="E203" s="1" t="s">
        <v>38</v>
      </c>
      <c r="F203" s="1" t="s">
        <v>31</v>
      </c>
      <c r="G203" s="2">
        <v>45080</v>
      </c>
      <c r="H203" s="2">
        <v>45118</v>
      </c>
      <c r="I203" s="1">
        <v>38508.25</v>
      </c>
      <c r="J203" s="1">
        <v>1.0806</v>
      </c>
      <c r="K203" s="1">
        <v>41612.01</v>
      </c>
      <c r="L203" s="1">
        <v>854554</v>
      </c>
      <c r="M203" s="1">
        <v>39423</v>
      </c>
      <c r="N203" s="1">
        <v>104004.11</v>
      </c>
      <c r="O203" s="1">
        <v>2023</v>
      </c>
      <c r="P203" s="1" t="s">
        <v>53</v>
      </c>
      <c r="Q203" s="1" t="s">
        <v>46</v>
      </c>
      <c r="R203" s="1" t="s">
        <v>41</v>
      </c>
      <c r="S203" s="1">
        <f t="shared" si="3"/>
        <v>39</v>
      </c>
      <c r="T203" s="7" t="str">
        <f>_xlfn.TEXTJOIN("_",TRUE,Finance_Data!A203,Finance_Data!B203,Finance_Data!C203,Finance_Data!D203,Finance_Data!E203,Finance_Data!G203,Finance_Data!H203)</f>
        <v>CMP_021_South_India_Watch_Ecommerce_45080_45118</v>
      </c>
    </row>
    <row r="204" spans="1:20" x14ac:dyDescent="0.35">
      <c r="A204" s="6" t="s">
        <v>18</v>
      </c>
      <c r="B204" s="1" t="s">
        <v>28</v>
      </c>
      <c r="C204" s="1" t="s">
        <v>69</v>
      </c>
      <c r="D204" s="1" t="s">
        <v>43</v>
      </c>
      <c r="E204" s="1" t="s">
        <v>30</v>
      </c>
      <c r="F204" s="1" t="s">
        <v>23</v>
      </c>
      <c r="G204" s="2">
        <v>45081</v>
      </c>
      <c r="H204" s="2">
        <v>45115</v>
      </c>
      <c r="I204" s="1">
        <v>46757.15</v>
      </c>
      <c r="J204" s="1">
        <v>0.60429999999999995</v>
      </c>
      <c r="K204" s="1">
        <v>28255.35</v>
      </c>
      <c r="L204" s="1">
        <v>341777</v>
      </c>
      <c r="M204" s="1">
        <v>7545</v>
      </c>
      <c r="N204" s="1">
        <v>199044.12</v>
      </c>
      <c r="O204" s="1">
        <v>2023</v>
      </c>
      <c r="P204" s="1" t="s">
        <v>53</v>
      </c>
      <c r="Q204" s="1" t="s">
        <v>46</v>
      </c>
      <c r="R204" s="1" t="s">
        <v>54</v>
      </c>
      <c r="S204" s="1">
        <f t="shared" si="3"/>
        <v>35</v>
      </c>
      <c r="T204" s="7" t="str">
        <f>_xlfn.TEXTJOIN("_",TRUE,Finance_Data!A204,Finance_Data!B204,Finance_Data!C204,Finance_Data!D204,Finance_Data!E204,Finance_Data!G204,Finance_Data!H204)</f>
        <v>CMP_044_West_USA_Luxury Bag_Wholesale_45081_45115</v>
      </c>
    </row>
    <row r="205" spans="1:20" x14ac:dyDescent="0.35">
      <c r="A205" s="6" t="s">
        <v>90</v>
      </c>
      <c r="B205" s="1" t="s">
        <v>48</v>
      </c>
      <c r="C205" s="1" t="s">
        <v>29</v>
      </c>
      <c r="D205" s="1" t="s">
        <v>63</v>
      </c>
      <c r="E205" s="1" t="s">
        <v>30</v>
      </c>
      <c r="F205" s="1" t="s">
        <v>49</v>
      </c>
      <c r="G205" s="2">
        <v>45083</v>
      </c>
      <c r="H205" s="2">
        <v>45135</v>
      </c>
      <c r="I205" s="1">
        <v>35427.31</v>
      </c>
      <c r="J205" s="1">
        <v>1.157</v>
      </c>
      <c r="K205" s="1">
        <v>40989.4</v>
      </c>
      <c r="L205" s="1">
        <v>504392</v>
      </c>
      <c r="M205" s="1">
        <v>1386</v>
      </c>
      <c r="N205" s="1">
        <v>215650.13</v>
      </c>
      <c r="O205" s="1">
        <v>2023</v>
      </c>
      <c r="P205" s="1" t="s">
        <v>53</v>
      </c>
      <c r="Q205" s="1" t="s">
        <v>46</v>
      </c>
      <c r="R205" s="1" t="s">
        <v>26</v>
      </c>
      <c r="S205" s="1">
        <f t="shared" si="3"/>
        <v>53</v>
      </c>
      <c r="T205" s="7" t="str">
        <f>_xlfn.TEXTJOIN("_",TRUE,Finance_Data!A205,Finance_Data!B205,Finance_Data!C205,Finance_Data!D205,Finance_Data!E205,Finance_Data!G205,Finance_Data!H205)</f>
        <v>CMP_038_South_Australia_Skincare_Wholesale_45083_45135</v>
      </c>
    </row>
    <row r="206" spans="1:20" x14ac:dyDescent="0.35">
      <c r="A206" s="6" t="s">
        <v>50</v>
      </c>
      <c r="B206" s="1" t="s">
        <v>28</v>
      </c>
      <c r="C206" s="1" t="s">
        <v>20</v>
      </c>
      <c r="D206" s="1" t="s">
        <v>63</v>
      </c>
      <c r="E206" s="1" t="s">
        <v>30</v>
      </c>
      <c r="F206" s="1" t="s">
        <v>23</v>
      </c>
      <c r="G206" s="2">
        <v>45083</v>
      </c>
      <c r="H206" s="2">
        <v>45128</v>
      </c>
      <c r="I206" s="1">
        <v>8839.1200000000008</v>
      </c>
      <c r="J206" s="1">
        <v>0.81979999999999997</v>
      </c>
      <c r="K206" s="1">
        <v>7246.31</v>
      </c>
      <c r="L206" s="1">
        <v>635380</v>
      </c>
      <c r="M206" s="1">
        <v>4263</v>
      </c>
      <c r="N206" s="1">
        <v>99267.99</v>
      </c>
      <c r="O206" s="1">
        <v>2023</v>
      </c>
      <c r="P206" s="1" t="s">
        <v>53</v>
      </c>
      <c r="Q206" s="1" t="s">
        <v>46</v>
      </c>
      <c r="R206" s="1" t="s">
        <v>26</v>
      </c>
      <c r="S206" s="1">
        <f t="shared" si="3"/>
        <v>46</v>
      </c>
      <c r="T206" s="7" t="str">
        <f>_xlfn.TEXTJOIN("_",TRUE,Finance_Data!A206,Finance_Data!B206,Finance_Data!C206,Finance_Data!D206,Finance_Data!E206,Finance_Data!G206,Finance_Data!H206)</f>
        <v>CMP_039_West_Singapore_Skincare_Wholesale_45083_45128</v>
      </c>
    </row>
    <row r="207" spans="1:20" x14ac:dyDescent="0.35">
      <c r="A207" s="6" t="s">
        <v>34</v>
      </c>
      <c r="B207" s="1" t="s">
        <v>35</v>
      </c>
      <c r="C207" s="1" t="s">
        <v>20</v>
      </c>
      <c r="D207" s="1" t="s">
        <v>59</v>
      </c>
      <c r="E207" s="1" t="s">
        <v>38</v>
      </c>
      <c r="F207" s="1" t="s">
        <v>44</v>
      </c>
      <c r="G207" s="2">
        <v>45085</v>
      </c>
      <c r="H207" s="2">
        <v>45132</v>
      </c>
      <c r="I207" s="1">
        <v>24627.279999999999</v>
      </c>
      <c r="J207" s="1">
        <v>1.0183</v>
      </c>
      <c r="K207" s="1">
        <v>25077.96</v>
      </c>
      <c r="L207" s="1">
        <v>377121</v>
      </c>
      <c r="M207" s="1">
        <v>36555</v>
      </c>
      <c r="N207" s="1">
        <v>95052.46</v>
      </c>
      <c r="O207" s="1">
        <v>2023</v>
      </c>
      <c r="P207" s="1" t="s">
        <v>53</v>
      </c>
      <c r="Q207" s="1" t="s">
        <v>46</v>
      </c>
      <c r="R207" s="1" t="s">
        <v>26</v>
      </c>
      <c r="S207" s="1">
        <f t="shared" si="3"/>
        <v>48</v>
      </c>
      <c r="T207" s="7" t="str">
        <f>_xlfn.TEXTJOIN("_",TRUE,Finance_Data!A207,Finance_Data!B207,Finance_Data!C207,Finance_Data!D207,Finance_Data!E207,Finance_Data!G207,Finance_Data!H207)</f>
        <v>CMP_049_East_Singapore_Lipstick_Ecommerce_45085_45132</v>
      </c>
    </row>
    <row r="208" spans="1:20" x14ac:dyDescent="0.35">
      <c r="A208" s="6" t="s">
        <v>75</v>
      </c>
      <c r="B208" s="1" t="s">
        <v>28</v>
      </c>
      <c r="C208" s="1" t="s">
        <v>58</v>
      </c>
      <c r="D208" s="1" t="s">
        <v>51</v>
      </c>
      <c r="E208" s="1" t="s">
        <v>38</v>
      </c>
      <c r="F208" s="1" t="s">
        <v>49</v>
      </c>
      <c r="G208" s="2">
        <v>45085</v>
      </c>
      <c r="H208" s="2">
        <v>45102</v>
      </c>
      <c r="I208" s="1">
        <v>1204.8499999999999</v>
      </c>
      <c r="J208" s="1">
        <v>1.0354000000000001</v>
      </c>
      <c r="K208" s="1">
        <v>1247.5</v>
      </c>
      <c r="L208" s="1">
        <v>775847</v>
      </c>
      <c r="M208" s="1">
        <v>47636</v>
      </c>
      <c r="N208" s="1">
        <v>96693.16</v>
      </c>
      <c r="O208" s="1">
        <v>2023</v>
      </c>
      <c r="P208" s="1" t="s">
        <v>53</v>
      </c>
      <c r="Q208" s="1" t="s">
        <v>46</v>
      </c>
      <c r="R208" s="1" t="s">
        <v>54</v>
      </c>
      <c r="S208" s="1">
        <f t="shared" si="3"/>
        <v>18</v>
      </c>
      <c r="T208" s="7" t="str">
        <f>_xlfn.TEXTJOIN("_",TRUE,Finance_Data!A208,Finance_Data!B208,Finance_Data!C208,Finance_Data!D208,Finance_Data!E208,Finance_Data!G208,Finance_Data!H208)</f>
        <v>CMP_026_West_UK_Watch_Ecommerce_45085_45102</v>
      </c>
    </row>
    <row r="209" spans="1:20" x14ac:dyDescent="0.35">
      <c r="A209" s="6" t="s">
        <v>117</v>
      </c>
      <c r="B209" s="1" t="s">
        <v>19</v>
      </c>
      <c r="C209" s="1" t="s">
        <v>58</v>
      </c>
      <c r="D209" s="1" t="s">
        <v>21</v>
      </c>
      <c r="E209" s="1" t="s">
        <v>38</v>
      </c>
      <c r="F209" s="1" t="s">
        <v>23</v>
      </c>
      <c r="G209" s="2">
        <v>45086</v>
      </c>
      <c r="H209" s="2">
        <v>45110</v>
      </c>
      <c r="I209" s="1">
        <v>1517.24</v>
      </c>
      <c r="J209" s="1">
        <v>0.63270000000000004</v>
      </c>
      <c r="K209" s="1">
        <v>959.96</v>
      </c>
      <c r="L209" s="1">
        <v>805128</v>
      </c>
      <c r="M209" s="1">
        <v>9032</v>
      </c>
      <c r="N209" s="1">
        <v>89251.8</v>
      </c>
      <c r="O209" s="1">
        <v>2023</v>
      </c>
      <c r="P209" s="1" t="s">
        <v>53</v>
      </c>
      <c r="Q209" s="1" t="s">
        <v>46</v>
      </c>
      <c r="R209" s="1" t="s">
        <v>54</v>
      </c>
      <c r="S209" s="1">
        <f t="shared" si="3"/>
        <v>25</v>
      </c>
      <c r="T209" s="7" t="str">
        <f>_xlfn.TEXTJOIN("_",TRUE,Finance_Data!A209,Finance_Data!B209,Finance_Data!C209,Finance_Data!D209,Finance_Data!E209,Finance_Data!G209,Finance_Data!H209)</f>
        <v>CMP_031_North_UK_Foundation_Ecommerce_45086_45110</v>
      </c>
    </row>
    <row r="210" spans="1:20" x14ac:dyDescent="0.35">
      <c r="A210" s="6" t="s">
        <v>95</v>
      </c>
      <c r="B210" s="1" t="s">
        <v>48</v>
      </c>
      <c r="C210" s="1" t="s">
        <v>58</v>
      </c>
      <c r="D210" s="1" t="s">
        <v>63</v>
      </c>
      <c r="E210" s="1" t="s">
        <v>38</v>
      </c>
      <c r="F210" s="1" t="s">
        <v>31</v>
      </c>
      <c r="G210" s="2">
        <v>45086</v>
      </c>
      <c r="H210" s="2">
        <v>45097</v>
      </c>
      <c r="I210" s="1">
        <v>9054.3700000000008</v>
      </c>
      <c r="J210" s="1">
        <v>0.56459999999999999</v>
      </c>
      <c r="K210" s="1">
        <v>5112.1000000000004</v>
      </c>
      <c r="L210" s="1">
        <v>436259</v>
      </c>
      <c r="M210" s="1">
        <v>8012</v>
      </c>
      <c r="N210" s="1">
        <v>136301.51</v>
      </c>
      <c r="O210" s="1">
        <v>2023</v>
      </c>
      <c r="P210" s="1" t="s">
        <v>53</v>
      </c>
      <c r="Q210" s="1" t="s">
        <v>46</v>
      </c>
      <c r="R210" s="1" t="s">
        <v>26</v>
      </c>
      <c r="S210" s="1">
        <f t="shared" si="3"/>
        <v>12</v>
      </c>
      <c r="T210" s="7" t="str">
        <f>_xlfn.TEXTJOIN("_",TRUE,Finance_Data!A210,Finance_Data!B210,Finance_Data!C210,Finance_Data!D210,Finance_Data!E210,Finance_Data!G210,Finance_Data!H210)</f>
        <v>CMP_050_South_UK_Skincare_Ecommerce_45086_45097</v>
      </c>
    </row>
    <row r="211" spans="1:20" x14ac:dyDescent="0.35">
      <c r="A211" s="6" t="s">
        <v>50</v>
      </c>
      <c r="B211" s="1" t="s">
        <v>28</v>
      </c>
      <c r="C211" s="1" t="s">
        <v>69</v>
      </c>
      <c r="D211" s="1" t="s">
        <v>37</v>
      </c>
      <c r="E211" s="1" t="s">
        <v>22</v>
      </c>
      <c r="F211" s="1" t="s">
        <v>31</v>
      </c>
      <c r="G211" s="2">
        <v>45087</v>
      </c>
      <c r="H211" s="2">
        <v>45107</v>
      </c>
      <c r="I211" s="1">
        <v>9516.86</v>
      </c>
      <c r="J211" s="1">
        <v>9.9299999999999999E-2</v>
      </c>
      <c r="K211" s="1">
        <v>945.02</v>
      </c>
      <c r="L211" s="1">
        <v>12805</v>
      </c>
      <c r="M211" s="1">
        <v>26872</v>
      </c>
      <c r="N211" s="1">
        <v>115373.41</v>
      </c>
      <c r="O211" s="1">
        <v>2023</v>
      </c>
      <c r="P211" s="1" t="s">
        <v>53</v>
      </c>
      <c r="Q211" s="1" t="s">
        <v>46</v>
      </c>
      <c r="R211" s="1" t="s">
        <v>41</v>
      </c>
      <c r="S211" s="1">
        <f t="shared" si="3"/>
        <v>21</v>
      </c>
      <c r="T211" s="7" t="str">
        <f>_xlfn.TEXTJOIN("_",TRUE,Finance_Data!A211,Finance_Data!B211,Finance_Data!C211,Finance_Data!D211,Finance_Data!E211,Finance_Data!G211,Finance_Data!H211)</f>
        <v>CMP_039_West_USA_Perfume_Retail_45087_45107</v>
      </c>
    </row>
    <row r="212" spans="1:20" x14ac:dyDescent="0.35">
      <c r="A212" s="6" t="s">
        <v>50</v>
      </c>
      <c r="B212" s="1" t="s">
        <v>48</v>
      </c>
      <c r="C212" s="1" t="s">
        <v>69</v>
      </c>
      <c r="D212" s="1" t="s">
        <v>43</v>
      </c>
      <c r="E212" s="1" t="s">
        <v>30</v>
      </c>
      <c r="F212" s="1" t="s">
        <v>44</v>
      </c>
      <c r="G212" s="2">
        <v>45091</v>
      </c>
      <c r="H212" s="2">
        <v>45119</v>
      </c>
      <c r="I212" s="1">
        <v>3185.92</v>
      </c>
      <c r="J212" s="1">
        <v>1.1171</v>
      </c>
      <c r="K212" s="1">
        <v>3558.99</v>
      </c>
      <c r="L212" s="1">
        <v>966167</v>
      </c>
      <c r="M212" s="1">
        <v>38846</v>
      </c>
      <c r="N212" s="1">
        <v>11256.15</v>
      </c>
      <c r="O212" s="1">
        <v>2023</v>
      </c>
      <c r="P212" s="1" t="s">
        <v>53</v>
      </c>
      <c r="Q212" s="1" t="s">
        <v>46</v>
      </c>
      <c r="R212" s="1" t="s">
        <v>41</v>
      </c>
      <c r="S212" s="1">
        <f t="shared" si="3"/>
        <v>29</v>
      </c>
      <c r="T212" s="7" t="str">
        <f>_xlfn.TEXTJOIN("_",TRUE,Finance_Data!A212,Finance_Data!B212,Finance_Data!C212,Finance_Data!D212,Finance_Data!E212,Finance_Data!G212,Finance_Data!H212)</f>
        <v>CMP_039_South_USA_Luxury Bag_Wholesale_45091_45119</v>
      </c>
    </row>
    <row r="213" spans="1:20" x14ac:dyDescent="0.35">
      <c r="A213" s="6" t="s">
        <v>118</v>
      </c>
      <c r="B213" s="1" t="s">
        <v>19</v>
      </c>
      <c r="C213" s="1" t="s">
        <v>20</v>
      </c>
      <c r="D213" s="1" t="s">
        <v>21</v>
      </c>
      <c r="E213" s="1" t="s">
        <v>30</v>
      </c>
      <c r="F213" s="1" t="s">
        <v>44</v>
      </c>
      <c r="G213" s="2">
        <v>45091</v>
      </c>
      <c r="H213" s="2">
        <v>45107</v>
      </c>
      <c r="I213" s="1">
        <v>11818.61</v>
      </c>
      <c r="J213" s="1">
        <v>1.0034000000000001</v>
      </c>
      <c r="K213" s="1">
        <v>11858.79</v>
      </c>
      <c r="L213" s="1">
        <v>213765</v>
      </c>
      <c r="M213" s="1">
        <v>7611</v>
      </c>
      <c r="N213" s="1">
        <v>49432.71</v>
      </c>
      <c r="O213" s="1">
        <v>2023</v>
      </c>
      <c r="P213" s="1" t="s">
        <v>53</v>
      </c>
      <c r="Q213" s="1" t="s">
        <v>46</v>
      </c>
      <c r="R213" s="1" t="s">
        <v>26</v>
      </c>
      <c r="S213" s="1">
        <f t="shared" si="3"/>
        <v>17</v>
      </c>
      <c r="T213" s="7" t="str">
        <f>_xlfn.TEXTJOIN("_",TRUE,Finance_Data!A213,Finance_Data!B213,Finance_Data!C213,Finance_Data!D213,Finance_Data!E213,Finance_Data!G213,Finance_Data!H213)</f>
        <v>CMP_052_North_Singapore_Foundation_Wholesale_45091_45107</v>
      </c>
    </row>
    <row r="214" spans="1:20" x14ac:dyDescent="0.35">
      <c r="A214" s="6" t="s">
        <v>115</v>
      </c>
      <c r="B214" s="1" t="s">
        <v>28</v>
      </c>
      <c r="C214" s="1" t="s">
        <v>69</v>
      </c>
      <c r="D214" s="1" t="s">
        <v>51</v>
      </c>
      <c r="E214" s="1" t="s">
        <v>22</v>
      </c>
      <c r="F214" s="1" t="s">
        <v>23</v>
      </c>
      <c r="G214" s="2">
        <v>45093</v>
      </c>
      <c r="H214" s="2">
        <v>45153</v>
      </c>
      <c r="I214" s="1">
        <v>8085.76</v>
      </c>
      <c r="J214" s="1">
        <v>0.92530000000000001</v>
      </c>
      <c r="K214" s="1">
        <v>7481.75</v>
      </c>
      <c r="L214" s="1">
        <v>63802</v>
      </c>
      <c r="M214" s="1">
        <v>27597</v>
      </c>
      <c r="N214" s="1">
        <v>80475.240000000005</v>
      </c>
      <c r="O214" s="1">
        <v>2023</v>
      </c>
      <c r="P214" s="1" t="s">
        <v>53</v>
      </c>
      <c r="Q214" s="1" t="s">
        <v>46</v>
      </c>
      <c r="R214" s="1" t="s">
        <v>61</v>
      </c>
      <c r="S214" s="1">
        <f t="shared" si="3"/>
        <v>61</v>
      </c>
      <c r="T214" s="7" t="str">
        <f>_xlfn.TEXTJOIN("_",TRUE,Finance_Data!A214,Finance_Data!B214,Finance_Data!C214,Finance_Data!D214,Finance_Data!E214,Finance_Data!G214,Finance_Data!H214)</f>
        <v>CMP_047_West_USA_Watch_Retail_45093_45153</v>
      </c>
    </row>
    <row r="215" spans="1:20" x14ac:dyDescent="0.35">
      <c r="A215" s="6" t="s">
        <v>114</v>
      </c>
      <c r="B215" s="1" t="s">
        <v>48</v>
      </c>
      <c r="C215" s="1" t="s">
        <v>36</v>
      </c>
      <c r="D215" s="1" t="s">
        <v>59</v>
      </c>
      <c r="E215" s="1" t="s">
        <v>38</v>
      </c>
      <c r="F215" s="1" t="s">
        <v>23</v>
      </c>
      <c r="G215" s="2">
        <v>45093</v>
      </c>
      <c r="H215" s="2">
        <v>45132</v>
      </c>
      <c r="I215" s="1">
        <v>6216.76</v>
      </c>
      <c r="J215" s="1">
        <v>0.26219999999999999</v>
      </c>
      <c r="K215" s="1">
        <v>1630.03</v>
      </c>
      <c r="L215" s="1">
        <v>21510</v>
      </c>
      <c r="M215" s="1">
        <v>49679</v>
      </c>
      <c r="N215" s="1">
        <v>227873.32</v>
      </c>
      <c r="O215" s="1">
        <v>2023</v>
      </c>
      <c r="P215" s="1" t="s">
        <v>53</v>
      </c>
      <c r="Q215" s="1" t="s">
        <v>46</v>
      </c>
      <c r="R215" s="1" t="s">
        <v>26</v>
      </c>
      <c r="S215" s="1">
        <f t="shared" si="3"/>
        <v>40</v>
      </c>
      <c r="T215" s="7" t="str">
        <f>_xlfn.TEXTJOIN("_",TRUE,Finance_Data!A215,Finance_Data!B215,Finance_Data!C215,Finance_Data!D215,Finance_Data!E215,Finance_Data!G215,Finance_Data!H215)</f>
        <v>CMP_013_South_India_Lipstick_Ecommerce_45093_45132</v>
      </c>
    </row>
    <row r="216" spans="1:20" x14ac:dyDescent="0.35">
      <c r="A216" s="6" t="s">
        <v>94</v>
      </c>
      <c r="B216" s="1" t="s">
        <v>19</v>
      </c>
      <c r="C216" s="1" t="s">
        <v>69</v>
      </c>
      <c r="D216" s="1" t="s">
        <v>59</v>
      </c>
      <c r="E216" s="1" t="s">
        <v>38</v>
      </c>
      <c r="F216" s="1" t="s">
        <v>52</v>
      </c>
      <c r="G216" s="2">
        <v>45093</v>
      </c>
      <c r="H216" s="2">
        <v>45126</v>
      </c>
      <c r="I216" s="1">
        <v>4611.76</v>
      </c>
      <c r="J216" s="1">
        <v>1.0165</v>
      </c>
      <c r="K216" s="1">
        <v>4687.8500000000004</v>
      </c>
      <c r="L216" s="1">
        <v>319234</v>
      </c>
      <c r="M216" s="1">
        <v>1415</v>
      </c>
      <c r="N216" s="1">
        <v>83085.64</v>
      </c>
      <c r="O216" s="1">
        <v>2023</v>
      </c>
      <c r="P216" s="1" t="s">
        <v>53</v>
      </c>
      <c r="Q216" s="1" t="s">
        <v>46</v>
      </c>
      <c r="R216" s="1" t="s">
        <v>26</v>
      </c>
      <c r="S216" s="1">
        <f t="shared" si="3"/>
        <v>34</v>
      </c>
      <c r="T216" s="7" t="str">
        <f>_xlfn.TEXTJOIN("_",TRUE,Finance_Data!A216,Finance_Data!B216,Finance_Data!C216,Finance_Data!D216,Finance_Data!E216,Finance_Data!G216,Finance_Data!H216)</f>
        <v>CMP_007_North_USA_Lipstick_Ecommerce_45093_45126</v>
      </c>
    </row>
    <row r="217" spans="1:20" x14ac:dyDescent="0.35">
      <c r="A217" s="6" t="s">
        <v>50</v>
      </c>
      <c r="B217" s="1" t="s">
        <v>48</v>
      </c>
      <c r="C217" s="1" t="s">
        <v>20</v>
      </c>
      <c r="D217" s="1" t="s">
        <v>51</v>
      </c>
      <c r="E217" s="1" t="s">
        <v>22</v>
      </c>
      <c r="F217" s="1" t="s">
        <v>52</v>
      </c>
      <c r="G217" s="2">
        <v>45093</v>
      </c>
      <c r="H217" s="2">
        <v>45121</v>
      </c>
      <c r="I217" s="1">
        <v>18408.259999999998</v>
      </c>
      <c r="J217" s="1">
        <v>0.8075</v>
      </c>
      <c r="K217" s="1">
        <v>14864.67</v>
      </c>
      <c r="L217" s="1">
        <v>745911</v>
      </c>
      <c r="M217" s="1">
        <v>44896</v>
      </c>
      <c r="N217" s="1">
        <v>163768.67000000001</v>
      </c>
      <c r="O217" s="1">
        <v>2023</v>
      </c>
      <c r="P217" s="1" t="s">
        <v>53</v>
      </c>
      <c r="Q217" s="1" t="s">
        <v>46</v>
      </c>
      <c r="R217" s="1" t="s">
        <v>54</v>
      </c>
      <c r="S217" s="1">
        <f t="shared" si="3"/>
        <v>29</v>
      </c>
      <c r="T217" s="7" t="str">
        <f>_xlfn.TEXTJOIN("_",TRUE,Finance_Data!A217,Finance_Data!B217,Finance_Data!C217,Finance_Data!D217,Finance_Data!E217,Finance_Data!G217,Finance_Data!H217)</f>
        <v>CMP_039_South_Singapore_Watch_Retail_45093_45121</v>
      </c>
    </row>
    <row r="218" spans="1:20" x14ac:dyDescent="0.35">
      <c r="A218" s="6" t="s">
        <v>111</v>
      </c>
      <c r="B218" s="1" t="s">
        <v>48</v>
      </c>
      <c r="C218" s="1" t="s">
        <v>69</v>
      </c>
      <c r="D218" s="1" t="s">
        <v>51</v>
      </c>
      <c r="E218" s="1" t="s">
        <v>22</v>
      </c>
      <c r="F218" s="1" t="s">
        <v>23</v>
      </c>
      <c r="G218" s="2">
        <v>45094</v>
      </c>
      <c r="H218" s="2">
        <v>45130</v>
      </c>
      <c r="I218" s="1">
        <v>47697.79</v>
      </c>
      <c r="J218" s="1">
        <v>0.63239999999999996</v>
      </c>
      <c r="K218" s="1">
        <v>30164.080000000002</v>
      </c>
      <c r="L218" s="1">
        <v>831021</v>
      </c>
      <c r="M218" s="1">
        <v>47336</v>
      </c>
      <c r="N218" s="1">
        <v>68515.509999999995</v>
      </c>
      <c r="O218" s="1">
        <v>2023</v>
      </c>
      <c r="P218" s="1" t="s">
        <v>53</v>
      </c>
      <c r="Q218" s="1" t="s">
        <v>46</v>
      </c>
      <c r="R218" s="1" t="s">
        <v>41</v>
      </c>
      <c r="S218" s="1">
        <f t="shared" si="3"/>
        <v>37</v>
      </c>
      <c r="T218" s="7" t="str">
        <f>_xlfn.TEXTJOIN("_",TRUE,Finance_Data!A218,Finance_Data!B218,Finance_Data!C218,Finance_Data!D218,Finance_Data!E218,Finance_Data!G218,Finance_Data!H218)</f>
        <v>CMP_024_South_USA_Watch_Retail_45094_45130</v>
      </c>
    </row>
    <row r="219" spans="1:20" x14ac:dyDescent="0.35">
      <c r="A219" s="6" t="s">
        <v>62</v>
      </c>
      <c r="B219" s="1" t="s">
        <v>48</v>
      </c>
      <c r="C219" s="1" t="s">
        <v>29</v>
      </c>
      <c r="D219" s="1" t="s">
        <v>37</v>
      </c>
      <c r="E219" s="1" t="s">
        <v>22</v>
      </c>
      <c r="F219" s="1" t="s">
        <v>49</v>
      </c>
      <c r="G219" s="2">
        <v>45094</v>
      </c>
      <c r="H219" s="2">
        <v>45111</v>
      </c>
      <c r="I219" s="1">
        <v>12087.38</v>
      </c>
      <c r="J219" s="1">
        <v>0.49619999999999997</v>
      </c>
      <c r="K219" s="1">
        <v>5997.76</v>
      </c>
      <c r="L219" s="1">
        <v>25743</v>
      </c>
      <c r="M219" s="1">
        <v>17785</v>
      </c>
      <c r="N219" s="1">
        <v>237798.52</v>
      </c>
      <c r="O219" s="1">
        <v>2023</v>
      </c>
      <c r="P219" s="1" t="s">
        <v>53</v>
      </c>
      <c r="Q219" s="1" t="s">
        <v>46</v>
      </c>
      <c r="R219" s="1" t="s">
        <v>54</v>
      </c>
      <c r="S219" s="1">
        <f t="shared" si="3"/>
        <v>18</v>
      </c>
      <c r="T219" s="7" t="str">
        <f>_xlfn.TEXTJOIN("_",TRUE,Finance_Data!A219,Finance_Data!B219,Finance_Data!C219,Finance_Data!D219,Finance_Data!E219,Finance_Data!G219,Finance_Data!H219)</f>
        <v>CMP_015_South_Australia_Perfume_Retail_45094_45111</v>
      </c>
    </row>
    <row r="220" spans="1:20" x14ac:dyDescent="0.35">
      <c r="A220" s="6" t="s">
        <v>117</v>
      </c>
      <c r="B220" s="1" t="s">
        <v>19</v>
      </c>
      <c r="C220" s="1" t="s">
        <v>36</v>
      </c>
      <c r="D220" s="1" t="s">
        <v>63</v>
      </c>
      <c r="E220" s="1" t="s">
        <v>30</v>
      </c>
      <c r="F220" s="1" t="s">
        <v>52</v>
      </c>
      <c r="G220" s="2">
        <v>45095</v>
      </c>
      <c r="H220" s="2">
        <v>45133</v>
      </c>
      <c r="I220" s="1">
        <v>36038.99</v>
      </c>
      <c r="J220" s="1">
        <v>0.57389999999999997</v>
      </c>
      <c r="K220" s="1">
        <v>20682.78</v>
      </c>
      <c r="L220" s="1">
        <v>343120</v>
      </c>
      <c r="M220" s="1">
        <v>27382</v>
      </c>
      <c r="N220" s="1">
        <v>48910.32</v>
      </c>
      <c r="O220" s="1">
        <v>2023</v>
      </c>
      <c r="P220" s="1" t="s">
        <v>53</v>
      </c>
      <c r="Q220" s="1" t="s">
        <v>46</v>
      </c>
      <c r="R220" s="1" t="s">
        <v>61</v>
      </c>
      <c r="S220" s="1">
        <f t="shared" si="3"/>
        <v>39</v>
      </c>
      <c r="T220" s="7" t="str">
        <f>_xlfn.TEXTJOIN("_",TRUE,Finance_Data!A220,Finance_Data!B220,Finance_Data!C220,Finance_Data!D220,Finance_Data!E220,Finance_Data!G220,Finance_Data!H220)</f>
        <v>CMP_031_North_India_Skincare_Wholesale_45095_45133</v>
      </c>
    </row>
    <row r="221" spans="1:20" x14ac:dyDescent="0.35">
      <c r="A221" s="6" t="s">
        <v>98</v>
      </c>
      <c r="B221" s="1" t="s">
        <v>35</v>
      </c>
      <c r="C221" s="1" t="s">
        <v>20</v>
      </c>
      <c r="D221" s="1" t="s">
        <v>63</v>
      </c>
      <c r="E221" s="1" t="s">
        <v>22</v>
      </c>
      <c r="F221" s="1" t="s">
        <v>52</v>
      </c>
      <c r="G221" s="2">
        <v>45095</v>
      </c>
      <c r="H221" s="2">
        <v>45103</v>
      </c>
      <c r="I221" s="1">
        <v>40363.620000000003</v>
      </c>
      <c r="J221" s="1">
        <v>0.77949999999999997</v>
      </c>
      <c r="K221" s="1">
        <v>31463.439999999999</v>
      </c>
      <c r="L221" s="1">
        <v>214189</v>
      </c>
      <c r="M221" s="1">
        <v>17789</v>
      </c>
      <c r="N221" s="1">
        <v>31558.22</v>
      </c>
      <c r="O221" s="1">
        <v>2023</v>
      </c>
      <c r="P221" s="1" t="s">
        <v>53</v>
      </c>
      <c r="Q221" s="1" t="s">
        <v>46</v>
      </c>
      <c r="R221" s="1" t="s">
        <v>41</v>
      </c>
      <c r="S221" s="1">
        <f t="shared" si="3"/>
        <v>9</v>
      </c>
      <c r="T221" s="7" t="str">
        <f>_xlfn.TEXTJOIN("_",TRUE,Finance_Data!A221,Finance_Data!B221,Finance_Data!C221,Finance_Data!D221,Finance_Data!E221,Finance_Data!G221,Finance_Data!H221)</f>
        <v>CMP_005_East_Singapore_Skincare_Retail_45095_45103</v>
      </c>
    </row>
    <row r="222" spans="1:20" x14ac:dyDescent="0.35">
      <c r="A222" s="6" t="s">
        <v>27</v>
      </c>
      <c r="B222" s="1" t="s">
        <v>35</v>
      </c>
      <c r="C222" s="1" t="s">
        <v>20</v>
      </c>
      <c r="D222" s="1" t="s">
        <v>43</v>
      </c>
      <c r="E222" s="1" t="s">
        <v>22</v>
      </c>
      <c r="F222" s="1" t="s">
        <v>31</v>
      </c>
      <c r="G222" s="2">
        <v>45096</v>
      </c>
      <c r="H222" s="2">
        <v>45140</v>
      </c>
      <c r="I222" s="1">
        <v>7822.51</v>
      </c>
      <c r="J222" s="1">
        <v>0.25590000000000002</v>
      </c>
      <c r="K222" s="1">
        <v>2001.78</v>
      </c>
      <c r="L222" s="1">
        <v>226995</v>
      </c>
      <c r="M222" s="1">
        <v>3990</v>
      </c>
      <c r="N222" s="1">
        <v>144668.21</v>
      </c>
      <c r="O222" s="1">
        <v>2023</v>
      </c>
      <c r="P222" s="1" t="s">
        <v>53</v>
      </c>
      <c r="Q222" s="1" t="s">
        <v>46</v>
      </c>
      <c r="R222" s="1" t="s">
        <v>41</v>
      </c>
      <c r="S222" s="1">
        <f t="shared" si="3"/>
        <v>45</v>
      </c>
      <c r="T222" s="7" t="str">
        <f>_xlfn.TEXTJOIN("_",TRUE,Finance_Data!A222,Finance_Data!B222,Finance_Data!C222,Finance_Data!D222,Finance_Data!E222,Finance_Data!G222,Finance_Data!H222)</f>
        <v>CMP_035_East_Singapore_Luxury Bag_Retail_45096_45140</v>
      </c>
    </row>
    <row r="223" spans="1:20" x14ac:dyDescent="0.35">
      <c r="A223" s="6" t="s">
        <v>95</v>
      </c>
      <c r="B223" s="1" t="s">
        <v>48</v>
      </c>
      <c r="C223" s="1" t="s">
        <v>58</v>
      </c>
      <c r="D223" s="1" t="s">
        <v>37</v>
      </c>
      <c r="E223" s="1" t="s">
        <v>22</v>
      </c>
      <c r="F223" s="1" t="s">
        <v>44</v>
      </c>
      <c r="G223" s="2">
        <v>45098</v>
      </c>
      <c r="H223" s="2">
        <v>45152</v>
      </c>
      <c r="I223" s="1">
        <v>27360.77</v>
      </c>
      <c r="J223" s="1">
        <v>1.8700000000000001E-2</v>
      </c>
      <c r="K223" s="1">
        <v>511.65</v>
      </c>
      <c r="L223" s="1">
        <v>78652</v>
      </c>
      <c r="M223" s="1">
        <v>13913</v>
      </c>
      <c r="N223" s="1">
        <v>169232.11</v>
      </c>
      <c r="O223" s="1">
        <v>2023</v>
      </c>
      <c r="P223" s="1" t="s">
        <v>53</v>
      </c>
      <c r="Q223" s="1" t="s">
        <v>46</v>
      </c>
      <c r="R223" s="1" t="s">
        <v>54</v>
      </c>
      <c r="S223" s="1">
        <f t="shared" si="3"/>
        <v>55</v>
      </c>
      <c r="T223" s="7" t="str">
        <f>_xlfn.TEXTJOIN("_",TRUE,Finance_Data!A223,Finance_Data!B223,Finance_Data!C223,Finance_Data!D223,Finance_Data!E223,Finance_Data!G223,Finance_Data!H223)</f>
        <v>CMP_050_South_UK_Perfume_Retail_45098_45152</v>
      </c>
    </row>
    <row r="224" spans="1:20" x14ac:dyDescent="0.35">
      <c r="A224" s="6" t="s">
        <v>68</v>
      </c>
      <c r="B224" s="1" t="s">
        <v>48</v>
      </c>
      <c r="C224" s="1" t="s">
        <v>69</v>
      </c>
      <c r="D224" s="1" t="s">
        <v>59</v>
      </c>
      <c r="E224" s="1" t="s">
        <v>22</v>
      </c>
      <c r="F224" s="1" t="s">
        <v>31</v>
      </c>
      <c r="G224" s="2">
        <v>45099</v>
      </c>
      <c r="H224" s="2">
        <v>45140</v>
      </c>
      <c r="I224" s="1">
        <v>22224.66</v>
      </c>
      <c r="J224" s="1">
        <v>0.87209999999999999</v>
      </c>
      <c r="K224" s="1">
        <v>19382.13</v>
      </c>
      <c r="L224" s="1">
        <v>530226</v>
      </c>
      <c r="M224" s="1">
        <v>2032</v>
      </c>
      <c r="N224" s="1">
        <v>98768.71</v>
      </c>
      <c r="O224" s="1">
        <v>2023</v>
      </c>
      <c r="P224" s="1" t="s">
        <v>53</v>
      </c>
      <c r="Q224" s="1" t="s">
        <v>46</v>
      </c>
      <c r="R224" s="1" t="s">
        <v>41</v>
      </c>
      <c r="S224" s="1">
        <f t="shared" si="3"/>
        <v>42</v>
      </c>
      <c r="T224" s="7" t="str">
        <f>_xlfn.TEXTJOIN("_",TRUE,Finance_Data!A224,Finance_Data!B224,Finance_Data!C224,Finance_Data!D224,Finance_Data!E224,Finance_Data!G224,Finance_Data!H224)</f>
        <v>CMP_028_South_USA_Lipstick_Retail_45099_45140</v>
      </c>
    </row>
    <row r="225" spans="1:20" x14ac:dyDescent="0.35">
      <c r="A225" s="6" t="s">
        <v>110</v>
      </c>
      <c r="B225" s="1" t="s">
        <v>19</v>
      </c>
      <c r="C225" s="1" t="s">
        <v>20</v>
      </c>
      <c r="D225" s="1" t="s">
        <v>59</v>
      </c>
      <c r="E225" s="1" t="s">
        <v>30</v>
      </c>
      <c r="F225" s="1" t="s">
        <v>23</v>
      </c>
      <c r="G225" s="2">
        <v>45101</v>
      </c>
      <c r="H225" s="2">
        <v>45141</v>
      </c>
      <c r="I225" s="1">
        <v>10494.74</v>
      </c>
      <c r="J225" s="1">
        <v>0.88919999999999999</v>
      </c>
      <c r="K225" s="1">
        <v>9331.92</v>
      </c>
      <c r="L225" s="1">
        <v>714827</v>
      </c>
      <c r="M225" s="1">
        <v>44820</v>
      </c>
      <c r="N225" s="1">
        <v>152728.26999999999</v>
      </c>
      <c r="O225" s="1">
        <v>2023</v>
      </c>
      <c r="P225" s="1" t="s">
        <v>53</v>
      </c>
      <c r="Q225" s="1" t="s">
        <v>46</v>
      </c>
      <c r="R225" s="1" t="s">
        <v>61</v>
      </c>
      <c r="S225" s="1">
        <f t="shared" si="3"/>
        <v>41</v>
      </c>
      <c r="T225" s="7" t="str">
        <f>_xlfn.TEXTJOIN("_",TRUE,Finance_Data!A225,Finance_Data!B225,Finance_Data!C225,Finance_Data!D225,Finance_Data!E225,Finance_Data!G225,Finance_Data!H225)</f>
        <v>CMP_012_North_Singapore_Lipstick_Wholesale_45101_45141</v>
      </c>
    </row>
    <row r="226" spans="1:20" x14ac:dyDescent="0.35">
      <c r="A226" s="6" t="s">
        <v>47</v>
      </c>
      <c r="B226" s="1" t="s">
        <v>19</v>
      </c>
      <c r="C226" s="1" t="s">
        <v>29</v>
      </c>
      <c r="D226" s="1" t="s">
        <v>21</v>
      </c>
      <c r="E226" s="1" t="s">
        <v>30</v>
      </c>
      <c r="F226" s="1" t="s">
        <v>49</v>
      </c>
      <c r="G226" s="2">
        <v>45102</v>
      </c>
      <c r="H226" s="2">
        <v>45158</v>
      </c>
      <c r="I226" s="1">
        <v>47433.1</v>
      </c>
      <c r="J226" s="1">
        <v>0.5575</v>
      </c>
      <c r="K226" s="1">
        <v>26443.95</v>
      </c>
      <c r="L226" s="1">
        <v>733108</v>
      </c>
      <c r="M226" s="1">
        <v>23814</v>
      </c>
      <c r="N226" s="1">
        <v>26591.82</v>
      </c>
      <c r="O226" s="1">
        <v>2023</v>
      </c>
      <c r="P226" s="1" t="s">
        <v>53</v>
      </c>
      <c r="Q226" s="1" t="s">
        <v>46</v>
      </c>
      <c r="R226" s="1" t="s">
        <v>26</v>
      </c>
      <c r="S226" s="1">
        <f t="shared" si="3"/>
        <v>57</v>
      </c>
      <c r="T226" s="7" t="str">
        <f>_xlfn.TEXTJOIN("_",TRUE,Finance_Data!A226,Finance_Data!B226,Finance_Data!C226,Finance_Data!D226,Finance_Data!E226,Finance_Data!G226,Finance_Data!H226)</f>
        <v>CMP_055_North_Australia_Foundation_Wholesale_45102_45158</v>
      </c>
    </row>
    <row r="227" spans="1:20" x14ac:dyDescent="0.35">
      <c r="A227" s="6" t="s">
        <v>97</v>
      </c>
      <c r="B227" s="1" t="s">
        <v>28</v>
      </c>
      <c r="C227" s="1" t="s">
        <v>29</v>
      </c>
      <c r="D227" s="1" t="s">
        <v>43</v>
      </c>
      <c r="E227" s="1" t="s">
        <v>22</v>
      </c>
      <c r="F227" s="1" t="s">
        <v>44</v>
      </c>
      <c r="G227" s="2">
        <v>45102</v>
      </c>
      <c r="H227" s="2">
        <v>45157</v>
      </c>
      <c r="I227" s="1">
        <v>13740.37</v>
      </c>
      <c r="J227" s="1">
        <v>0.58620000000000005</v>
      </c>
      <c r="K227" s="1">
        <v>8054.6</v>
      </c>
      <c r="L227" s="1">
        <v>312143</v>
      </c>
      <c r="M227" s="1">
        <v>3201</v>
      </c>
      <c r="N227" s="1">
        <v>41342.89</v>
      </c>
      <c r="O227" s="1">
        <v>2023</v>
      </c>
      <c r="P227" s="1" t="s">
        <v>53</v>
      </c>
      <c r="Q227" s="1" t="s">
        <v>46</v>
      </c>
      <c r="R227" s="1" t="s">
        <v>41</v>
      </c>
      <c r="S227" s="1">
        <f t="shared" si="3"/>
        <v>56</v>
      </c>
      <c r="T227" s="7" t="str">
        <f>_xlfn.TEXTJOIN("_",TRUE,Finance_Data!A227,Finance_Data!B227,Finance_Data!C227,Finance_Data!D227,Finance_Data!E227,Finance_Data!G227,Finance_Data!H227)</f>
        <v>CMP_019_West_Australia_Luxury Bag_Retail_45102_45157</v>
      </c>
    </row>
    <row r="228" spans="1:20" x14ac:dyDescent="0.35">
      <c r="A228" s="6" t="s">
        <v>96</v>
      </c>
      <c r="B228" s="1" t="s">
        <v>28</v>
      </c>
      <c r="C228" s="1" t="s">
        <v>36</v>
      </c>
      <c r="D228" s="1" t="s">
        <v>21</v>
      </c>
      <c r="E228" s="1" t="s">
        <v>22</v>
      </c>
      <c r="F228" s="1" t="s">
        <v>52</v>
      </c>
      <c r="G228" s="2">
        <v>45102</v>
      </c>
      <c r="H228" s="2">
        <v>45127</v>
      </c>
      <c r="I228" s="1">
        <v>43125.66</v>
      </c>
      <c r="J228" s="1">
        <v>0.49890000000000001</v>
      </c>
      <c r="K228" s="1">
        <v>21515.39</v>
      </c>
      <c r="L228" s="1">
        <v>174663</v>
      </c>
      <c r="M228" s="1">
        <v>7357</v>
      </c>
      <c r="N228" s="1">
        <v>36638.730000000003</v>
      </c>
      <c r="O228" s="1">
        <v>2023</v>
      </c>
      <c r="P228" s="1" t="s">
        <v>53</v>
      </c>
      <c r="Q228" s="1" t="s">
        <v>46</v>
      </c>
      <c r="R228" s="1" t="s">
        <v>61</v>
      </c>
      <c r="S228" s="1">
        <f t="shared" si="3"/>
        <v>26</v>
      </c>
      <c r="T228" s="7" t="str">
        <f>_xlfn.TEXTJOIN("_",TRUE,Finance_Data!A228,Finance_Data!B228,Finance_Data!C228,Finance_Data!D228,Finance_Data!E228,Finance_Data!G228,Finance_Data!H228)</f>
        <v>CMP_027_West_India_Foundation_Retail_45102_45127</v>
      </c>
    </row>
    <row r="229" spans="1:20" x14ac:dyDescent="0.35">
      <c r="A229" s="6" t="s">
        <v>111</v>
      </c>
      <c r="B229" s="1" t="s">
        <v>48</v>
      </c>
      <c r="C229" s="1" t="s">
        <v>58</v>
      </c>
      <c r="D229" s="1" t="s">
        <v>21</v>
      </c>
      <c r="E229" s="1" t="s">
        <v>30</v>
      </c>
      <c r="F229" s="1" t="s">
        <v>52</v>
      </c>
      <c r="G229" s="2">
        <v>45104</v>
      </c>
      <c r="H229" s="2">
        <v>45152</v>
      </c>
      <c r="I229" s="1">
        <v>30058</v>
      </c>
      <c r="J229" s="1">
        <v>0.39979999999999999</v>
      </c>
      <c r="K229" s="1">
        <v>12017.19</v>
      </c>
      <c r="L229" s="1">
        <v>305485</v>
      </c>
      <c r="M229" s="1">
        <v>13119</v>
      </c>
      <c r="N229" s="1">
        <v>25677.74</v>
      </c>
      <c r="O229" s="1">
        <v>2023</v>
      </c>
      <c r="P229" s="1" t="s">
        <v>53</v>
      </c>
      <c r="Q229" s="1" t="s">
        <v>46</v>
      </c>
      <c r="R229" s="1" t="s">
        <v>26</v>
      </c>
      <c r="S229" s="1">
        <f t="shared" si="3"/>
        <v>49</v>
      </c>
      <c r="T229" s="7" t="str">
        <f>_xlfn.TEXTJOIN("_",TRUE,Finance_Data!A229,Finance_Data!B229,Finance_Data!C229,Finance_Data!D229,Finance_Data!E229,Finance_Data!G229,Finance_Data!H229)</f>
        <v>CMP_024_South_UK_Foundation_Wholesale_45104_45152</v>
      </c>
    </row>
    <row r="230" spans="1:20" x14ac:dyDescent="0.35">
      <c r="A230" s="6" t="s">
        <v>71</v>
      </c>
      <c r="B230" s="1" t="s">
        <v>35</v>
      </c>
      <c r="C230" s="1" t="s">
        <v>29</v>
      </c>
      <c r="D230" s="1" t="s">
        <v>59</v>
      </c>
      <c r="E230" s="1" t="s">
        <v>30</v>
      </c>
      <c r="F230" s="1" t="s">
        <v>49</v>
      </c>
      <c r="G230" s="2">
        <v>45104</v>
      </c>
      <c r="H230" s="2">
        <v>45121</v>
      </c>
      <c r="I230" s="1">
        <v>34665.82</v>
      </c>
      <c r="J230" s="1">
        <v>1.0659000000000001</v>
      </c>
      <c r="K230" s="1">
        <v>36950.300000000003</v>
      </c>
      <c r="L230" s="1">
        <v>304736</v>
      </c>
      <c r="M230" s="1">
        <v>25844</v>
      </c>
      <c r="N230" s="1">
        <v>30209.18</v>
      </c>
      <c r="O230" s="1">
        <v>2023</v>
      </c>
      <c r="P230" s="1" t="s">
        <v>53</v>
      </c>
      <c r="Q230" s="1" t="s">
        <v>46</v>
      </c>
      <c r="R230" s="1" t="s">
        <v>54</v>
      </c>
      <c r="S230" s="1">
        <f t="shared" si="3"/>
        <v>18</v>
      </c>
      <c r="T230" s="7" t="str">
        <f>_xlfn.TEXTJOIN("_",TRUE,Finance_Data!A230,Finance_Data!B230,Finance_Data!C230,Finance_Data!D230,Finance_Data!E230,Finance_Data!G230,Finance_Data!H230)</f>
        <v>CMP_051_East_Australia_Lipstick_Wholesale_45104_45121</v>
      </c>
    </row>
    <row r="231" spans="1:20" x14ac:dyDescent="0.35">
      <c r="A231" s="6" t="s">
        <v>114</v>
      </c>
      <c r="B231" s="1" t="s">
        <v>19</v>
      </c>
      <c r="C231" s="1" t="s">
        <v>29</v>
      </c>
      <c r="D231" s="1" t="s">
        <v>63</v>
      </c>
      <c r="E231" s="1" t="s">
        <v>22</v>
      </c>
      <c r="F231" s="1" t="s">
        <v>23</v>
      </c>
      <c r="G231" s="2">
        <v>45105</v>
      </c>
      <c r="H231" s="2">
        <v>45124</v>
      </c>
      <c r="I231" s="1">
        <v>44383.73</v>
      </c>
      <c r="J231" s="1">
        <v>0.86539999999999995</v>
      </c>
      <c r="K231" s="1">
        <v>38409.68</v>
      </c>
      <c r="L231" s="1">
        <v>366324</v>
      </c>
      <c r="M231" s="1">
        <v>36440</v>
      </c>
      <c r="N231" s="1">
        <v>65261.24</v>
      </c>
      <c r="O231" s="1">
        <v>2023</v>
      </c>
      <c r="P231" s="1" t="s">
        <v>53</v>
      </c>
      <c r="Q231" s="1" t="s">
        <v>46</v>
      </c>
      <c r="R231" s="1" t="s">
        <v>61</v>
      </c>
      <c r="S231" s="1">
        <f t="shared" si="3"/>
        <v>20</v>
      </c>
      <c r="T231" s="7" t="str">
        <f>_xlfn.TEXTJOIN("_",TRUE,Finance_Data!A231,Finance_Data!B231,Finance_Data!C231,Finance_Data!D231,Finance_Data!E231,Finance_Data!G231,Finance_Data!H231)</f>
        <v>CMP_013_North_Australia_Skincare_Retail_45105_45124</v>
      </c>
    </row>
    <row r="232" spans="1:20" x14ac:dyDescent="0.35">
      <c r="A232" s="6" t="s">
        <v>27</v>
      </c>
      <c r="B232" s="1" t="s">
        <v>35</v>
      </c>
      <c r="C232" s="1" t="s">
        <v>36</v>
      </c>
      <c r="D232" s="1" t="s">
        <v>63</v>
      </c>
      <c r="E232" s="1" t="s">
        <v>30</v>
      </c>
      <c r="F232" s="1" t="s">
        <v>49</v>
      </c>
      <c r="G232" s="2">
        <v>45106</v>
      </c>
      <c r="H232" s="2">
        <v>45124</v>
      </c>
      <c r="I232" s="1">
        <v>48526.25</v>
      </c>
      <c r="J232" s="1">
        <v>0.53300000000000003</v>
      </c>
      <c r="K232" s="1">
        <v>25864.49</v>
      </c>
      <c r="L232" s="1">
        <v>276659</v>
      </c>
      <c r="M232" s="1">
        <v>38732</v>
      </c>
      <c r="N232" s="1">
        <v>18701.72</v>
      </c>
      <c r="O232" s="1">
        <v>2023</v>
      </c>
      <c r="P232" s="1" t="s">
        <v>53</v>
      </c>
      <c r="Q232" s="1" t="s">
        <v>46</v>
      </c>
      <c r="R232" s="1" t="s">
        <v>54</v>
      </c>
      <c r="S232" s="1">
        <f t="shared" si="3"/>
        <v>19</v>
      </c>
      <c r="T232" s="7" t="str">
        <f>_xlfn.TEXTJOIN("_",TRUE,Finance_Data!A232,Finance_Data!B232,Finance_Data!C232,Finance_Data!D232,Finance_Data!E232,Finance_Data!G232,Finance_Data!H232)</f>
        <v>CMP_035_East_India_Skincare_Wholesale_45106_45124</v>
      </c>
    </row>
    <row r="233" spans="1:20" x14ac:dyDescent="0.35">
      <c r="A233" s="6" t="s">
        <v>106</v>
      </c>
      <c r="B233" s="1" t="s">
        <v>28</v>
      </c>
      <c r="C233" s="1" t="s">
        <v>58</v>
      </c>
      <c r="D233" s="1" t="s">
        <v>43</v>
      </c>
      <c r="E233" s="1" t="s">
        <v>38</v>
      </c>
      <c r="F233" s="1" t="s">
        <v>52</v>
      </c>
      <c r="G233" s="2">
        <v>45107</v>
      </c>
      <c r="H233" s="2">
        <v>45141</v>
      </c>
      <c r="I233" s="1">
        <v>47859.46</v>
      </c>
      <c r="J233" s="1">
        <v>0.79610000000000003</v>
      </c>
      <c r="K233" s="1">
        <v>38100.92</v>
      </c>
      <c r="L233" s="1">
        <v>374462</v>
      </c>
      <c r="M233" s="1">
        <v>45776</v>
      </c>
      <c r="N233" s="1">
        <v>102531.88</v>
      </c>
      <c r="O233" s="1">
        <v>2023</v>
      </c>
      <c r="P233" s="1" t="s">
        <v>53</v>
      </c>
      <c r="Q233" s="1" t="s">
        <v>46</v>
      </c>
      <c r="R233" s="1" t="s">
        <v>26</v>
      </c>
      <c r="S233" s="1">
        <f t="shared" si="3"/>
        <v>35</v>
      </c>
      <c r="T233" s="7" t="str">
        <f>_xlfn.TEXTJOIN("_",TRUE,Finance_Data!A233,Finance_Data!B233,Finance_Data!C233,Finance_Data!D233,Finance_Data!E233,Finance_Data!G233,Finance_Data!H233)</f>
        <v>CMP_009_West_UK_Luxury Bag_Ecommerce_45107_45141</v>
      </c>
    </row>
    <row r="234" spans="1:20" x14ac:dyDescent="0.35">
      <c r="A234" s="6" t="s">
        <v>86</v>
      </c>
      <c r="B234" s="1" t="s">
        <v>35</v>
      </c>
      <c r="C234" s="1" t="s">
        <v>20</v>
      </c>
      <c r="D234" s="1" t="s">
        <v>43</v>
      </c>
      <c r="E234" s="1" t="s">
        <v>22</v>
      </c>
      <c r="F234" s="1" t="s">
        <v>44</v>
      </c>
      <c r="G234" s="2">
        <v>45107</v>
      </c>
      <c r="H234" s="2">
        <v>45127</v>
      </c>
      <c r="I234" s="1">
        <v>30033.46</v>
      </c>
      <c r="J234" s="1">
        <v>0.96940000000000004</v>
      </c>
      <c r="K234" s="1">
        <v>29114.44</v>
      </c>
      <c r="L234" s="1">
        <v>741514</v>
      </c>
      <c r="M234" s="1">
        <v>23613</v>
      </c>
      <c r="N234" s="1">
        <v>228925.1</v>
      </c>
      <c r="O234" s="1">
        <v>2023</v>
      </c>
      <c r="P234" s="1" t="s">
        <v>53</v>
      </c>
      <c r="Q234" s="1" t="s">
        <v>46</v>
      </c>
      <c r="R234" s="1" t="s">
        <v>61</v>
      </c>
      <c r="S234" s="1">
        <f t="shared" si="3"/>
        <v>21</v>
      </c>
      <c r="T234" s="7" t="str">
        <f>_xlfn.TEXTJOIN("_",TRUE,Finance_Data!A234,Finance_Data!B234,Finance_Data!C234,Finance_Data!D234,Finance_Data!E234,Finance_Data!G234,Finance_Data!H234)</f>
        <v>CMP_002_East_Singapore_Luxury Bag_Retail_45107_45127</v>
      </c>
    </row>
    <row r="235" spans="1:20" x14ac:dyDescent="0.35">
      <c r="A235" s="6" t="s">
        <v>85</v>
      </c>
      <c r="B235" s="1" t="s">
        <v>48</v>
      </c>
      <c r="C235" s="1" t="s">
        <v>69</v>
      </c>
      <c r="D235" s="1" t="s">
        <v>59</v>
      </c>
      <c r="E235" s="1" t="s">
        <v>22</v>
      </c>
      <c r="F235" s="1" t="s">
        <v>44</v>
      </c>
      <c r="G235" s="2">
        <v>45109</v>
      </c>
      <c r="H235" s="2">
        <v>45138</v>
      </c>
      <c r="I235" s="1">
        <v>19300.77</v>
      </c>
      <c r="J235" s="1">
        <v>0.55469999999999997</v>
      </c>
      <c r="K235" s="1">
        <v>10706.14</v>
      </c>
      <c r="L235" s="1">
        <v>213586</v>
      </c>
      <c r="M235" s="1">
        <v>41520</v>
      </c>
      <c r="N235" s="1">
        <v>92854.6</v>
      </c>
      <c r="O235" s="1">
        <v>2023</v>
      </c>
      <c r="P235" s="1" t="s">
        <v>80</v>
      </c>
      <c r="Q235" s="1" t="s">
        <v>33</v>
      </c>
      <c r="R235" s="1" t="s">
        <v>26</v>
      </c>
      <c r="S235" s="1">
        <f t="shared" si="3"/>
        <v>30</v>
      </c>
      <c r="T235" s="7" t="str">
        <f>_xlfn.TEXTJOIN("_",TRUE,Finance_Data!A235,Finance_Data!B235,Finance_Data!C235,Finance_Data!D235,Finance_Data!E235,Finance_Data!G235,Finance_Data!H235)</f>
        <v>CMP_018_South_USA_Lipstick_Retail_45109_45138</v>
      </c>
    </row>
    <row r="236" spans="1:20" x14ac:dyDescent="0.35">
      <c r="A236" s="6" t="s">
        <v>101</v>
      </c>
      <c r="B236" s="1" t="s">
        <v>19</v>
      </c>
      <c r="C236" s="1" t="s">
        <v>58</v>
      </c>
      <c r="D236" s="1" t="s">
        <v>51</v>
      </c>
      <c r="E236" s="1" t="s">
        <v>22</v>
      </c>
      <c r="F236" s="1" t="s">
        <v>52</v>
      </c>
      <c r="G236" s="2">
        <v>45110</v>
      </c>
      <c r="H236" s="2">
        <v>45154</v>
      </c>
      <c r="I236" s="1">
        <v>36928.949999999997</v>
      </c>
      <c r="J236" s="1">
        <v>0.55479999999999996</v>
      </c>
      <c r="K236" s="1">
        <v>20488.18</v>
      </c>
      <c r="L236" s="1">
        <v>965077</v>
      </c>
      <c r="M236" s="1">
        <v>43293</v>
      </c>
      <c r="N236" s="1">
        <v>49943.86</v>
      </c>
      <c r="O236" s="1">
        <v>2023</v>
      </c>
      <c r="P236" s="1" t="s">
        <v>80</v>
      </c>
      <c r="Q236" s="1" t="s">
        <v>33</v>
      </c>
      <c r="R236" s="1" t="s">
        <v>61</v>
      </c>
      <c r="S236" s="1">
        <f t="shared" si="3"/>
        <v>45</v>
      </c>
      <c r="T236" s="7" t="str">
        <f>_xlfn.TEXTJOIN("_",TRUE,Finance_Data!A236,Finance_Data!B236,Finance_Data!C236,Finance_Data!D236,Finance_Data!E236,Finance_Data!G236,Finance_Data!H236)</f>
        <v>CMP_037_North_UK_Watch_Retail_45110_45154</v>
      </c>
    </row>
    <row r="237" spans="1:20" x14ac:dyDescent="0.35">
      <c r="A237" s="6" t="s">
        <v>88</v>
      </c>
      <c r="B237" s="1" t="s">
        <v>48</v>
      </c>
      <c r="C237" s="1" t="s">
        <v>36</v>
      </c>
      <c r="D237" s="1" t="s">
        <v>37</v>
      </c>
      <c r="E237" s="1" t="s">
        <v>22</v>
      </c>
      <c r="F237" s="1" t="s">
        <v>49</v>
      </c>
      <c r="G237" s="2">
        <v>45110</v>
      </c>
      <c r="H237" s="2">
        <v>45144</v>
      </c>
      <c r="I237" s="1">
        <v>29925.46</v>
      </c>
      <c r="J237" s="1">
        <v>0.85799999999999998</v>
      </c>
      <c r="K237" s="1">
        <v>25676.04</v>
      </c>
      <c r="L237" s="1">
        <v>221741</v>
      </c>
      <c r="M237" s="1">
        <v>29898</v>
      </c>
      <c r="N237" s="1">
        <v>27094.02</v>
      </c>
      <c r="O237" s="1">
        <v>2023</v>
      </c>
      <c r="P237" s="1" t="s">
        <v>80</v>
      </c>
      <c r="Q237" s="1" t="s">
        <v>33</v>
      </c>
      <c r="R237" s="1" t="s">
        <v>41</v>
      </c>
      <c r="S237" s="1">
        <f t="shared" si="3"/>
        <v>35</v>
      </c>
      <c r="T237" s="7" t="str">
        <f>_xlfn.TEXTJOIN("_",TRUE,Finance_Data!A237,Finance_Data!B237,Finance_Data!C237,Finance_Data!D237,Finance_Data!E237,Finance_Data!G237,Finance_Data!H237)</f>
        <v>CMP_021_South_India_Perfume_Retail_45110_45144</v>
      </c>
    </row>
    <row r="238" spans="1:20" x14ac:dyDescent="0.35">
      <c r="A238" s="6" t="s">
        <v>117</v>
      </c>
      <c r="B238" s="1" t="s">
        <v>35</v>
      </c>
      <c r="C238" s="1" t="s">
        <v>20</v>
      </c>
      <c r="D238" s="1" t="s">
        <v>21</v>
      </c>
      <c r="E238" s="1" t="s">
        <v>30</v>
      </c>
      <c r="F238" s="1" t="s">
        <v>44</v>
      </c>
      <c r="G238" s="2">
        <v>45110</v>
      </c>
      <c r="H238" s="2">
        <v>45135</v>
      </c>
      <c r="I238" s="1">
        <v>35911.86</v>
      </c>
      <c r="J238" s="1">
        <v>0.63529999999999998</v>
      </c>
      <c r="K238" s="1">
        <v>22814.799999999999</v>
      </c>
      <c r="L238" s="1">
        <v>516773</v>
      </c>
      <c r="M238" s="1">
        <v>47000</v>
      </c>
      <c r="N238" s="1">
        <v>239159.21</v>
      </c>
      <c r="O238" s="1">
        <v>2023</v>
      </c>
      <c r="P238" s="1" t="s">
        <v>80</v>
      </c>
      <c r="Q238" s="1" t="s">
        <v>33</v>
      </c>
      <c r="R238" s="1" t="s">
        <v>26</v>
      </c>
      <c r="S238" s="1">
        <f t="shared" si="3"/>
        <v>26</v>
      </c>
      <c r="T238" s="7" t="str">
        <f>_xlfn.TEXTJOIN("_",TRUE,Finance_Data!A238,Finance_Data!B238,Finance_Data!C238,Finance_Data!D238,Finance_Data!E238,Finance_Data!G238,Finance_Data!H238)</f>
        <v>CMP_031_East_Singapore_Foundation_Wholesale_45110_45135</v>
      </c>
    </row>
    <row r="239" spans="1:20" x14ac:dyDescent="0.35">
      <c r="A239" s="6" t="s">
        <v>66</v>
      </c>
      <c r="B239" s="1" t="s">
        <v>19</v>
      </c>
      <c r="C239" s="1" t="s">
        <v>69</v>
      </c>
      <c r="D239" s="1" t="s">
        <v>37</v>
      </c>
      <c r="E239" s="1" t="s">
        <v>30</v>
      </c>
      <c r="F239" s="1" t="s">
        <v>44</v>
      </c>
      <c r="G239" s="2">
        <v>45111</v>
      </c>
      <c r="H239" s="2">
        <v>45129</v>
      </c>
      <c r="I239" s="1">
        <v>17744.88</v>
      </c>
      <c r="J239" s="1">
        <v>0.92169999999999996</v>
      </c>
      <c r="K239" s="1">
        <v>16355.46</v>
      </c>
      <c r="L239" s="1">
        <v>211332</v>
      </c>
      <c r="M239" s="1">
        <v>14946</v>
      </c>
      <c r="N239" s="1">
        <v>249994.27</v>
      </c>
      <c r="O239" s="1">
        <v>2023</v>
      </c>
      <c r="P239" s="1" t="s">
        <v>80</v>
      </c>
      <c r="Q239" s="1" t="s">
        <v>33</v>
      </c>
      <c r="R239" s="1" t="s">
        <v>26</v>
      </c>
      <c r="S239" s="1">
        <f t="shared" si="3"/>
        <v>19</v>
      </c>
      <c r="T239" s="7" t="str">
        <f>_xlfn.TEXTJOIN("_",TRUE,Finance_Data!A239,Finance_Data!B239,Finance_Data!C239,Finance_Data!D239,Finance_Data!E239,Finance_Data!G239,Finance_Data!H239)</f>
        <v>CMP_010_North_USA_Perfume_Wholesale_45111_45129</v>
      </c>
    </row>
    <row r="240" spans="1:20" x14ac:dyDescent="0.35">
      <c r="A240" s="6" t="s">
        <v>102</v>
      </c>
      <c r="B240" s="1" t="s">
        <v>35</v>
      </c>
      <c r="C240" s="1" t="s">
        <v>36</v>
      </c>
      <c r="D240" s="1" t="s">
        <v>59</v>
      </c>
      <c r="E240" s="1" t="s">
        <v>38</v>
      </c>
      <c r="F240" s="1" t="s">
        <v>49</v>
      </c>
      <c r="G240" s="2">
        <v>45112</v>
      </c>
      <c r="H240" s="2">
        <v>45154</v>
      </c>
      <c r="I240" s="1">
        <v>22358.36</v>
      </c>
      <c r="J240" s="1">
        <v>0.97899999999999998</v>
      </c>
      <c r="K240" s="1">
        <v>21888.83</v>
      </c>
      <c r="L240" s="1">
        <v>105674</v>
      </c>
      <c r="M240" s="1">
        <v>30902</v>
      </c>
      <c r="N240" s="1">
        <v>90250.46</v>
      </c>
      <c r="O240" s="1">
        <v>2023</v>
      </c>
      <c r="P240" s="1" t="s">
        <v>80</v>
      </c>
      <c r="Q240" s="1" t="s">
        <v>33</v>
      </c>
      <c r="R240" s="1" t="s">
        <v>54</v>
      </c>
      <c r="S240" s="1">
        <f t="shared" si="3"/>
        <v>43</v>
      </c>
      <c r="T240" s="7" t="str">
        <f>_xlfn.TEXTJOIN("_",TRUE,Finance_Data!A240,Finance_Data!B240,Finance_Data!C240,Finance_Data!D240,Finance_Data!E240,Finance_Data!G240,Finance_Data!H240)</f>
        <v>CMP_022_East_India_Lipstick_Ecommerce_45112_45154</v>
      </c>
    </row>
    <row r="241" spans="1:20" x14ac:dyDescent="0.35">
      <c r="A241" s="6" t="s">
        <v>93</v>
      </c>
      <c r="B241" s="1" t="s">
        <v>19</v>
      </c>
      <c r="C241" s="1" t="s">
        <v>69</v>
      </c>
      <c r="D241" s="1" t="s">
        <v>43</v>
      </c>
      <c r="E241" s="1" t="s">
        <v>22</v>
      </c>
      <c r="F241" s="1" t="s">
        <v>49</v>
      </c>
      <c r="G241" s="2">
        <v>45113</v>
      </c>
      <c r="H241" s="2">
        <v>45129</v>
      </c>
      <c r="I241" s="1">
        <v>42127.25</v>
      </c>
      <c r="J241" s="1">
        <v>0.83450000000000002</v>
      </c>
      <c r="K241" s="1">
        <v>35155.19</v>
      </c>
      <c r="L241" s="1">
        <v>708724</v>
      </c>
      <c r="M241" s="1">
        <v>10158</v>
      </c>
      <c r="N241" s="1">
        <v>44507.4</v>
      </c>
      <c r="O241" s="1">
        <v>2023</v>
      </c>
      <c r="P241" s="1" t="s">
        <v>80</v>
      </c>
      <c r="Q241" s="1" t="s">
        <v>33</v>
      </c>
      <c r="R241" s="1" t="s">
        <v>41</v>
      </c>
      <c r="S241" s="1">
        <f t="shared" si="3"/>
        <v>17</v>
      </c>
      <c r="T241" s="7" t="str">
        <f>_xlfn.TEXTJOIN("_",TRUE,Finance_Data!A241,Finance_Data!B241,Finance_Data!C241,Finance_Data!D241,Finance_Data!E241,Finance_Data!G241,Finance_Data!H241)</f>
        <v>CMP_008_North_USA_Luxury Bag_Retail_45113_45129</v>
      </c>
    </row>
    <row r="242" spans="1:20" x14ac:dyDescent="0.35">
      <c r="A242" s="6" t="s">
        <v>105</v>
      </c>
      <c r="B242" s="1" t="s">
        <v>28</v>
      </c>
      <c r="C242" s="1" t="s">
        <v>29</v>
      </c>
      <c r="D242" s="1" t="s">
        <v>21</v>
      </c>
      <c r="E242" s="1" t="s">
        <v>30</v>
      </c>
      <c r="F242" s="1" t="s">
        <v>44</v>
      </c>
      <c r="G242" s="2">
        <v>45114</v>
      </c>
      <c r="H242" s="2">
        <v>45142</v>
      </c>
      <c r="I242" s="1">
        <v>34978.39</v>
      </c>
      <c r="J242" s="1">
        <v>0.6179</v>
      </c>
      <c r="K242" s="1">
        <v>21613.15</v>
      </c>
      <c r="L242" s="1">
        <v>448555</v>
      </c>
      <c r="M242" s="1">
        <v>39187</v>
      </c>
      <c r="N242" s="1">
        <v>38777.49</v>
      </c>
      <c r="O242" s="1">
        <v>2023</v>
      </c>
      <c r="P242" s="1" t="s">
        <v>80</v>
      </c>
      <c r="Q242" s="1" t="s">
        <v>33</v>
      </c>
      <c r="R242" s="1" t="s">
        <v>61</v>
      </c>
      <c r="S242" s="1">
        <f t="shared" si="3"/>
        <v>29</v>
      </c>
      <c r="T242" s="7" t="str">
        <f>_xlfn.TEXTJOIN("_",TRUE,Finance_Data!A242,Finance_Data!B242,Finance_Data!C242,Finance_Data!D242,Finance_Data!E242,Finance_Data!G242,Finance_Data!H242)</f>
        <v>CMP_025_West_Australia_Foundation_Wholesale_45114_45142</v>
      </c>
    </row>
    <row r="243" spans="1:20" x14ac:dyDescent="0.35">
      <c r="A243" s="6" t="s">
        <v>89</v>
      </c>
      <c r="B243" s="1" t="s">
        <v>19</v>
      </c>
      <c r="C243" s="1" t="s">
        <v>29</v>
      </c>
      <c r="D243" s="1" t="s">
        <v>59</v>
      </c>
      <c r="E243" s="1" t="s">
        <v>38</v>
      </c>
      <c r="F243" s="1" t="s">
        <v>23</v>
      </c>
      <c r="G243" s="2">
        <v>45115</v>
      </c>
      <c r="H243" s="2">
        <v>45174</v>
      </c>
      <c r="I243" s="1">
        <v>2131.9499999999998</v>
      </c>
      <c r="J243" s="1">
        <v>0.876</v>
      </c>
      <c r="K243" s="1">
        <v>1867.59</v>
      </c>
      <c r="L243" s="1">
        <v>704180</v>
      </c>
      <c r="M243" s="1">
        <v>16591</v>
      </c>
      <c r="N243" s="1">
        <v>235407.15</v>
      </c>
      <c r="O243" s="1">
        <v>2023</v>
      </c>
      <c r="P243" s="1" t="s">
        <v>80</v>
      </c>
      <c r="Q243" s="1" t="s">
        <v>33</v>
      </c>
      <c r="R243" s="1" t="s">
        <v>26</v>
      </c>
      <c r="S243" s="1">
        <f t="shared" si="3"/>
        <v>60</v>
      </c>
      <c r="T243" s="7" t="str">
        <f>_xlfn.TEXTJOIN("_",TRUE,Finance_Data!A243,Finance_Data!B243,Finance_Data!C243,Finance_Data!D243,Finance_Data!E243,Finance_Data!G243,Finance_Data!H243)</f>
        <v>CMP_045_North_Australia_Lipstick_Ecommerce_45115_45174</v>
      </c>
    </row>
    <row r="244" spans="1:20" x14ac:dyDescent="0.35">
      <c r="A244" s="6" t="s">
        <v>96</v>
      </c>
      <c r="B244" s="1" t="s">
        <v>28</v>
      </c>
      <c r="C244" s="1" t="s">
        <v>69</v>
      </c>
      <c r="D244" s="1" t="s">
        <v>21</v>
      </c>
      <c r="E244" s="1" t="s">
        <v>30</v>
      </c>
      <c r="F244" s="1" t="s">
        <v>31</v>
      </c>
      <c r="G244" s="2">
        <v>45115</v>
      </c>
      <c r="H244" s="2">
        <v>45140</v>
      </c>
      <c r="I244" s="1">
        <v>42136.6</v>
      </c>
      <c r="J244" s="1">
        <v>0.1832</v>
      </c>
      <c r="K244" s="1">
        <v>7719.43</v>
      </c>
      <c r="L244" s="1">
        <v>40915</v>
      </c>
      <c r="M244" s="1">
        <v>20985</v>
      </c>
      <c r="N244" s="1">
        <v>220632.32000000001</v>
      </c>
      <c r="O244" s="1">
        <v>2023</v>
      </c>
      <c r="P244" s="1" t="s">
        <v>80</v>
      </c>
      <c r="Q244" s="1" t="s">
        <v>33</v>
      </c>
      <c r="R244" s="1" t="s">
        <v>61</v>
      </c>
      <c r="S244" s="1">
        <f t="shared" si="3"/>
        <v>26</v>
      </c>
      <c r="T244" s="7" t="str">
        <f>_xlfn.TEXTJOIN("_",TRUE,Finance_Data!A244,Finance_Data!B244,Finance_Data!C244,Finance_Data!D244,Finance_Data!E244,Finance_Data!G244,Finance_Data!H244)</f>
        <v>CMP_027_West_USA_Foundation_Wholesale_45115_45140</v>
      </c>
    </row>
    <row r="245" spans="1:20" x14ac:dyDescent="0.35">
      <c r="A245" s="6" t="s">
        <v>91</v>
      </c>
      <c r="B245" s="1" t="s">
        <v>35</v>
      </c>
      <c r="C245" s="1" t="s">
        <v>29</v>
      </c>
      <c r="D245" s="1" t="s">
        <v>63</v>
      </c>
      <c r="E245" s="1" t="s">
        <v>30</v>
      </c>
      <c r="F245" s="1" t="s">
        <v>23</v>
      </c>
      <c r="G245" s="2">
        <v>45116</v>
      </c>
      <c r="H245" s="2">
        <v>45144</v>
      </c>
      <c r="I245" s="1">
        <v>44389.14</v>
      </c>
      <c r="J245" s="1">
        <v>0.4496</v>
      </c>
      <c r="K245" s="1">
        <v>19957.36</v>
      </c>
      <c r="L245" s="1">
        <v>477429</v>
      </c>
      <c r="M245" s="1">
        <v>3024</v>
      </c>
      <c r="N245" s="1">
        <v>69507.509999999995</v>
      </c>
      <c r="O245" s="1">
        <v>2023</v>
      </c>
      <c r="P245" s="1" t="s">
        <v>80</v>
      </c>
      <c r="Q245" s="1" t="s">
        <v>33</v>
      </c>
      <c r="R245" s="1" t="s">
        <v>61</v>
      </c>
      <c r="S245" s="1">
        <f t="shared" si="3"/>
        <v>29</v>
      </c>
      <c r="T245" s="7" t="str">
        <f>_xlfn.TEXTJOIN("_",TRUE,Finance_Data!A245,Finance_Data!B245,Finance_Data!C245,Finance_Data!D245,Finance_Data!E245,Finance_Data!G245,Finance_Data!H245)</f>
        <v>CMP_030_East_Australia_Skincare_Wholesale_45116_45144</v>
      </c>
    </row>
    <row r="246" spans="1:20" x14ac:dyDescent="0.35">
      <c r="A246" s="6" t="s">
        <v>77</v>
      </c>
      <c r="B246" s="1" t="s">
        <v>35</v>
      </c>
      <c r="C246" s="1" t="s">
        <v>69</v>
      </c>
      <c r="D246" s="1" t="s">
        <v>43</v>
      </c>
      <c r="E246" s="1" t="s">
        <v>30</v>
      </c>
      <c r="F246" s="1" t="s">
        <v>52</v>
      </c>
      <c r="G246" s="2">
        <v>45117</v>
      </c>
      <c r="H246" s="2">
        <v>45137</v>
      </c>
      <c r="I246" s="1">
        <v>7745.96</v>
      </c>
      <c r="J246" s="1">
        <v>6.2399999999999997E-2</v>
      </c>
      <c r="K246" s="1">
        <v>483.35</v>
      </c>
      <c r="L246" s="1">
        <v>143882</v>
      </c>
      <c r="M246" s="1">
        <v>20525</v>
      </c>
      <c r="N246" s="1">
        <v>148207.96</v>
      </c>
      <c r="O246" s="1">
        <v>2023</v>
      </c>
      <c r="P246" s="1" t="s">
        <v>80</v>
      </c>
      <c r="Q246" s="1" t="s">
        <v>33</v>
      </c>
      <c r="R246" s="1" t="s">
        <v>61</v>
      </c>
      <c r="S246" s="1">
        <f t="shared" si="3"/>
        <v>21</v>
      </c>
      <c r="T246" s="7" t="str">
        <f>_xlfn.TEXTJOIN("_",TRUE,Finance_Data!A246,Finance_Data!B246,Finance_Data!C246,Finance_Data!D246,Finance_Data!E246,Finance_Data!G246,Finance_Data!H246)</f>
        <v>CMP_033_East_USA_Luxury Bag_Wholesale_45117_45137</v>
      </c>
    </row>
    <row r="247" spans="1:20" x14ac:dyDescent="0.35">
      <c r="A247" s="6" t="s">
        <v>78</v>
      </c>
      <c r="B247" s="1" t="s">
        <v>28</v>
      </c>
      <c r="C247" s="1" t="s">
        <v>36</v>
      </c>
      <c r="D247" s="1" t="s">
        <v>21</v>
      </c>
      <c r="E247" s="1" t="s">
        <v>30</v>
      </c>
      <c r="F247" s="1" t="s">
        <v>52</v>
      </c>
      <c r="G247" s="2">
        <v>45118</v>
      </c>
      <c r="H247" s="2">
        <v>45154</v>
      </c>
      <c r="I247" s="1">
        <v>34911.360000000001</v>
      </c>
      <c r="J247" s="1">
        <v>0.4471</v>
      </c>
      <c r="K247" s="1">
        <v>15608.87</v>
      </c>
      <c r="L247" s="1">
        <v>846020</v>
      </c>
      <c r="M247" s="1">
        <v>34131</v>
      </c>
      <c r="N247" s="1">
        <v>70346.570000000007</v>
      </c>
      <c r="O247" s="1">
        <v>2023</v>
      </c>
      <c r="P247" s="1" t="s">
        <v>80</v>
      </c>
      <c r="Q247" s="1" t="s">
        <v>33</v>
      </c>
      <c r="R247" s="1" t="s">
        <v>41</v>
      </c>
      <c r="S247" s="1">
        <f t="shared" si="3"/>
        <v>37</v>
      </c>
      <c r="T247" s="7" t="str">
        <f>_xlfn.TEXTJOIN("_",TRUE,Finance_Data!A247,Finance_Data!B247,Finance_Data!C247,Finance_Data!D247,Finance_Data!E247,Finance_Data!G247,Finance_Data!H247)</f>
        <v>CMP_006_West_India_Foundation_Wholesale_45118_45154</v>
      </c>
    </row>
    <row r="248" spans="1:20" x14ac:dyDescent="0.35">
      <c r="A248" s="6" t="s">
        <v>82</v>
      </c>
      <c r="B248" s="1" t="s">
        <v>19</v>
      </c>
      <c r="C248" s="1" t="s">
        <v>58</v>
      </c>
      <c r="D248" s="1" t="s">
        <v>37</v>
      </c>
      <c r="E248" s="1" t="s">
        <v>38</v>
      </c>
      <c r="F248" s="1" t="s">
        <v>44</v>
      </c>
      <c r="G248" s="2">
        <v>45118</v>
      </c>
      <c r="H248" s="2">
        <v>45135</v>
      </c>
      <c r="I248" s="1">
        <v>4405.0600000000004</v>
      </c>
      <c r="J248" s="1">
        <v>1.1559999999999999</v>
      </c>
      <c r="K248" s="1">
        <v>5092.25</v>
      </c>
      <c r="L248" s="1">
        <v>307604</v>
      </c>
      <c r="M248" s="1">
        <v>13593</v>
      </c>
      <c r="N248" s="1">
        <v>62094.66</v>
      </c>
      <c r="O248" s="1">
        <v>2023</v>
      </c>
      <c r="P248" s="1" t="s">
        <v>80</v>
      </c>
      <c r="Q248" s="1" t="s">
        <v>33</v>
      </c>
      <c r="R248" s="1" t="s">
        <v>26</v>
      </c>
      <c r="S248" s="1">
        <f t="shared" si="3"/>
        <v>18</v>
      </c>
      <c r="T248" s="7" t="str">
        <f>_xlfn.TEXTJOIN("_",TRUE,Finance_Data!A248,Finance_Data!B248,Finance_Data!C248,Finance_Data!D248,Finance_Data!E248,Finance_Data!G248,Finance_Data!H248)</f>
        <v>CMP_043_North_UK_Perfume_Ecommerce_45118_45135</v>
      </c>
    </row>
    <row r="249" spans="1:20" x14ac:dyDescent="0.35">
      <c r="A249" s="6" t="s">
        <v>83</v>
      </c>
      <c r="B249" s="1" t="s">
        <v>48</v>
      </c>
      <c r="C249" s="1" t="s">
        <v>29</v>
      </c>
      <c r="D249" s="1" t="s">
        <v>43</v>
      </c>
      <c r="E249" s="1" t="s">
        <v>38</v>
      </c>
      <c r="F249" s="1" t="s">
        <v>23</v>
      </c>
      <c r="G249" s="2">
        <v>45118</v>
      </c>
      <c r="H249" s="2">
        <v>45134</v>
      </c>
      <c r="I249" s="1">
        <v>37018.89</v>
      </c>
      <c r="J249" s="1">
        <v>0.152</v>
      </c>
      <c r="K249" s="1">
        <v>5626.87</v>
      </c>
      <c r="L249" s="1">
        <v>52608</v>
      </c>
      <c r="M249" s="1">
        <v>28182</v>
      </c>
      <c r="N249" s="1">
        <v>73382.5</v>
      </c>
      <c r="O249" s="1">
        <v>2023</v>
      </c>
      <c r="P249" s="1" t="s">
        <v>80</v>
      </c>
      <c r="Q249" s="1" t="s">
        <v>33</v>
      </c>
      <c r="R249" s="1" t="s">
        <v>41</v>
      </c>
      <c r="S249" s="1">
        <f t="shared" si="3"/>
        <v>17</v>
      </c>
      <c r="T249" s="7" t="str">
        <f>_xlfn.TEXTJOIN("_",TRUE,Finance_Data!A249,Finance_Data!B249,Finance_Data!C249,Finance_Data!D249,Finance_Data!E249,Finance_Data!G249,Finance_Data!H249)</f>
        <v>CMP_017_South_Australia_Luxury Bag_Ecommerce_45118_45134</v>
      </c>
    </row>
    <row r="250" spans="1:20" x14ac:dyDescent="0.35">
      <c r="A250" s="6" t="s">
        <v>118</v>
      </c>
      <c r="B250" s="1" t="s">
        <v>35</v>
      </c>
      <c r="C250" s="1" t="s">
        <v>36</v>
      </c>
      <c r="D250" s="1" t="s">
        <v>21</v>
      </c>
      <c r="E250" s="1" t="s">
        <v>30</v>
      </c>
      <c r="F250" s="1" t="s">
        <v>49</v>
      </c>
      <c r="G250" s="2">
        <v>45118</v>
      </c>
      <c r="H250" s="2">
        <v>45133</v>
      </c>
      <c r="I250" s="1">
        <v>18748.919999999998</v>
      </c>
      <c r="J250" s="1">
        <v>0.86360000000000003</v>
      </c>
      <c r="K250" s="1">
        <v>16191.57</v>
      </c>
      <c r="L250" s="1">
        <v>134078</v>
      </c>
      <c r="M250" s="1">
        <v>43426</v>
      </c>
      <c r="N250" s="1">
        <v>61434.85</v>
      </c>
      <c r="O250" s="1">
        <v>2023</v>
      </c>
      <c r="P250" s="1" t="s">
        <v>80</v>
      </c>
      <c r="Q250" s="1" t="s">
        <v>33</v>
      </c>
      <c r="R250" s="1" t="s">
        <v>54</v>
      </c>
      <c r="S250" s="1">
        <f t="shared" si="3"/>
        <v>16</v>
      </c>
      <c r="T250" s="7" t="str">
        <f>_xlfn.TEXTJOIN("_",TRUE,Finance_Data!A250,Finance_Data!B250,Finance_Data!C250,Finance_Data!D250,Finance_Data!E250,Finance_Data!G250,Finance_Data!H250)</f>
        <v>CMP_052_East_India_Foundation_Wholesale_45118_45133</v>
      </c>
    </row>
    <row r="251" spans="1:20" x14ac:dyDescent="0.35">
      <c r="A251" s="6" t="s">
        <v>90</v>
      </c>
      <c r="B251" s="1" t="s">
        <v>35</v>
      </c>
      <c r="C251" s="1" t="s">
        <v>69</v>
      </c>
      <c r="D251" s="1" t="s">
        <v>59</v>
      </c>
      <c r="E251" s="1" t="s">
        <v>30</v>
      </c>
      <c r="F251" s="1" t="s">
        <v>44</v>
      </c>
      <c r="G251" s="2">
        <v>45119</v>
      </c>
      <c r="H251" s="2">
        <v>45133</v>
      </c>
      <c r="I251" s="1">
        <v>15685.75</v>
      </c>
      <c r="J251" s="1">
        <v>1.0007999999999999</v>
      </c>
      <c r="K251" s="1">
        <v>15698.3</v>
      </c>
      <c r="L251" s="1">
        <v>150727</v>
      </c>
      <c r="M251" s="1">
        <v>39562</v>
      </c>
      <c r="N251" s="1">
        <v>140257.29999999999</v>
      </c>
      <c r="O251" s="1">
        <v>2023</v>
      </c>
      <c r="P251" s="1" t="s">
        <v>80</v>
      </c>
      <c r="Q251" s="1" t="s">
        <v>33</v>
      </c>
      <c r="R251" s="1" t="s">
        <v>54</v>
      </c>
      <c r="S251" s="1">
        <f t="shared" si="3"/>
        <v>15</v>
      </c>
      <c r="T251" s="7" t="str">
        <f>_xlfn.TEXTJOIN("_",TRUE,Finance_Data!A251,Finance_Data!B251,Finance_Data!C251,Finance_Data!D251,Finance_Data!E251,Finance_Data!G251,Finance_Data!H251)</f>
        <v>CMP_038_East_USA_Lipstick_Wholesale_45119_45133</v>
      </c>
    </row>
    <row r="252" spans="1:20" x14ac:dyDescent="0.35">
      <c r="A252" s="6" t="s">
        <v>120</v>
      </c>
      <c r="B252" s="1" t="s">
        <v>28</v>
      </c>
      <c r="C252" s="1" t="s">
        <v>36</v>
      </c>
      <c r="D252" s="1" t="s">
        <v>21</v>
      </c>
      <c r="E252" s="1" t="s">
        <v>38</v>
      </c>
      <c r="F252" s="1" t="s">
        <v>44</v>
      </c>
      <c r="G252" s="2">
        <v>45120</v>
      </c>
      <c r="H252" s="2">
        <v>45179</v>
      </c>
      <c r="I252" s="1">
        <v>4410.8500000000004</v>
      </c>
      <c r="J252" s="1">
        <v>1.0108999999999999</v>
      </c>
      <c r="K252" s="1">
        <v>4458.93</v>
      </c>
      <c r="L252" s="1">
        <v>508783</v>
      </c>
      <c r="M252" s="1">
        <v>44607</v>
      </c>
      <c r="N252" s="1">
        <v>95023.14</v>
      </c>
      <c r="O252" s="1">
        <v>2023</v>
      </c>
      <c r="P252" s="1" t="s">
        <v>80</v>
      </c>
      <c r="Q252" s="1" t="s">
        <v>33</v>
      </c>
      <c r="R252" s="1" t="s">
        <v>26</v>
      </c>
      <c r="S252" s="1">
        <f t="shared" si="3"/>
        <v>60</v>
      </c>
      <c r="T252" s="7" t="str">
        <f>_xlfn.TEXTJOIN("_",TRUE,Finance_Data!A252,Finance_Data!B252,Finance_Data!C252,Finance_Data!D252,Finance_Data!E252,Finance_Data!G252,Finance_Data!H252)</f>
        <v>CMP_001_West_India_Foundation_Ecommerce_45120_45179</v>
      </c>
    </row>
    <row r="253" spans="1:20" x14ac:dyDescent="0.35">
      <c r="A253" s="6" t="s">
        <v>99</v>
      </c>
      <c r="B253" s="1" t="s">
        <v>19</v>
      </c>
      <c r="C253" s="1" t="s">
        <v>29</v>
      </c>
      <c r="D253" s="1" t="s">
        <v>59</v>
      </c>
      <c r="E253" s="1" t="s">
        <v>30</v>
      </c>
      <c r="F253" s="1" t="s">
        <v>49</v>
      </c>
      <c r="G253" s="2">
        <v>45121</v>
      </c>
      <c r="H253" s="2">
        <v>45179</v>
      </c>
      <c r="I253" s="1">
        <v>28350.34</v>
      </c>
      <c r="J253" s="1">
        <v>1.0067999999999999</v>
      </c>
      <c r="K253" s="1">
        <v>28543.119999999999</v>
      </c>
      <c r="L253" s="1">
        <v>666493</v>
      </c>
      <c r="M253" s="1">
        <v>2435</v>
      </c>
      <c r="N253" s="1">
        <v>237549.72</v>
      </c>
      <c r="O253" s="1">
        <v>2023</v>
      </c>
      <c r="P253" s="1" t="s">
        <v>80</v>
      </c>
      <c r="Q253" s="1" t="s">
        <v>33</v>
      </c>
      <c r="R253" s="1" t="s">
        <v>61</v>
      </c>
      <c r="S253" s="1">
        <f t="shared" si="3"/>
        <v>59</v>
      </c>
      <c r="T253" s="7" t="str">
        <f>_xlfn.TEXTJOIN("_",TRUE,Finance_Data!A253,Finance_Data!B253,Finance_Data!C253,Finance_Data!D253,Finance_Data!E253,Finance_Data!G253,Finance_Data!H253)</f>
        <v>CMP_041_North_Australia_Lipstick_Wholesale_45121_45179</v>
      </c>
    </row>
    <row r="254" spans="1:20" x14ac:dyDescent="0.35">
      <c r="A254" s="6" t="s">
        <v>77</v>
      </c>
      <c r="B254" s="1" t="s">
        <v>28</v>
      </c>
      <c r="C254" s="1" t="s">
        <v>36</v>
      </c>
      <c r="D254" s="1" t="s">
        <v>51</v>
      </c>
      <c r="E254" s="1" t="s">
        <v>22</v>
      </c>
      <c r="F254" s="1" t="s">
        <v>44</v>
      </c>
      <c r="G254" s="2">
        <v>45122</v>
      </c>
      <c r="H254" s="2">
        <v>45128</v>
      </c>
      <c r="I254" s="1">
        <v>22610.89</v>
      </c>
      <c r="J254" s="1">
        <v>0.50829999999999997</v>
      </c>
      <c r="K254" s="1">
        <v>11493.12</v>
      </c>
      <c r="L254" s="1">
        <v>443020</v>
      </c>
      <c r="M254" s="1">
        <v>45352</v>
      </c>
      <c r="N254" s="1">
        <v>54953.46</v>
      </c>
      <c r="O254" s="1">
        <v>2023</v>
      </c>
      <c r="P254" s="1" t="s">
        <v>80</v>
      </c>
      <c r="Q254" s="1" t="s">
        <v>33</v>
      </c>
      <c r="R254" s="1" t="s">
        <v>61</v>
      </c>
      <c r="S254" s="1">
        <f t="shared" si="3"/>
        <v>7</v>
      </c>
      <c r="T254" s="7" t="str">
        <f>_xlfn.TEXTJOIN("_",TRUE,Finance_Data!A254,Finance_Data!B254,Finance_Data!C254,Finance_Data!D254,Finance_Data!E254,Finance_Data!G254,Finance_Data!H254)</f>
        <v>CMP_033_West_India_Watch_Retail_45122_45128</v>
      </c>
    </row>
    <row r="255" spans="1:20" x14ac:dyDescent="0.35">
      <c r="A255" s="6" t="s">
        <v>109</v>
      </c>
      <c r="B255" s="1" t="s">
        <v>48</v>
      </c>
      <c r="C255" s="1" t="s">
        <v>58</v>
      </c>
      <c r="D255" s="1" t="s">
        <v>63</v>
      </c>
      <c r="E255" s="1" t="s">
        <v>38</v>
      </c>
      <c r="F255" s="1" t="s">
        <v>31</v>
      </c>
      <c r="G255" s="2">
        <v>45123</v>
      </c>
      <c r="H255" s="2">
        <v>45143</v>
      </c>
      <c r="I255" s="1">
        <v>14671.31</v>
      </c>
      <c r="J255" s="1">
        <v>0.36520000000000002</v>
      </c>
      <c r="K255" s="1">
        <v>5357.96</v>
      </c>
      <c r="L255" s="1">
        <v>997219</v>
      </c>
      <c r="M255" s="1">
        <v>19604</v>
      </c>
      <c r="N255" s="1">
        <v>193937.7</v>
      </c>
      <c r="O255" s="1">
        <v>2023</v>
      </c>
      <c r="P255" s="1" t="s">
        <v>80</v>
      </c>
      <c r="Q255" s="1" t="s">
        <v>33</v>
      </c>
      <c r="R255" s="1" t="s">
        <v>41</v>
      </c>
      <c r="S255" s="1">
        <f t="shared" si="3"/>
        <v>21</v>
      </c>
      <c r="T255" s="7" t="str">
        <f>_xlfn.TEXTJOIN("_",TRUE,Finance_Data!A255,Finance_Data!B255,Finance_Data!C255,Finance_Data!D255,Finance_Data!E255,Finance_Data!G255,Finance_Data!H255)</f>
        <v>CMP_046_South_UK_Skincare_Ecommerce_45123_45143</v>
      </c>
    </row>
    <row r="256" spans="1:20" x14ac:dyDescent="0.35">
      <c r="A256" s="6" t="s">
        <v>99</v>
      </c>
      <c r="B256" s="1" t="s">
        <v>28</v>
      </c>
      <c r="C256" s="1" t="s">
        <v>29</v>
      </c>
      <c r="D256" s="1" t="s">
        <v>21</v>
      </c>
      <c r="E256" s="1" t="s">
        <v>38</v>
      </c>
      <c r="F256" s="1" t="s">
        <v>44</v>
      </c>
      <c r="G256" s="2">
        <v>45124</v>
      </c>
      <c r="H256" s="2">
        <v>45168</v>
      </c>
      <c r="I256" s="1">
        <v>32577.279999999999</v>
      </c>
      <c r="J256" s="1">
        <v>0.996</v>
      </c>
      <c r="K256" s="1">
        <v>32446.97</v>
      </c>
      <c r="L256" s="1">
        <v>850257</v>
      </c>
      <c r="M256" s="1">
        <v>37970</v>
      </c>
      <c r="N256" s="1">
        <v>110130.1</v>
      </c>
      <c r="O256" s="1">
        <v>2023</v>
      </c>
      <c r="P256" s="1" t="s">
        <v>80</v>
      </c>
      <c r="Q256" s="1" t="s">
        <v>33</v>
      </c>
      <c r="R256" s="1" t="s">
        <v>61</v>
      </c>
      <c r="S256" s="1">
        <f t="shared" si="3"/>
        <v>45</v>
      </c>
      <c r="T256" s="7" t="str">
        <f>_xlfn.TEXTJOIN("_",TRUE,Finance_Data!A256,Finance_Data!B256,Finance_Data!C256,Finance_Data!D256,Finance_Data!E256,Finance_Data!G256,Finance_Data!H256)</f>
        <v>CMP_041_West_Australia_Foundation_Ecommerce_45124_45168</v>
      </c>
    </row>
    <row r="257" spans="1:20" x14ac:dyDescent="0.35">
      <c r="A257" s="6" t="s">
        <v>18</v>
      </c>
      <c r="B257" s="1" t="s">
        <v>19</v>
      </c>
      <c r="C257" s="1" t="s">
        <v>69</v>
      </c>
      <c r="D257" s="1" t="s">
        <v>59</v>
      </c>
      <c r="E257" s="1" t="s">
        <v>30</v>
      </c>
      <c r="F257" s="1" t="s">
        <v>23</v>
      </c>
      <c r="G257" s="2">
        <v>45126</v>
      </c>
      <c r="H257" s="2">
        <v>45133</v>
      </c>
      <c r="I257" s="1">
        <v>39414.01</v>
      </c>
      <c r="J257" s="1">
        <v>0.61760000000000004</v>
      </c>
      <c r="K257" s="1">
        <v>24342.09</v>
      </c>
      <c r="L257" s="1">
        <v>742377</v>
      </c>
      <c r="M257" s="1">
        <v>15282</v>
      </c>
      <c r="N257" s="1">
        <v>155721.54999999999</v>
      </c>
      <c r="O257" s="1">
        <v>2023</v>
      </c>
      <c r="P257" s="1" t="s">
        <v>80</v>
      </c>
      <c r="Q257" s="1" t="s">
        <v>33</v>
      </c>
      <c r="R257" s="1" t="s">
        <v>61</v>
      </c>
      <c r="S257" s="1">
        <f t="shared" si="3"/>
        <v>8</v>
      </c>
      <c r="T257" s="7" t="str">
        <f>_xlfn.TEXTJOIN("_",TRUE,Finance_Data!A257,Finance_Data!B257,Finance_Data!C257,Finance_Data!D257,Finance_Data!E257,Finance_Data!G257,Finance_Data!H257)</f>
        <v>CMP_044_North_USA_Lipstick_Wholesale_45126_45133</v>
      </c>
    </row>
    <row r="258" spans="1:20" x14ac:dyDescent="0.35">
      <c r="A258" s="6" t="s">
        <v>57</v>
      </c>
      <c r="B258" s="1" t="s">
        <v>48</v>
      </c>
      <c r="C258" s="1" t="s">
        <v>20</v>
      </c>
      <c r="D258" s="1" t="s">
        <v>43</v>
      </c>
      <c r="E258" s="1" t="s">
        <v>30</v>
      </c>
      <c r="F258" s="1" t="s">
        <v>31</v>
      </c>
      <c r="G258" s="2">
        <v>45127</v>
      </c>
      <c r="H258" s="2">
        <v>45141</v>
      </c>
      <c r="I258" s="1">
        <v>40201.839999999997</v>
      </c>
      <c r="J258" s="1">
        <v>0.88890000000000002</v>
      </c>
      <c r="K258" s="1">
        <v>35735.42</v>
      </c>
      <c r="L258" s="1">
        <v>505962</v>
      </c>
      <c r="M258" s="1">
        <v>738</v>
      </c>
      <c r="N258" s="1">
        <v>48268.78</v>
      </c>
      <c r="O258" s="1">
        <v>2023</v>
      </c>
      <c r="P258" s="1" t="s">
        <v>80</v>
      </c>
      <c r="Q258" s="1" t="s">
        <v>33</v>
      </c>
      <c r="R258" s="1" t="s">
        <v>54</v>
      </c>
      <c r="S258" s="1">
        <f t="shared" ref="S258:S321" si="4">H258-G258+1</f>
        <v>15</v>
      </c>
      <c r="T258" s="7" t="str">
        <f>_xlfn.TEXTJOIN("_",TRUE,Finance_Data!A258,Finance_Data!B258,Finance_Data!C258,Finance_Data!D258,Finance_Data!E258,Finance_Data!G258,Finance_Data!H258)</f>
        <v>CMP_032_South_Singapore_Luxury Bag_Wholesale_45127_45141</v>
      </c>
    </row>
    <row r="259" spans="1:20" x14ac:dyDescent="0.35">
      <c r="A259" s="6" t="s">
        <v>82</v>
      </c>
      <c r="B259" s="1" t="s">
        <v>48</v>
      </c>
      <c r="C259" s="1" t="s">
        <v>58</v>
      </c>
      <c r="D259" s="1" t="s">
        <v>63</v>
      </c>
      <c r="E259" s="1" t="s">
        <v>38</v>
      </c>
      <c r="F259" s="1" t="s">
        <v>23</v>
      </c>
      <c r="G259" s="2">
        <v>45131</v>
      </c>
      <c r="H259" s="2">
        <v>45188</v>
      </c>
      <c r="I259" s="1">
        <v>46004.14</v>
      </c>
      <c r="J259" s="1">
        <v>0.42609999999999998</v>
      </c>
      <c r="K259" s="1">
        <v>19602.36</v>
      </c>
      <c r="L259" s="1">
        <v>870394</v>
      </c>
      <c r="M259" s="1">
        <v>15015</v>
      </c>
      <c r="N259" s="1">
        <v>59616.27</v>
      </c>
      <c r="O259" s="1">
        <v>2023</v>
      </c>
      <c r="P259" s="1" t="s">
        <v>80</v>
      </c>
      <c r="Q259" s="1" t="s">
        <v>33</v>
      </c>
      <c r="R259" s="1" t="s">
        <v>41</v>
      </c>
      <c r="S259" s="1">
        <f t="shared" si="4"/>
        <v>58</v>
      </c>
      <c r="T259" s="7" t="str">
        <f>_xlfn.TEXTJOIN("_",TRUE,Finance_Data!A259,Finance_Data!B259,Finance_Data!C259,Finance_Data!D259,Finance_Data!E259,Finance_Data!G259,Finance_Data!H259)</f>
        <v>CMP_043_South_UK_Skincare_Ecommerce_45131_45188</v>
      </c>
    </row>
    <row r="260" spans="1:20" x14ac:dyDescent="0.35">
      <c r="A260" s="6" t="s">
        <v>78</v>
      </c>
      <c r="B260" s="1" t="s">
        <v>35</v>
      </c>
      <c r="C260" s="1" t="s">
        <v>69</v>
      </c>
      <c r="D260" s="1" t="s">
        <v>51</v>
      </c>
      <c r="E260" s="1" t="s">
        <v>22</v>
      </c>
      <c r="F260" s="1" t="s">
        <v>44</v>
      </c>
      <c r="G260" s="2">
        <v>45131</v>
      </c>
      <c r="H260" s="2">
        <v>45143</v>
      </c>
      <c r="I260" s="1">
        <v>7650.69</v>
      </c>
      <c r="J260" s="1">
        <v>9.8100000000000007E-2</v>
      </c>
      <c r="K260" s="1">
        <v>750.53</v>
      </c>
      <c r="L260" s="1">
        <v>191043</v>
      </c>
      <c r="M260" s="1">
        <v>46851</v>
      </c>
      <c r="N260" s="1">
        <v>114052.24</v>
      </c>
      <c r="O260" s="1">
        <v>2023</v>
      </c>
      <c r="P260" s="1" t="s">
        <v>80</v>
      </c>
      <c r="Q260" s="1" t="s">
        <v>33</v>
      </c>
      <c r="R260" s="1" t="s">
        <v>41</v>
      </c>
      <c r="S260" s="1">
        <f t="shared" si="4"/>
        <v>13</v>
      </c>
      <c r="T260" s="7" t="str">
        <f>_xlfn.TEXTJOIN("_",TRUE,Finance_Data!A260,Finance_Data!B260,Finance_Data!C260,Finance_Data!D260,Finance_Data!E260,Finance_Data!G260,Finance_Data!H260)</f>
        <v>CMP_006_East_USA_Watch_Retail_45131_45143</v>
      </c>
    </row>
    <row r="261" spans="1:20" x14ac:dyDescent="0.35">
      <c r="A261" s="6" t="s">
        <v>83</v>
      </c>
      <c r="B261" s="1" t="s">
        <v>19</v>
      </c>
      <c r="C261" s="1" t="s">
        <v>69</v>
      </c>
      <c r="D261" s="1" t="s">
        <v>43</v>
      </c>
      <c r="E261" s="1" t="s">
        <v>38</v>
      </c>
      <c r="F261" s="1" t="s">
        <v>52</v>
      </c>
      <c r="G261" s="2">
        <v>45133</v>
      </c>
      <c r="H261" s="2">
        <v>45169</v>
      </c>
      <c r="I261" s="1">
        <v>32136.77</v>
      </c>
      <c r="J261" s="1">
        <v>1.1692</v>
      </c>
      <c r="K261" s="1">
        <v>37574.31</v>
      </c>
      <c r="L261" s="1">
        <v>88979</v>
      </c>
      <c r="M261" s="1">
        <v>35216</v>
      </c>
      <c r="N261" s="1">
        <v>57449.63</v>
      </c>
      <c r="O261" s="1">
        <v>2023</v>
      </c>
      <c r="P261" s="1" t="s">
        <v>80</v>
      </c>
      <c r="Q261" s="1" t="s">
        <v>33</v>
      </c>
      <c r="R261" s="1" t="s">
        <v>26</v>
      </c>
      <c r="S261" s="1">
        <f t="shared" si="4"/>
        <v>37</v>
      </c>
      <c r="T261" s="7" t="str">
        <f>_xlfn.TEXTJOIN("_",TRUE,Finance_Data!A261,Finance_Data!B261,Finance_Data!C261,Finance_Data!D261,Finance_Data!E261,Finance_Data!G261,Finance_Data!H261)</f>
        <v>CMP_017_North_USA_Luxury Bag_Ecommerce_45133_45169</v>
      </c>
    </row>
    <row r="262" spans="1:20" x14ac:dyDescent="0.35">
      <c r="A262" s="6" t="s">
        <v>113</v>
      </c>
      <c r="B262" s="1" t="s">
        <v>19</v>
      </c>
      <c r="C262" s="1" t="s">
        <v>36</v>
      </c>
      <c r="D262" s="1" t="s">
        <v>21</v>
      </c>
      <c r="E262" s="1" t="s">
        <v>22</v>
      </c>
      <c r="F262" s="1" t="s">
        <v>49</v>
      </c>
      <c r="G262" s="2">
        <v>45133</v>
      </c>
      <c r="H262" s="2">
        <v>45156</v>
      </c>
      <c r="I262" s="1">
        <v>33442.57</v>
      </c>
      <c r="J262" s="1">
        <v>0.59340000000000004</v>
      </c>
      <c r="K262" s="1">
        <v>19844.82</v>
      </c>
      <c r="L262" s="1">
        <v>284375</v>
      </c>
      <c r="M262" s="1">
        <v>35649</v>
      </c>
      <c r="N262" s="1">
        <v>89185.83</v>
      </c>
      <c r="O262" s="1">
        <v>2023</v>
      </c>
      <c r="P262" s="1" t="s">
        <v>80</v>
      </c>
      <c r="Q262" s="1" t="s">
        <v>33</v>
      </c>
      <c r="R262" s="1" t="s">
        <v>54</v>
      </c>
      <c r="S262" s="1">
        <f t="shared" si="4"/>
        <v>24</v>
      </c>
      <c r="T262" s="7" t="str">
        <f>_xlfn.TEXTJOIN("_",TRUE,Finance_Data!A262,Finance_Data!B262,Finance_Data!C262,Finance_Data!D262,Finance_Data!E262,Finance_Data!G262,Finance_Data!H262)</f>
        <v>CMP_056_North_India_Foundation_Retail_45133_45156</v>
      </c>
    </row>
    <row r="263" spans="1:20" x14ac:dyDescent="0.35">
      <c r="A263" s="6" t="s">
        <v>100</v>
      </c>
      <c r="B263" s="1" t="s">
        <v>28</v>
      </c>
      <c r="C263" s="1" t="s">
        <v>69</v>
      </c>
      <c r="D263" s="1" t="s">
        <v>37</v>
      </c>
      <c r="E263" s="1" t="s">
        <v>30</v>
      </c>
      <c r="F263" s="1" t="s">
        <v>52</v>
      </c>
      <c r="G263" s="2">
        <v>45133</v>
      </c>
      <c r="H263" s="2">
        <v>45140</v>
      </c>
      <c r="I263" s="1">
        <v>39764.35</v>
      </c>
      <c r="J263" s="1">
        <v>1.0641</v>
      </c>
      <c r="K263" s="1">
        <v>42313.24</v>
      </c>
      <c r="L263" s="1">
        <v>340926</v>
      </c>
      <c r="M263" s="1">
        <v>20421</v>
      </c>
      <c r="N263" s="1">
        <v>131268.98000000001</v>
      </c>
      <c r="O263" s="1">
        <v>2023</v>
      </c>
      <c r="P263" s="1" t="s">
        <v>80</v>
      </c>
      <c r="Q263" s="1" t="s">
        <v>33</v>
      </c>
      <c r="R263" s="1" t="s">
        <v>41</v>
      </c>
      <c r="S263" s="1">
        <f t="shared" si="4"/>
        <v>8</v>
      </c>
      <c r="T263" s="7" t="str">
        <f>_xlfn.TEXTJOIN("_",TRUE,Finance_Data!A263,Finance_Data!B263,Finance_Data!C263,Finance_Data!D263,Finance_Data!E263,Finance_Data!G263,Finance_Data!H263)</f>
        <v>CMP_053_West_USA_Perfume_Wholesale_45133_45140</v>
      </c>
    </row>
    <row r="264" spans="1:20" x14ac:dyDescent="0.35">
      <c r="A264" s="6" t="s">
        <v>67</v>
      </c>
      <c r="B264" s="1" t="s">
        <v>35</v>
      </c>
      <c r="C264" s="1" t="s">
        <v>20</v>
      </c>
      <c r="D264" s="1" t="s">
        <v>21</v>
      </c>
      <c r="E264" s="1" t="s">
        <v>38</v>
      </c>
      <c r="F264" s="1" t="s">
        <v>49</v>
      </c>
      <c r="G264" s="2">
        <v>45133</v>
      </c>
      <c r="H264" s="2">
        <v>45138</v>
      </c>
      <c r="I264" s="1">
        <v>49563.17</v>
      </c>
      <c r="J264" s="1">
        <v>0.54039999999999999</v>
      </c>
      <c r="K264" s="1">
        <v>26783.94</v>
      </c>
      <c r="L264" s="1">
        <v>874637</v>
      </c>
      <c r="M264" s="1">
        <v>26264</v>
      </c>
      <c r="N264" s="1">
        <v>153187.91</v>
      </c>
      <c r="O264" s="1">
        <v>2023</v>
      </c>
      <c r="P264" s="1" t="s">
        <v>80</v>
      </c>
      <c r="Q264" s="1" t="s">
        <v>33</v>
      </c>
      <c r="R264" s="1" t="s">
        <v>26</v>
      </c>
      <c r="S264" s="1">
        <f t="shared" si="4"/>
        <v>6</v>
      </c>
      <c r="T264" s="7" t="str">
        <f>_xlfn.TEXTJOIN("_",TRUE,Finance_Data!A264,Finance_Data!B264,Finance_Data!C264,Finance_Data!D264,Finance_Data!E264,Finance_Data!G264,Finance_Data!H264)</f>
        <v>CMP_016_East_Singapore_Foundation_Ecommerce_45133_45138</v>
      </c>
    </row>
    <row r="265" spans="1:20" x14ac:dyDescent="0.35">
      <c r="A265" s="6" t="s">
        <v>27</v>
      </c>
      <c r="B265" s="1" t="s">
        <v>19</v>
      </c>
      <c r="C265" s="1" t="s">
        <v>20</v>
      </c>
      <c r="D265" s="1" t="s">
        <v>21</v>
      </c>
      <c r="E265" s="1" t="s">
        <v>22</v>
      </c>
      <c r="F265" s="1" t="s">
        <v>52</v>
      </c>
      <c r="G265" s="2">
        <v>45134</v>
      </c>
      <c r="H265" s="2">
        <v>45139</v>
      </c>
      <c r="I265" s="1">
        <v>31505.46</v>
      </c>
      <c r="J265" s="1">
        <v>0.31119999999999998</v>
      </c>
      <c r="K265" s="1">
        <v>9804.5</v>
      </c>
      <c r="L265" s="1">
        <v>490921</v>
      </c>
      <c r="M265" s="1">
        <v>32712</v>
      </c>
      <c r="N265" s="1">
        <v>214575.71</v>
      </c>
      <c r="O265" s="1">
        <v>2023</v>
      </c>
      <c r="P265" s="1" t="s">
        <v>80</v>
      </c>
      <c r="Q265" s="1" t="s">
        <v>33</v>
      </c>
      <c r="R265" s="1" t="s">
        <v>54</v>
      </c>
      <c r="S265" s="1">
        <f t="shared" si="4"/>
        <v>6</v>
      </c>
      <c r="T265" s="7" t="str">
        <f>_xlfn.TEXTJOIN("_",TRUE,Finance_Data!A265,Finance_Data!B265,Finance_Data!C265,Finance_Data!D265,Finance_Data!E265,Finance_Data!G265,Finance_Data!H265)</f>
        <v>CMP_035_North_Singapore_Foundation_Retail_45134_45139</v>
      </c>
    </row>
    <row r="266" spans="1:20" x14ac:dyDescent="0.35">
      <c r="A266" s="6" t="s">
        <v>79</v>
      </c>
      <c r="B266" s="1" t="s">
        <v>28</v>
      </c>
      <c r="C266" s="1" t="s">
        <v>69</v>
      </c>
      <c r="D266" s="1" t="s">
        <v>37</v>
      </c>
      <c r="E266" s="1" t="s">
        <v>22</v>
      </c>
      <c r="F266" s="1" t="s">
        <v>49</v>
      </c>
      <c r="G266" s="2">
        <v>45136</v>
      </c>
      <c r="H266" s="2">
        <v>45183</v>
      </c>
      <c r="I266" s="1">
        <v>36093.4</v>
      </c>
      <c r="J266" s="1">
        <v>0.29399999999999998</v>
      </c>
      <c r="K266" s="1">
        <v>10611.46</v>
      </c>
      <c r="L266" s="1">
        <v>425011</v>
      </c>
      <c r="M266" s="1">
        <v>8677</v>
      </c>
      <c r="N266" s="1">
        <v>169564.1</v>
      </c>
      <c r="O266" s="1">
        <v>2023</v>
      </c>
      <c r="P266" s="1" t="s">
        <v>80</v>
      </c>
      <c r="Q266" s="1" t="s">
        <v>33</v>
      </c>
      <c r="R266" s="1" t="s">
        <v>26</v>
      </c>
      <c r="S266" s="1">
        <f t="shared" si="4"/>
        <v>48</v>
      </c>
      <c r="T266" s="7" t="str">
        <f>_xlfn.TEXTJOIN("_",TRUE,Finance_Data!A266,Finance_Data!B266,Finance_Data!C266,Finance_Data!D266,Finance_Data!E266,Finance_Data!G266,Finance_Data!H266)</f>
        <v>CMP_020_West_USA_Perfume_Retail_45136_45183</v>
      </c>
    </row>
    <row r="267" spans="1:20" x14ac:dyDescent="0.35">
      <c r="A267" s="6" t="s">
        <v>101</v>
      </c>
      <c r="B267" s="1" t="s">
        <v>48</v>
      </c>
      <c r="C267" s="1" t="s">
        <v>29</v>
      </c>
      <c r="D267" s="1" t="s">
        <v>37</v>
      </c>
      <c r="E267" s="1" t="s">
        <v>38</v>
      </c>
      <c r="F267" s="1" t="s">
        <v>44</v>
      </c>
      <c r="G267" s="2">
        <v>45138</v>
      </c>
      <c r="H267" s="2">
        <v>45177</v>
      </c>
      <c r="I267" s="1">
        <v>18165.59</v>
      </c>
      <c r="J267" s="1">
        <v>0.38900000000000001</v>
      </c>
      <c r="K267" s="1">
        <v>7066.41</v>
      </c>
      <c r="L267" s="1">
        <v>158433</v>
      </c>
      <c r="M267" s="1">
        <v>46260</v>
      </c>
      <c r="N267" s="1">
        <v>201980.7</v>
      </c>
      <c r="O267" s="1">
        <v>2023</v>
      </c>
      <c r="P267" s="1" t="s">
        <v>80</v>
      </c>
      <c r="Q267" s="1" t="s">
        <v>33</v>
      </c>
      <c r="R267" s="1" t="s">
        <v>41</v>
      </c>
      <c r="S267" s="1">
        <f t="shared" si="4"/>
        <v>40</v>
      </c>
      <c r="T267" s="7" t="str">
        <f>_xlfn.TEXTJOIN("_",TRUE,Finance_Data!A267,Finance_Data!B267,Finance_Data!C267,Finance_Data!D267,Finance_Data!E267,Finance_Data!G267,Finance_Data!H267)</f>
        <v>CMP_037_South_Australia_Perfume_Ecommerce_45138_45177</v>
      </c>
    </row>
    <row r="268" spans="1:20" x14ac:dyDescent="0.35">
      <c r="A268" s="6" t="s">
        <v>75</v>
      </c>
      <c r="B268" s="1" t="s">
        <v>28</v>
      </c>
      <c r="C268" s="1" t="s">
        <v>58</v>
      </c>
      <c r="D268" s="1" t="s">
        <v>51</v>
      </c>
      <c r="E268" s="1" t="s">
        <v>38</v>
      </c>
      <c r="F268" s="1" t="s">
        <v>23</v>
      </c>
      <c r="G268" s="2">
        <v>45138</v>
      </c>
      <c r="H268" s="2">
        <v>45153</v>
      </c>
      <c r="I268" s="1">
        <v>32271.34</v>
      </c>
      <c r="J268" s="1">
        <v>1.1727000000000001</v>
      </c>
      <c r="K268" s="1">
        <v>37844.6</v>
      </c>
      <c r="L268" s="1">
        <v>506574</v>
      </c>
      <c r="M268" s="1">
        <v>7669</v>
      </c>
      <c r="N268" s="1">
        <v>80546.58</v>
      </c>
      <c r="O268" s="1">
        <v>2023</v>
      </c>
      <c r="P268" s="1" t="s">
        <v>80</v>
      </c>
      <c r="Q268" s="1" t="s">
        <v>33</v>
      </c>
      <c r="R268" s="1" t="s">
        <v>54</v>
      </c>
      <c r="S268" s="1">
        <f t="shared" si="4"/>
        <v>16</v>
      </c>
      <c r="T268" s="7" t="str">
        <f>_xlfn.TEXTJOIN("_",TRUE,Finance_Data!A268,Finance_Data!B268,Finance_Data!C268,Finance_Data!D268,Finance_Data!E268,Finance_Data!G268,Finance_Data!H268)</f>
        <v>CMP_026_West_UK_Watch_Ecommerce_45138_45153</v>
      </c>
    </row>
    <row r="269" spans="1:20" x14ac:dyDescent="0.35">
      <c r="A269" s="6" t="s">
        <v>68</v>
      </c>
      <c r="B269" s="1" t="s">
        <v>28</v>
      </c>
      <c r="C269" s="1" t="s">
        <v>20</v>
      </c>
      <c r="D269" s="1" t="s">
        <v>59</v>
      </c>
      <c r="E269" s="1" t="s">
        <v>38</v>
      </c>
      <c r="F269" s="1" t="s">
        <v>31</v>
      </c>
      <c r="G269" s="2">
        <v>45139</v>
      </c>
      <c r="H269" s="2">
        <v>45158</v>
      </c>
      <c r="I269" s="1">
        <v>44849.35</v>
      </c>
      <c r="J269" s="1">
        <v>0.54800000000000004</v>
      </c>
      <c r="K269" s="1">
        <v>24577.439999999999</v>
      </c>
      <c r="L269" s="1">
        <v>255770</v>
      </c>
      <c r="M269" s="1">
        <v>26045</v>
      </c>
      <c r="N269" s="1">
        <v>58555.46</v>
      </c>
      <c r="O269" s="1">
        <v>2023</v>
      </c>
      <c r="P269" s="1" t="s">
        <v>32</v>
      </c>
      <c r="Q269" s="1" t="s">
        <v>33</v>
      </c>
      <c r="R269" s="1" t="s">
        <v>26</v>
      </c>
      <c r="S269" s="1">
        <f t="shared" si="4"/>
        <v>20</v>
      </c>
      <c r="T269" s="7" t="str">
        <f>_xlfn.TEXTJOIN("_",TRUE,Finance_Data!A269,Finance_Data!B269,Finance_Data!C269,Finance_Data!D269,Finance_Data!E269,Finance_Data!G269,Finance_Data!H269)</f>
        <v>CMP_028_West_Singapore_Lipstick_Ecommerce_45139_45158</v>
      </c>
    </row>
    <row r="270" spans="1:20" x14ac:dyDescent="0.35">
      <c r="A270" s="6" t="s">
        <v>77</v>
      </c>
      <c r="B270" s="1" t="s">
        <v>28</v>
      </c>
      <c r="C270" s="1" t="s">
        <v>20</v>
      </c>
      <c r="D270" s="1" t="s">
        <v>63</v>
      </c>
      <c r="E270" s="1" t="s">
        <v>38</v>
      </c>
      <c r="F270" s="1" t="s">
        <v>44</v>
      </c>
      <c r="G270" s="2">
        <v>45141</v>
      </c>
      <c r="H270" s="2">
        <v>45192</v>
      </c>
      <c r="I270" s="1">
        <v>4988.9799999999996</v>
      </c>
      <c r="J270" s="1">
        <v>0.57010000000000005</v>
      </c>
      <c r="K270" s="1">
        <v>2844.22</v>
      </c>
      <c r="L270" s="1">
        <v>705732</v>
      </c>
      <c r="M270" s="1">
        <v>40397</v>
      </c>
      <c r="N270" s="1">
        <v>20893.900000000001</v>
      </c>
      <c r="O270" s="1">
        <v>2023</v>
      </c>
      <c r="P270" s="1" t="s">
        <v>32</v>
      </c>
      <c r="Q270" s="1" t="s">
        <v>33</v>
      </c>
      <c r="R270" s="1" t="s">
        <v>54</v>
      </c>
      <c r="S270" s="1">
        <f t="shared" si="4"/>
        <v>52</v>
      </c>
      <c r="T270" s="7" t="str">
        <f>_xlfn.TEXTJOIN("_",TRUE,Finance_Data!A270,Finance_Data!B270,Finance_Data!C270,Finance_Data!D270,Finance_Data!E270,Finance_Data!G270,Finance_Data!H270)</f>
        <v>CMP_033_West_Singapore_Skincare_Ecommerce_45141_45192</v>
      </c>
    </row>
    <row r="271" spans="1:20" x14ac:dyDescent="0.35">
      <c r="A271" s="6" t="s">
        <v>101</v>
      </c>
      <c r="B271" s="1" t="s">
        <v>48</v>
      </c>
      <c r="C271" s="1" t="s">
        <v>29</v>
      </c>
      <c r="D271" s="1" t="s">
        <v>51</v>
      </c>
      <c r="E271" s="1" t="s">
        <v>30</v>
      </c>
      <c r="F271" s="1" t="s">
        <v>23</v>
      </c>
      <c r="G271" s="2">
        <v>45142</v>
      </c>
      <c r="H271" s="2">
        <v>45184</v>
      </c>
      <c r="I271" s="1">
        <v>8901.07</v>
      </c>
      <c r="J271" s="1">
        <v>1.0017</v>
      </c>
      <c r="K271" s="1">
        <v>8916.2000000000007</v>
      </c>
      <c r="L271" s="1">
        <v>33536</v>
      </c>
      <c r="M271" s="1">
        <v>16069</v>
      </c>
      <c r="N271" s="1">
        <v>15570.36</v>
      </c>
      <c r="O271" s="1">
        <v>2023</v>
      </c>
      <c r="P271" s="1" t="s">
        <v>32</v>
      </c>
      <c r="Q271" s="1" t="s">
        <v>33</v>
      </c>
      <c r="R271" s="1" t="s">
        <v>61</v>
      </c>
      <c r="S271" s="1">
        <f t="shared" si="4"/>
        <v>43</v>
      </c>
      <c r="T271" s="7" t="str">
        <f>_xlfn.TEXTJOIN("_",TRUE,Finance_Data!A271,Finance_Data!B271,Finance_Data!C271,Finance_Data!D271,Finance_Data!E271,Finance_Data!G271,Finance_Data!H271)</f>
        <v>CMP_037_South_Australia_Watch_Wholesale_45142_45184</v>
      </c>
    </row>
    <row r="272" spans="1:20" x14ac:dyDescent="0.35">
      <c r="A272" s="6" t="s">
        <v>18</v>
      </c>
      <c r="B272" s="1" t="s">
        <v>35</v>
      </c>
      <c r="C272" s="1" t="s">
        <v>20</v>
      </c>
      <c r="D272" s="1" t="s">
        <v>43</v>
      </c>
      <c r="E272" s="1" t="s">
        <v>30</v>
      </c>
      <c r="F272" s="1" t="s">
        <v>23</v>
      </c>
      <c r="G272" s="2">
        <v>45143</v>
      </c>
      <c r="H272" s="2">
        <v>45203</v>
      </c>
      <c r="I272" s="1">
        <v>34922.1</v>
      </c>
      <c r="J272" s="1">
        <v>0.6845</v>
      </c>
      <c r="K272" s="1">
        <v>23904.18</v>
      </c>
      <c r="L272" s="1">
        <v>294263</v>
      </c>
      <c r="M272" s="1">
        <v>3151</v>
      </c>
      <c r="N272" s="1">
        <v>231419.02</v>
      </c>
      <c r="O272" s="1">
        <v>2023</v>
      </c>
      <c r="P272" s="1" t="s">
        <v>32</v>
      </c>
      <c r="Q272" s="1" t="s">
        <v>33</v>
      </c>
      <c r="R272" s="1" t="s">
        <v>61</v>
      </c>
      <c r="S272" s="1">
        <f t="shared" si="4"/>
        <v>61</v>
      </c>
      <c r="T272" s="7" t="str">
        <f>_xlfn.TEXTJOIN("_",TRUE,Finance_Data!A272,Finance_Data!B272,Finance_Data!C272,Finance_Data!D272,Finance_Data!E272,Finance_Data!G272,Finance_Data!H272)</f>
        <v>CMP_044_East_Singapore_Luxury Bag_Wholesale_45143_45203</v>
      </c>
    </row>
    <row r="273" spans="1:20" x14ac:dyDescent="0.35">
      <c r="A273" s="6" t="s">
        <v>84</v>
      </c>
      <c r="B273" s="1" t="s">
        <v>28</v>
      </c>
      <c r="C273" s="1" t="s">
        <v>36</v>
      </c>
      <c r="D273" s="1" t="s">
        <v>21</v>
      </c>
      <c r="E273" s="1" t="s">
        <v>38</v>
      </c>
      <c r="F273" s="1" t="s">
        <v>52</v>
      </c>
      <c r="G273" s="2">
        <v>45143</v>
      </c>
      <c r="H273" s="2">
        <v>45203</v>
      </c>
      <c r="I273" s="1">
        <v>3385.43</v>
      </c>
      <c r="J273" s="1">
        <v>0.77590000000000003</v>
      </c>
      <c r="K273" s="1">
        <v>2626.76</v>
      </c>
      <c r="L273" s="1">
        <v>348869</v>
      </c>
      <c r="M273" s="1">
        <v>3739</v>
      </c>
      <c r="N273" s="1">
        <v>187231</v>
      </c>
      <c r="O273" s="1">
        <v>2023</v>
      </c>
      <c r="P273" s="1" t="s">
        <v>32</v>
      </c>
      <c r="Q273" s="1" t="s">
        <v>33</v>
      </c>
      <c r="R273" s="1" t="s">
        <v>61</v>
      </c>
      <c r="S273" s="1">
        <f t="shared" si="4"/>
        <v>61</v>
      </c>
      <c r="T273" s="7" t="str">
        <f>_xlfn.TEXTJOIN("_",TRUE,Finance_Data!A273,Finance_Data!B273,Finance_Data!C273,Finance_Data!D273,Finance_Data!E273,Finance_Data!G273,Finance_Data!H273)</f>
        <v>CMP_036_West_India_Foundation_Ecommerce_45143_45203</v>
      </c>
    </row>
    <row r="274" spans="1:20" x14ac:dyDescent="0.35">
      <c r="A274" s="6" t="s">
        <v>71</v>
      </c>
      <c r="B274" s="1" t="s">
        <v>19</v>
      </c>
      <c r="C274" s="1" t="s">
        <v>58</v>
      </c>
      <c r="D274" s="1" t="s">
        <v>51</v>
      </c>
      <c r="E274" s="1" t="s">
        <v>38</v>
      </c>
      <c r="F274" s="1" t="s">
        <v>44</v>
      </c>
      <c r="G274" s="2">
        <v>45143</v>
      </c>
      <c r="H274" s="2">
        <v>45194</v>
      </c>
      <c r="I274" s="1">
        <v>2073.75</v>
      </c>
      <c r="J274" s="1">
        <v>0.61050000000000004</v>
      </c>
      <c r="K274" s="1">
        <v>1266.02</v>
      </c>
      <c r="L274" s="1">
        <v>139144</v>
      </c>
      <c r="M274" s="1">
        <v>24124</v>
      </c>
      <c r="N274" s="1">
        <v>179221.97</v>
      </c>
      <c r="O274" s="1">
        <v>2023</v>
      </c>
      <c r="P274" s="1" t="s">
        <v>32</v>
      </c>
      <c r="Q274" s="1" t="s">
        <v>33</v>
      </c>
      <c r="R274" s="1" t="s">
        <v>26</v>
      </c>
      <c r="S274" s="1">
        <f t="shared" si="4"/>
        <v>52</v>
      </c>
      <c r="T274" s="7" t="str">
        <f>_xlfn.TEXTJOIN("_",TRUE,Finance_Data!A274,Finance_Data!B274,Finance_Data!C274,Finance_Data!D274,Finance_Data!E274,Finance_Data!G274,Finance_Data!H274)</f>
        <v>CMP_051_North_UK_Watch_Ecommerce_45143_45194</v>
      </c>
    </row>
    <row r="275" spans="1:20" x14ac:dyDescent="0.35">
      <c r="A275" s="6" t="s">
        <v>117</v>
      </c>
      <c r="B275" s="1" t="s">
        <v>48</v>
      </c>
      <c r="C275" s="1" t="s">
        <v>29</v>
      </c>
      <c r="D275" s="1" t="s">
        <v>63</v>
      </c>
      <c r="E275" s="1" t="s">
        <v>30</v>
      </c>
      <c r="F275" s="1" t="s">
        <v>23</v>
      </c>
      <c r="G275" s="2">
        <v>45144</v>
      </c>
      <c r="H275" s="2">
        <v>45193</v>
      </c>
      <c r="I275" s="1">
        <v>37322.949999999997</v>
      </c>
      <c r="J275" s="1">
        <v>0.14599999999999999</v>
      </c>
      <c r="K275" s="1">
        <v>5449.15</v>
      </c>
      <c r="L275" s="1">
        <v>486660</v>
      </c>
      <c r="M275" s="1">
        <v>2608</v>
      </c>
      <c r="N275" s="1">
        <v>138544.9</v>
      </c>
      <c r="O275" s="1">
        <v>2023</v>
      </c>
      <c r="P275" s="1" t="s">
        <v>32</v>
      </c>
      <c r="Q275" s="1" t="s">
        <v>33</v>
      </c>
      <c r="R275" s="1" t="s">
        <v>54</v>
      </c>
      <c r="S275" s="1">
        <f t="shared" si="4"/>
        <v>50</v>
      </c>
      <c r="T275" s="7" t="str">
        <f>_xlfn.TEXTJOIN("_",TRUE,Finance_Data!A275,Finance_Data!B275,Finance_Data!C275,Finance_Data!D275,Finance_Data!E275,Finance_Data!G275,Finance_Data!H275)</f>
        <v>CMP_031_South_Australia_Skincare_Wholesale_45144_45193</v>
      </c>
    </row>
    <row r="276" spans="1:20" x14ac:dyDescent="0.35">
      <c r="A276" s="6" t="s">
        <v>120</v>
      </c>
      <c r="B276" s="1" t="s">
        <v>35</v>
      </c>
      <c r="C276" s="1" t="s">
        <v>36</v>
      </c>
      <c r="D276" s="1" t="s">
        <v>21</v>
      </c>
      <c r="E276" s="1" t="s">
        <v>30</v>
      </c>
      <c r="F276" s="1" t="s">
        <v>52</v>
      </c>
      <c r="G276" s="2">
        <v>45145</v>
      </c>
      <c r="H276" s="2">
        <v>45180</v>
      </c>
      <c r="I276" s="1">
        <v>4819</v>
      </c>
      <c r="J276" s="1">
        <v>0.71650000000000003</v>
      </c>
      <c r="K276" s="1">
        <v>3452.81</v>
      </c>
      <c r="L276" s="1">
        <v>554676</v>
      </c>
      <c r="M276" s="1">
        <v>44663</v>
      </c>
      <c r="N276" s="1">
        <v>114041.38</v>
      </c>
      <c r="O276" s="1">
        <v>2023</v>
      </c>
      <c r="P276" s="1" t="s">
        <v>32</v>
      </c>
      <c r="Q276" s="1" t="s">
        <v>33</v>
      </c>
      <c r="R276" s="1" t="s">
        <v>54</v>
      </c>
      <c r="S276" s="1">
        <f t="shared" si="4"/>
        <v>36</v>
      </c>
      <c r="T276" s="7" t="str">
        <f>_xlfn.TEXTJOIN("_",TRUE,Finance_Data!A276,Finance_Data!B276,Finance_Data!C276,Finance_Data!D276,Finance_Data!E276,Finance_Data!G276,Finance_Data!H276)</f>
        <v>CMP_001_East_India_Foundation_Wholesale_45145_45180</v>
      </c>
    </row>
    <row r="277" spans="1:20" x14ac:dyDescent="0.35">
      <c r="A277" s="6" t="s">
        <v>97</v>
      </c>
      <c r="B277" s="1" t="s">
        <v>48</v>
      </c>
      <c r="C277" s="1" t="s">
        <v>20</v>
      </c>
      <c r="D277" s="1" t="s">
        <v>59</v>
      </c>
      <c r="E277" s="1" t="s">
        <v>22</v>
      </c>
      <c r="F277" s="1" t="s">
        <v>44</v>
      </c>
      <c r="G277" s="2">
        <v>45145</v>
      </c>
      <c r="H277" s="2">
        <v>45179</v>
      </c>
      <c r="I277" s="1">
        <v>28805.99</v>
      </c>
      <c r="J277" s="1">
        <v>0.39269999999999999</v>
      </c>
      <c r="K277" s="1">
        <v>11312.11</v>
      </c>
      <c r="L277" s="1">
        <v>253949</v>
      </c>
      <c r="M277" s="1">
        <v>36907</v>
      </c>
      <c r="N277" s="1">
        <v>21227.61</v>
      </c>
      <c r="O277" s="1">
        <v>2023</v>
      </c>
      <c r="P277" s="1" t="s">
        <v>32</v>
      </c>
      <c r="Q277" s="1" t="s">
        <v>33</v>
      </c>
      <c r="R277" s="1" t="s">
        <v>41</v>
      </c>
      <c r="S277" s="1">
        <f t="shared" si="4"/>
        <v>35</v>
      </c>
      <c r="T277" s="7" t="str">
        <f>_xlfn.TEXTJOIN("_",TRUE,Finance_Data!A277,Finance_Data!B277,Finance_Data!C277,Finance_Data!D277,Finance_Data!E277,Finance_Data!G277,Finance_Data!H277)</f>
        <v>CMP_019_South_Singapore_Lipstick_Retail_45145_45179</v>
      </c>
    </row>
    <row r="278" spans="1:20" x14ac:dyDescent="0.35">
      <c r="A278" s="6" t="s">
        <v>72</v>
      </c>
      <c r="B278" s="1" t="s">
        <v>19</v>
      </c>
      <c r="C278" s="1" t="s">
        <v>58</v>
      </c>
      <c r="D278" s="1" t="s">
        <v>43</v>
      </c>
      <c r="E278" s="1" t="s">
        <v>38</v>
      </c>
      <c r="F278" s="1" t="s">
        <v>23</v>
      </c>
      <c r="G278" s="2">
        <v>45145</v>
      </c>
      <c r="H278" s="2">
        <v>45150</v>
      </c>
      <c r="I278" s="1">
        <v>37163.26</v>
      </c>
      <c r="J278" s="1">
        <v>0.68689999999999996</v>
      </c>
      <c r="K278" s="1">
        <v>25527.439999999999</v>
      </c>
      <c r="L278" s="1">
        <v>238026</v>
      </c>
      <c r="M278" s="1">
        <v>20076</v>
      </c>
      <c r="N278" s="1">
        <v>232631.71</v>
      </c>
      <c r="O278" s="1">
        <v>2023</v>
      </c>
      <c r="P278" s="1" t="s">
        <v>32</v>
      </c>
      <c r="Q278" s="1" t="s">
        <v>33</v>
      </c>
      <c r="R278" s="1" t="s">
        <v>41</v>
      </c>
      <c r="S278" s="1">
        <f t="shared" si="4"/>
        <v>6</v>
      </c>
      <c r="T278" s="7" t="str">
        <f>_xlfn.TEXTJOIN("_",TRUE,Finance_Data!A278,Finance_Data!B278,Finance_Data!C278,Finance_Data!D278,Finance_Data!E278,Finance_Data!G278,Finance_Data!H278)</f>
        <v>CMP_042_North_UK_Luxury Bag_Ecommerce_45145_45150</v>
      </c>
    </row>
    <row r="279" spans="1:20" x14ac:dyDescent="0.35">
      <c r="A279" s="6" t="s">
        <v>71</v>
      </c>
      <c r="B279" s="1" t="s">
        <v>28</v>
      </c>
      <c r="C279" s="1" t="s">
        <v>58</v>
      </c>
      <c r="D279" s="1" t="s">
        <v>59</v>
      </c>
      <c r="E279" s="1" t="s">
        <v>22</v>
      </c>
      <c r="F279" s="1" t="s">
        <v>23</v>
      </c>
      <c r="G279" s="2">
        <v>45146</v>
      </c>
      <c r="H279" s="2">
        <v>45185</v>
      </c>
      <c r="I279" s="1">
        <v>7483.28</v>
      </c>
      <c r="J279" s="1">
        <v>1.1233</v>
      </c>
      <c r="K279" s="1">
        <v>8405.9699999999993</v>
      </c>
      <c r="L279" s="1">
        <v>608782</v>
      </c>
      <c r="M279" s="1">
        <v>37862</v>
      </c>
      <c r="N279" s="1">
        <v>120804.4</v>
      </c>
      <c r="O279" s="1">
        <v>2023</v>
      </c>
      <c r="P279" s="1" t="s">
        <v>32</v>
      </c>
      <c r="Q279" s="1" t="s">
        <v>33</v>
      </c>
      <c r="R279" s="1" t="s">
        <v>54</v>
      </c>
      <c r="S279" s="1">
        <f t="shared" si="4"/>
        <v>40</v>
      </c>
      <c r="T279" s="7" t="str">
        <f>_xlfn.TEXTJOIN("_",TRUE,Finance_Data!A279,Finance_Data!B279,Finance_Data!C279,Finance_Data!D279,Finance_Data!E279,Finance_Data!G279,Finance_Data!H279)</f>
        <v>CMP_051_West_UK_Lipstick_Retail_45146_45185</v>
      </c>
    </row>
    <row r="280" spans="1:20" x14ac:dyDescent="0.35">
      <c r="A280" s="6" t="s">
        <v>72</v>
      </c>
      <c r="B280" s="1" t="s">
        <v>19</v>
      </c>
      <c r="C280" s="1" t="s">
        <v>36</v>
      </c>
      <c r="D280" s="1" t="s">
        <v>59</v>
      </c>
      <c r="E280" s="1" t="s">
        <v>30</v>
      </c>
      <c r="F280" s="1" t="s">
        <v>44</v>
      </c>
      <c r="G280" s="2">
        <v>45147</v>
      </c>
      <c r="H280" s="2">
        <v>45176</v>
      </c>
      <c r="I280" s="1">
        <v>41705.61</v>
      </c>
      <c r="J280" s="1">
        <v>4.8800000000000003E-2</v>
      </c>
      <c r="K280" s="1">
        <v>2035.23</v>
      </c>
      <c r="L280" s="1">
        <v>771538</v>
      </c>
      <c r="M280" s="1">
        <v>9935</v>
      </c>
      <c r="N280" s="1">
        <v>98366.97</v>
      </c>
      <c r="O280" s="1">
        <v>2023</v>
      </c>
      <c r="P280" s="1" t="s">
        <v>32</v>
      </c>
      <c r="Q280" s="1" t="s">
        <v>33</v>
      </c>
      <c r="R280" s="1" t="s">
        <v>54</v>
      </c>
      <c r="S280" s="1">
        <f t="shared" si="4"/>
        <v>30</v>
      </c>
      <c r="T280" s="7" t="str">
        <f>_xlfn.TEXTJOIN("_",TRUE,Finance_Data!A280,Finance_Data!B280,Finance_Data!C280,Finance_Data!D280,Finance_Data!E280,Finance_Data!G280,Finance_Data!H280)</f>
        <v>CMP_042_North_India_Lipstick_Wholesale_45147_45176</v>
      </c>
    </row>
    <row r="281" spans="1:20" x14ac:dyDescent="0.35">
      <c r="A281" s="6" t="s">
        <v>111</v>
      </c>
      <c r="B281" s="1" t="s">
        <v>35</v>
      </c>
      <c r="C281" s="1" t="s">
        <v>36</v>
      </c>
      <c r="D281" s="1" t="s">
        <v>63</v>
      </c>
      <c r="E281" s="1" t="s">
        <v>38</v>
      </c>
      <c r="F281" s="1" t="s">
        <v>44</v>
      </c>
      <c r="G281" s="2">
        <v>45148</v>
      </c>
      <c r="H281" s="2">
        <v>45175</v>
      </c>
      <c r="I281" s="1">
        <v>11278.39</v>
      </c>
      <c r="J281" s="1">
        <v>0.23749999999999999</v>
      </c>
      <c r="K281" s="1">
        <v>2678.62</v>
      </c>
      <c r="L281" s="1">
        <v>722641</v>
      </c>
      <c r="M281" s="1">
        <v>37903</v>
      </c>
      <c r="N281" s="1">
        <v>239000.59</v>
      </c>
      <c r="O281" s="1">
        <v>2023</v>
      </c>
      <c r="P281" s="1" t="s">
        <v>32</v>
      </c>
      <c r="Q281" s="1" t="s">
        <v>33</v>
      </c>
      <c r="R281" s="1" t="s">
        <v>26</v>
      </c>
      <c r="S281" s="1">
        <f t="shared" si="4"/>
        <v>28</v>
      </c>
      <c r="T281" s="7" t="str">
        <f>_xlfn.TEXTJOIN("_",TRUE,Finance_Data!A281,Finance_Data!B281,Finance_Data!C281,Finance_Data!D281,Finance_Data!E281,Finance_Data!G281,Finance_Data!H281)</f>
        <v>CMP_024_East_India_Skincare_Ecommerce_45148_45175</v>
      </c>
    </row>
    <row r="282" spans="1:20" x14ac:dyDescent="0.35">
      <c r="A282" s="6" t="s">
        <v>34</v>
      </c>
      <c r="B282" s="1" t="s">
        <v>48</v>
      </c>
      <c r="C282" s="1" t="s">
        <v>29</v>
      </c>
      <c r="D282" s="1" t="s">
        <v>21</v>
      </c>
      <c r="E282" s="1" t="s">
        <v>30</v>
      </c>
      <c r="F282" s="1" t="s">
        <v>31</v>
      </c>
      <c r="G282" s="2">
        <v>45149</v>
      </c>
      <c r="H282" s="2">
        <v>45206</v>
      </c>
      <c r="I282" s="1">
        <v>7806.92</v>
      </c>
      <c r="J282" s="1">
        <v>0.70109999999999995</v>
      </c>
      <c r="K282" s="1">
        <v>5473.43</v>
      </c>
      <c r="L282" s="1">
        <v>801662</v>
      </c>
      <c r="M282" s="1">
        <v>41789</v>
      </c>
      <c r="N282" s="1">
        <v>203410.65</v>
      </c>
      <c r="O282" s="1">
        <v>2023</v>
      </c>
      <c r="P282" s="1" t="s">
        <v>32</v>
      </c>
      <c r="Q282" s="1" t="s">
        <v>33</v>
      </c>
      <c r="R282" s="1" t="s">
        <v>54</v>
      </c>
      <c r="S282" s="1">
        <f t="shared" si="4"/>
        <v>58</v>
      </c>
      <c r="T282" s="7" t="str">
        <f>_xlfn.TEXTJOIN("_",TRUE,Finance_Data!A282,Finance_Data!B282,Finance_Data!C282,Finance_Data!D282,Finance_Data!E282,Finance_Data!G282,Finance_Data!H282)</f>
        <v>CMP_049_South_Australia_Foundation_Wholesale_45149_45206</v>
      </c>
    </row>
    <row r="283" spans="1:20" x14ac:dyDescent="0.35">
      <c r="A283" s="6" t="s">
        <v>27</v>
      </c>
      <c r="B283" s="1" t="s">
        <v>28</v>
      </c>
      <c r="C283" s="1" t="s">
        <v>29</v>
      </c>
      <c r="D283" s="1" t="s">
        <v>21</v>
      </c>
      <c r="E283" s="1" t="s">
        <v>30</v>
      </c>
      <c r="F283" s="1" t="s">
        <v>31</v>
      </c>
      <c r="G283" s="2">
        <v>45150</v>
      </c>
      <c r="H283" s="2">
        <v>45169</v>
      </c>
      <c r="I283" s="1">
        <v>25762.41</v>
      </c>
      <c r="J283" s="1">
        <v>4.1599999999999998E-2</v>
      </c>
      <c r="K283" s="1">
        <v>1071.72</v>
      </c>
      <c r="L283" s="1">
        <v>218496</v>
      </c>
      <c r="M283" s="1">
        <v>47025</v>
      </c>
      <c r="N283" s="1">
        <v>164221.69</v>
      </c>
      <c r="O283" s="1">
        <v>2023</v>
      </c>
      <c r="P283" s="1" t="s">
        <v>32</v>
      </c>
      <c r="Q283" s="1" t="s">
        <v>33</v>
      </c>
      <c r="R283" s="1" t="s">
        <v>26</v>
      </c>
      <c r="S283" s="1">
        <f t="shared" si="4"/>
        <v>20</v>
      </c>
      <c r="T283" s="7" t="str">
        <f>_xlfn.TEXTJOIN("_",TRUE,Finance_Data!A283,Finance_Data!B283,Finance_Data!C283,Finance_Data!D283,Finance_Data!E283,Finance_Data!G283,Finance_Data!H283)</f>
        <v>CMP_035_West_Australia_Foundation_Wholesale_45150_45169</v>
      </c>
    </row>
    <row r="284" spans="1:20" x14ac:dyDescent="0.35">
      <c r="A284" s="6" t="s">
        <v>95</v>
      </c>
      <c r="B284" s="1" t="s">
        <v>48</v>
      </c>
      <c r="C284" s="1" t="s">
        <v>69</v>
      </c>
      <c r="D284" s="1" t="s">
        <v>63</v>
      </c>
      <c r="E284" s="1" t="s">
        <v>38</v>
      </c>
      <c r="F284" s="1" t="s">
        <v>23</v>
      </c>
      <c r="G284" s="2">
        <v>45152</v>
      </c>
      <c r="H284" s="2">
        <v>45182</v>
      </c>
      <c r="I284" s="1">
        <v>49237.84</v>
      </c>
      <c r="J284" s="1">
        <v>7.5200000000000003E-2</v>
      </c>
      <c r="K284" s="1">
        <v>3702.69</v>
      </c>
      <c r="L284" s="1">
        <v>224353</v>
      </c>
      <c r="M284" s="1">
        <v>19853</v>
      </c>
      <c r="N284" s="1">
        <v>236604.4</v>
      </c>
      <c r="O284" s="1">
        <v>2023</v>
      </c>
      <c r="P284" s="1" t="s">
        <v>32</v>
      </c>
      <c r="Q284" s="1" t="s">
        <v>33</v>
      </c>
      <c r="R284" s="1" t="s">
        <v>26</v>
      </c>
      <c r="S284" s="1">
        <f t="shared" si="4"/>
        <v>31</v>
      </c>
      <c r="T284" s="7" t="str">
        <f>_xlfn.TEXTJOIN("_",TRUE,Finance_Data!A284,Finance_Data!B284,Finance_Data!C284,Finance_Data!D284,Finance_Data!E284,Finance_Data!G284,Finance_Data!H284)</f>
        <v>CMP_050_South_USA_Skincare_Ecommerce_45152_45182</v>
      </c>
    </row>
    <row r="285" spans="1:20" x14ac:dyDescent="0.35">
      <c r="A285" s="6" t="s">
        <v>18</v>
      </c>
      <c r="B285" s="1" t="s">
        <v>35</v>
      </c>
      <c r="C285" s="1" t="s">
        <v>69</v>
      </c>
      <c r="D285" s="1" t="s">
        <v>51</v>
      </c>
      <c r="E285" s="1" t="s">
        <v>30</v>
      </c>
      <c r="F285" s="1" t="s">
        <v>44</v>
      </c>
      <c r="G285" s="2">
        <v>45152</v>
      </c>
      <c r="H285" s="2">
        <v>45173</v>
      </c>
      <c r="I285" s="1">
        <v>4881.28</v>
      </c>
      <c r="J285" s="1">
        <v>0.75409999999999999</v>
      </c>
      <c r="K285" s="1">
        <v>3680.97</v>
      </c>
      <c r="L285" s="1">
        <v>551704</v>
      </c>
      <c r="M285" s="1">
        <v>40287</v>
      </c>
      <c r="N285" s="1">
        <v>202855.86</v>
      </c>
      <c r="O285" s="1">
        <v>2023</v>
      </c>
      <c r="P285" s="1" t="s">
        <v>32</v>
      </c>
      <c r="Q285" s="1" t="s">
        <v>33</v>
      </c>
      <c r="R285" s="1" t="s">
        <v>41</v>
      </c>
      <c r="S285" s="1">
        <f t="shared" si="4"/>
        <v>22</v>
      </c>
      <c r="T285" s="7" t="str">
        <f>_xlfn.TEXTJOIN("_",TRUE,Finance_Data!A285,Finance_Data!B285,Finance_Data!C285,Finance_Data!D285,Finance_Data!E285,Finance_Data!G285,Finance_Data!H285)</f>
        <v>CMP_044_East_USA_Watch_Wholesale_45152_45173</v>
      </c>
    </row>
    <row r="286" spans="1:20" x14ac:dyDescent="0.35">
      <c r="A286" s="6" t="s">
        <v>27</v>
      </c>
      <c r="B286" s="1" t="s">
        <v>19</v>
      </c>
      <c r="C286" s="1" t="s">
        <v>20</v>
      </c>
      <c r="D286" s="1" t="s">
        <v>63</v>
      </c>
      <c r="E286" s="1" t="s">
        <v>38</v>
      </c>
      <c r="F286" s="1" t="s">
        <v>52</v>
      </c>
      <c r="G286" s="2">
        <v>45154</v>
      </c>
      <c r="H286" s="2">
        <v>45207</v>
      </c>
      <c r="I286" s="1">
        <v>29256.59</v>
      </c>
      <c r="J286" s="1">
        <v>7.4399999999999994E-2</v>
      </c>
      <c r="K286" s="1">
        <v>2176.69</v>
      </c>
      <c r="L286" s="1">
        <v>848095</v>
      </c>
      <c r="M286" s="1">
        <v>27833</v>
      </c>
      <c r="N286" s="1">
        <v>122188.42</v>
      </c>
      <c r="O286" s="1">
        <v>2023</v>
      </c>
      <c r="P286" s="1" t="s">
        <v>32</v>
      </c>
      <c r="Q286" s="1" t="s">
        <v>33</v>
      </c>
      <c r="R286" s="1" t="s">
        <v>54</v>
      </c>
      <c r="S286" s="1">
        <f t="shared" si="4"/>
        <v>54</v>
      </c>
      <c r="T286" s="7" t="str">
        <f>_xlfn.TEXTJOIN("_",TRUE,Finance_Data!A286,Finance_Data!B286,Finance_Data!C286,Finance_Data!D286,Finance_Data!E286,Finance_Data!G286,Finance_Data!H286)</f>
        <v>CMP_035_North_Singapore_Skincare_Ecommerce_45154_45207</v>
      </c>
    </row>
    <row r="287" spans="1:20" x14ac:dyDescent="0.35">
      <c r="A287" s="6" t="s">
        <v>111</v>
      </c>
      <c r="B287" s="1" t="s">
        <v>28</v>
      </c>
      <c r="C287" s="1" t="s">
        <v>58</v>
      </c>
      <c r="D287" s="1" t="s">
        <v>51</v>
      </c>
      <c r="E287" s="1" t="s">
        <v>30</v>
      </c>
      <c r="F287" s="1" t="s">
        <v>44</v>
      </c>
      <c r="G287" s="2">
        <v>45154</v>
      </c>
      <c r="H287" s="2">
        <v>45191</v>
      </c>
      <c r="I287" s="1">
        <v>37595.800000000003</v>
      </c>
      <c r="J287" s="1">
        <v>0.67400000000000004</v>
      </c>
      <c r="K287" s="1">
        <v>25339.57</v>
      </c>
      <c r="L287" s="1">
        <v>731068</v>
      </c>
      <c r="M287" s="1">
        <v>37798</v>
      </c>
      <c r="N287" s="1">
        <v>59152.78</v>
      </c>
      <c r="O287" s="1">
        <v>2023</v>
      </c>
      <c r="P287" s="1" t="s">
        <v>32</v>
      </c>
      <c r="Q287" s="1" t="s">
        <v>33</v>
      </c>
      <c r="R287" s="1" t="s">
        <v>61</v>
      </c>
      <c r="S287" s="1">
        <f t="shared" si="4"/>
        <v>38</v>
      </c>
      <c r="T287" s="7" t="str">
        <f>_xlfn.TEXTJOIN("_",TRUE,Finance_Data!A287,Finance_Data!B287,Finance_Data!C287,Finance_Data!D287,Finance_Data!E287,Finance_Data!G287,Finance_Data!H287)</f>
        <v>CMP_024_West_UK_Watch_Wholesale_45154_45191</v>
      </c>
    </row>
    <row r="288" spans="1:20" x14ac:dyDescent="0.35">
      <c r="A288" s="6" t="s">
        <v>90</v>
      </c>
      <c r="B288" s="1" t="s">
        <v>35</v>
      </c>
      <c r="C288" s="1" t="s">
        <v>58</v>
      </c>
      <c r="D288" s="1" t="s">
        <v>37</v>
      </c>
      <c r="E288" s="1" t="s">
        <v>38</v>
      </c>
      <c r="F288" s="1" t="s">
        <v>23</v>
      </c>
      <c r="G288" s="2">
        <v>45154</v>
      </c>
      <c r="H288" s="2">
        <v>45181</v>
      </c>
      <c r="I288" s="1">
        <v>11943.07</v>
      </c>
      <c r="J288" s="1">
        <v>1.0469999999999999</v>
      </c>
      <c r="K288" s="1">
        <v>12504.39</v>
      </c>
      <c r="L288" s="1">
        <v>450897</v>
      </c>
      <c r="M288" s="1">
        <v>21813</v>
      </c>
      <c r="N288" s="1">
        <v>96062.2</v>
      </c>
      <c r="O288" s="1">
        <v>2023</v>
      </c>
      <c r="P288" s="1" t="s">
        <v>32</v>
      </c>
      <c r="Q288" s="1" t="s">
        <v>33</v>
      </c>
      <c r="R288" s="1" t="s">
        <v>26</v>
      </c>
      <c r="S288" s="1">
        <f t="shared" si="4"/>
        <v>28</v>
      </c>
      <c r="T288" s="7" t="str">
        <f>_xlfn.TEXTJOIN("_",TRUE,Finance_Data!A288,Finance_Data!B288,Finance_Data!C288,Finance_Data!D288,Finance_Data!E288,Finance_Data!G288,Finance_Data!H288)</f>
        <v>CMP_038_East_UK_Perfume_Ecommerce_45154_45181</v>
      </c>
    </row>
    <row r="289" spans="1:20" x14ac:dyDescent="0.35">
      <c r="A289" s="6" t="s">
        <v>106</v>
      </c>
      <c r="B289" s="1" t="s">
        <v>19</v>
      </c>
      <c r="C289" s="1" t="s">
        <v>58</v>
      </c>
      <c r="D289" s="1" t="s">
        <v>51</v>
      </c>
      <c r="E289" s="1" t="s">
        <v>22</v>
      </c>
      <c r="F289" s="1" t="s">
        <v>23</v>
      </c>
      <c r="G289" s="2">
        <v>45154</v>
      </c>
      <c r="H289" s="2">
        <v>45167</v>
      </c>
      <c r="I289" s="1">
        <v>42983.95</v>
      </c>
      <c r="J289" s="1">
        <v>0.1794</v>
      </c>
      <c r="K289" s="1">
        <v>7711.32</v>
      </c>
      <c r="L289" s="1">
        <v>247580</v>
      </c>
      <c r="M289" s="1">
        <v>20247</v>
      </c>
      <c r="N289" s="1">
        <v>35709.32</v>
      </c>
      <c r="O289" s="1">
        <v>2023</v>
      </c>
      <c r="P289" s="1" t="s">
        <v>32</v>
      </c>
      <c r="Q289" s="1" t="s">
        <v>33</v>
      </c>
      <c r="R289" s="1" t="s">
        <v>26</v>
      </c>
      <c r="S289" s="1">
        <f t="shared" si="4"/>
        <v>14</v>
      </c>
      <c r="T289" s="7" t="str">
        <f>_xlfn.TEXTJOIN("_",TRUE,Finance_Data!A289,Finance_Data!B289,Finance_Data!C289,Finance_Data!D289,Finance_Data!E289,Finance_Data!G289,Finance_Data!H289)</f>
        <v>CMP_009_North_UK_Watch_Retail_45154_45167</v>
      </c>
    </row>
    <row r="290" spans="1:20" x14ac:dyDescent="0.35">
      <c r="A290" s="6" t="s">
        <v>101</v>
      </c>
      <c r="B290" s="1" t="s">
        <v>19</v>
      </c>
      <c r="C290" s="1" t="s">
        <v>69</v>
      </c>
      <c r="D290" s="1" t="s">
        <v>63</v>
      </c>
      <c r="E290" s="1" t="s">
        <v>22</v>
      </c>
      <c r="F290" s="1" t="s">
        <v>23</v>
      </c>
      <c r="G290" s="2">
        <v>45156</v>
      </c>
      <c r="H290" s="2">
        <v>45197</v>
      </c>
      <c r="I290" s="1">
        <v>48784.34</v>
      </c>
      <c r="J290" s="1">
        <v>0.48280000000000001</v>
      </c>
      <c r="K290" s="1">
        <v>23553.08</v>
      </c>
      <c r="L290" s="1">
        <v>253390</v>
      </c>
      <c r="M290" s="1">
        <v>29400</v>
      </c>
      <c r="N290" s="1">
        <v>95606.3</v>
      </c>
      <c r="O290" s="1">
        <v>2023</v>
      </c>
      <c r="P290" s="1" t="s">
        <v>32</v>
      </c>
      <c r="Q290" s="1" t="s">
        <v>33</v>
      </c>
      <c r="R290" s="1" t="s">
        <v>26</v>
      </c>
      <c r="S290" s="1">
        <f t="shared" si="4"/>
        <v>42</v>
      </c>
      <c r="T290" s="7" t="str">
        <f>_xlfn.TEXTJOIN("_",TRUE,Finance_Data!A290,Finance_Data!B290,Finance_Data!C290,Finance_Data!D290,Finance_Data!E290,Finance_Data!G290,Finance_Data!H290)</f>
        <v>CMP_037_North_USA_Skincare_Retail_45156_45197</v>
      </c>
    </row>
    <row r="291" spans="1:20" x14ac:dyDescent="0.35">
      <c r="A291" s="6" t="s">
        <v>68</v>
      </c>
      <c r="B291" s="1" t="s">
        <v>35</v>
      </c>
      <c r="C291" s="1" t="s">
        <v>69</v>
      </c>
      <c r="D291" s="1" t="s">
        <v>63</v>
      </c>
      <c r="E291" s="1" t="s">
        <v>22</v>
      </c>
      <c r="F291" s="1" t="s">
        <v>49</v>
      </c>
      <c r="G291" s="2">
        <v>45160</v>
      </c>
      <c r="H291" s="2">
        <v>45191</v>
      </c>
      <c r="I291" s="1">
        <v>17607.650000000001</v>
      </c>
      <c r="J291" s="1">
        <v>0.54969999999999997</v>
      </c>
      <c r="K291" s="1">
        <v>9678.93</v>
      </c>
      <c r="L291" s="1">
        <v>446196</v>
      </c>
      <c r="M291" s="1">
        <v>47915</v>
      </c>
      <c r="N291" s="1">
        <v>28296.03</v>
      </c>
      <c r="O291" s="1">
        <v>2023</v>
      </c>
      <c r="P291" s="1" t="s">
        <v>32</v>
      </c>
      <c r="Q291" s="1" t="s">
        <v>33</v>
      </c>
      <c r="R291" s="1" t="s">
        <v>26</v>
      </c>
      <c r="S291" s="1">
        <f t="shared" si="4"/>
        <v>32</v>
      </c>
      <c r="T291" s="7" t="str">
        <f>_xlfn.TEXTJOIN("_",TRUE,Finance_Data!A291,Finance_Data!B291,Finance_Data!C291,Finance_Data!D291,Finance_Data!E291,Finance_Data!G291,Finance_Data!H291)</f>
        <v>CMP_028_East_USA_Skincare_Retail_45160_45191</v>
      </c>
    </row>
    <row r="292" spans="1:20" x14ac:dyDescent="0.35">
      <c r="A292" s="6" t="s">
        <v>105</v>
      </c>
      <c r="B292" s="1" t="s">
        <v>19</v>
      </c>
      <c r="C292" s="1" t="s">
        <v>20</v>
      </c>
      <c r="D292" s="1" t="s">
        <v>63</v>
      </c>
      <c r="E292" s="1" t="s">
        <v>22</v>
      </c>
      <c r="F292" s="1" t="s">
        <v>23</v>
      </c>
      <c r="G292" s="2">
        <v>45160</v>
      </c>
      <c r="H292" s="2">
        <v>45187</v>
      </c>
      <c r="I292" s="1">
        <v>28098.85</v>
      </c>
      <c r="J292" s="1">
        <v>0.45679999999999998</v>
      </c>
      <c r="K292" s="1">
        <v>12835.55</v>
      </c>
      <c r="L292" s="1">
        <v>204760</v>
      </c>
      <c r="M292" s="1">
        <v>44644</v>
      </c>
      <c r="N292" s="1">
        <v>148539.4</v>
      </c>
      <c r="O292" s="1">
        <v>2023</v>
      </c>
      <c r="P292" s="1" t="s">
        <v>32</v>
      </c>
      <c r="Q292" s="1" t="s">
        <v>33</v>
      </c>
      <c r="R292" s="1" t="s">
        <v>26</v>
      </c>
      <c r="S292" s="1">
        <f t="shared" si="4"/>
        <v>28</v>
      </c>
      <c r="T292" s="7" t="str">
        <f>_xlfn.TEXTJOIN("_",TRUE,Finance_Data!A292,Finance_Data!B292,Finance_Data!C292,Finance_Data!D292,Finance_Data!E292,Finance_Data!G292,Finance_Data!H292)</f>
        <v>CMP_025_North_Singapore_Skincare_Retail_45160_45187</v>
      </c>
    </row>
    <row r="293" spans="1:20" x14ac:dyDescent="0.35">
      <c r="A293" s="6" t="s">
        <v>85</v>
      </c>
      <c r="B293" s="1" t="s">
        <v>28</v>
      </c>
      <c r="C293" s="1" t="s">
        <v>58</v>
      </c>
      <c r="D293" s="1" t="s">
        <v>37</v>
      </c>
      <c r="E293" s="1" t="s">
        <v>38</v>
      </c>
      <c r="F293" s="1" t="s">
        <v>44</v>
      </c>
      <c r="G293" s="2">
        <v>45164</v>
      </c>
      <c r="H293" s="2">
        <v>45214</v>
      </c>
      <c r="I293" s="1">
        <v>3974.53</v>
      </c>
      <c r="J293" s="1">
        <v>3.2599999999999997E-2</v>
      </c>
      <c r="K293" s="1">
        <v>129.57</v>
      </c>
      <c r="L293" s="1">
        <v>614402</v>
      </c>
      <c r="M293" s="1">
        <v>20799</v>
      </c>
      <c r="N293" s="1">
        <v>140547.64000000001</v>
      </c>
      <c r="O293" s="1">
        <v>2023</v>
      </c>
      <c r="P293" s="1" t="s">
        <v>32</v>
      </c>
      <c r="Q293" s="1" t="s">
        <v>33</v>
      </c>
      <c r="R293" s="1" t="s">
        <v>41</v>
      </c>
      <c r="S293" s="1">
        <f t="shared" si="4"/>
        <v>51</v>
      </c>
      <c r="T293" s="7" t="str">
        <f>_xlfn.TEXTJOIN("_",TRUE,Finance_Data!A293,Finance_Data!B293,Finance_Data!C293,Finance_Data!D293,Finance_Data!E293,Finance_Data!G293,Finance_Data!H293)</f>
        <v>CMP_018_West_UK_Perfume_Ecommerce_45164_45214</v>
      </c>
    </row>
    <row r="294" spans="1:20" x14ac:dyDescent="0.35">
      <c r="A294" s="6" t="s">
        <v>72</v>
      </c>
      <c r="B294" s="1" t="s">
        <v>19</v>
      </c>
      <c r="C294" s="1" t="s">
        <v>29</v>
      </c>
      <c r="D294" s="1" t="s">
        <v>51</v>
      </c>
      <c r="E294" s="1" t="s">
        <v>22</v>
      </c>
      <c r="F294" s="1" t="s">
        <v>44</v>
      </c>
      <c r="G294" s="2">
        <v>45165</v>
      </c>
      <c r="H294" s="2">
        <v>45195</v>
      </c>
      <c r="I294" s="1">
        <v>17610.900000000001</v>
      </c>
      <c r="J294" s="1">
        <v>6.4500000000000002E-2</v>
      </c>
      <c r="K294" s="1">
        <v>1135.9000000000001</v>
      </c>
      <c r="L294" s="1">
        <v>713011</v>
      </c>
      <c r="M294" s="1">
        <v>29138</v>
      </c>
      <c r="N294" s="1">
        <v>185298.63</v>
      </c>
      <c r="O294" s="1">
        <v>2023</v>
      </c>
      <c r="P294" s="1" t="s">
        <v>32</v>
      </c>
      <c r="Q294" s="1" t="s">
        <v>33</v>
      </c>
      <c r="R294" s="1" t="s">
        <v>41</v>
      </c>
      <c r="S294" s="1">
        <f t="shared" si="4"/>
        <v>31</v>
      </c>
      <c r="T294" s="7" t="str">
        <f>_xlfn.TEXTJOIN("_",TRUE,Finance_Data!A294,Finance_Data!B294,Finance_Data!C294,Finance_Data!D294,Finance_Data!E294,Finance_Data!G294,Finance_Data!H294)</f>
        <v>CMP_042_North_Australia_Watch_Retail_45165_45195</v>
      </c>
    </row>
    <row r="295" spans="1:20" x14ac:dyDescent="0.35">
      <c r="A295" s="6" t="s">
        <v>102</v>
      </c>
      <c r="B295" s="1" t="s">
        <v>19</v>
      </c>
      <c r="C295" s="1" t="s">
        <v>69</v>
      </c>
      <c r="D295" s="1" t="s">
        <v>59</v>
      </c>
      <c r="E295" s="1" t="s">
        <v>38</v>
      </c>
      <c r="F295" s="1" t="s">
        <v>49</v>
      </c>
      <c r="G295" s="2">
        <v>45166</v>
      </c>
      <c r="H295" s="2">
        <v>45204</v>
      </c>
      <c r="I295" s="1">
        <v>29763.18</v>
      </c>
      <c r="J295" s="1">
        <v>0.66759999999999997</v>
      </c>
      <c r="K295" s="1">
        <v>19869.900000000001</v>
      </c>
      <c r="L295" s="1">
        <v>501507</v>
      </c>
      <c r="M295" s="1">
        <v>47450</v>
      </c>
      <c r="N295" s="1">
        <v>204527.44</v>
      </c>
      <c r="O295" s="1">
        <v>2023</v>
      </c>
      <c r="P295" s="1" t="s">
        <v>32</v>
      </c>
      <c r="Q295" s="1" t="s">
        <v>33</v>
      </c>
      <c r="R295" s="1" t="s">
        <v>61</v>
      </c>
      <c r="S295" s="1">
        <f t="shared" si="4"/>
        <v>39</v>
      </c>
      <c r="T295" s="7" t="str">
        <f>_xlfn.TEXTJOIN("_",TRUE,Finance_Data!A295,Finance_Data!B295,Finance_Data!C295,Finance_Data!D295,Finance_Data!E295,Finance_Data!G295,Finance_Data!H295)</f>
        <v>CMP_022_North_USA_Lipstick_Ecommerce_45166_45204</v>
      </c>
    </row>
    <row r="296" spans="1:20" x14ac:dyDescent="0.35">
      <c r="A296" s="6" t="s">
        <v>70</v>
      </c>
      <c r="B296" s="1" t="s">
        <v>35</v>
      </c>
      <c r="C296" s="1" t="s">
        <v>69</v>
      </c>
      <c r="D296" s="1" t="s">
        <v>43</v>
      </c>
      <c r="E296" s="1" t="s">
        <v>38</v>
      </c>
      <c r="F296" s="1" t="s">
        <v>31</v>
      </c>
      <c r="G296" s="2">
        <v>45167</v>
      </c>
      <c r="H296" s="2">
        <v>45216</v>
      </c>
      <c r="I296" s="1">
        <v>22573.59</v>
      </c>
      <c r="J296" s="1">
        <v>0.9194</v>
      </c>
      <c r="K296" s="1">
        <v>20754.16</v>
      </c>
      <c r="L296" s="1">
        <v>129787</v>
      </c>
      <c r="M296" s="1">
        <v>1495</v>
      </c>
      <c r="N296" s="1">
        <v>127232.34</v>
      </c>
      <c r="O296" s="1">
        <v>2023</v>
      </c>
      <c r="P296" s="1" t="s">
        <v>32</v>
      </c>
      <c r="Q296" s="1" t="s">
        <v>33</v>
      </c>
      <c r="R296" s="1" t="s">
        <v>26</v>
      </c>
      <c r="S296" s="1">
        <f t="shared" si="4"/>
        <v>50</v>
      </c>
      <c r="T296" s="7" t="str">
        <f>_xlfn.TEXTJOIN("_",TRUE,Finance_Data!A296,Finance_Data!B296,Finance_Data!C296,Finance_Data!D296,Finance_Data!E296,Finance_Data!G296,Finance_Data!H296)</f>
        <v>CMP_003_East_USA_Luxury Bag_Ecommerce_45167_45216</v>
      </c>
    </row>
    <row r="297" spans="1:20" x14ac:dyDescent="0.35">
      <c r="A297" s="6" t="s">
        <v>47</v>
      </c>
      <c r="B297" s="1" t="s">
        <v>48</v>
      </c>
      <c r="C297" s="1" t="s">
        <v>69</v>
      </c>
      <c r="D297" s="1" t="s">
        <v>63</v>
      </c>
      <c r="E297" s="1" t="s">
        <v>38</v>
      </c>
      <c r="F297" s="1" t="s">
        <v>44</v>
      </c>
      <c r="G297" s="2">
        <v>45168</v>
      </c>
      <c r="H297" s="2">
        <v>45224</v>
      </c>
      <c r="I297" s="1">
        <v>37542.15</v>
      </c>
      <c r="J297" s="1">
        <v>0.70209999999999995</v>
      </c>
      <c r="K297" s="1">
        <v>26358.34</v>
      </c>
      <c r="L297" s="1">
        <v>759361</v>
      </c>
      <c r="M297" s="1">
        <v>41239</v>
      </c>
      <c r="N297" s="1">
        <v>168052.53</v>
      </c>
      <c r="O297" s="1">
        <v>2023</v>
      </c>
      <c r="P297" s="1" t="s">
        <v>32</v>
      </c>
      <c r="Q297" s="1" t="s">
        <v>33</v>
      </c>
      <c r="R297" s="1" t="s">
        <v>61</v>
      </c>
      <c r="S297" s="1">
        <f t="shared" si="4"/>
        <v>57</v>
      </c>
      <c r="T297" s="7" t="str">
        <f>_xlfn.TEXTJOIN("_",TRUE,Finance_Data!A297,Finance_Data!B297,Finance_Data!C297,Finance_Data!D297,Finance_Data!E297,Finance_Data!G297,Finance_Data!H297)</f>
        <v>CMP_055_South_USA_Skincare_Ecommerce_45168_45224</v>
      </c>
    </row>
    <row r="298" spans="1:20" x14ac:dyDescent="0.35">
      <c r="A298" s="6" t="s">
        <v>67</v>
      </c>
      <c r="B298" s="1" t="s">
        <v>28</v>
      </c>
      <c r="C298" s="1" t="s">
        <v>29</v>
      </c>
      <c r="D298" s="1" t="s">
        <v>43</v>
      </c>
      <c r="E298" s="1" t="s">
        <v>22</v>
      </c>
      <c r="F298" s="1" t="s">
        <v>31</v>
      </c>
      <c r="G298" s="2">
        <v>45168</v>
      </c>
      <c r="H298" s="2">
        <v>45205</v>
      </c>
      <c r="I298" s="1">
        <v>4830.0600000000004</v>
      </c>
      <c r="J298" s="1">
        <v>0.87270000000000003</v>
      </c>
      <c r="K298" s="1">
        <v>4215.1899999999996</v>
      </c>
      <c r="L298" s="1">
        <v>336592</v>
      </c>
      <c r="M298" s="1">
        <v>10858</v>
      </c>
      <c r="N298" s="1">
        <v>181810.07</v>
      </c>
      <c r="O298" s="1">
        <v>2023</v>
      </c>
      <c r="P298" s="1" t="s">
        <v>32</v>
      </c>
      <c r="Q298" s="1" t="s">
        <v>33</v>
      </c>
      <c r="R298" s="1" t="s">
        <v>41</v>
      </c>
      <c r="S298" s="1">
        <f t="shared" si="4"/>
        <v>38</v>
      </c>
      <c r="T298" s="7" t="str">
        <f>_xlfn.TEXTJOIN("_",TRUE,Finance_Data!A298,Finance_Data!B298,Finance_Data!C298,Finance_Data!D298,Finance_Data!E298,Finance_Data!G298,Finance_Data!H298)</f>
        <v>CMP_016_West_Australia_Luxury Bag_Retail_45168_45205</v>
      </c>
    </row>
    <row r="299" spans="1:20" x14ac:dyDescent="0.35">
      <c r="A299" s="6" t="s">
        <v>55</v>
      </c>
      <c r="B299" s="1" t="s">
        <v>35</v>
      </c>
      <c r="C299" s="1" t="s">
        <v>29</v>
      </c>
      <c r="D299" s="1" t="s">
        <v>59</v>
      </c>
      <c r="E299" s="1" t="s">
        <v>22</v>
      </c>
      <c r="F299" s="1" t="s">
        <v>31</v>
      </c>
      <c r="G299" s="2">
        <v>45168</v>
      </c>
      <c r="H299" s="2">
        <v>45197</v>
      </c>
      <c r="I299" s="1">
        <v>49731.74</v>
      </c>
      <c r="J299" s="1">
        <v>0.45610000000000001</v>
      </c>
      <c r="K299" s="1">
        <v>22682.65</v>
      </c>
      <c r="L299" s="1">
        <v>39556</v>
      </c>
      <c r="M299" s="1">
        <v>20985</v>
      </c>
      <c r="N299" s="1">
        <v>233052.35</v>
      </c>
      <c r="O299" s="1">
        <v>2023</v>
      </c>
      <c r="P299" s="1" t="s">
        <v>32</v>
      </c>
      <c r="Q299" s="1" t="s">
        <v>33</v>
      </c>
      <c r="R299" s="1" t="s">
        <v>54</v>
      </c>
      <c r="S299" s="1">
        <f t="shared" si="4"/>
        <v>30</v>
      </c>
      <c r="T299" s="7" t="str">
        <f>_xlfn.TEXTJOIN("_",TRUE,Finance_Data!A299,Finance_Data!B299,Finance_Data!C299,Finance_Data!D299,Finance_Data!E299,Finance_Data!G299,Finance_Data!H299)</f>
        <v>CMP_054_East_Australia_Lipstick_Retail_45168_45197</v>
      </c>
    </row>
    <row r="300" spans="1:20" x14ac:dyDescent="0.35">
      <c r="A300" s="6" t="s">
        <v>118</v>
      </c>
      <c r="B300" s="1" t="s">
        <v>19</v>
      </c>
      <c r="C300" s="1" t="s">
        <v>36</v>
      </c>
      <c r="D300" s="1" t="s">
        <v>51</v>
      </c>
      <c r="E300" s="1" t="s">
        <v>22</v>
      </c>
      <c r="F300" s="1" t="s">
        <v>23</v>
      </c>
      <c r="G300" s="2">
        <v>45170</v>
      </c>
      <c r="H300" s="2">
        <v>45189</v>
      </c>
      <c r="I300" s="1">
        <v>5507.55</v>
      </c>
      <c r="J300" s="1">
        <v>2.1999999999999999E-2</v>
      </c>
      <c r="K300" s="1">
        <v>121.17</v>
      </c>
      <c r="L300" s="1">
        <v>443130</v>
      </c>
      <c r="M300" s="1">
        <v>49086</v>
      </c>
      <c r="N300" s="1">
        <v>189379.42</v>
      </c>
      <c r="O300" s="1">
        <v>2023</v>
      </c>
      <c r="P300" s="1" t="s">
        <v>74</v>
      </c>
      <c r="Q300" s="1" t="s">
        <v>33</v>
      </c>
      <c r="R300" s="1" t="s">
        <v>26</v>
      </c>
      <c r="S300" s="1">
        <f t="shared" si="4"/>
        <v>20</v>
      </c>
      <c r="T300" s="7" t="str">
        <f>_xlfn.TEXTJOIN("_",TRUE,Finance_Data!A300,Finance_Data!B300,Finance_Data!C300,Finance_Data!D300,Finance_Data!E300,Finance_Data!G300,Finance_Data!H300)</f>
        <v>CMP_052_North_India_Watch_Retail_45170_45189</v>
      </c>
    </row>
    <row r="301" spans="1:20" x14ac:dyDescent="0.35">
      <c r="A301" s="6" t="s">
        <v>89</v>
      </c>
      <c r="B301" s="1" t="s">
        <v>48</v>
      </c>
      <c r="C301" s="1" t="s">
        <v>29</v>
      </c>
      <c r="D301" s="1" t="s">
        <v>63</v>
      </c>
      <c r="E301" s="1" t="s">
        <v>38</v>
      </c>
      <c r="F301" s="1" t="s">
        <v>31</v>
      </c>
      <c r="G301" s="2">
        <v>45171</v>
      </c>
      <c r="H301" s="2">
        <v>45210</v>
      </c>
      <c r="I301" s="1">
        <v>6564.33</v>
      </c>
      <c r="J301" s="1">
        <v>0.57940000000000003</v>
      </c>
      <c r="K301" s="1">
        <v>3803.37</v>
      </c>
      <c r="L301" s="1">
        <v>994767</v>
      </c>
      <c r="M301" s="1">
        <v>49401</v>
      </c>
      <c r="N301" s="1">
        <v>147129.25</v>
      </c>
      <c r="O301" s="1">
        <v>2023</v>
      </c>
      <c r="P301" s="1" t="s">
        <v>74</v>
      </c>
      <c r="Q301" s="1" t="s">
        <v>33</v>
      </c>
      <c r="R301" s="1" t="s">
        <v>54</v>
      </c>
      <c r="S301" s="1">
        <f t="shared" si="4"/>
        <v>40</v>
      </c>
      <c r="T301" s="7" t="str">
        <f>_xlfn.TEXTJOIN("_",TRUE,Finance_Data!A301,Finance_Data!B301,Finance_Data!C301,Finance_Data!D301,Finance_Data!E301,Finance_Data!G301,Finance_Data!H301)</f>
        <v>CMP_045_South_Australia_Skincare_Ecommerce_45171_45210</v>
      </c>
    </row>
    <row r="302" spans="1:20" x14ac:dyDescent="0.35">
      <c r="A302" s="6" t="s">
        <v>100</v>
      </c>
      <c r="B302" s="1" t="s">
        <v>19</v>
      </c>
      <c r="C302" s="1" t="s">
        <v>58</v>
      </c>
      <c r="D302" s="1" t="s">
        <v>43</v>
      </c>
      <c r="E302" s="1" t="s">
        <v>22</v>
      </c>
      <c r="F302" s="1" t="s">
        <v>44</v>
      </c>
      <c r="G302" s="2">
        <v>45175</v>
      </c>
      <c r="H302" s="2">
        <v>45224</v>
      </c>
      <c r="I302" s="1">
        <v>32790.53</v>
      </c>
      <c r="J302" s="1">
        <v>2.7099999999999999E-2</v>
      </c>
      <c r="K302" s="1">
        <v>888.62</v>
      </c>
      <c r="L302" s="1">
        <v>673393</v>
      </c>
      <c r="M302" s="1">
        <v>3374</v>
      </c>
      <c r="N302" s="1">
        <v>226642.28</v>
      </c>
      <c r="O302" s="1">
        <v>2023</v>
      </c>
      <c r="P302" s="1" t="s">
        <v>74</v>
      </c>
      <c r="Q302" s="1" t="s">
        <v>33</v>
      </c>
      <c r="R302" s="1" t="s">
        <v>26</v>
      </c>
      <c r="S302" s="1">
        <f t="shared" si="4"/>
        <v>50</v>
      </c>
      <c r="T302" s="7" t="str">
        <f>_xlfn.TEXTJOIN("_",TRUE,Finance_Data!A302,Finance_Data!B302,Finance_Data!C302,Finance_Data!D302,Finance_Data!E302,Finance_Data!G302,Finance_Data!H302)</f>
        <v>CMP_053_North_UK_Luxury Bag_Retail_45175_45224</v>
      </c>
    </row>
    <row r="303" spans="1:20" x14ac:dyDescent="0.35">
      <c r="A303" s="6" t="s">
        <v>89</v>
      </c>
      <c r="B303" s="1" t="s">
        <v>48</v>
      </c>
      <c r="C303" s="1" t="s">
        <v>20</v>
      </c>
      <c r="D303" s="1" t="s">
        <v>21</v>
      </c>
      <c r="E303" s="1" t="s">
        <v>30</v>
      </c>
      <c r="F303" s="1" t="s">
        <v>31</v>
      </c>
      <c r="G303" s="2">
        <v>45175</v>
      </c>
      <c r="H303" s="2">
        <v>45193</v>
      </c>
      <c r="I303" s="1">
        <v>27426.28</v>
      </c>
      <c r="J303" s="1">
        <v>1.0889</v>
      </c>
      <c r="K303" s="1">
        <v>29864.48</v>
      </c>
      <c r="L303" s="1">
        <v>707309</v>
      </c>
      <c r="M303" s="1">
        <v>16375</v>
      </c>
      <c r="N303" s="1">
        <v>201355.69</v>
      </c>
      <c r="O303" s="1">
        <v>2023</v>
      </c>
      <c r="P303" s="1" t="s">
        <v>74</v>
      </c>
      <c r="Q303" s="1" t="s">
        <v>33</v>
      </c>
      <c r="R303" s="1" t="s">
        <v>61</v>
      </c>
      <c r="S303" s="1">
        <f t="shared" si="4"/>
        <v>19</v>
      </c>
      <c r="T303" s="7" t="str">
        <f>_xlfn.TEXTJOIN("_",TRUE,Finance_Data!A303,Finance_Data!B303,Finance_Data!C303,Finance_Data!D303,Finance_Data!E303,Finance_Data!G303,Finance_Data!H303)</f>
        <v>CMP_045_South_Singapore_Foundation_Wholesale_45175_45193</v>
      </c>
    </row>
    <row r="304" spans="1:20" x14ac:dyDescent="0.35">
      <c r="A304" s="6" t="s">
        <v>109</v>
      </c>
      <c r="B304" s="1" t="s">
        <v>48</v>
      </c>
      <c r="C304" s="1" t="s">
        <v>58</v>
      </c>
      <c r="D304" s="1" t="s">
        <v>51</v>
      </c>
      <c r="E304" s="1" t="s">
        <v>22</v>
      </c>
      <c r="F304" s="1" t="s">
        <v>49</v>
      </c>
      <c r="G304" s="2">
        <v>45175</v>
      </c>
      <c r="H304" s="2">
        <v>45193</v>
      </c>
      <c r="I304" s="1">
        <v>41563.269999999997</v>
      </c>
      <c r="J304" s="1">
        <v>7.6499999999999999E-2</v>
      </c>
      <c r="K304" s="1">
        <v>3179.59</v>
      </c>
      <c r="L304" s="1">
        <v>154495</v>
      </c>
      <c r="M304" s="1">
        <v>7783</v>
      </c>
      <c r="N304" s="1">
        <v>240702.74</v>
      </c>
      <c r="O304" s="1">
        <v>2023</v>
      </c>
      <c r="P304" s="1" t="s">
        <v>74</v>
      </c>
      <c r="Q304" s="1" t="s">
        <v>33</v>
      </c>
      <c r="R304" s="1" t="s">
        <v>41</v>
      </c>
      <c r="S304" s="1">
        <f t="shared" si="4"/>
        <v>19</v>
      </c>
      <c r="T304" s="7" t="str">
        <f>_xlfn.TEXTJOIN("_",TRUE,Finance_Data!A304,Finance_Data!B304,Finance_Data!C304,Finance_Data!D304,Finance_Data!E304,Finance_Data!G304,Finance_Data!H304)</f>
        <v>CMP_046_South_UK_Watch_Retail_45175_45193</v>
      </c>
    </row>
    <row r="305" spans="1:20" x14ac:dyDescent="0.35">
      <c r="A305" s="6" t="s">
        <v>96</v>
      </c>
      <c r="B305" s="1" t="s">
        <v>35</v>
      </c>
      <c r="C305" s="1" t="s">
        <v>58</v>
      </c>
      <c r="D305" s="1" t="s">
        <v>37</v>
      </c>
      <c r="E305" s="1" t="s">
        <v>30</v>
      </c>
      <c r="F305" s="1" t="s">
        <v>52</v>
      </c>
      <c r="G305" s="2">
        <v>45175</v>
      </c>
      <c r="H305" s="2">
        <v>45183</v>
      </c>
      <c r="I305" s="1">
        <v>33821.86</v>
      </c>
      <c r="J305" s="1">
        <v>0.64190000000000003</v>
      </c>
      <c r="K305" s="1">
        <v>21710.25</v>
      </c>
      <c r="L305" s="1">
        <v>678933</v>
      </c>
      <c r="M305" s="1">
        <v>15359</v>
      </c>
      <c r="N305" s="1">
        <v>17860.32</v>
      </c>
      <c r="O305" s="1">
        <v>2023</v>
      </c>
      <c r="P305" s="1" t="s">
        <v>74</v>
      </c>
      <c r="Q305" s="1" t="s">
        <v>33</v>
      </c>
      <c r="R305" s="1" t="s">
        <v>26</v>
      </c>
      <c r="S305" s="1">
        <f t="shared" si="4"/>
        <v>9</v>
      </c>
      <c r="T305" s="7" t="str">
        <f>_xlfn.TEXTJOIN("_",TRUE,Finance_Data!A305,Finance_Data!B305,Finance_Data!C305,Finance_Data!D305,Finance_Data!E305,Finance_Data!G305,Finance_Data!H305)</f>
        <v>CMP_027_East_UK_Perfume_Wholesale_45175_45183</v>
      </c>
    </row>
    <row r="306" spans="1:20" x14ac:dyDescent="0.35">
      <c r="A306" s="6" t="s">
        <v>87</v>
      </c>
      <c r="B306" s="1" t="s">
        <v>19</v>
      </c>
      <c r="C306" s="1" t="s">
        <v>29</v>
      </c>
      <c r="D306" s="1" t="s">
        <v>21</v>
      </c>
      <c r="E306" s="1" t="s">
        <v>30</v>
      </c>
      <c r="F306" s="1" t="s">
        <v>49</v>
      </c>
      <c r="G306" s="2">
        <v>45176</v>
      </c>
      <c r="H306" s="2">
        <v>45202</v>
      </c>
      <c r="I306" s="1">
        <v>12910.59</v>
      </c>
      <c r="J306" s="1">
        <v>0.92349999999999999</v>
      </c>
      <c r="K306" s="1">
        <v>11922.93</v>
      </c>
      <c r="L306" s="1">
        <v>389547</v>
      </c>
      <c r="M306" s="1">
        <v>15231</v>
      </c>
      <c r="N306" s="1">
        <v>116676.19</v>
      </c>
      <c r="O306" s="1">
        <v>2023</v>
      </c>
      <c r="P306" s="1" t="s">
        <v>74</v>
      </c>
      <c r="Q306" s="1" t="s">
        <v>33</v>
      </c>
      <c r="R306" s="1" t="s">
        <v>41</v>
      </c>
      <c r="S306" s="1">
        <f t="shared" si="4"/>
        <v>27</v>
      </c>
      <c r="T306" s="7" t="str">
        <f>_xlfn.TEXTJOIN("_",TRUE,Finance_Data!A306,Finance_Data!B306,Finance_Data!C306,Finance_Data!D306,Finance_Data!E306,Finance_Data!G306,Finance_Data!H306)</f>
        <v>CMP_048_North_Australia_Foundation_Wholesale_45176_45202</v>
      </c>
    </row>
    <row r="307" spans="1:20" x14ac:dyDescent="0.35">
      <c r="A307" s="6" t="s">
        <v>109</v>
      </c>
      <c r="B307" s="1" t="s">
        <v>19</v>
      </c>
      <c r="C307" s="1" t="s">
        <v>29</v>
      </c>
      <c r="D307" s="1" t="s">
        <v>63</v>
      </c>
      <c r="E307" s="1" t="s">
        <v>38</v>
      </c>
      <c r="F307" s="1" t="s">
        <v>31</v>
      </c>
      <c r="G307" s="2">
        <v>45176</v>
      </c>
      <c r="H307" s="2">
        <v>45194</v>
      </c>
      <c r="I307" s="1">
        <v>9351.2199999999993</v>
      </c>
      <c r="J307" s="1">
        <v>1.1335999999999999</v>
      </c>
      <c r="K307" s="1">
        <v>10600.54</v>
      </c>
      <c r="L307" s="1">
        <v>743907</v>
      </c>
      <c r="M307" s="1">
        <v>5961</v>
      </c>
      <c r="N307" s="1">
        <v>30840.07</v>
      </c>
      <c r="O307" s="1">
        <v>2023</v>
      </c>
      <c r="P307" s="1" t="s">
        <v>74</v>
      </c>
      <c r="Q307" s="1" t="s">
        <v>33</v>
      </c>
      <c r="R307" s="1" t="s">
        <v>61</v>
      </c>
      <c r="S307" s="1">
        <f t="shared" si="4"/>
        <v>19</v>
      </c>
      <c r="T307" s="7" t="str">
        <f>_xlfn.TEXTJOIN("_",TRUE,Finance_Data!A307,Finance_Data!B307,Finance_Data!C307,Finance_Data!D307,Finance_Data!E307,Finance_Data!G307,Finance_Data!H307)</f>
        <v>CMP_046_North_Australia_Skincare_Ecommerce_45176_45194</v>
      </c>
    </row>
    <row r="308" spans="1:20" x14ac:dyDescent="0.35">
      <c r="A308" s="6" t="s">
        <v>82</v>
      </c>
      <c r="B308" s="1" t="s">
        <v>48</v>
      </c>
      <c r="C308" s="1" t="s">
        <v>36</v>
      </c>
      <c r="D308" s="1" t="s">
        <v>37</v>
      </c>
      <c r="E308" s="1" t="s">
        <v>30</v>
      </c>
      <c r="F308" s="1" t="s">
        <v>52</v>
      </c>
      <c r="G308" s="2">
        <v>45177</v>
      </c>
      <c r="H308" s="2">
        <v>45187</v>
      </c>
      <c r="I308" s="1">
        <v>46306.76</v>
      </c>
      <c r="J308" s="1">
        <v>0.14799999999999999</v>
      </c>
      <c r="K308" s="1">
        <v>6853.4</v>
      </c>
      <c r="L308" s="1">
        <v>652039</v>
      </c>
      <c r="M308" s="1">
        <v>40000</v>
      </c>
      <c r="N308" s="1">
        <v>18482.009999999998</v>
      </c>
      <c r="O308" s="1">
        <v>2023</v>
      </c>
      <c r="P308" s="1" t="s">
        <v>74</v>
      </c>
      <c r="Q308" s="1" t="s">
        <v>33</v>
      </c>
      <c r="R308" s="1" t="s">
        <v>26</v>
      </c>
      <c r="S308" s="1">
        <f t="shared" si="4"/>
        <v>11</v>
      </c>
      <c r="T308" s="7" t="str">
        <f>_xlfn.TEXTJOIN("_",TRUE,Finance_Data!A308,Finance_Data!B308,Finance_Data!C308,Finance_Data!D308,Finance_Data!E308,Finance_Data!G308,Finance_Data!H308)</f>
        <v>CMP_043_South_India_Perfume_Wholesale_45177_45187</v>
      </c>
    </row>
    <row r="309" spans="1:20" x14ac:dyDescent="0.35">
      <c r="A309" s="6" t="s">
        <v>103</v>
      </c>
      <c r="B309" s="1" t="s">
        <v>48</v>
      </c>
      <c r="C309" s="1" t="s">
        <v>36</v>
      </c>
      <c r="D309" s="1" t="s">
        <v>43</v>
      </c>
      <c r="E309" s="1" t="s">
        <v>38</v>
      </c>
      <c r="F309" s="1" t="s">
        <v>23</v>
      </c>
      <c r="G309" s="2">
        <v>45178</v>
      </c>
      <c r="H309" s="2">
        <v>45225</v>
      </c>
      <c r="I309" s="1">
        <v>49168.08</v>
      </c>
      <c r="J309" s="1">
        <v>0.41649999999999998</v>
      </c>
      <c r="K309" s="1">
        <v>20478.509999999998</v>
      </c>
      <c r="L309" s="1">
        <v>492134</v>
      </c>
      <c r="M309" s="1">
        <v>39389</v>
      </c>
      <c r="N309" s="1">
        <v>85472.02</v>
      </c>
      <c r="O309" s="1">
        <v>2023</v>
      </c>
      <c r="P309" s="1" t="s">
        <v>74</v>
      </c>
      <c r="Q309" s="1" t="s">
        <v>33</v>
      </c>
      <c r="R309" s="1" t="s">
        <v>26</v>
      </c>
      <c r="S309" s="1">
        <f t="shared" si="4"/>
        <v>48</v>
      </c>
      <c r="T309" s="7" t="str">
        <f>_xlfn.TEXTJOIN("_",TRUE,Finance_Data!A309,Finance_Data!B309,Finance_Data!C309,Finance_Data!D309,Finance_Data!E309,Finance_Data!G309,Finance_Data!H309)</f>
        <v>CMP_059_South_India_Luxury Bag_Ecommerce_45178_45225</v>
      </c>
    </row>
    <row r="310" spans="1:20" x14ac:dyDescent="0.35">
      <c r="A310" s="6" t="s">
        <v>111</v>
      </c>
      <c r="B310" s="1" t="s">
        <v>35</v>
      </c>
      <c r="C310" s="1" t="s">
        <v>58</v>
      </c>
      <c r="D310" s="1" t="s">
        <v>21</v>
      </c>
      <c r="E310" s="1" t="s">
        <v>38</v>
      </c>
      <c r="F310" s="1" t="s">
        <v>44</v>
      </c>
      <c r="G310" s="2">
        <v>45180</v>
      </c>
      <c r="H310" s="2">
        <v>45230</v>
      </c>
      <c r="I310" s="1">
        <v>22450.16</v>
      </c>
      <c r="J310" s="1">
        <v>0.53290000000000004</v>
      </c>
      <c r="K310" s="1">
        <v>11963.69</v>
      </c>
      <c r="L310" s="1">
        <v>558141</v>
      </c>
      <c r="M310" s="1">
        <v>40064</v>
      </c>
      <c r="N310" s="1">
        <v>43892.82</v>
      </c>
      <c r="O310" s="1">
        <v>2023</v>
      </c>
      <c r="P310" s="1" t="s">
        <v>74</v>
      </c>
      <c r="Q310" s="1" t="s">
        <v>33</v>
      </c>
      <c r="R310" s="1" t="s">
        <v>26</v>
      </c>
      <c r="S310" s="1">
        <f t="shared" si="4"/>
        <v>51</v>
      </c>
      <c r="T310" s="7" t="str">
        <f>_xlfn.TEXTJOIN("_",TRUE,Finance_Data!A310,Finance_Data!B310,Finance_Data!C310,Finance_Data!D310,Finance_Data!E310,Finance_Data!G310,Finance_Data!H310)</f>
        <v>CMP_024_East_UK_Foundation_Ecommerce_45180_45230</v>
      </c>
    </row>
    <row r="311" spans="1:20" x14ac:dyDescent="0.35">
      <c r="A311" s="6" t="s">
        <v>78</v>
      </c>
      <c r="B311" s="1" t="s">
        <v>28</v>
      </c>
      <c r="C311" s="1" t="s">
        <v>58</v>
      </c>
      <c r="D311" s="1" t="s">
        <v>51</v>
      </c>
      <c r="E311" s="1" t="s">
        <v>30</v>
      </c>
      <c r="F311" s="1" t="s">
        <v>23</v>
      </c>
      <c r="G311" s="2">
        <v>45180</v>
      </c>
      <c r="H311" s="2">
        <v>45223</v>
      </c>
      <c r="I311" s="1">
        <v>29338.75</v>
      </c>
      <c r="J311" s="1">
        <v>0.79849999999999999</v>
      </c>
      <c r="K311" s="1">
        <v>23426.99</v>
      </c>
      <c r="L311" s="1">
        <v>179268</v>
      </c>
      <c r="M311" s="1">
        <v>908</v>
      </c>
      <c r="N311" s="1">
        <v>33599.01</v>
      </c>
      <c r="O311" s="1">
        <v>2023</v>
      </c>
      <c r="P311" s="1" t="s">
        <v>74</v>
      </c>
      <c r="Q311" s="1" t="s">
        <v>33</v>
      </c>
      <c r="R311" s="1" t="s">
        <v>61</v>
      </c>
      <c r="S311" s="1">
        <f t="shared" si="4"/>
        <v>44</v>
      </c>
      <c r="T311" s="7" t="str">
        <f>_xlfn.TEXTJOIN("_",TRUE,Finance_Data!A311,Finance_Data!B311,Finance_Data!C311,Finance_Data!D311,Finance_Data!E311,Finance_Data!G311,Finance_Data!H311)</f>
        <v>CMP_006_West_UK_Watch_Wholesale_45180_45223</v>
      </c>
    </row>
    <row r="312" spans="1:20" x14ac:dyDescent="0.35">
      <c r="A312" s="6" t="s">
        <v>70</v>
      </c>
      <c r="B312" s="1" t="s">
        <v>28</v>
      </c>
      <c r="C312" s="1" t="s">
        <v>20</v>
      </c>
      <c r="D312" s="1" t="s">
        <v>37</v>
      </c>
      <c r="E312" s="1" t="s">
        <v>22</v>
      </c>
      <c r="F312" s="1" t="s">
        <v>52</v>
      </c>
      <c r="G312" s="2">
        <v>45180</v>
      </c>
      <c r="H312" s="2">
        <v>45214</v>
      </c>
      <c r="I312" s="1">
        <v>17961.830000000002</v>
      </c>
      <c r="J312" s="1">
        <v>0.33800000000000002</v>
      </c>
      <c r="K312" s="1">
        <v>6071.1</v>
      </c>
      <c r="L312" s="1">
        <v>992946</v>
      </c>
      <c r="M312" s="1">
        <v>47615</v>
      </c>
      <c r="N312" s="1">
        <v>192545.03</v>
      </c>
      <c r="O312" s="1">
        <v>2023</v>
      </c>
      <c r="P312" s="1" t="s">
        <v>74</v>
      </c>
      <c r="Q312" s="1" t="s">
        <v>33</v>
      </c>
      <c r="R312" s="1" t="s">
        <v>26</v>
      </c>
      <c r="S312" s="1">
        <f t="shared" si="4"/>
        <v>35</v>
      </c>
      <c r="T312" s="7" t="str">
        <f>_xlfn.TEXTJOIN("_",TRUE,Finance_Data!A312,Finance_Data!B312,Finance_Data!C312,Finance_Data!D312,Finance_Data!E312,Finance_Data!G312,Finance_Data!H312)</f>
        <v>CMP_003_West_Singapore_Perfume_Retail_45180_45214</v>
      </c>
    </row>
    <row r="313" spans="1:20" x14ac:dyDescent="0.35">
      <c r="A313" s="6" t="s">
        <v>103</v>
      </c>
      <c r="B313" s="1" t="s">
        <v>19</v>
      </c>
      <c r="C313" s="1" t="s">
        <v>58</v>
      </c>
      <c r="D313" s="1" t="s">
        <v>37</v>
      </c>
      <c r="E313" s="1" t="s">
        <v>22</v>
      </c>
      <c r="F313" s="1" t="s">
        <v>49</v>
      </c>
      <c r="G313" s="2">
        <v>45180</v>
      </c>
      <c r="H313" s="2">
        <v>45205</v>
      </c>
      <c r="I313" s="1">
        <v>22278.19</v>
      </c>
      <c r="J313" s="1">
        <v>0.2747</v>
      </c>
      <c r="K313" s="1">
        <v>6119.82</v>
      </c>
      <c r="L313" s="1">
        <v>982532</v>
      </c>
      <c r="M313" s="1">
        <v>38882</v>
      </c>
      <c r="N313" s="1">
        <v>236831.83</v>
      </c>
      <c r="O313" s="1">
        <v>2023</v>
      </c>
      <c r="P313" s="1" t="s">
        <v>74</v>
      </c>
      <c r="Q313" s="1" t="s">
        <v>33</v>
      </c>
      <c r="R313" s="1" t="s">
        <v>26</v>
      </c>
      <c r="S313" s="1">
        <f t="shared" si="4"/>
        <v>26</v>
      </c>
      <c r="T313" s="7" t="str">
        <f>_xlfn.TEXTJOIN("_",TRUE,Finance_Data!A313,Finance_Data!B313,Finance_Data!C313,Finance_Data!D313,Finance_Data!E313,Finance_Data!G313,Finance_Data!H313)</f>
        <v>CMP_059_North_UK_Perfume_Retail_45180_45205</v>
      </c>
    </row>
    <row r="314" spans="1:20" x14ac:dyDescent="0.35">
      <c r="A314" s="6" t="s">
        <v>93</v>
      </c>
      <c r="B314" s="1" t="s">
        <v>48</v>
      </c>
      <c r="C314" s="1" t="s">
        <v>58</v>
      </c>
      <c r="D314" s="1" t="s">
        <v>51</v>
      </c>
      <c r="E314" s="1" t="s">
        <v>38</v>
      </c>
      <c r="F314" s="1" t="s">
        <v>31</v>
      </c>
      <c r="G314" s="2">
        <v>45180</v>
      </c>
      <c r="H314" s="2">
        <v>45197</v>
      </c>
      <c r="I314" s="1">
        <v>42122.21</v>
      </c>
      <c r="J314" s="1">
        <v>0.74939999999999996</v>
      </c>
      <c r="K314" s="1">
        <v>31566.38</v>
      </c>
      <c r="L314" s="1">
        <v>260132</v>
      </c>
      <c r="M314" s="1">
        <v>8372</v>
      </c>
      <c r="N314" s="1">
        <v>121022.46</v>
      </c>
      <c r="O314" s="1">
        <v>2023</v>
      </c>
      <c r="P314" s="1" t="s">
        <v>74</v>
      </c>
      <c r="Q314" s="1" t="s">
        <v>33</v>
      </c>
      <c r="R314" s="1" t="s">
        <v>61</v>
      </c>
      <c r="S314" s="1">
        <f t="shared" si="4"/>
        <v>18</v>
      </c>
      <c r="T314" s="7" t="str">
        <f>_xlfn.TEXTJOIN("_",TRUE,Finance_Data!A314,Finance_Data!B314,Finance_Data!C314,Finance_Data!D314,Finance_Data!E314,Finance_Data!G314,Finance_Data!H314)</f>
        <v>CMP_008_South_UK_Watch_Ecommerce_45180_45197</v>
      </c>
    </row>
    <row r="315" spans="1:20" x14ac:dyDescent="0.35">
      <c r="A315" s="6" t="s">
        <v>67</v>
      </c>
      <c r="B315" s="1" t="s">
        <v>19</v>
      </c>
      <c r="C315" s="1" t="s">
        <v>58</v>
      </c>
      <c r="D315" s="1" t="s">
        <v>43</v>
      </c>
      <c r="E315" s="1" t="s">
        <v>22</v>
      </c>
      <c r="F315" s="1" t="s">
        <v>23</v>
      </c>
      <c r="G315" s="2">
        <v>45181</v>
      </c>
      <c r="H315" s="2">
        <v>45198</v>
      </c>
      <c r="I315" s="1">
        <v>10320.24</v>
      </c>
      <c r="J315" s="1">
        <v>0.54390000000000005</v>
      </c>
      <c r="K315" s="1">
        <v>5613.18</v>
      </c>
      <c r="L315" s="1">
        <v>452374</v>
      </c>
      <c r="M315" s="1">
        <v>12125</v>
      </c>
      <c r="N315" s="1">
        <v>73243.56</v>
      </c>
      <c r="O315" s="1">
        <v>2023</v>
      </c>
      <c r="P315" s="1" t="s">
        <v>74</v>
      </c>
      <c r="Q315" s="1" t="s">
        <v>33</v>
      </c>
      <c r="R315" s="1" t="s">
        <v>26</v>
      </c>
      <c r="S315" s="1">
        <f t="shared" si="4"/>
        <v>18</v>
      </c>
      <c r="T315" s="7" t="str">
        <f>_xlfn.TEXTJOIN("_",TRUE,Finance_Data!A315,Finance_Data!B315,Finance_Data!C315,Finance_Data!D315,Finance_Data!E315,Finance_Data!G315,Finance_Data!H315)</f>
        <v>CMP_016_North_UK_Luxury Bag_Retail_45181_45198</v>
      </c>
    </row>
    <row r="316" spans="1:20" x14ac:dyDescent="0.35">
      <c r="A316" s="6" t="s">
        <v>111</v>
      </c>
      <c r="B316" s="1" t="s">
        <v>35</v>
      </c>
      <c r="C316" s="1" t="s">
        <v>69</v>
      </c>
      <c r="D316" s="1" t="s">
        <v>51</v>
      </c>
      <c r="E316" s="1" t="s">
        <v>30</v>
      </c>
      <c r="F316" s="1" t="s">
        <v>23</v>
      </c>
      <c r="G316" s="2">
        <v>45182</v>
      </c>
      <c r="H316" s="2">
        <v>45236</v>
      </c>
      <c r="I316" s="1">
        <v>27597.42</v>
      </c>
      <c r="J316" s="1">
        <v>0.41170000000000001</v>
      </c>
      <c r="K316" s="1">
        <v>11361.86</v>
      </c>
      <c r="L316" s="1">
        <v>423769</v>
      </c>
      <c r="M316" s="1">
        <v>2630</v>
      </c>
      <c r="N316" s="1">
        <v>155809.07999999999</v>
      </c>
      <c r="O316" s="1">
        <v>2023</v>
      </c>
      <c r="P316" s="1" t="s">
        <v>74</v>
      </c>
      <c r="Q316" s="1" t="s">
        <v>33</v>
      </c>
      <c r="R316" s="1" t="s">
        <v>26</v>
      </c>
      <c r="S316" s="1">
        <f t="shared" si="4"/>
        <v>55</v>
      </c>
      <c r="T316" s="7" t="str">
        <f>_xlfn.TEXTJOIN("_",TRUE,Finance_Data!A316,Finance_Data!B316,Finance_Data!C316,Finance_Data!D316,Finance_Data!E316,Finance_Data!G316,Finance_Data!H316)</f>
        <v>CMP_024_East_USA_Watch_Wholesale_45182_45236</v>
      </c>
    </row>
    <row r="317" spans="1:20" x14ac:dyDescent="0.35">
      <c r="A317" s="6" t="s">
        <v>66</v>
      </c>
      <c r="B317" s="1" t="s">
        <v>35</v>
      </c>
      <c r="C317" s="1" t="s">
        <v>58</v>
      </c>
      <c r="D317" s="1" t="s">
        <v>21</v>
      </c>
      <c r="E317" s="1" t="s">
        <v>38</v>
      </c>
      <c r="F317" s="1" t="s">
        <v>23</v>
      </c>
      <c r="G317" s="2">
        <v>45182</v>
      </c>
      <c r="H317" s="2">
        <v>45196</v>
      </c>
      <c r="I317" s="1">
        <v>35858.35</v>
      </c>
      <c r="J317" s="1">
        <v>0.99590000000000001</v>
      </c>
      <c r="K317" s="1">
        <v>35711.33</v>
      </c>
      <c r="L317" s="1">
        <v>808462</v>
      </c>
      <c r="M317" s="1">
        <v>44417</v>
      </c>
      <c r="N317" s="1">
        <v>101211.68</v>
      </c>
      <c r="O317" s="1">
        <v>2023</v>
      </c>
      <c r="P317" s="1" t="s">
        <v>74</v>
      </c>
      <c r="Q317" s="1" t="s">
        <v>33</v>
      </c>
      <c r="R317" s="1" t="s">
        <v>26</v>
      </c>
      <c r="S317" s="1">
        <f t="shared" si="4"/>
        <v>15</v>
      </c>
      <c r="T317" s="7" t="str">
        <f>_xlfn.TEXTJOIN("_",TRUE,Finance_Data!A317,Finance_Data!B317,Finance_Data!C317,Finance_Data!D317,Finance_Data!E317,Finance_Data!G317,Finance_Data!H317)</f>
        <v>CMP_010_East_UK_Foundation_Ecommerce_45182_45196</v>
      </c>
    </row>
    <row r="318" spans="1:20" x14ac:dyDescent="0.35">
      <c r="A318" s="6" t="s">
        <v>79</v>
      </c>
      <c r="B318" s="1" t="s">
        <v>48</v>
      </c>
      <c r="C318" s="1" t="s">
        <v>58</v>
      </c>
      <c r="D318" s="1" t="s">
        <v>51</v>
      </c>
      <c r="E318" s="1" t="s">
        <v>22</v>
      </c>
      <c r="F318" s="1" t="s">
        <v>23</v>
      </c>
      <c r="G318" s="2">
        <v>45183</v>
      </c>
      <c r="H318" s="2">
        <v>45193</v>
      </c>
      <c r="I318" s="1">
        <v>19220.34</v>
      </c>
      <c r="J318" s="1">
        <v>1.0854999999999999</v>
      </c>
      <c r="K318" s="1">
        <v>20863.68</v>
      </c>
      <c r="L318" s="1">
        <v>183565</v>
      </c>
      <c r="M318" s="1">
        <v>3493</v>
      </c>
      <c r="N318" s="1">
        <v>102103.67999999999</v>
      </c>
      <c r="O318" s="1">
        <v>2023</v>
      </c>
      <c r="P318" s="1" t="s">
        <v>74</v>
      </c>
      <c r="Q318" s="1" t="s">
        <v>33</v>
      </c>
      <c r="R318" s="1" t="s">
        <v>26</v>
      </c>
      <c r="S318" s="1">
        <f t="shared" si="4"/>
        <v>11</v>
      </c>
      <c r="T318" s="7" t="str">
        <f>_xlfn.TEXTJOIN("_",TRUE,Finance_Data!A318,Finance_Data!B318,Finance_Data!C318,Finance_Data!D318,Finance_Data!E318,Finance_Data!G318,Finance_Data!H318)</f>
        <v>CMP_020_South_UK_Watch_Retail_45183_45193</v>
      </c>
    </row>
    <row r="319" spans="1:20" x14ac:dyDescent="0.35">
      <c r="A319" s="6" t="s">
        <v>34</v>
      </c>
      <c r="B319" s="1" t="s">
        <v>48</v>
      </c>
      <c r="C319" s="1" t="s">
        <v>29</v>
      </c>
      <c r="D319" s="1" t="s">
        <v>59</v>
      </c>
      <c r="E319" s="1" t="s">
        <v>30</v>
      </c>
      <c r="F319" s="1" t="s">
        <v>49</v>
      </c>
      <c r="G319" s="2">
        <v>45184</v>
      </c>
      <c r="H319" s="2">
        <v>45203</v>
      </c>
      <c r="I319" s="1">
        <v>6912.14</v>
      </c>
      <c r="J319" s="1">
        <v>0.2392</v>
      </c>
      <c r="K319" s="1">
        <v>1653.38</v>
      </c>
      <c r="L319" s="1">
        <v>135362</v>
      </c>
      <c r="M319" s="1">
        <v>48785</v>
      </c>
      <c r="N319" s="1">
        <v>136286.67000000001</v>
      </c>
      <c r="O319" s="1">
        <v>2023</v>
      </c>
      <c r="P319" s="1" t="s">
        <v>74</v>
      </c>
      <c r="Q319" s="1" t="s">
        <v>33</v>
      </c>
      <c r="R319" s="1" t="s">
        <v>41</v>
      </c>
      <c r="S319" s="1">
        <f t="shared" si="4"/>
        <v>20</v>
      </c>
      <c r="T319" s="7" t="str">
        <f>_xlfn.TEXTJOIN("_",TRUE,Finance_Data!A319,Finance_Data!B319,Finance_Data!C319,Finance_Data!D319,Finance_Data!E319,Finance_Data!G319,Finance_Data!H319)</f>
        <v>CMP_049_South_Australia_Lipstick_Wholesale_45184_45203</v>
      </c>
    </row>
    <row r="320" spans="1:20" x14ac:dyDescent="0.35">
      <c r="A320" s="6" t="s">
        <v>93</v>
      </c>
      <c r="B320" s="1" t="s">
        <v>28</v>
      </c>
      <c r="C320" s="1" t="s">
        <v>36</v>
      </c>
      <c r="D320" s="1" t="s">
        <v>63</v>
      </c>
      <c r="E320" s="1" t="s">
        <v>38</v>
      </c>
      <c r="F320" s="1" t="s">
        <v>49</v>
      </c>
      <c r="G320" s="2">
        <v>45191</v>
      </c>
      <c r="H320" s="2">
        <v>45226</v>
      </c>
      <c r="I320" s="1">
        <v>48945.7</v>
      </c>
      <c r="J320" s="1">
        <v>0.91810000000000003</v>
      </c>
      <c r="K320" s="1">
        <v>44937.05</v>
      </c>
      <c r="L320" s="1">
        <v>473518</v>
      </c>
      <c r="M320" s="1">
        <v>42717</v>
      </c>
      <c r="N320" s="1">
        <v>231419.39</v>
      </c>
      <c r="O320" s="1">
        <v>2023</v>
      </c>
      <c r="P320" s="1" t="s">
        <v>74</v>
      </c>
      <c r="Q320" s="1" t="s">
        <v>33</v>
      </c>
      <c r="R320" s="1" t="s">
        <v>54</v>
      </c>
      <c r="S320" s="1">
        <f t="shared" si="4"/>
        <v>36</v>
      </c>
      <c r="T320" s="7" t="str">
        <f>_xlfn.TEXTJOIN("_",TRUE,Finance_Data!A320,Finance_Data!B320,Finance_Data!C320,Finance_Data!D320,Finance_Data!E320,Finance_Data!G320,Finance_Data!H320)</f>
        <v>CMP_008_West_India_Skincare_Ecommerce_45191_45226</v>
      </c>
    </row>
    <row r="321" spans="1:20" x14ac:dyDescent="0.35">
      <c r="A321" s="6" t="s">
        <v>72</v>
      </c>
      <c r="B321" s="1" t="s">
        <v>19</v>
      </c>
      <c r="C321" s="1" t="s">
        <v>29</v>
      </c>
      <c r="D321" s="1" t="s">
        <v>37</v>
      </c>
      <c r="E321" s="1" t="s">
        <v>30</v>
      </c>
      <c r="F321" s="1" t="s">
        <v>23</v>
      </c>
      <c r="G321" s="2">
        <v>45192</v>
      </c>
      <c r="H321" s="2">
        <v>45252</v>
      </c>
      <c r="I321" s="1">
        <v>25251.52</v>
      </c>
      <c r="J321" s="1">
        <v>0.28060000000000002</v>
      </c>
      <c r="K321" s="1">
        <v>7085.58</v>
      </c>
      <c r="L321" s="1">
        <v>192971</v>
      </c>
      <c r="M321" s="1">
        <v>9727</v>
      </c>
      <c r="N321" s="1">
        <v>218453.6</v>
      </c>
      <c r="O321" s="1">
        <v>2023</v>
      </c>
      <c r="P321" s="1" t="s">
        <v>74</v>
      </c>
      <c r="Q321" s="1" t="s">
        <v>33</v>
      </c>
      <c r="R321" s="1" t="s">
        <v>61</v>
      </c>
      <c r="S321" s="1">
        <f t="shared" si="4"/>
        <v>61</v>
      </c>
      <c r="T321" s="7" t="str">
        <f>_xlfn.TEXTJOIN("_",TRUE,Finance_Data!A321,Finance_Data!B321,Finance_Data!C321,Finance_Data!D321,Finance_Data!E321,Finance_Data!G321,Finance_Data!H321)</f>
        <v>CMP_042_North_Australia_Perfume_Wholesale_45192_45252</v>
      </c>
    </row>
    <row r="322" spans="1:20" x14ac:dyDescent="0.35">
      <c r="A322" s="6" t="s">
        <v>119</v>
      </c>
      <c r="B322" s="1" t="s">
        <v>35</v>
      </c>
      <c r="C322" s="1" t="s">
        <v>20</v>
      </c>
      <c r="D322" s="1" t="s">
        <v>51</v>
      </c>
      <c r="E322" s="1" t="s">
        <v>22</v>
      </c>
      <c r="F322" s="1" t="s">
        <v>49</v>
      </c>
      <c r="G322" s="2">
        <v>45192</v>
      </c>
      <c r="H322" s="2">
        <v>45237</v>
      </c>
      <c r="I322" s="1">
        <v>25867.47</v>
      </c>
      <c r="J322" s="1">
        <v>0.1573</v>
      </c>
      <c r="K322" s="1">
        <v>4068.95</v>
      </c>
      <c r="L322" s="1">
        <v>803310</v>
      </c>
      <c r="M322" s="1">
        <v>42761</v>
      </c>
      <c r="N322" s="1">
        <v>235629.04</v>
      </c>
      <c r="O322" s="1">
        <v>2023</v>
      </c>
      <c r="P322" s="1" t="s">
        <v>74</v>
      </c>
      <c r="Q322" s="1" t="s">
        <v>33</v>
      </c>
      <c r="R322" s="1" t="s">
        <v>41</v>
      </c>
      <c r="S322" s="1">
        <f t="shared" ref="S322:S385" si="5">H322-G322+1</f>
        <v>46</v>
      </c>
      <c r="T322" s="7" t="str">
        <f>_xlfn.TEXTJOIN("_",TRUE,Finance_Data!A322,Finance_Data!B322,Finance_Data!C322,Finance_Data!D322,Finance_Data!E322,Finance_Data!G322,Finance_Data!H322)</f>
        <v>CMP_029_East_Singapore_Watch_Retail_45192_45237</v>
      </c>
    </row>
    <row r="323" spans="1:20" x14ac:dyDescent="0.35">
      <c r="A323" s="6" t="s">
        <v>18</v>
      </c>
      <c r="B323" s="1" t="s">
        <v>19</v>
      </c>
      <c r="C323" s="1" t="s">
        <v>20</v>
      </c>
      <c r="D323" s="1" t="s">
        <v>43</v>
      </c>
      <c r="E323" s="1" t="s">
        <v>38</v>
      </c>
      <c r="F323" s="1" t="s">
        <v>44</v>
      </c>
      <c r="G323" s="2">
        <v>45192</v>
      </c>
      <c r="H323" s="2">
        <v>45233</v>
      </c>
      <c r="I323" s="1">
        <v>42918.47</v>
      </c>
      <c r="J323" s="1">
        <v>1.0584</v>
      </c>
      <c r="K323" s="1">
        <v>45424.91</v>
      </c>
      <c r="L323" s="1">
        <v>774305</v>
      </c>
      <c r="M323" s="1">
        <v>18078</v>
      </c>
      <c r="N323" s="1">
        <v>52003.63</v>
      </c>
      <c r="O323" s="1">
        <v>2023</v>
      </c>
      <c r="P323" s="1" t="s">
        <v>74</v>
      </c>
      <c r="Q323" s="1" t="s">
        <v>33</v>
      </c>
      <c r="R323" s="1" t="s">
        <v>54</v>
      </c>
      <c r="S323" s="1">
        <f t="shared" si="5"/>
        <v>42</v>
      </c>
      <c r="T323" s="7" t="str">
        <f>_xlfn.TEXTJOIN("_",TRUE,Finance_Data!A323,Finance_Data!B323,Finance_Data!C323,Finance_Data!D323,Finance_Data!E323,Finance_Data!G323,Finance_Data!H323)</f>
        <v>CMP_044_North_Singapore_Luxury Bag_Ecommerce_45192_45233</v>
      </c>
    </row>
    <row r="324" spans="1:20" x14ac:dyDescent="0.35">
      <c r="A324" s="6" t="s">
        <v>119</v>
      </c>
      <c r="B324" s="1" t="s">
        <v>35</v>
      </c>
      <c r="C324" s="1" t="s">
        <v>29</v>
      </c>
      <c r="D324" s="1" t="s">
        <v>37</v>
      </c>
      <c r="E324" s="1" t="s">
        <v>22</v>
      </c>
      <c r="F324" s="1" t="s">
        <v>52</v>
      </c>
      <c r="G324" s="2">
        <v>45194</v>
      </c>
      <c r="H324" s="2">
        <v>45253</v>
      </c>
      <c r="I324" s="1">
        <v>16435.439999999999</v>
      </c>
      <c r="J324" s="1">
        <v>0.96299999999999997</v>
      </c>
      <c r="K324" s="1">
        <v>15827.33</v>
      </c>
      <c r="L324" s="1">
        <v>744764</v>
      </c>
      <c r="M324" s="1">
        <v>48292</v>
      </c>
      <c r="N324" s="1">
        <v>84931.63</v>
      </c>
      <c r="O324" s="1">
        <v>2023</v>
      </c>
      <c r="P324" s="1" t="s">
        <v>74</v>
      </c>
      <c r="Q324" s="1" t="s">
        <v>33</v>
      </c>
      <c r="R324" s="1" t="s">
        <v>26</v>
      </c>
      <c r="S324" s="1">
        <f t="shared" si="5"/>
        <v>60</v>
      </c>
      <c r="T324" s="7" t="str">
        <f>_xlfn.TEXTJOIN("_",TRUE,Finance_Data!A324,Finance_Data!B324,Finance_Data!C324,Finance_Data!D324,Finance_Data!E324,Finance_Data!G324,Finance_Data!H324)</f>
        <v>CMP_029_East_Australia_Perfume_Retail_45194_45253</v>
      </c>
    </row>
    <row r="325" spans="1:20" x14ac:dyDescent="0.35">
      <c r="A325" s="6" t="s">
        <v>64</v>
      </c>
      <c r="B325" s="1" t="s">
        <v>28</v>
      </c>
      <c r="C325" s="1" t="s">
        <v>20</v>
      </c>
      <c r="D325" s="1" t="s">
        <v>51</v>
      </c>
      <c r="E325" s="1" t="s">
        <v>38</v>
      </c>
      <c r="F325" s="1" t="s">
        <v>23</v>
      </c>
      <c r="G325" s="2">
        <v>45194</v>
      </c>
      <c r="H325" s="2">
        <v>45240</v>
      </c>
      <c r="I325" s="1">
        <v>18618.05</v>
      </c>
      <c r="J325" s="1">
        <v>0.29120000000000001</v>
      </c>
      <c r="K325" s="1">
        <v>5421.58</v>
      </c>
      <c r="L325" s="1">
        <v>710224</v>
      </c>
      <c r="M325" s="1">
        <v>7847</v>
      </c>
      <c r="N325" s="1">
        <v>119021.77</v>
      </c>
      <c r="O325" s="1">
        <v>2023</v>
      </c>
      <c r="P325" s="1" t="s">
        <v>74</v>
      </c>
      <c r="Q325" s="1" t="s">
        <v>33</v>
      </c>
      <c r="R325" s="1" t="s">
        <v>41</v>
      </c>
      <c r="S325" s="1">
        <f t="shared" si="5"/>
        <v>47</v>
      </c>
      <c r="T325" s="7" t="str">
        <f>_xlfn.TEXTJOIN("_",TRUE,Finance_Data!A325,Finance_Data!B325,Finance_Data!C325,Finance_Data!D325,Finance_Data!E325,Finance_Data!G325,Finance_Data!H325)</f>
        <v>CMP_011_West_Singapore_Watch_Ecommerce_45194_45240</v>
      </c>
    </row>
    <row r="326" spans="1:20" x14ac:dyDescent="0.35">
      <c r="A326" s="6" t="s">
        <v>107</v>
      </c>
      <c r="B326" s="1" t="s">
        <v>28</v>
      </c>
      <c r="C326" s="1" t="s">
        <v>20</v>
      </c>
      <c r="D326" s="1" t="s">
        <v>37</v>
      </c>
      <c r="E326" s="1" t="s">
        <v>38</v>
      </c>
      <c r="F326" s="1" t="s">
        <v>31</v>
      </c>
      <c r="G326" s="2">
        <v>45195</v>
      </c>
      <c r="H326" s="2">
        <v>45242</v>
      </c>
      <c r="I326" s="1">
        <v>43269.19</v>
      </c>
      <c r="J326" s="1">
        <v>0.63800000000000001</v>
      </c>
      <c r="K326" s="1">
        <v>27605.74</v>
      </c>
      <c r="L326" s="1">
        <v>680153</v>
      </c>
      <c r="M326" s="1">
        <v>20639</v>
      </c>
      <c r="N326" s="1">
        <v>151257.85</v>
      </c>
      <c r="O326" s="1">
        <v>2023</v>
      </c>
      <c r="P326" s="1" t="s">
        <v>74</v>
      </c>
      <c r="Q326" s="1" t="s">
        <v>33</v>
      </c>
      <c r="R326" s="1" t="s">
        <v>54</v>
      </c>
      <c r="S326" s="1">
        <f t="shared" si="5"/>
        <v>48</v>
      </c>
      <c r="T326" s="7" t="str">
        <f>_xlfn.TEXTJOIN("_",TRUE,Finance_Data!A326,Finance_Data!B326,Finance_Data!C326,Finance_Data!D326,Finance_Data!E326,Finance_Data!G326,Finance_Data!H326)</f>
        <v>CMP_040_West_Singapore_Perfume_Ecommerce_45195_45242</v>
      </c>
    </row>
    <row r="327" spans="1:20" x14ac:dyDescent="0.35">
      <c r="A327" s="6" t="s">
        <v>89</v>
      </c>
      <c r="B327" s="1" t="s">
        <v>19</v>
      </c>
      <c r="C327" s="1" t="s">
        <v>29</v>
      </c>
      <c r="D327" s="1" t="s">
        <v>37</v>
      </c>
      <c r="E327" s="1" t="s">
        <v>38</v>
      </c>
      <c r="F327" s="1" t="s">
        <v>49</v>
      </c>
      <c r="G327" s="2">
        <v>45196</v>
      </c>
      <c r="H327" s="2">
        <v>45244</v>
      </c>
      <c r="I327" s="1">
        <v>3091.1</v>
      </c>
      <c r="J327" s="1">
        <v>1.1731</v>
      </c>
      <c r="K327" s="1">
        <v>3626.17</v>
      </c>
      <c r="L327" s="1">
        <v>69830</v>
      </c>
      <c r="M327" s="1">
        <v>48664</v>
      </c>
      <c r="N327" s="1">
        <v>198694.71</v>
      </c>
      <c r="O327" s="1">
        <v>2023</v>
      </c>
      <c r="P327" s="1" t="s">
        <v>74</v>
      </c>
      <c r="Q327" s="1" t="s">
        <v>33</v>
      </c>
      <c r="R327" s="1" t="s">
        <v>61</v>
      </c>
      <c r="S327" s="1">
        <f t="shared" si="5"/>
        <v>49</v>
      </c>
      <c r="T327" s="7" t="str">
        <f>_xlfn.TEXTJOIN("_",TRUE,Finance_Data!A327,Finance_Data!B327,Finance_Data!C327,Finance_Data!D327,Finance_Data!E327,Finance_Data!G327,Finance_Data!H327)</f>
        <v>CMP_045_North_Australia_Perfume_Ecommerce_45196_45244</v>
      </c>
    </row>
    <row r="328" spans="1:20" x14ac:dyDescent="0.35">
      <c r="A328" s="6" t="s">
        <v>111</v>
      </c>
      <c r="B328" s="1" t="s">
        <v>35</v>
      </c>
      <c r="C328" s="1" t="s">
        <v>58</v>
      </c>
      <c r="D328" s="1" t="s">
        <v>51</v>
      </c>
      <c r="E328" s="1" t="s">
        <v>22</v>
      </c>
      <c r="F328" s="1" t="s">
        <v>23</v>
      </c>
      <c r="G328" s="2">
        <v>45197</v>
      </c>
      <c r="H328" s="2">
        <v>45231</v>
      </c>
      <c r="I328" s="1">
        <v>3453.93</v>
      </c>
      <c r="J328" s="1">
        <v>0.97770000000000001</v>
      </c>
      <c r="K328" s="1">
        <v>3376.91</v>
      </c>
      <c r="L328" s="1">
        <v>926602</v>
      </c>
      <c r="M328" s="1">
        <v>2685</v>
      </c>
      <c r="N328" s="1">
        <v>213800.93</v>
      </c>
      <c r="O328" s="1">
        <v>2023</v>
      </c>
      <c r="P328" s="1" t="s">
        <v>74</v>
      </c>
      <c r="Q328" s="1" t="s">
        <v>33</v>
      </c>
      <c r="R328" s="1" t="s">
        <v>26</v>
      </c>
      <c r="S328" s="1">
        <f t="shared" si="5"/>
        <v>35</v>
      </c>
      <c r="T328" s="7" t="str">
        <f>_xlfn.TEXTJOIN("_",TRUE,Finance_Data!A328,Finance_Data!B328,Finance_Data!C328,Finance_Data!D328,Finance_Data!E328,Finance_Data!G328,Finance_Data!H328)</f>
        <v>CMP_024_East_UK_Watch_Retail_45197_45231</v>
      </c>
    </row>
    <row r="329" spans="1:20" x14ac:dyDescent="0.35">
      <c r="A329" s="6" t="s">
        <v>100</v>
      </c>
      <c r="B329" s="1" t="s">
        <v>35</v>
      </c>
      <c r="C329" s="1" t="s">
        <v>58</v>
      </c>
      <c r="D329" s="1" t="s">
        <v>37</v>
      </c>
      <c r="E329" s="1" t="s">
        <v>38</v>
      </c>
      <c r="F329" s="1" t="s">
        <v>31</v>
      </c>
      <c r="G329" s="2">
        <v>45199</v>
      </c>
      <c r="H329" s="2">
        <v>45256</v>
      </c>
      <c r="I329" s="1">
        <v>7969.58</v>
      </c>
      <c r="J329" s="1">
        <v>8.1000000000000003E-2</v>
      </c>
      <c r="K329" s="1">
        <v>645.54</v>
      </c>
      <c r="L329" s="1">
        <v>841131</v>
      </c>
      <c r="M329" s="1">
        <v>20259</v>
      </c>
      <c r="N329" s="1">
        <v>150785.79</v>
      </c>
      <c r="O329" s="1">
        <v>2023</v>
      </c>
      <c r="P329" s="1" t="s">
        <v>74</v>
      </c>
      <c r="Q329" s="1" t="s">
        <v>33</v>
      </c>
      <c r="R329" s="1" t="s">
        <v>54</v>
      </c>
      <c r="S329" s="1">
        <f t="shared" si="5"/>
        <v>58</v>
      </c>
      <c r="T329" s="7" t="str">
        <f>_xlfn.TEXTJOIN("_",TRUE,Finance_Data!A329,Finance_Data!B329,Finance_Data!C329,Finance_Data!D329,Finance_Data!E329,Finance_Data!G329,Finance_Data!H329)</f>
        <v>CMP_053_East_UK_Perfume_Ecommerce_45199_45256</v>
      </c>
    </row>
    <row r="330" spans="1:20" x14ac:dyDescent="0.35">
      <c r="A330" s="6" t="s">
        <v>34</v>
      </c>
      <c r="B330" s="1" t="s">
        <v>28</v>
      </c>
      <c r="C330" s="1" t="s">
        <v>29</v>
      </c>
      <c r="D330" s="1" t="s">
        <v>59</v>
      </c>
      <c r="E330" s="1" t="s">
        <v>38</v>
      </c>
      <c r="F330" s="1" t="s">
        <v>49</v>
      </c>
      <c r="G330" s="2">
        <v>45199</v>
      </c>
      <c r="H330" s="2">
        <v>45227</v>
      </c>
      <c r="I330" s="1">
        <v>36044.79</v>
      </c>
      <c r="J330" s="1">
        <v>0.50390000000000001</v>
      </c>
      <c r="K330" s="1">
        <v>18162.97</v>
      </c>
      <c r="L330" s="1">
        <v>670016</v>
      </c>
      <c r="M330" s="1">
        <v>43681</v>
      </c>
      <c r="N330" s="1">
        <v>65135.56</v>
      </c>
      <c r="O330" s="1">
        <v>2023</v>
      </c>
      <c r="P330" s="1" t="s">
        <v>74</v>
      </c>
      <c r="Q330" s="1" t="s">
        <v>33</v>
      </c>
      <c r="R330" s="1" t="s">
        <v>54</v>
      </c>
      <c r="S330" s="1">
        <f t="shared" si="5"/>
        <v>29</v>
      </c>
      <c r="T330" s="7" t="str">
        <f>_xlfn.TEXTJOIN("_",TRUE,Finance_Data!A330,Finance_Data!B330,Finance_Data!C330,Finance_Data!D330,Finance_Data!E330,Finance_Data!G330,Finance_Data!H330)</f>
        <v>CMP_049_West_Australia_Lipstick_Ecommerce_45199_45227</v>
      </c>
    </row>
    <row r="331" spans="1:20" x14ac:dyDescent="0.35">
      <c r="A331" s="6" t="s">
        <v>115</v>
      </c>
      <c r="B331" s="1" t="s">
        <v>28</v>
      </c>
      <c r="C331" s="1" t="s">
        <v>20</v>
      </c>
      <c r="D331" s="1" t="s">
        <v>59</v>
      </c>
      <c r="E331" s="1" t="s">
        <v>38</v>
      </c>
      <c r="F331" s="1" t="s">
        <v>23</v>
      </c>
      <c r="G331" s="2">
        <v>45201</v>
      </c>
      <c r="H331" s="2">
        <v>45255</v>
      </c>
      <c r="I331" s="1">
        <v>27612.2</v>
      </c>
      <c r="J331" s="1">
        <v>1.1892</v>
      </c>
      <c r="K331" s="1">
        <v>32836.43</v>
      </c>
      <c r="L331" s="1">
        <v>578373</v>
      </c>
      <c r="M331" s="1">
        <v>49696</v>
      </c>
      <c r="N331" s="1">
        <v>15194.58</v>
      </c>
      <c r="O331" s="1">
        <v>2023</v>
      </c>
      <c r="P331" s="1" t="s">
        <v>24</v>
      </c>
      <c r="Q331" s="1" t="s">
        <v>25</v>
      </c>
      <c r="R331" s="1" t="s">
        <v>61</v>
      </c>
      <c r="S331" s="1">
        <f t="shared" si="5"/>
        <v>55</v>
      </c>
      <c r="T331" s="7" t="str">
        <f>_xlfn.TEXTJOIN("_",TRUE,Finance_Data!A331,Finance_Data!B331,Finance_Data!C331,Finance_Data!D331,Finance_Data!E331,Finance_Data!G331,Finance_Data!H331)</f>
        <v>CMP_047_West_Singapore_Lipstick_Ecommerce_45201_45255</v>
      </c>
    </row>
    <row r="332" spans="1:20" x14ac:dyDescent="0.35">
      <c r="A332" s="6" t="s">
        <v>111</v>
      </c>
      <c r="B332" s="1" t="s">
        <v>19</v>
      </c>
      <c r="C332" s="1" t="s">
        <v>36</v>
      </c>
      <c r="D332" s="1" t="s">
        <v>37</v>
      </c>
      <c r="E332" s="1" t="s">
        <v>38</v>
      </c>
      <c r="F332" s="1" t="s">
        <v>49</v>
      </c>
      <c r="G332" s="2">
        <v>45201</v>
      </c>
      <c r="H332" s="2">
        <v>45215</v>
      </c>
      <c r="I332" s="1">
        <v>19620</v>
      </c>
      <c r="J332" s="1">
        <v>0.94279999999999997</v>
      </c>
      <c r="K332" s="1">
        <v>18497.740000000002</v>
      </c>
      <c r="L332" s="1">
        <v>171771</v>
      </c>
      <c r="M332" s="1">
        <v>48574</v>
      </c>
      <c r="N332" s="1">
        <v>100457.38</v>
      </c>
      <c r="O332" s="1">
        <v>2023</v>
      </c>
      <c r="P332" s="1" t="s">
        <v>24</v>
      </c>
      <c r="Q332" s="1" t="s">
        <v>25</v>
      </c>
      <c r="R332" s="1" t="s">
        <v>41</v>
      </c>
      <c r="S332" s="1">
        <f t="shared" si="5"/>
        <v>15</v>
      </c>
      <c r="T332" s="7" t="str">
        <f>_xlfn.TEXTJOIN("_",TRUE,Finance_Data!A332,Finance_Data!B332,Finance_Data!C332,Finance_Data!D332,Finance_Data!E332,Finance_Data!G332,Finance_Data!H332)</f>
        <v>CMP_024_North_India_Perfume_Ecommerce_45201_45215</v>
      </c>
    </row>
    <row r="333" spans="1:20" x14ac:dyDescent="0.35">
      <c r="A333" s="6" t="s">
        <v>100</v>
      </c>
      <c r="B333" s="1" t="s">
        <v>28</v>
      </c>
      <c r="C333" s="1" t="s">
        <v>58</v>
      </c>
      <c r="D333" s="1" t="s">
        <v>43</v>
      </c>
      <c r="E333" s="1" t="s">
        <v>38</v>
      </c>
      <c r="F333" s="1" t="s">
        <v>23</v>
      </c>
      <c r="G333" s="2">
        <v>45202</v>
      </c>
      <c r="H333" s="2">
        <v>45253</v>
      </c>
      <c r="I333" s="1">
        <v>21421.86</v>
      </c>
      <c r="J333" s="1">
        <v>0.7782</v>
      </c>
      <c r="K333" s="1">
        <v>16670.490000000002</v>
      </c>
      <c r="L333" s="1">
        <v>207064</v>
      </c>
      <c r="M333" s="1">
        <v>29048</v>
      </c>
      <c r="N333" s="1">
        <v>56790.67</v>
      </c>
      <c r="O333" s="1">
        <v>2023</v>
      </c>
      <c r="P333" s="1" t="s">
        <v>24</v>
      </c>
      <c r="Q333" s="1" t="s">
        <v>25</v>
      </c>
      <c r="R333" s="1" t="s">
        <v>61</v>
      </c>
      <c r="S333" s="1">
        <f t="shared" si="5"/>
        <v>52</v>
      </c>
      <c r="T333" s="7" t="str">
        <f>_xlfn.TEXTJOIN("_",TRUE,Finance_Data!A333,Finance_Data!B333,Finance_Data!C333,Finance_Data!D333,Finance_Data!E333,Finance_Data!G333,Finance_Data!H333)</f>
        <v>CMP_053_West_UK_Luxury Bag_Ecommerce_45202_45253</v>
      </c>
    </row>
    <row r="334" spans="1:20" x14ac:dyDescent="0.35">
      <c r="A334" s="6" t="s">
        <v>57</v>
      </c>
      <c r="B334" s="1" t="s">
        <v>19</v>
      </c>
      <c r="C334" s="1" t="s">
        <v>29</v>
      </c>
      <c r="D334" s="1" t="s">
        <v>59</v>
      </c>
      <c r="E334" s="1" t="s">
        <v>38</v>
      </c>
      <c r="F334" s="1" t="s">
        <v>49</v>
      </c>
      <c r="G334" s="2">
        <v>45202</v>
      </c>
      <c r="H334" s="2">
        <v>45230</v>
      </c>
      <c r="I334" s="1">
        <v>1991.41</v>
      </c>
      <c r="J334" s="1">
        <v>0.98270000000000002</v>
      </c>
      <c r="K334" s="1">
        <v>1956.96</v>
      </c>
      <c r="L334" s="1">
        <v>327776</v>
      </c>
      <c r="M334" s="1">
        <v>20478</v>
      </c>
      <c r="N334" s="1">
        <v>73684.929999999993</v>
      </c>
      <c r="O334" s="1">
        <v>2023</v>
      </c>
      <c r="P334" s="1" t="s">
        <v>24</v>
      </c>
      <c r="Q334" s="1" t="s">
        <v>25</v>
      </c>
      <c r="R334" s="1" t="s">
        <v>41</v>
      </c>
      <c r="S334" s="1">
        <f t="shared" si="5"/>
        <v>29</v>
      </c>
      <c r="T334" s="7" t="str">
        <f>_xlfn.TEXTJOIN("_",TRUE,Finance_Data!A334,Finance_Data!B334,Finance_Data!C334,Finance_Data!D334,Finance_Data!E334,Finance_Data!G334,Finance_Data!H334)</f>
        <v>CMP_032_North_Australia_Lipstick_Ecommerce_45202_45230</v>
      </c>
    </row>
    <row r="335" spans="1:20" x14ac:dyDescent="0.35">
      <c r="A335" s="6" t="s">
        <v>113</v>
      </c>
      <c r="B335" s="1" t="s">
        <v>48</v>
      </c>
      <c r="C335" s="1" t="s">
        <v>20</v>
      </c>
      <c r="D335" s="1" t="s">
        <v>21</v>
      </c>
      <c r="E335" s="1" t="s">
        <v>30</v>
      </c>
      <c r="F335" s="1" t="s">
        <v>49</v>
      </c>
      <c r="G335" s="2">
        <v>45203</v>
      </c>
      <c r="H335" s="2">
        <v>45252</v>
      </c>
      <c r="I335" s="1">
        <v>9346.59</v>
      </c>
      <c r="J335" s="1">
        <v>0.1739</v>
      </c>
      <c r="K335" s="1">
        <v>1625.37</v>
      </c>
      <c r="L335" s="1">
        <v>493072</v>
      </c>
      <c r="M335" s="1">
        <v>7957</v>
      </c>
      <c r="N335" s="1">
        <v>35940.730000000003</v>
      </c>
      <c r="O335" s="1">
        <v>2023</v>
      </c>
      <c r="P335" s="1" t="s">
        <v>24</v>
      </c>
      <c r="Q335" s="1" t="s">
        <v>25</v>
      </c>
      <c r="R335" s="1" t="s">
        <v>26</v>
      </c>
      <c r="S335" s="1">
        <f t="shared" si="5"/>
        <v>50</v>
      </c>
      <c r="T335" s="7" t="str">
        <f>_xlfn.TEXTJOIN("_",TRUE,Finance_Data!A335,Finance_Data!B335,Finance_Data!C335,Finance_Data!D335,Finance_Data!E335,Finance_Data!G335,Finance_Data!H335)</f>
        <v>CMP_056_South_Singapore_Foundation_Wholesale_45203_45252</v>
      </c>
    </row>
    <row r="336" spans="1:20" x14ac:dyDescent="0.35">
      <c r="A336" s="6" t="s">
        <v>110</v>
      </c>
      <c r="B336" s="1" t="s">
        <v>48</v>
      </c>
      <c r="C336" s="1" t="s">
        <v>20</v>
      </c>
      <c r="D336" s="1" t="s">
        <v>37</v>
      </c>
      <c r="E336" s="1" t="s">
        <v>38</v>
      </c>
      <c r="F336" s="1" t="s">
        <v>23</v>
      </c>
      <c r="G336" s="2">
        <v>45204</v>
      </c>
      <c r="H336" s="2">
        <v>45261</v>
      </c>
      <c r="I336" s="1">
        <v>4816.47</v>
      </c>
      <c r="J336" s="1">
        <v>0.4536</v>
      </c>
      <c r="K336" s="1">
        <v>2184.75</v>
      </c>
      <c r="L336" s="1">
        <v>536428</v>
      </c>
      <c r="M336" s="1">
        <v>44227</v>
      </c>
      <c r="N336" s="1">
        <v>225975.55</v>
      </c>
      <c r="O336" s="1">
        <v>2023</v>
      </c>
      <c r="P336" s="1" t="s">
        <v>24</v>
      </c>
      <c r="Q336" s="1" t="s">
        <v>25</v>
      </c>
      <c r="R336" s="1" t="s">
        <v>54</v>
      </c>
      <c r="S336" s="1">
        <f t="shared" si="5"/>
        <v>58</v>
      </c>
      <c r="T336" s="7" t="str">
        <f>_xlfn.TEXTJOIN("_",TRUE,Finance_Data!A336,Finance_Data!B336,Finance_Data!C336,Finance_Data!D336,Finance_Data!E336,Finance_Data!G336,Finance_Data!H336)</f>
        <v>CMP_012_South_Singapore_Perfume_Ecommerce_45204_45261</v>
      </c>
    </row>
    <row r="337" spans="1:20" x14ac:dyDescent="0.35">
      <c r="A337" s="6" t="s">
        <v>87</v>
      </c>
      <c r="B337" s="1" t="s">
        <v>35</v>
      </c>
      <c r="C337" s="1" t="s">
        <v>20</v>
      </c>
      <c r="D337" s="1" t="s">
        <v>63</v>
      </c>
      <c r="E337" s="1" t="s">
        <v>22</v>
      </c>
      <c r="F337" s="1" t="s">
        <v>23</v>
      </c>
      <c r="G337" s="2">
        <v>45205</v>
      </c>
      <c r="H337" s="2">
        <v>45242</v>
      </c>
      <c r="I337" s="1">
        <v>27459.1</v>
      </c>
      <c r="J337" s="1">
        <v>0.53090000000000004</v>
      </c>
      <c r="K337" s="1">
        <v>14578.04</v>
      </c>
      <c r="L337" s="1">
        <v>637086</v>
      </c>
      <c r="M337" s="1">
        <v>2712</v>
      </c>
      <c r="N337" s="1">
        <v>222908.61</v>
      </c>
      <c r="O337" s="1">
        <v>2023</v>
      </c>
      <c r="P337" s="1" t="s">
        <v>24</v>
      </c>
      <c r="Q337" s="1" t="s">
        <v>25</v>
      </c>
      <c r="R337" s="1" t="s">
        <v>61</v>
      </c>
      <c r="S337" s="1">
        <f t="shared" si="5"/>
        <v>38</v>
      </c>
      <c r="T337" s="7" t="str">
        <f>_xlfn.TEXTJOIN("_",TRUE,Finance_Data!A337,Finance_Data!B337,Finance_Data!C337,Finance_Data!D337,Finance_Data!E337,Finance_Data!G337,Finance_Data!H337)</f>
        <v>CMP_048_East_Singapore_Skincare_Retail_45205_45242</v>
      </c>
    </row>
    <row r="338" spans="1:20" x14ac:dyDescent="0.35">
      <c r="A338" s="6" t="s">
        <v>89</v>
      </c>
      <c r="B338" s="1" t="s">
        <v>48</v>
      </c>
      <c r="C338" s="1" t="s">
        <v>29</v>
      </c>
      <c r="D338" s="1" t="s">
        <v>37</v>
      </c>
      <c r="E338" s="1" t="s">
        <v>38</v>
      </c>
      <c r="F338" s="1" t="s">
        <v>49</v>
      </c>
      <c r="G338" s="2">
        <v>45205</v>
      </c>
      <c r="H338" s="2">
        <v>45231</v>
      </c>
      <c r="I338" s="1">
        <v>16665.77</v>
      </c>
      <c r="J338" s="1">
        <v>0.65280000000000005</v>
      </c>
      <c r="K338" s="1">
        <v>10879.41</v>
      </c>
      <c r="L338" s="1">
        <v>155095</v>
      </c>
      <c r="M338" s="1">
        <v>9984</v>
      </c>
      <c r="N338" s="1">
        <v>61659.06</v>
      </c>
      <c r="O338" s="1">
        <v>2023</v>
      </c>
      <c r="P338" s="1" t="s">
        <v>24</v>
      </c>
      <c r="Q338" s="1" t="s">
        <v>25</v>
      </c>
      <c r="R338" s="1" t="s">
        <v>41</v>
      </c>
      <c r="S338" s="1">
        <f t="shared" si="5"/>
        <v>27</v>
      </c>
      <c r="T338" s="7" t="str">
        <f>_xlfn.TEXTJOIN("_",TRUE,Finance_Data!A338,Finance_Data!B338,Finance_Data!C338,Finance_Data!D338,Finance_Data!E338,Finance_Data!G338,Finance_Data!H338)</f>
        <v>CMP_045_South_Australia_Perfume_Ecommerce_45205_45231</v>
      </c>
    </row>
    <row r="339" spans="1:20" x14ac:dyDescent="0.35">
      <c r="A339" s="6" t="s">
        <v>83</v>
      </c>
      <c r="B339" s="1" t="s">
        <v>28</v>
      </c>
      <c r="C339" s="1" t="s">
        <v>69</v>
      </c>
      <c r="D339" s="1" t="s">
        <v>37</v>
      </c>
      <c r="E339" s="1" t="s">
        <v>22</v>
      </c>
      <c r="F339" s="1" t="s">
        <v>49</v>
      </c>
      <c r="G339" s="2">
        <v>45205</v>
      </c>
      <c r="H339" s="2">
        <v>45228</v>
      </c>
      <c r="I339" s="1">
        <v>30636.66</v>
      </c>
      <c r="J339" s="1">
        <v>0.86399999999999999</v>
      </c>
      <c r="K339" s="1">
        <v>26470.07</v>
      </c>
      <c r="L339" s="1">
        <v>223487</v>
      </c>
      <c r="M339" s="1">
        <v>45155</v>
      </c>
      <c r="N339" s="1">
        <v>160388.29999999999</v>
      </c>
      <c r="O339" s="1">
        <v>2023</v>
      </c>
      <c r="P339" s="1" t="s">
        <v>24</v>
      </c>
      <c r="Q339" s="1" t="s">
        <v>25</v>
      </c>
      <c r="R339" s="1" t="s">
        <v>41</v>
      </c>
      <c r="S339" s="1">
        <f t="shared" si="5"/>
        <v>24</v>
      </c>
      <c r="T339" s="7" t="str">
        <f>_xlfn.TEXTJOIN("_",TRUE,Finance_Data!A339,Finance_Data!B339,Finance_Data!C339,Finance_Data!D339,Finance_Data!E339,Finance_Data!G339,Finance_Data!H339)</f>
        <v>CMP_017_West_USA_Perfume_Retail_45205_45228</v>
      </c>
    </row>
    <row r="340" spans="1:20" x14ac:dyDescent="0.35">
      <c r="A340" s="6" t="s">
        <v>72</v>
      </c>
      <c r="B340" s="1" t="s">
        <v>28</v>
      </c>
      <c r="C340" s="1" t="s">
        <v>69</v>
      </c>
      <c r="D340" s="1" t="s">
        <v>43</v>
      </c>
      <c r="E340" s="1" t="s">
        <v>22</v>
      </c>
      <c r="F340" s="1" t="s">
        <v>23</v>
      </c>
      <c r="G340" s="2">
        <v>45207</v>
      </c>
      <c r="H340" s="2">
        <v>45256</v>
      </c>
      <c r="I340" s="1">
        <v>37522.61</v>
      </c>
      <c r="J340" s="1">
        <v>0.95530000000000004</v>
      </c>
      <c r="K340" s="1">
        <v>35845.35</v>
      </c>
      <c r="L340" s="1">
        <v>199893</v>
      </c>
      <c r="M340" s="1">
        <v>25263</v>
      </c>
      <c r="N340" s="1">
        <v>123626.91</v>
      </c>
      <c r="O340" s="1">
        <v>2023</v>
      </c>
      <c r="P340" s="1" t="s">
        <v>24</v>
      </c>
      <c r="Q340" s="1" t="s">
        <v>25</v>
      </c>
      <c r="R340" s="1" t="s">
        <v>41</v>
      </c>
      <c r="S340" s="1">
        <f t="shared" si="5"/>
        <v>50</v>
      </c>
      <c r="T340" s="7" t="str">
        <f>_xlfn.TEXTJOIN("_",TRUE,Finance_Data!A340,Finance_Data!B340,Finance_Data!C340,Finance_Data!D340,Finance_Data!E340,Finance_Data!G340,Finance_Data!H340)</f>
        <v>CMP_042_West_USA_Luxury Bag_Retail_45207_45256</v>
      </c>
    </row>
    <row r="341" spans="1:20" x14ac:dyDescent="0.35">
      <c r="A341" s="6" t="s">
        <v>108</v>
      </c>
      <c r="B341" s="1" t="s">
        <v>48</v>
      </c>
      <c r="C341" s="1" t="s">
        <v>58</v>
      </c>
      <c r="D341" s="1" t="s">
        <v>21</v>
      </c>
      <c r="E341" s="1" t="s">
        <v>30</v>
      </c>
      <c r="F341" s="1" t="s">
        <v>23</v>
      </c>
      <c r="G341" s="2">
        <v>45207</v>
      </c>
      <c r="H341" s="2">
        <v>45252</v>
      </c>
      <c r="I341" s="1">
        <v>27349.14</v>
      </c>
      <c r="J341" s="1">
        <v>0.80330000000000001</v>
      </c>
      <c r="K341" s="1">
        <v>21969.56</v>
      </c>
      <c r="L341" s="1">
        <v>79986</v>
      </c>
      <c r="M341" s="1">
        <v>45847</v>
      </c>
      <c r="N341" s="1">
        <v>183001.75</v>
      </c>
      <c r="O341" s="1">
        <v>2023</v>
      </c>
      <c r="P341" s="1" t="s">
        <v>24</v>
      </c>
      <c r="Q341" s="1" t="s">
        <v>25</v>
      </c>
      <c r="R341" s="1" t="s">
        <v>41</v>
      </c>
      <c r="S341" s="1">
        <f t="shared" si="5"/>
        <v>46</v>
      </c>
      <c r="T341" s="7" t="str">
        <f>_xlfn.TEXTJOIN("_",TRUE,Finance_Data!A341,Finance_Data!B341,Finance_Data!C341,Finance_Data!D341,Finance_Data!E341,Finance_Data!G341,Finance_Data!H341)</f>
        <v>CMP_058_South_UK_Foundation_Wholesale_45207_45252</v>
      </c>
    </row>
    <row r="342" spans="1:20" x14ac:dyDescent="0.35">
      <c r="A342" s="6" t="s">
        <v>91</v>
      </c>
      <c r="B342" s="1" t="s">
        <v>28</v>
      </c>
      <c r="C342" s="1" t="s">
        <v>58</v>
      </c>
      <c r="D342" s="1" t="s">
        <v>43</v>
      </c>
      <c r="E342" s="1" t="s">
        <v>38</v>
      </c>
      <c r="F342" s="1" t="s">
        <v>52</v>
      </c>
      <c r="G342" s="2">
        <v>45207</v>
      </c>
      <c r="H342" s="2">
        <v>45242</v>
      </c>
      <c r="I342" s="1">
        <v>10762.64</v>
      </c>
      <c r="J342" s="1">
        <v>0.11940000000000001</v>
      </c>
      <c r="K342" s="1">
        <v>1285.06</v>
      </c>
      <c r="L342" s="1">
        <v>752479</v>
      </c>
      <c r="M342" s="1">
        <v>36242</v>
      </c>
      <c r="N342" s="1">
        <v>164721.51</v>
      </c>
      <c r="O342" s="1">
        <v>2023</v>
      </c>
      <c r="P342" s="1" t="s">
        <v>24</v>
      </c>
      <c r="Q342" s="1" t="s">
        <v>25</v>
      </c>
      <c r="R342" s="1" t="s">
        <v>41</v>
      </c>
      <c r="S342" s="1">
        <f t="shared" si="5"/>
        <v>36</v>
      </c>
      <c r="T342" s="7" t="str">
        <f>_xlfn.TEXTJOIN("_",TRUE,Finance_Data!A342,Finance_Data!B342,Finance_Data!C342,Finance_Data!D342,Finance_Data!E342,Finance_Data!G342,Finance_Data!H342)</f>
        <v>CMP_030_West_UK_Luxury Bag_Ecommerce_45207_45242</v>
      </c>
    </row>
    <row r="343" spans="1:20" x14ac:dyDescent="0.35">
      <c r="A343" s="6" t="s">
        <v>97</v>
      </c>
      <c r="B343" s="1" t="s">
        <v>28</v>
      </c>
      <c r="C343" s="1" t="s">
        <v>36</v>
      </c>
      <c r="D343" s="1" t="s">
        <v>59</v>
      </c>
      <c r="E343" s="1" t="s">
        <v>38</v>
      </c>
      <c r="F343" s="1" t="s">
        <v>44</v>
      </c>
      <c r="G343" s="2">
        <v>45207</v>
      </c>
      <c r="H343" s="2">
        <v>45241</v>
      </c>
      <c r="I343" s="1">
        <v>10930.67</v>
      </c>
      <c r="J343" s="1">
        <v>0.32450000000000001</v>
      </c>
      <c r="K343" s="1">
        <v>3547</v>
      </c>
      <c r="L343" s="1">
        <v>697919</v>
      </c>
      <c r="M343" s="1">
        <v>37861</v>
      </c>
      <c r="N343" s="1">
        <v>120493.09</v>
      </c>
      <c r="O343" s="1">
        <v>2023</v>
      </c>
      <c r="P343" s="1" t="s">
        <v>24</v>
      </c>
      <c r="Q343" s="1" t="s">
        <v>25</v>
      </c>
      <c r="R343" s="1" t="s">
        <v>41</v>
      </c>
      <c r="S343" s="1">
        <f t="shared" si="5"/>
        <v>35</v>
      </c>
      <c r="T343" s="7" t="str">
        <f>_xlfn.TEXTJOIN("_",TRUE,Finance_Data!A343,Finance_Data!B343,Finance_Data!C343,Finance_Data!D343,Finance_Data!E343,Finance_Data!G343,Finance_Data!H343)</f>
        <v>CMP_019_West_India_Lipstick_Ecommerce_45207_45241</v>
      </c>
    </row>
    <row r="344" spans="1:20" x14ac:dyDescent="0.35">
      <c r="A344" s="6" t="s">
        <v>34</v>
      </c>
      <c r="B344" s="1" t="s">
        <v>28</v>
      </c>
      <c r="C344" s="1" t="s">
        <v>36</v>
      </c>
      <c r="D344" s="1" t="s">
        <v>37</v>
      </c>
      <c r="E344" s="1" t="s">
        <v>30</v>
      </c>
      <c r="F344" s="1" t="s">
        <v>31</v>
      </c>
      <c r="G344" s="2">
        <v>45207</v>
      </c>
      <c r="H344" s="2">
        <v>45214</v>
      </c>
      <c r="I344" s="1">
        <v>48740.45</v>
      </c>
      <c r="J344" s="1">
        <v>0.66849999999999998</v>
      </c>
      <c r="K344" s="1">
        <v>32582.99</v>
      </c>
      <c r="L344" s="1">
        <v>741295</v>
      </c>
      <c r="M344" s="1">
        <v>8375</v>
      </c>
      <c r="N344" s="1">
        <v>161278.07</v>
      </c>
      <c r="O344" s="1">
        <v>2023</v>
      </c>
      <c r="P344" s="1" t="s">
        <v>24</v>
      </c>
      <c r="Q344" s="1" t="s">
        <v>25</v>
      </c>
      <c r="R344" s="1" t="s">
        <v>54</v>
      </c>
      <c r="S344" s="1">
        <f t="shared" si="5"/>
        <v>8</v>
      </c>
      <c r="T344" s="7" t="str">
        <f>_xlfn.TEXTJOIN("_",TRUE,Finance_Data!A344,Finance_Data!B344,Finance_Data!C344,Finance_Data!D344,Finance_Data!E344,Finance_Data!G344,Finance_Data!H344)</f>
        <v>CMP_049_West_India_Perfume_Wholesale_45207_45214</v>
      </c>
    </row>
    <row r="345" spans="1:20" x14ac:dyDescent="0.35">
      <c r="A345" s="6" t="s">
        <v>85</v>
      </c>
      <c r="B345" s="1" t="s">
        <v>19</v>
      </c>
      <c r="C345" s="1" t="s">
        <v>36</v>
      </c>
      <c r="D345" s="1" t="s">
        <v>43</v>
      </c>
      <c r="E345" s="1" t="s">
        <v>30</v>
      </c>
      <c r="F345" s="1" t="s">
        <v>44</v>
      </c>
      <c r="G345" s="2">
        <v>45210</v>
      </c>
      <c r="H345" s="2">
        <v>45249</v>
      </c>
      <c r="I345" s="1">
        <v>16638.34</v>
      </c>
      <c r="J345" s="1">
        <v>0.53490000000000004</v>
      </c>
      <c r="K345" s="1">
        <v>8899.85</v>
      </c>
      <c r="L345" s="1">
        <v>133365</v>
      </c>
      <c r="M345" s="1">
        <v>17968</v>
      </c>
      <c r="N345" s="1">
        <v>41583.58</v>
      </c>
      <c r="O345" s="1">
        <v>2023</v>
      </c>
      <c r="P345" s="1" t="s">
        <v>24</v>
      </c>
      <c r="Q345" s="1" t="s">
        <v>25</v>
      </c>
      <c r="R345" s="1" t="s">
        <v>26</v>
      </c>
      <c r="S345" s="1">
        <f t="shared" si="5"/>
        <v>40</v>
      </c>
      <c r="T345" s="7" t="str">
        <f>_xlfn.TEXTJOIN("_",TRUE,Finance_Data!A345,Finance_Data!B345,Finance_Data!C345,Finance_Data!D345,Finance_Data!E345,Finance_Data!G345,Finance_Data!H345)</f>
        <v>CMP_018_North_India_Luxury Bag_Wholesale_45210_45249</v>
      </c>
    </row>
    <row r="346" spans="1:20" x14ac:dyDescent="0.35">
      <c r="A346" s="6" t="s">
        <v>93</v>
      </c>
      <c r="B346" s="1" t="s">
        <v>28</v>
      </c>
      <c r="C346" s="1" t="s">
        <v>20</v>
      </c>
      <c r="D346" s="1" t="s">
        <v>51</v>
      </c>
      <c r="E346" s="1" t="s">
        <v>30</v>
      </c>
      <c r="F346" s="1" t="s">
        <v>31</v>
      </c>
      <c r="G346" s="2">
        <v>45210</v>
      </c>
      <c r="H346" s="2">
        <v>45218</v>
      </c>
      <c r="I346" s="1">
        <v>4105.09</v>
      </c>
      <c r="J346" s="1">
        <v>0.42080000000000001</v>
      </c>
      <c r="K346" s="1">
        <v>1727.42</v>
      </c>
      <c r="L346" s="1">
        <v>519845</v>
      </c>
      <c r="M346" s="1">
        <v>32963</v>
      </c>
      <c r="N346" s="1">
        <v>134037.24</v>
      </c>
      <c r="O346" s="1">
        <v>2023</v>
      </c>
      <c r="P346" s="1" t="s">
        <v>24</v>
      </c>
      <c r="Q346" s="1" t="s">
        <v>25</v>
      </c>
      <c r="R346" s="1" t="s">
        <v>54</v>
      </c>
      <c r="S346" s="1">
        <f t="shared" si="5"/>
        <v>9</v>
      </c>
      <c r="T346" s="7" t="str">
        <f>_xlfn.TEXTJOIN("_",TRUE,Finance_Data!A346,Finance_Data!B346,Finance_Data!C346,Finance_Data!D346,Finance_Data!E346,Finance_Data!G346,Finance_Data!H346)</f>
        <v>CMP_008_West_Singapore_Watch_Wholesale_45210_45218</v>
      </c>
    </row>
    <row r="347" spans="1:20" x14ac:dyDescent="0.35">
      <c r="A347" s="6" t="s">
        <v>108</v>
      </c>
      <c r="B347" s="1" t="s">
        <v>28</v>
      </c>
      <c r="C347" s="1" t="s">
        <v>20</v>
      </c>
      <c r="D347" s="1" t="s">
        <v>37</v>
      </c>
      <c r="E347" s="1" t="s">
        <v>22</v>
      </c>
      <c r="F347" s="1" t="s">
        <v>52</v>
      </c>
      <c r="G347" s="2">
        <v>45210</v>
      </c>
      <c r="H347" s="2">
        <v>45215</v>
      </c>
      <c r="I347" s="1">
        <v>49105.93</v>
      </c>
      <c r="J347" s="1">
        <v>0.43569999999999998</v>
      </c>
      <c r="K347" s="1">
        <v>21395.45</v>
      </c>
      <c r="L347" s="1">
        <v>907412</v>
      </c>
      <c r="M347" s="1">
        <v>33078</v>
      </c>
      <c r="N347" s="1">
        <v>56641.13</v>
      </c>
      <c r="O347" s="1">
        <v>2023</v>
      </c>
      <c r="P347" s="1" t="s">
        <v>24</v>
      </c>
      <c r="Q347" s="1" t="s">
        <v>25</v>
      </c>
      <c r="R347" s="1" t="s">
        <v>41</v>
      </c>
      <c r="S347" s="1">
        <f t="shared" si="5"/>
        <v>6</v>
      </c>
      <c r="T347" s="7" t="str">
        <f>_xlfn.TEXTJOIN("_",TRUE,Finance_Data!A347,Finance_Data!B347,Finance_Data!C347,Finance_Data!D347,Finance_Data!E347,Finance_Data!G347,Finance_Data!H347)</f>
        <v>CMP_058_West_Singapore_Perfume_Retail_45210_45215</v>
      </c>
    </row>
    <row r="348" spans="1:20" x14ac:dyDescent="0.35">
      <c r="A348" s="6" t="s">
        <v>75</v>
      </c>
      <c r="B348" s="1" t="s">
        <v>19</v>
      </c>
      <c r="C348" s="1" t="s">
        <v>69</v>
      </c>
      <c r="D348" s="1" t="s">
        <v>51</v>
      </c>
      <c r="E348" s="1" t="s">
        <v>38</v>
      </c>
      <c r="F348" s="1" t="s">
        <v>52</v>
      </c>
      <c r="G348" s="2">
        <v>45211</v>
      </c>
      <c r="H348" s="2">
        <v>45221</v>
      </c>
      <c r="I348" s="1">
        <v>16185.44</v>
      </c>
      <c r="J348" s="1">
        <v>0.61850000000000005</v>
      </c>
      <c r="K348" s="1">
        <v>10010.69</v>
      </c>
      <c r="L348" s="1">
        <v>223068</v>
      </c>
      <c r="M348" s="1">
        <v>10282</v>
      </c>
      <c r="N348" s="1">
        <v>136415.59</v>
      </c>
      <c r="O348" s="1">
        <v>2023</v>
      </c>
      <c r="P348" s="1" t="s">
        <v>24</v>
      </c>
      <c r="Q348" s="1" t="s">
        <v>25</v>
      </c>
      <c r="R348" s="1" t="s">
        <v>26</v>
      </c>
      <c r="S348" s="1">
        <f t="shared" si="5"/>
        <v>11</v>
      </c>
      <c r="T348" s="7" t="str">
        <f>_xlfn.TEXTJOIN("_",TRUE,Finance_Data!A348,Finance_Data!B348,Finance_Data!C348,Finance_Data!D348,Finance_Data!E348,Finance_Data!G348,Finance_Data!H348)</f>
        <v>CMP_026_North_USA_Watch_Ecommerce_45211_45221</v>
      </c>
    </row>
    <row r="349" spans="1:20" x14ac:dyDescent="0.35">
      <c r="A349" s="6" t="s">
        <v>84</v>
      </c>
      <c r="B349" s="1" t="s">
        <v>48</v>
      </c>
      <c r="C349" s="1" t="s">
        <v>36</v>
      </c>
      <c r="D349" s="1" t="s">
        <v>63</v>
      </c>
      <c r="E349" s="1" t="s">
        <v>30</v>
      </c>
      <c r="F349" s="1" t="s">
        <v>52</v>
      </c>
      <c r="G349" s="2">
        <v>45213</v>
      </c>
      <c r="H349" s="2">
        <v>45223</v>
      </c>
      <c r="I349" s="1">
        <v>10974.19</v>
      </c>
      <c r="J349" s="1">
        <v>0.17319999999999999</v>
      </c>
      <c r="K349" s="1">
        <v>1900.73</v>
      </c>
      <c r="L349" s="1">
        <v>556302</v>
      </c>
      <c r="M349" s="1">
        <v>15208</v>
      </c>
      <c r="N349" s="1">
        <v>79710.100000000006</v>
      </c>
      <c r="O349" s="1">
        <v>2023</v>
      </c>
      <c r="P349" s="1" t="s">
        <v>24</v>
      </c>
      <c r="Q349" s="1" t="s">
        <v>25</v>
      </c>
      <c r="R349" s="1" t="s">
        <v>26</v>
      </c>
      <c r="S349" s="1">
        <f t="shared" si="5"/>
        <v>11</v>
      </c>
      <c r="T349" s="7" t="str">
        <f>_xlfn.TEXTJOIN("_",TRUE,Finance_Data!A349,Finance_Data!B349,Finance_Data!C349,Finance_Data!D349,Finance_Data!E349,Finance_Data!G349,Finance_Data!H349)</f>
        <v>CMP_036_South_India_Skincare_Wholesale_45213_45223</v>
      </c>
    </row>
    <row r="350" spans="1:20" x14ac:dyDescent="0.35">
      <c r="A350" s="6" t="s">
        <v>100</v>
      </c>
      <c r="B350" s="1" t="s">
        <v>28</v>
      </c>
      <c r="C350" s="1" t="s">
        <v>36</v>
      </c>
      <c r="D350" s="1" t="s">
        <v>63</v>
      </c>
      <c r="E350" s="1" t="s">
        <v>30</v>
      </c>
      <c r="F350" s="1" t="s">
        <v>44</v>
      </c>
      <c r="G350" s="2">
        <v>45214</v>
      </c>
      <c r="H350" s="2">
        <v>45250</v>
      </c>
      <c r="I350" s="1">
        <v>45320.87</v>
      </c>
      <c r="J350" s="1">
        <v>0.85129999999999995</v>
      </c>
      <c r="K350" s="1">
        <v>38581.660000000003</v>
      </c>
      <c r="L350" s="1">
        <v>229242</v>
      </c>
      <c r="M350" s="1">
        <v>567</v>
      </c>
      <c r="N350" s="1">
        <v>53041.26</v>
      </c>
      <c r="O350" s="1">
        <v>2023</v>
      </c>
      <c r="P350" s="1" t="s">
        <v>24</v>
      </c>
      <c r="Q350" s="1" t="s">
        <v>25</v>
      </c>
      <c r="R350" s="1" t="s">
        <v>54</v>
      </c>
      <c r="S350" s="1">
        <f t="shared" si="5"/>
        <v>37</v>
      </c>
      <c r="T350" s="7" t="str">
        <f>_xlfn.TEXTJOIN("_",TRUE,Finance_Data!A350,Finance_Data!B350,Finance_Data!C350,Finance_Data!D350,Finance_Data!E350,Finance_Data!G350,Finance_Data!H350)</f>
        <v>CMP_053_West_India_Skincare_Wholesale_45214_45250</v>
      </c>
    </row>
    <row r="351" spans="1:20" x14ac:dyDescent="0.35">
      <c r="A351" s="6" t="s">
        <v>62</v>
      </c>
      <c r="B351" s="1" t="s">
        <v>35</v>
      </c>
      <c r="C351" s="1" t="s">
        <v>20</v>
      </c>
      <c r="D351" s="1" t="s">
        <v>59</v>
      </c>
      <c r="E351" s="1" t="s">
        <v>30</v>
      </c>
      <c r="F351" s="1" t="s">
        <v>44</v>
      </c>
      <c r="G351" s="2">
        <v>45214</v>
      </c>
      <c r="H351" s="2">
        <v>45227</v>
      </c>
      <c r="I351" s="1">
        <v>6444.35</v>
      </c>
      <c r="J351" s="1">
        <v>0.56399999999999995</v>
      </c>
      <c r="K351" s="1">
        <v>3634.61</v>
      </c>
      <c r="L351" s="1">
        <v>448539</v>
      </c>
      <c r="M351" s="1">
        <v>11319</v>
      </c>
      <c r="N351" s="1">
        <v>191283.20000000001</v>
      </c>
      <c r="O351" s="1">
        <v>2023</v>
      </c>
      <c r="P351" s="1" t="s">
        <v>24</v>
      </c>
      <c r="Q351" s="1" t="s">
        <v>25</v>
      </c>
      <c r="R351" s="1" t="s">
        <v>61</v>
      </c>
      <c r="S351" s="1">
        <f t="shared" si="5"/>
        <v>14</v>
      </c>
      <c r="T351" s="7" t="str">
        <f>_xlfn.TEXTJOIN("_",TRUE,Finance_Data!A351,Finance_Data!B351,Finance_Data!C351,Finance_Data!D351,Finance_Data!E351,Finance_Data!G351,Finance_Data!H351)</f>
        <v>CMP_015_East_Singapore_Lipstick_Wholesale_45214_45227</v>
      </c>
    </row>
    <row r="352" spans="1:20" x14ac:dyDescent="0.35">
      <c r="A352" s="6" t="s">
        <v>109</v>
      </c>
      <c r="B352" s="1" t="s">
        <v>19</v>
      </c>
      <c r="C352" s="1" t="s">
        <v>69</v>
      </c>
      <c r="D352" s="1" t="s">
        <v>43</v>
      </c>
      <c r="E352" s="1" t="s">
        <v>30</v>
      </c>
      <c r="F352" s="1" t="s">
        <v>23</v>
      </c>
      <c r="G352" s="2">
        <v>45216</v>
      </c>
      <c r="H352" s="2">
        <v>45270</v>
      </c>
      <c r="I352" s="1">
        <v>18082.16</v>
      </c>
      <c r="J352" s="1">
        <v>0.69389999999999996</v>
      </c>
      <c r="K352" s="1">
        <v>12547.21</v>
      </c>
      <c r="L352" s="1">
        <v>542623</v>
      </c>
      <c r="M352" s="1">
        <v>6845</v>
      </c>
      <c r="N352" s="1">
        <v>104393.07</v>
      </c>
      <c r="O352" s="1">
        <v>2023</v>
      </c>
      <c r="P352" s="1" t="s">
        <v>24</v>
      </c>
      <c r="Q352" s="1" t="s">
        <v>25</v>
      </c>
      <c r="R352" s="1" t="s">
        <v>41</v>
      </c>
      <c r="S352" s="1">
        <f t="shared" si="5"/>
        <v>55</v>
      </c>
      <c r="T352" s="7" t="str">
        <f>_xlfn.TEXTJOIN("_",TRUE,Finance_Data!A352,Finance_Data!B352,Finance_Data!C352,Finance_Data!D352,Finance_Data!E352,Finance_Data!G352,Finance_Data!H352)</f>
        <v>CMP_046_North_USA_Luxury Bag_Wholesale_45216_45270</v>
      </c>
    </row>
    <row r="353" spans="1:20" x14ac:dyDescent="0.35">
      <c r="A353" s="6" t="s">
        <v>108</v>
      </c>
      <c r="B353" s="1" t="s">
        <v>48</v>
      </c>
      <c r="C353" s="1" t="s">
        <v>69</v>
      </c>
      <c r="D353" s="1" t="s">
        <v>51</v>
      </c>
      <c r="E353" s="1" t="s">
        <v>38</v>
      </c>
      <c r="F353" s="1" t="s">
        <v>52</v>
      </c>
      <c r="G353" s="2">
        <v>45216</v>
      </c>
      <c r="H353" s="2">
        <v>45237</v>
      </c>
      <c r="I353" s="1">
        <v>31033.65</v>
      </c>
      <c r="J353" s="1">
        <v>0.9163</v>
      </c>
      <c r="K353" s="1">
        <v>28436.13</v>
      </c>
      <c r="L353" s="1">
        <v>286570</v>
      </c>
      <c r="M353" s="1">
        <v>33980</v>
      </c>
      <c r="N353" s="1">
        <v>81687.53</v>
      </c>
      <c r="O353" s="1">
        <v>2023</v>
      </c>
      <c r="P353" s="1" t="s">
        <v>24</v>
      </c>
      <c r="Q353" s="1" t="s">
        <v>25</v>
      </c>
      <c r="R353" s="1" t="s">
        <v>54</v>
      </c>
      <c r="S353" s="1">
        <f t="shared" si="5"/>
        <v>22</v>
      </c>
      <c r="T353" s="7" t="str">
        <f>_xlfn.TEXTJOIN("_",TRUE,Finance_Data!A353,Finance_Data!B353,Finance_Data!C353,Finance_Data!D353,Finance_Data!E353,Finance_Data!G353,Finance_Data!H353)</f>
        <v>CMP_058_South_USA_Watch_Ecommerce_45216_45237</v>
      </c>
    </row>
    <row r="354" spans="1:20" x14ac:dyDescent="0.35">
      <c r="A354" s="6" t="s">
        <v>82</v>
      </c>
      <c r="B354" s="1" t="s">
        <v>35</v>
      </c>
      <c r="C354" s="1" t="s">
        <v>20</v>
      </c>
      <c r="D354" s="1" t="s">
        <v>59</v>
      </c>
      <c r="E354" s="1" t="s">
        <v>30</v>
      </c>
      <c r="F354" s="1" t="s">
        <v>44</v>
      </c>
      <c r="G354" s="2">
        <v>45218</v>
      </c>
      <c r="H354" s="2">
        <v>45262</v>
      </c>
      <c r="I354" s="1">
        <v>4420.6400000000003</v>
      </c>
      <c r="J354" s="1">
        <v>0.24030000000000001</v>
      </c>
      <c r="K354" s="1">
        <v>1062.28</v>
      </c>
      <c r="L354" s="1">
        <v>519462</v>
      </c>
      <c r="M354" s="1">
        <v>29633</v>
      </c>
      <c r="N354" s="1">
        <v>85444.79</v>
      </c>
      <c r="O354" s="1">
        <v>2023</v>
      </c>
      <c r="P354" s="1" t="s">
        <v>24</v>
      </c>
      <c r="Q354" s="1" t="s">
        <v>25</v>
      </c>
      <c r="R354" s="1" t="s">
        <v>41</v>
      </c>
      <c r="S354" s="1">
        <f t="shared" si="5"/>
        <v>45</v>
      </c>
      <c r="T354" s="7" t="str">
        <f>_xlfn.TEXTJOIN("_",TRUE,Finance_Data!A354,Finance_Data!B354,Finance_Data!C354,Finance_Data!D354,Finance_Data!E354,Finance_Data!G354,Finance_Data!H354)</f>
        <v>CMP_043_East_Singapore_Lipstick_Wholesale_45218_45262</v>
      </c>
    </row>
    <row r="355" spans="1:20" x14ac:dyDescent="0.35">
      <c r="A355" s="6" t="s">
        <v>62</v>
      </c>
      <c r="B355" s="1" t="s">
        <v>48</v>
      </c>
      <c r="C355" s="1" t="s">
        <v>69</v>
      </c>
      <c r="D355" s="1" t="s">
        <v>37</v>
      </c>
      <c r="E355" s="1" t="s">
        <v>30</v>
      </c>
      <c r="F355" s="1" t="s">
        <v>31</v>
      </c>
      <c r="G355" s="2">
        <v>45218</v>
      </c>
      <c r="H355" s="2">
        <v>45261</v>
      </c>
      <c r="I355" s="1">
        <v>1798.82</v>
      </c>
      <c r="J355" s="1">
        <v>0.17080000000000001</v>
      </c>
      <c r="K355" s="1">
        <v>307.24</v>
      </c>
      <c r="L355" s="1">
        <v>943572</v>
      </c>
      <c r="M355" s="1">
        <v>19881</v>
      </c>
      <c r="N355" s="1">
        <v>6609.36</v>
      </c>
      <c r="O355" s="1">
        <v>2023</v>
      </c>
      <c r="P355" s="1" t="s">
        <v>24</v>
      </c>
      <c r="Q355" s="1" t="s">
        <v>25</v>
      </c>
      <c r="R355" s="1" t="s">
        <v>61</v>
      </c>
      <c r="S355" s="1">
        <f t="shared" si="5"/>
        <v>44</v>
      </c>
      <c r="T355" s="7" t="str">
        <f>_xlfn.TEXTJOIN("_",TRUE,Finance_Data!A355,Finance_Data!B355,Finance_Data!C355,Finance_Data!D355,Finance_Data!E355,Finance_Data!G355,Finance_Data!H355)</f>
        <v>CMP_015_South_USA_Perfume_Wholesale_45218_45261</v>
      </c>
    </row>
    <row r="356" spans="1:20" x14ac:dyDescent="0.35">
      <c r="A356" s="6" t="s">
        <v>87</v>
      </c>
      <c r="B356" s="1" t="s">
        <v>48</v>
      </c>
      <c r="C356" s="1" t="s">
        <v>58</v>
      </c>
      <c r="D356" s="1" t="s">
        <v>43</v>
      </c>
      <c r="E356" s="1" t="s">
        <v>38</v>
      </c>
      <c r="F356" s="1" t="s">
        <v>44</v>
      </c>
      <c r="G356" s="2">
        <v>45219</v>
      </c>
      <c r="H356" s="2">
        <v>45244</v>
      </c>
      <c r="I356" s="1">
        <v>19819.32</v>
      </c>
      <c r="J356" s="1">
        <v>0.91120000000000001</v>
      </c>
      <c r="K356" s="1">
        <v>18059.36</v>
      </c>
      <c r="L356" s="1">
        <v>160152</v>
      </c>
      <c r="M356" s="1">
        <v>2848</v>
      </c>
      <c r="N356" s="1">
        <v>204426.86</v>
      </c>
      <c r="O356" s="1">
        <v>2023</v>
      </c>
      <c r="P356" s="1" t="s">
        <v>24</v>
      </c>
      <c r="Q356" s="1" t="s">
        <v>25</v>
      </c>
      <c r="R356" s="1" t="s">
        <v>41</v>
      </c>
      <c r="S356" s="1">
        <f t="shared" si="5"/>
        <v>26</v>
      </c>
      <c r="T356" s="7" t="str">
        <f>_xlfn.TEXTJOIN("_",TRUE,Finance_Data!A356,Finance_Data!B356,Finance_Data!C356,Finance_Data!D356,Finance_Data!E356,Finance_Data!G356,Finance_Data!H356)</f>
        <v>CMP_048_South_UK_Luxury Bag_Ecommerce_45219_45244</v>
      </c>
    </row>
    <row r="357" spans="1:20" x14ac:dyDescent="0.35">
      <c r="A357" s="6" t="s">
        <v>67</v>
      </c>
      <c r="B357" s="1" t="s">
        <v>48</v>
      </c>
      <c r="C357" s="1" t="s">
        <v>69</v>
      </c>
      <c r="D357" s="1" t="s">
        <v>43</v>
      </c>
      <c r="E357" s="1" t="s">
        <v>22</v>
      </c>
      <c r="F357" s="1" t="s">
        <v>44</v>
      </c>
      <c r="G357" s="2">
        <v>45221</v>
      </c>
      <c r="H357" s="2">
        <v>45254</v>
      </c>
      <c r="I357" s="1">
        <v>44161.48</v>
      </c>
      <c r="J357" s="1">
        <v>0.58679999999999999</v>
      </c>
      <c r="K357" s="1">
        <v>25913.96</v>
      </c>
      <c r="L357" s="1">
        <v>40271</v>
      </c>
      <c r="M357" s="1">
        <v>41389</v>
      </c>
      <c r="N357" s="1">
        <v>154173.56</v>
      </c>
      <c r="O357" s="1">
        <v>2023</v>
      </c>
      <c r="P357" s="1" t="s">
        <v>24</v>
      </c>
      <c r="Q357" s="1" t="s">
        <v>25</v>
      </c>
      <c r="R357" s="1" t="s">
        <v>54</v>
      </c>
      <c r="S357" s="1">
        <f t="shared" si="5"/>
        <v>34</v>
      </c>
      <c r="T357" s="7" t="str">
        <f>_xlfn.TEXTJOIN("_",TRUE,Finance_Data!A357,Finance_Data!B357,Finance_Data!C357,Finance_Data!D357,Finance_Data!E357,Finance_Data!G357,Finance_Data!H357)</f>
        <v>CMP_016_South_USA_Luxury Bag_Retail_45221_45254</v>
      </c>
    </row>
    <row r="358" spans="1:20" x14ac:dyDescent="0.35">
      <c r="A358" s="6" t="s">
        <v>95</v>
      </c>
      <c r="B358" s="1" t="s">
        <v>48</v>
      </c>
      <c r="C358" s="1" t="s">
        <v>69</v>
      </c>
      <c r="D358" s="1" t="s">
        <v>37</v>
      </c>
      <c r="E358" s="1" t="s">
        <v>38</v>
      </c>
      <c r="F358" s="1" t="s">
        <v>23</v>
      </c>
      <c r="G358" s="2">
        <v>45221</v>
      </c>
      <c r="H358" s="2">
        <v>45233</v>
      </c>
      <c r="I358" s="1">
        <v>29100.36</v>
      </c>
      <c r="J358" s="1">
        <v>0.65639999999999998</v>
      </c>
      <c r="K358" s="1">
        <v>19101.48</v>
      </c>
      <c r="L358" s="1">
        <v>949272</v>
      </c>
      <c r="M358" s="1">
        <v>25956</v>
      </c>
      <c r="N358" s="1">
        <v>205502.48</v>
      </c>
      <c r="O358" s="1">
        <v>2023</v>
      </c>
      <c r="P358" s="1" t="s">
        <v>24</v>
      </c>
      <c r="Q358" s="1" t="s">
        <v>25</v>
      </c>
      <c r="R358" s="1" t="s">
        <v>41</v>
      </c>
      <c r="S358" s="1">
        <f t="shared" si="5"/>
        <v>13</v>
      </c>
      <c r="T358" s="7" t="str">
        <f>_xlfn.TEXTJOIN("_",TRUE,Finance_Data!A358,Finance_Data!B358,Finance_Data!C358,Finance_Data!D358,Finance_Data!E358,Finance_Data!G358,Finance_Data!H358)</f>
        <v>CMP_050_South_USA_Perfume_Ecommerce_45221_45233</v>
      </c>
    </row>
    <row r="359" spans="1:20" x14ac:dyDescent="0.35">
      <c r="A359" s="6" t="s">
        <v>88</v>
      </c>
      <c r="B359" s="1" t="s">
        <v>35</v>
      </c>
      <c r="C359" s="1" t="s">
        <v>69</v>
      </c>
      <c r="D359" s="1" t="s">
        <v>37</v>
      </c>
      <c r="E359" s="1" t="s">
        <v>38</v>
      </c>
      <c r="F359" s="1" t="s">
        <v>44</v>
      </c>
      <c r="G359" s="2">
        <v>45222</v>
      </c>
      <c r="H359" s="2">
        <v>45269</v>
      </c>
      <c r="I359" s="1">
        <v>47314.48</v>
      </c>
      <c r="J359" s="1">
        <v>0.97809999999999997</v>
      </c>
      <c r="K359" s="1">
        <v>46278.29</v>
      </c>
      <c r="L359" s="1">
        <v>586818</v>
      </c>
      <c r="M359" s="1">
        <v>2504</v>
      </c>
      <c r="N359" s="1">
        <v>116432.35</v>
      </c>
      <c r="O359" s="1">
        <v>2023</v>
      </c>
      <c r="P359" s="1" t="s">
        <v>24</v>
      </c>
      <c r="Q359" s="1" t="s">
        <v>25</v>
      </c>
      <c r="R359" s="1" t="s">
        <v>26</v>
      </c>
      <c r="S359" s="1">
        <f t="shared" si="5"/>
        <v>48</v>
      </c>
      <c r="T359" s="7" t="str">
        <f>_xlfn.TEXTJOIN("_",TRUE,Finance_Data!A359,Finance_Data!B359,Finance_Data!C359,Finance_Data!D359,Finance_Data!E359,Finance_Data!G359,Finance_Data!H359)</f>
        <v>CMP_021_East_USA_Perfume_Ecommerce_45222_45269</v>
      </c>
    </row>
    <row r="360" spans="1:20" x14ac:dyDescent="0.35">
      <c r="A360" s="6" t="s">
        <v>66</v>
      </c>
      <c r="B360" s="1" t="s">
        <v>35</v>
      </c>
      <c r="C360" s="1" t="s">
        <v>20</v>
      </c>
      <c r="D360" s="1" t="s">
        <v>43</v>
      </c>
      <c r="E360" s="1" t="s">
        <v>30</v>
      </c>
      <c r="F360" s="1" t="s">
        <v>52</v>
      </c>
      <c r="G360" s="2">
        <v>45222</v>
      </c>
      <c r="H360" s="2">
        <v>45234</v>
      </c>
      <c r="I360" s="1">
        <v>48504.02</v>
      </c>
      <c r="J360" s="1">
        <v>0.60370000000000001</v>
      </c>
      <c r="K360" s="1">
        <v>29281.88</v>
      </c>
      <c r="L360" s="1">
        <v>728826</v>
      </c>
      <c r="M360" s="1">
        <v>9742</v>
      </c>
      <c r="N360" s="1">
        <v>119247.78</v>
      </c>
      <c r="O360" s="1">
        <v>2023</v>
      </c>
      <c r="P360" s="1" t="s">
        <v>24</v>
      </c>
      <c r="Q360" s="1" t="s">
        <v>25</v>
      </c>
      <c r="R360" s="1" t="s">
        <v>41</v>
      </c>
      <c r="S360" s="1">
        <f t="shared" si="5"/>
        <v>13</v>
      </c>
      <c r="T360" s="7" t="str">
        <f>_xlfn.TEXTJOIN("_",TRUE,Finance_Data!A360,Finance_Data!B360,Finance_Data!C360,Finance_Data!D360,Finance_Data!E360,Finance_Data!G360,Finance_Data!H360)</f>
        <v>CMP_010_East_Singapore_Luxury Bag_Wholesale_45222_45234</v>
      </c>
    </row>
    <row r="361" spans="1:20" x14ac:dyDescent="0.35">
      <c r="A361" s="6" t="s">
        <v>42</v>
      </c>
      <c r="B361" s="1" t="s">
        <v>28</v>
      </c>
      <c r="C361" s="1" t="s">
        <v>69</v>
      </c>
      <c r="D361" s="1" t="s">
        <v>51</v>
      </c>
      <c r="E361" s="1" t="s">
        <v>22</v>
      </c>
      <c r="F361" s="1" t="s">
        <v>49</v>
      </c>
      <c r="G361" s="2">
        <v>45223</v>
      </c>
      <c r="H361" s="2">
        <v>45276</v>
      </c>
      <c r="I361" s="1">
        <v>49053.8</v>
      </c>
      <c r="J361" s="1">
        <v>0.69269999999999998</v>
      </c>
      <c r="K361" s="1">
        <v>33979.57</v>
      </c>
      <c r="L361" s="1">
        <v>164228</v>
      </c>
      <c r="M361" s="1">
        <v>37143</v>
      </c>
      <c r="N361" s="1">
        <v>183493.23</v>
      </c>
      <c r="O361" s="1">
        <v>2023</v>
      </c>
      <c r="P361" s="1" t="s">
        <v>24</v>
      </c>
      <c r="Q361" s="1" t="s">
        <v>25</v>
      </c>
      <c r="R361" s="1" t="s">
        <v>26</v>
      </c>
      <c r="S361" s="1">
        <f t="shared" si="5"/>
        <v>54</v>
      </c>
      <c r="T361" s="7" t="str">
        <f>_xlfn.TEXTJOIN("_",TRUE,Finance_Data!A361,Finance_Data!B361,Finance_Data!C361,Finance_Data!D361,Finance_Data!E361,Finance_Data!G361,Finance_Data!H361)</f>
        <v>CMP_060_West_USA_Watch_Retail_45223_45276</v>
      </c>
    </row>
    <row r="362" spans="1:20" x14ac:dyDescent="0.35">
      <c r="A362" s="6" t="s">
        <v>106</v>
      </c>
      <c r="B362" s="1" t="s">
        <v>28</v>
      </c>
      <c r="C362" s="1" t="s">
        <v>36</v>
      </c>
      <c r="D362" s="1" t="s">
        <v>63</v>
      </c>
      <c r="E362" s="1" t="s">
        <v>30</v>
      </c>
      <c r="F362" s="1" t="s">
        <v>52</v>
      </c>
      <c r="G362" s="2">
        <v>45223</v>
      </c>
      <c r="H362" s="2">
        <v>45264</v>
      </c>
      <c r="I362" s="1">
        <v>14099.81</v>
      </c>
      <c r="J362" s="1">
        <v>1.0309999999999999</v>
      </c>
      <c r="K362" s="1">
        <v>14536.9</v>
      </c>
      <c r="L362" s="1">
        <v>953881</v>
      </c>
      <c r="M362" s="1">
        <v>44618</v>
      </c>
      <c r="N362" s="1">
        <v>204719.32</v>
      </c>
      <c r="O362" s="1">
        <v>2023</v>
      </c>
      <c r="P362" s="1" t="s">
        <v>24</v>
      </c>
      <c r="Q362" s="1" t="s">
        <v>25</v>
      </c>
      <c r="R362" s="1" t="s">
        <v>61</v>
      </c>
      <c r="S362" s="1">
        <f t="shared" si="5"/>
        <v>42</v>
      </c>
      <c r="T362" s="7" t="str">
        <f>_xlfn.TEXTJOIN("_",TRUE,Finance_Data!A362,Finance_Data!B362,Finance_Data!C362,Finance_Data!D362,Finance_Data!E362,Finance_Data!G362,Finance_Data!H362)</f>
        <v>CMP_009_West_India_Skincare_Wholesale_45223_45264</v>
      </c>
    </row>
    <row r="363" spans="1:20" x14ac:dyDescent="0.35">
      <c r="A363" s="6" t="s">
        <v>102</v>
      </c>
      <c r="B363" s="1" t="s">
        <v>35</v>
      </c>
      <c r="C363" s="1" t="s">
        <v>29</v>
      </c>
      <c r="D363" s="1" t="s">
        <v>51</v>
      </c>
      <c r="E363" s="1" t="s">
        <v>30</v>
      </c>
      <c r="F363" s="1" t="s">
        <v>52</v>
      </c>
      <c r="G363" s="2">
        <v>45224</v>
      </c>
      <c r="H363" s="2">
        <v>45271</v>
      </c>
      <c r="I363" s="1">
        <v>4300.78</v>
      </c>
      <c r="J363" s="1">
        <v>0.12690000000000001</v>
      </c>
      <c r="K363" s="1">
        <v>545.77</v>
      </c>
      <c r="L363" s="1">
        <v>770835</v>
      </c>
      <c r="M363" s="1">
        <v>38149</v>
      </c>
      <c r="N363" s="1">
        <v>124361.65</v>
      </c>
      <c r="O363" s="1">
        <v>2023</v>
      </c>
      <c r="P363" s="1" t="s">
        <v>24</v>
      </c>
      <c r="Q363" s="1" t="s">
        <v>25</v>
      </c>
      <c r="R363" s="1" t="s">
        <v>26</v>
      </c>
      <c r="S363" s="1">
        <f t="shared" si="5"/>
        <v>48</v>
      </c>
      <c r="T363" s="7" t="str">
        <f>_xlfn.TEXTJOIN("_",TRUE,Finance_Data!A363,Finance_Data!B363,Finance_Data!C363,Finance_Data!D363,Finance_Data!E363,Finance_Data!G363,Finance_Data!H363)</f>
        <v>CMP_022_East_Australia_Watch_Wholesale_45224_45271</v>
      </c>
    </row>
    <row r="364" spans="1:20" x14ac:dyDescent="0.35">
      <c r="A364" s="6" t="s">
        <v>106</v>
      </c>
      <c r="B364" s="1" t="s">
        <v>35</v>
      </c>
      <c r="C364" s="1" t="s">
        <v>29</v>
      </c>
      <c r="D364" s="1" t="s">
        <v>43</v>
      </c>
      <c r="E364" s="1" t="s">
        <v>38</v>
      </c>
      <c r="F364" s="1" t="s">
        <v>31</v>
      </c>
      <c r="G364" s="2">
        <v>45224</v>
      </c>
      <c r="H364" s="2">
        <v>45258</v>
      </c>
      <c r="I364" s="1">
        <v>22430.42</v>
      </c>
      <c r="J364" s="1">
        <v>1.0895999999999999</v>
      </c>
      <c r="K364" s="1">
        <v>24440.19</v>
      </c>
      <c r="L364" s="1">
        <v>510811</v>
      </c>
      <c r="M364" s="1">
        <v>19786</v>
      </c>
      <c r="N364" s="1">
        <v>41408.6</v>
      </c>
      <c r="O364" s="1">
        <v>2023</v>
      </c>
      <c r="P364" s="1" t="s">
        <v>24</v>
      </c>
      <c r="Q364" s="1" t="s">
        <v>25</v>
      </c>
      <c r="R364" s="1" t="s">
        <v>26</v>
      </c>
      <c r="S364" s="1">
        <f t="shared" si="5"/>
        <v>35</v>
      </c>
      <c r="T364" s="7" t="str">
        <f>_xlfn.TEXTJOIN("_",TRUE,Finance_Data!A364,Finance_Data!B364,Finance_Data!C364,Finance_Data!D364,Finance_Data!E364,Finance_Data!G364,Finance_Data!H364)</f>
        <v>CMP_009_East_Australia_Luxury Bag_Ecommerce_45224_45258</v>
      </c>
    </row>
    <row r="365" spans="1:20" x14ac:dyDescent="0.35">
      <c r="A365" s="6" t="s">
        <v>95</v>
      </c>
      <c r="B365" s="1" t="s">
        <v>35</v>
      </c>
      <c r="C365" s="1" t="s">
        <v>69</v>
      </c>
      <c r="D365" s="1" t="s">
        <v>51</v>
      </c>
      <c r="E365" s="1" t="s">
        <v>38</v>
      </c>
      <c r="F365" s="1" t="s">
        <v>49</v>
      </c>
      <c r="G365" s="2">
        <v>45224</v>
      </c>
      <c r="H365" s="2">
        <v>45246</v>
      </c>
      <c r="I365" s="1">
        <v>25866.880000000001</v>
      </c>
      <c r="J365" s="1">
        <v>1.0689</v>
      </c>
      <c r="K365" s="1">
        <v>27649.11</v>
      </c>
      <c r="L365" s="1">
        <v>830854</v>
      </c>
      <c r="M365" s="1">
        <v>26904</v>
      </c>
      <c r="N365" s="1">
        <v>19896.8</v>
      </c>
      <c r="O365" s="1">
        <v>2023</v>
      </c>
      <c r="P365" s="1" t="s">
        <v>24</v>
      </c>
      <c r="Q365" s="1" t="s">
        <v>25</v>
      </c>
      <c r="R365" s="1" t="s">
        <v>54</v>
      </c>
      <c r="S365" s="1">
        <f t="shared" si="5"/>
        <v>23</v>
      </c>
      <c r="T365" s="7" t="str">
        <f>_xlfn.TEXTJOIN("_",TRUE,Finance_Data!A365,Finance_Data!B365,Finance_Data!C365,Finance_Data!D365,Finance_Data!E365,Finance_Data!G365,Finance_Data!H365)</f>
        <v>CMP_050_East_USA_Watch_Ecommerce_45224_45246</v>
      </c>
    </row>
    <row r="366" spans="1:20" x14ac:dyDescent="0.35">
      <c r="A366" s="6" t="s">
        <v>68</v>
      </c>
      <c r="B366" s="1" t="s">
        <v>35</v>
      </c>
      <c r="C366" s="1" t="s">
        <v>20</v>
      </c>
      <c r="D366" s="1" t="s">
        <v>37</v>
      </c>
      <c r="E366" s="1" t="s">
        <v>30</v>
      </c>
      <c r="F366" s="1" t="s">
        <v>44</v>
      </c>
      <c r="G366" s="2">
        <v>45225</v>
      </c>
      <c r="H366" s="2">
        <v>45258</v>
      </c>
      <c r="I366" s="1">
        <v>20503.95</v>
      </c>
      <c r="J366" s="1">
        <v>0.37240000000000001</v>
      </c>
      <c r="K366" s="1">
        <v>7635.67</v>
      </c>
      <c r="L366" s="1">
        <v>877823</v>
      </c>
      <c r="M366" s="1">
        <v>18837</v>
      </c>
      <c r="N366" s="1">
        <v>118030.06</v>
      </c>
      <c r="O366" s="1">
        <v>2023</v>
      </c>
      <c r="P366" s="1" t="s">
        <v>24</v>
      </c>
      <c r="Q366" s="1" t="s">
        <v>25</v>
      </c>
      <c r="R366" s="1" t="s">
        <v>61</v>
      </c>
      <c r="S366" s="1">
        <f t="shared" si="5"/>
        <v>34</v>
      </c>
      <c r="T366" s="7" t="str">
        <f>_xlfn.TEXTJOIN("_",TRUE,Finance_Data!A366,Finance_Data!B366,Finance_Data!C366,Finance_Data!D366,Finance_Data!E366,Finance_Data!G366,Finance_Data!H366)</f>
        <v>CMP_028_East_Singapore_Perfume_Wholesale_45225_45258</v>
      </c>
    </row>
    <row r="367" spans="1:20" x14ac:dyDescent="0.35">
      <c r="A367" s="6" t="s">
        <v>95</v>
      </c>
      <c r="B367" s="1" t="s">
        <v>28</v>
      </c>
      <c r="C367" s="1" t="s">
        <v>20</v>
      </c>
      <c r="D367" s="1" t="s">
        <v>43</v>
      </c>
      <c r="E367" s="1" t="s">
        <v>22</v>
      </c>
      <c r="F367" s="1" t="s">
        <v>44</v>
      </c>
      <c r="G367" s="2">
        <v>45226</v>
      </c>
      <c r="H367" s="2">
        <v>45233</v>
      </c>
      <c r="I367" s="1">
        <v>14467.79</v>
      </c>
      <c r="J367" s="1">
        <v>0.64980000000000004</v>
      </c>
      <c r="K367" s="1">
        <v>9401.17</v>
      </c>
      <c r="L367" s="1">
        <v>186379</v>
      </c>
      <c r="M367" s="1">
        <v>30071</v>
      </c>
      <c r="N367" s="1">
        <v>143584.35999999999</v>
      </c>
      <c r="O367" s="1">
        <v>2023</v>
      </c>
      <c r="P367" s="1" t="s">
        <v>24</v>
      </c>
      <c r="Q367" s="1" t="s">
        <v>25</v>
      </c>
      <c r="R367" s="1" t="s">
        <v>26</v>
      </c>
      <c r="S367" s="1">
        <f t="shared" si="5"/>
        <v>8</v>
      </c>
      <c r="T367" s="7" t="str">
        <f>_xlfn.TEXTJOIN("_",TRUE,Finance_Data!A367,Finance_Data!B367,Finance_Data!C367,Finance_Data!D367,Finance_Data!E367,Finance_Data!G367,Finance_Data!H367)</f>
        <v>CMP_050_West_Singapore_Luxury Bag_Retail_45226_45233</v>
      </c>
    </row>
    <row r="368" spans="1:20" x14ac:dyDescent="0.35">
      <c r="A368" s="6" t="s">
        <v>93</v>
      </c>
      <c r="B368" s="1" t="s">
        <v>48</v>
      </c>
      <c r="C368" s="1" t="s">
        <v>29</v>
      </c>
      <c r="D368" s="1" t="s">
        <v>51</v>
      </c>
      <c r="E368" s="1" t="s">
        <v>30</v>
      </c>
      <c r="F368" s="1" t="s">
        <v>31</v>
      </c>
      <c r="G368" s="2">
        <v>45231</v>
      </c>
      <c r="H368" s="2">
        <v>45291</v>
      </c>
      <c r="I368" s="1">
        <v>49966.32</v>
      </c>
      <c r="J368" s="1">
        <v>0.54520000000000002</v>
      </c>
      <c r="K368" s="1">
        <v>27241.64</v>
      </c>
      <c r="L368" s="1">
        <v>375509</v>
      </c>
      <c r="M368" s="1">
        <v>5800</v>
      </c>
      <c r="N368" s="1">
        <v>112572.13</v>
      </c>
      <c r="O368" s="1">
        <v>2023</v>
      </c>
      <c r="P368" s="1" t="s">
        <v>65</v>
      </c>
      <c r="Q368" s="1" t="s">
        <v>25</v>
      </c>
      <c r="R368" s="1" t="s">
        <v>54</v>
      </c>
      <c r="S368" s="1">
        <f t="shared" si="5"/>
        <v>61</v>
      </c>
      <c r="T368" s="7" t="str">
        <f>_xlfn.TEXTJOIN("_",TRUE,Finance_Data!A368,Finance_Data!B368,Finance_Data!C368,Finance_Data!D368,Finance_Data!E368,Finance_Data!G368,Finance_Data!H368)</f>
        <v>CMP_008_South_Australia_Watch_Wholesale_45231_45291</v>
      </c>
    </row>
    <row r="369" spans="1:20" x14ac:dyDescent="0.35">
      <c r="A369" s="6" t="s">
        <v>87</v>
      </c>
      <c r="B369" s="1" t="s">
        <v>48</v>
      </c>
      <c r="C369" s="1" t="s">
        <v>58</v>
      </c>
      <c r="D369" s="1" t="s">
        <v>59</v>
      </c>
      <c r="E369" s="1" t="s">
        <v>38</v>
      </c>
      <c r="F369" s="1" t="s">
        <v>49</v>
      </c>
      <c r="G369" s="2">
        <v>45232</v>
      </c>
      <c r="H369" s="2">
        <v>45285</v>
      </c>
      <c r="I369" s="1">
        <v>20109.349999999999</v>
      </c>
      <c r="J369" s="1">
        <v>1.0710999999999999</v>
      </c>
      <c r="K369" s="1">
        <v>21539.119999999999</v>
      </c>
      <c r="L369" s="1">
        <v>886325</v>
      </c>
      <c r="M369" s="1">
        <v>27560</v>
      </c>
      <c r="N369" s="1">
        <v>136864.04</v>
      </c>
      <c r="O369" s="1">
        <v>2023</v>
      </c>
      <c r="P369" s="1" t="s">
        <v>65</v>
      </c>
      <c r="Q369" s="1" t="s">
        <v>25</v>
      </c>
      <c r="R369" s="1" t="s">
        <v>54</v>
      </c>
      <c r="S369" s="1">
        <f t="shared" si="5"/>
        <v>54</v>
      </c>
      <c r="T369" s="7" t="str">
        <f>_xlfn.TEXTJOIN("_",TRUE,Finance_Data!A369,Finance_Data!B369,Finance_Data!C369,Finance_Data!D369,Finance_Data!E369,Finance_Data!G369,Finance_Data!H369)</f>
        <v>CMP_048_South_UK_Lipstick_Ecommerce_45232_45285</v>
      </c>
    </row>
    <row r="370" spans="1:20" x14ac:dyDescent="0.35">
      <c r="A370" s="6" t="s">
        <v>111</v>
      </c>
      <c r="B370" s="1" t="s">
        <v>48</v>
      </c>
      <c r="C370" s="1" t="s">
        <v>36</v>
      </c>
      <c r="D370" s="1" t="s">
        <v>59</v>
      </c>
      <c r="E370" s="1" t="s">
        <v>22</v>
      </c>
      <c r="F370" s="1" t="s">
        <v>52</v>
      </c>
      <c r="G370" s="2">
        <v>45234</v>
      </c>
      <c r="H370" s="2">
        <v>45293</v>
      </c>
      <c r="I370" s="1">
        <v>8717.76</v>
      </c>
      <c r="J370" s="1">
        <v>0.85440000000000005</v>
      </c>
      <c r="K370" s="1">
        <v>7448.45</v>
      </c>
      <c r="L370" s="1">
        <v>744233</v>
      </c>
      <c r="M370" s="1">
        <v>41892</v>
      </c>
      <c r="N370" s="1">
        <v>47652.3</v>
      </c>
      <c r="O370" s="1">
        <v>2023</v>
      </c>
      <c r="P370" s="1" t="s">
        <v>65</v>
      </c>
      <c r="Q370" s="1" t="s">
        <v>25</v>
      </c>
      <c r="R370" s="1" t="s">
        <v>54</v>
      </c>
      <c r="S370" s="1">
        <f t="shared" si="5"/>
        <v>60</v>
      </c>
      <c r="T370" s="7" t="str">
        <f>_xlfn.TEXTJOIN("_",TRUE,Finance_Data!A370,Finance_Data!B370,Finance_Data!C370,Finance_Data!D370,Finance_Data!E370,Finance_Data!G370,Finance_Data!H370)</f>
        <v>CMP_024_South_India_Lipstick_Retail_45234_45293</v>
      </c>
    </row>
    <row r="371" spans="1:20" x14ac:dyDescent="0.35">
      <c r="A371" s="6" t="s">
        <v>92</v>
      </c>
      <c r="B371" s="1" t="s">
        <v>48</v>
      </c>
      <c r="C371" s="1" t="s">
        <v>69</v>
      </c>
      <c r="D371" s="1" t="s">
        <v>21</v>
      </c>
      <c r="E371" s="1" t="s">
        <v>30</v>
      </c>
      <c r="F371" s="1" t="s">
        <v>23</v>
      </c>
      <c r="G371" s="2">
        <v>45234</v>
      </c>
      <c r="H371" s="2">
        <v>45255</v>
      </c>
      <c r="I371" s="1">
        <v>28544.78</v>
      </c>
      <c r="J371" s="1">
        <v>0.68569999999999998</v>
      </c>
      <c r="K371" s="1">
        <v>19573.16</v>
      </c>
      <c r="L371" s="1">
        <v>427754</v>
      </c>
      <c r="M371" s="1">
        <v>6586</v>
      </c>
      <c r="N371" s="1">
        <v>174183.08</v>
      </c>
      <c r="O371" s="1">
        <v>2023</v>
      </c>
      <c r="P371" s="1" t="s">
        <v>65</v>
      </c>
      <c r="Q371" s="1" t="s">
        <v>25</v>
      </c>
      <c r="R371" s="1" t="s">
        <v>54</v>
      </c>
      <c r="S371" s="1">
        <f t="shared" si="5"/>
        <v>22</v>
      </c>
      <c r="T371" s="7" t="str">
        <f>_xlfn.TEXTJOIN("_",TRUE,Finance_Data!A371,Finance_Data!B371,Finance_Data!C371,Finance_Data!D371,Finance_Data!E371,Finance_Data!G371,Finance_Data!H371)</f>
        <v>CMP_004_South_USA_Foundation_Wholesale_45234_45255</v>
      </c>
    </row>
    <row r="372" spans="1:20" x14ac:dyDescent="0.35">
      <c r="A372" s="6" t="s">
        <v>108</v>
      </c>
      <c r="B372" s="1" t="s">
        <v>48</v>
      </c>
      <c r="C372" s="1" t="s">
        <v>29</v>
      </c>
      <c r="D372" s="1" t="s">
        <v>51</v>
      </c>
      <c r="E372" s="1" t="s">
        <v>38</v>
      </c>
      <c r="F372" s="1" t="s">
        <v>23</v>
      </c>
      <c r="G372" s="2">
        <v>45235</v>
      </c>
      <c r="H372" s="2">
        <v>45282</v>
      </c>
      <c r="I372" s="1">
        <v>1503.35</v>
      </c>
      <c r="J372" s="1">
        <v>0.12479999999999999</v>
      </c>
      <c r="K372" s="1">
        <v>187.62</v>
      </c>
      <c r="L372" s="1">
        <v>139806</v>
      </c>
      <c r="M372" s="1">
        <v>39539</v>
      </c>
      <c r="N372" s="1">
        <v>55323.29</v>
      </c>
      <c r="O372" s="1">
        <v>2023</v>
      </c>
      <c r="P372" s="1" t="s">
        <v>65</v>
      </c>
      <c r="Q372" s="1" t="s">
        <v>25</v>
      </c>
      <c r="R372" s="1" t="s">
        <v>26</v>
      </c>
      <c r="S372" s="1">
        <f t="shared" si="5"/>
        <v>48</v>
      </c>
      <c r="T372" s="7" t="str">
        <f>_xlfn.TEXTJOIN("_",TRUE,Finance_Data!A372,Finance_Data!B372,Finance_Data!C372,Finance_Data!D372,Finance_Data!E372,Finance_Data!G372,Finance_Data!H372)</f>
        <v>CMP_058_South_Australia_Watch_Ecommerce_45235_45282</v>
      </c>
    </row>
    <row r="373" spans="1:20" x14ac:dyDescent="0.35">
      <c r="A373" s="6" t="s">
        <v>109</v>
      </c>
      <c r="B373" s="1" t="s">
        <v>28</v>
      </c>
      <c r="C373" s="1" t="s">
        <v>58</v>
      </c>
      <c r="D373" s="1" t="s">
        <v>63</v>
      </c>
      <c r="E373" s="1" t="s">
        <v>22</v>
      </c>
      <c r="F373" s="1" t="s">
        <v>44</v>
      </c>
      <c r="G373" s="2">
        <v>45235</v>
      </c>
      <c r="H373" s="2">
        <v>45270</v>
      </c>
      <c r="I373" s="1">
        <v>37561.379999999997</v>
      </c>
      <c r="J373" s="1">
        <v>0.90539999999999998</v>
      </c>
      <c r="K373" s="1">
        <v>34008.07</v>
      </c>
      <c r="L373" s="1">
        <v>568388</v>
      </c>
      <c r="M373" s="1">
        <v>15413</v>
      </c>
      <c r="N373" s="1">
        <v>98051.19</v>
      </c>
      <c r="O373" s="1">
        <v>2023</v>
      </c>
      <c r="P373" s="1" t="s">
        <v>65</v>
      </c>
      <c r="Q373" s="1" t="s">
        <v>25</v>
      </c>
      <c r="R373" s="1" t="s">
        <v>54</v>
      </c>
      <c r="S373" s="1">
        <f t="shared" si="5"/>
        <v>36</v>
      </c>
      <c r="T373" s="7" t="str">
        <f>_xlfn.TEXTJOIN("_",TRUE,Finance_Data!A373,Finance_Data!B373,Finance_Data!C373,Finance_Data!D373,Finance_Data!E373,Finance_Data!G373,Finance_Data!H373)</f>
        <v>CMP_046_West_UK_Skincare_Retail_45235_45270</v>
      </c>
    </row>
    <row r="374" spans="1:20" x14ac:dyDescent="0.35">
      <c r="A374" s="6" t="s">
        <v>105</v>
      </c>
      <c r="B374" s="1" t="s">
        <v>28</v>
      </c>
      <c r="C374" s="1" t="s">
        <v>36</v>
      </c>
      <c r="D374" s="1" t="s">
        <v>59</v>
      </c>
      <c r="E374" s="1" t="s">
        <v>30</v>
      </c>
      <c r="F374" s="1" t="s">
        <v>49</v>
      </c>
      <c r="G374" s="2">
        <v>45235</v>
      </c>
      <c r="H374" s="2">
        <v>45259</v>
      </c>
      <c r="I374" s="1">
        <v>5194.3</v>
      </c>
      <c r="J374" s="1">
        <v>0.68430000000000002</v>
      </c>
      <c r="K374" s="1">
        <v>3554.46</v>
      </c>
      <c r="L374" s="1">
        <v>668840</v>
      </c>
      <c r="M374" s="1">
        <v>30322</v>
      </c>
      <c r="N374" s="1">
        <v>138728.51999999999</v>
      </c>
      <c r="O374" s="1">
        <v>2023</v>
      </c>
      <c r="P374" s="1" t="s">
        <v>65</v>
      </c>
      <c r="Q374" s="1" t="s">
        <v>25</v>
      </c>
      <c r="R374" s="1" t="s">
        <v>41</v>
      </c>
      <c r="S374" s="1">
        <f t="shared" si="5"/>
        <v>25</v>
      </c>
      <c r="T374" s="7" t="str">
        <f>_xlfn.TEXTJOIN("_",TRUE,Finance_Data!A374,Finance_Data!B374,Finance_Data!C374,Finance_Data!D374,Finance_Data!E374,Finance_Data!G374,Finance_Data!H374)</f>
        <v>CMP_025_West_India_Lipstick_Wholesale_45235_45259</v>
      </c>
    </row>
    <row r="375" spans="1:20" x14ac:dyDescent="0.35">
      <c r="A375" s="6" t="s">
        <v>110</v>
      </c>
      <c r="B375" s="1" t="s">
        <v>35</v>
      </c>
      <c r="C375" s="1" t="s">
        <v>29</v>
      </c>
      <c r="D375" s="1" t="s">
        <v>43</v>
      </c>
      <c r="E375" s="1" t="s">
        <v>38</v>
      </c>
      <c r="F375" s="1" t="s">
        <v>31</v>
      </c>
      <c r="G375" s="2">
        <v>45236</v>
      </c>
      <c r="H375" s="2">
        <v>45266</v>
      </c>
      <c r="I375" s="1">
        <v>33891.839999999997</v>
      </c>
      <c r="J375" s="1">
        <v>0.16739999999999999</v>
      </c>
      <c r="K375" s="1">
        <v>5673.49</v>
      </c>
      <c r="L375" s="1">
        <v>945566</v>
      </c>
      <c r="M375" s="1">
        <v>36771</v>
      </c>
      <c r="N375" s="1">
        <v>15075.62</v>
      </c>
      <c r="O375" s="1">
        <v>2023</v>
      </c>
      <c r="P375" s="1" t="s">
        <v>65</v>
      </c>
      <c r="Q375" s="1" t="s">
        <v>25</v>
      </c>
      <c r="R375" s="1" t="s">
        <v>54</v>
      </c>
      <c r="S375" s="1">
        <f t="shared" si="5"/>
        <v>31</v>
      </c>
      <c r="T375" s="7" t="str">
        <f>_xlfn.TEXTJOIN("_",TRUE,Finance_Data!A375,Finance_Data!B375,Finance_Data!C375,Finance_Data!D375,Finance_Data!E375,Finance_Data!G375,Finance_Data!H375)</f>
        <v>CMP_012_East_Australia_Luxury Bag_Ecommerce_45236_45266</v>
      </c>
    </row>
    <row r="376" spans="1:20" x14ac:dyDescent="0.35">
      <c r="A376" s="6" t="s">
        <v>70</v>
      </c>
      <c r="B376" s="1" t="s">
        <v>48</v>
      </c>
      <c r="C376" s="1" t="s">
        <v>69</v>
      </c>
      <c r="D376" s="1" t="s">
        <v>37</v>
      </c>
      <c r="E376" s="1" t="s">
        <v>30</v>
      </c>
      <c r="F376" s="1" t="s">
        <v>52</v>
      </c>
      <c r="G376" s="2">
        <v>45237</v>
      </c>
      <c r="H376" s="2">
        <v>45296</v>
      </c>
      <c r="I376" s="1">
        <v>11796.48</v>
      </c>
      <c r="J376" s="1">
        <v>0.8528</v>
      </c>
      <c r="K376" s="1">
        <v>10060.040000000001</v>
      </c>
      <c r="L376" s="1">
        <v>588972</v>
      </c>
      <c r="M376" s="1">
        <v>7905</v>
      </c>
      <c r="N376" s="1">
        <v>46921.73</v>
      </c>
      <c r="O376" s="1">
        <v>2023</v>
      </c>
      <c r="P376" s="1" t="s">
        <v>65</v>
      </c>
      <c r="Q376" s="1" t="s">
        <v>25</v>
      </c>
      <c r="R376" s="1" t="s">
        <v>41</v>
      </c>
      <c r="S376" s="1">
        <f t="shared" si="5"/>
        <v>60</v>
      </c>
      <c r="T376" s="7" t="str">
        <f>_xlfn.TEXTJOIN("_",TRUE,Finance_Data!A376,Finance_Data!B376,Finance_Data!C376,Finance_Data!D376,Finance_Data!E376,Finance_Data!G376,Finance_Data!H376)</f>
        <v>CMP_003_South_USA_Perfume_Wholesale_45237_45296</v>
      </c>
    </row>
    <row r="377" spans="1:20" x14ac:dyDescent="0.35">
      <c r="A377" s="6" t="s">
        <v>67</v>
      </c>
      <c r="B377" s="1" t="s">
        <v>19</v>
      </c>
      <c r="C377" s="1" t="s">
        <v>29</v>
      </c>
      <c r="D377" s="1" t="s">
        <v>43</v>
      </c>
      <c r="E377" s="1" t="s">
        <v>22</v>
      </c>
      <c r="F377" s="1" t="s">
        <v>23</v>
      </c>
      <c r="G377" s="2">
        <v>45239</v>
      </c>
      <c r="H377" s="2">
        <v>45270</v>
      </c>
      <c r="I377" s="1">
        <v>38758.339999999997</v>
      </c>
      <c r="J377" s="1">
        <v>1.0158</v>
      </c>
      <c r="K377" s="1">
        <v>39370.720000000001</v>
      </c>
      <c r="L377" s="1">
        <v>675506</v>
      </c>
      <c r="M377" s="1">
        <v>5308</v>
      </c>
      <c r="N377" s="1">
        <v>23789.84</v>
      </c>
      <c r="O377" s="1">
        <v>2023</v>
      </c>
      <c r="P377" s="1" t="s">
        <v>65</v>
      </c>
      <c r="Q377" s="1" t="s">
        <v>25</v>
      </c>
      <c r="R377" s="1" t="s">
        <v>41</v>
      </c>
      <c r="S377" s="1">
        <f t="shared" si="5"/>
        <v>32</v>
      </c>
      <c r="T377" s="7" t="str">
        <f>_xlfn.TEXTJOIN("_",TRUE,Finance_Data!A377,Finance_Data!B377,Finance_Data!C377,Finance_Data!D377,Finance_Data!E377,Finance_Data!G377,Finance_Data!H377)</f>
        <v>CMP_016_North_Australia_Luxury Bag_Retail_45239_45270</v>
      </c>
    </row>
    <row r="378" spans="1:20" x14ac:dyDescent="0.35">
      <c r="A378" s="6" t="s">
        <v>87</v>
      </c>
      <c r="B378" s="1" t="s">
        <v>35</v>
      </c>
      <c r="C378" s="1" t="s">
        <v>69</v>
      </c>
      <c r="D378" s="1" t="s">
        <v>51</v>
      </c>
      <c r="E378" s="1" t="s">
        <v>38</v>
      </c>
      <c r="F378" s="1" t="s">
        <v>31</v>
      </c>
      <c r="G378" s="2">
        <v>45240</v>
      </c>
      <c r="H378" s="2">
        <v>45287</v>
      </c>
      <c r="I378" s="1">
        <v>29496.22</v>
      </c>
      <c r="J378" s="1">
        <v>0.57320000000000004</v>
      </c>
      <c r="K378" s="1">
        <v>16907.23</v>
      </c>
      <c r="L378" s="1">
        <v>566711</v>
      </c>
      <c r="M378" s="1">
        <v>22628</v>
      </c>
      <c r="N378" s="1">
        <v>109248.43</v>
      </c>
      <c r="O378" s="1">
        <v>2023</v>
      </c>
      <c r="P378" s="1" t="s">
        <v>65</v>
      </c>
      <c r="Q378" s="1" t="s">
        <v>25</v>
      </c>
      <c r="R378" s="1" t="s">
        <v>41</v>
      </c>
      <c r="S378" s="1">
        <f t="shared" si="5"/>
        <v>48</v>
      </c>
      <c r="T378" s="7" t="str">
        <f>_xlfn.TEXTJOIN("_",TRUE,Finance_Data!A378,Finance_Data!B378,Finance_Data!C378,Finance_Data!D378,Finance_Data!E378,Finance_Data!G378,Finance_Data!H378)</f>
        <v>CMP_048_East_USA_Watch_Ecommerce_45240_45287</v>
      </c>
    </row>
    <row r="379" spans="1:20" x14ac:dyDescent="0.35">
      <c r="A379" s="6" t="s">
        <v>101</v>
      </c>
      <c r="B379" s="1" t="s">
        <v>28</v>
      </c>
      <c r="C379" s="1" t="s">
        <v>20</v>
      </c>
      <c r="D379" s="1" t="s">
        <v>37</v>
      </c>
      <c r="E379" s="1" t="s">
        <v>22</v>
      </c>
      <c r="F379" s="1" t="s">
        <v>44</v>
      </c>
      <c r="G379" s="2">
        <v>45241</v>
      </c>
      <c r="H379" s="2">
        <v>45292</v>
      </c>
      <c r="I379" s="1">
        <v>34736.42</v>
      </c>
      <c r="J379" s="1">
        <v>0.1615</v>
      </c>
      <c r="K379" s="1">
        <v>5609.93</v>
      </c>
      <c r="L379" s="1">
        <v>774234</v>
      </c>
      <c r="M379" s="1">
        <v>217</v>
      </c>
      <c r="N379" s="1">
        <v>237453.09</v>
      </c>
      <c r="O379" s="1">
        <v>2023</v>
      </c>
      <c r="P379" s="1" t="s">
        <v>65</v>
      </c>
      <c r="Q379" s="1" t="s">
        <v>25</v>
      </c>
      <c r="R379" s="1" t="s">
        <v>41</v>
      </c>
      <c r="S379" s="1">
        <f t="shared" si="5"/>
        <v>52</v>
      </c>
      <c r="T379" s="7" t="str">
        <f>_xlfn.TEXTJOIN("_",TRUE,Finance_Data!A379,Finance_Data!B379,Finance_Data!C379,Finance_Data!D379,Finance_Data!E379,Finance_Data!G379,Finance_Data!H379)</f>
        <v>CMP_037_West_Singapore_Perfume_Retail_45241_45292</v>
      </c>
    </row>
    <row r="380" spans="1:20" x14ac:dyDescent="0.35">
      <c r="A380" s="6" t="s">
        <v>86</v>
      </c>
      <c r="B380" s="1" t="s">
        <v>28</v>
      </c>
      <c r="C380" s="1" t="s">
        <v>36</v>
      </c>
      <c r="D380" s="1" t="s">
        <v>21</v>
      </c>
      <c r="E380" s="1" t="s">
        <v>22</v>
      </c>
      <c r="F380" s="1" t="s">
        <v>31</v>
      </c>
      <c r="G380" s="2">
        <v>45241</v>
      </c>
      <c r="H380" s="2">
        <v>45282</v>
      </c>
      <c r="I380" s="1">
        <v>33378.050000000003</v>
      </c>
      <c r="J380" s="1">
        <v>1.0047999999999999</v>
      </c>
      <c r="K380" s="1">
        <v>33538.26</v>
      </c>
      <c r="L380" s="1">
        <v>898765</v>
      </c>
      <c r="M380" s="1">
        <v>11816</v>
      </c>
      <c r="N380" s="1">
        <v>113733.13</v>
      </c>
      <c r="O380" s="1">
        <v>2023</v>
      </c>
      <c r="P380" s="1" t="s">
        <v>65</v>
      </c>
      <c r="Q380" s="1" t="s">
        <v>25</v>
      </c>
      <c r="R380" s="1" t="s">
        <v>54</v>
      </c>
      <c r="S380" s="1">
        <f t="shared" si="5"/>
        <v>42</v>
      </c>
      <c r="T380" s="7" t="str">
        <f>_xlfn.TEXTJOIN("_",TRUE,Finance_Data!A380,Finance_Data!B380,Finance_Data!C380,Finance_Data!D380,Finance_Data!E380,Finance_Data!G380,Finance_Data!H380)</f>
        <v>CMP_002_West_India_Foundation_Retail_45241_45282</v>
      </c>
    </row>
    <row r="381" spans="1:20" x14ac:dyDescent="0.35">
      <c r="A381" s="6" t="s">
        <v>93</v>
      </c>
      <c r="B381" s="1" t="s">
        <v>28</v>
      </c>
      <c r="C381" s="1" t="s">
        <v>20</v>
      </c>
      <c r="D381" s="1" t="s">
        <v>59</v>
      </c>
      <c r="E381" s="1" t="s">
        <v>22</v>
      </c>
      <c r="F381" s="1" t="s">
        <v>49</v>
      </c>
      <c r="G381" s="2">
        <v>45242</v>
      </c>
      <c r="H381" s="2">
        <v>45288</v>
      </c>
      <c r="I381" s="1">
        <v>49388.58</v>
      </c>
      <c r="J381" s="1">
        <v>9.4799999999999995E-2</v>
      </c>
      <c r="K381" s="1">
        <v>4682.04</v>
      </c>
      <c r="L381" s="1">
        <v>937989</v>
      </c>
      <c r="M381" s="1">
        <v>2644</v>
      </c>
      <c r="N381" s="1">
        <v>248155.75</v>
      </c>
      <c r="O381" s="1">
        <v>2023</v>
      </c>
      <c r="P381" s="1" t="s">
        <v>65</v>
      </c>
      <c r="Q381" s="1" t="s">
        <v>25</v>
      </c>
      <c r="R381" s="1" t="s">
        <v>41</v>
      </c>
      <c r="S381" s="1">
        <f t="shared" si="5"/>
        <v>47</v>
      </c>
      <c r="T381" s="7" t="str">
        <f>_xlfn.TEXTJOIN("_",TRUE,Finance_Data!A381,Finance_Data!B381,Finance_Data!C381,Finance_Data!D381,Finance_Data!E381,Finance_Data!G381,Finance_Data!H381)</f>
        <v>CMP_008_West_Singapore_Lipstick_Retail_45242_45288</v>
      </c>
    </row>
    <row r="382" spans="1:20" x14ac:dyDescent="0.35">
      <c r="A382" s="6" t="s">
        <v>55</v>
      </c>
      <c r="B382" s="1" t="s">
        <v>48</v>
      </c>
      <c r="C382" s="1" t="s">
        <v>36</v>
      </c>
      <c r="D382" s="1" t="s">
        <v>37</v>
      </c>
      <c r="E382" s="1" t="s">
        <v>30</v>
      </c>
      <c r="F382" s="1" t="s">
        <v>31</v>
      </c>
      <c r="G382" s="2">
        <v>45243</v>
      </c>
      <c r="H382" s="2">
        <v>45262</v>
      </c>
      <c r="I382" s="1">
        <v>13122.43</v>
      </c>
      <c r="J382" s="1">
        <v>0.34820000000000001</v>
      </c>
      <c r="K382" s="1">
        <v>4569.2299999999996</v>
      </c>
      <c r="L382" s="1">
        <v>666912</v>
      </c>
      <c r="M382" s="1">
        <v>8384</v>
      </c>
      <c r="N382" s="1">
        <v>37162.89</v>
      </c>
      <c r="O382" s="1">
        <v>2023</v>
      </c>
      <c r="P382" s="1" t="s">
        <v>65</v>
      </c>
      <c r="Q382" s="1" t="s">
        <v>25</v>
      </c>
      <c r="R382" s="1" t="s">
        <v>41</v>
      </c>
      <c r="S382" s="1">
        <f t="shared" si="5"/>
        <v>20</v>
      </c>
      <c r="T382" s="7" t="str">
        <f>_xlfn.TEXTJOIN("_",TRUE,Finance_Data!A382,Finance_Data!B382,Finance_Data!C382,Finance_Data!D382,Finance_Data!E382,Finance_Data!G382,Finance_Data!H382)</f>
        <v>CMP_054_South_India_Perfume_Wholesale_45243_45262</v>
      </c>
    </row>
    <row r="383" spans="1:20" x14ac:dyDescent="0.35">
      <c r="A383" s="6" t="s">
        <v>79</v>
      </c>
      <c r="B383" s="1" t="s">
        <v>48</v>
      </c>
      <c r="C383" s="1" t="s">
        <v>20</v>
      </c>
      <c r="D383" s="1" t="s">
        <v>51</v>
      </c>
      <c r="E383" s="1" t="s">
        <v>30</v>
      </c>
      <c r="F383" s="1" t="s">
        <v>49</v>
      </c>
      <c r="G383" s="2">
        <v>45244</v>
      </c>
      <c r="H383" s="2">
        <v>45276</v>
      </c>
      <c r="I383" s="1">
        <v>41076.910000000003</v>
      </c>
      <c r="J383" s="1">
        <v>0.80110000000000003</v>
      </c>
      <c r="K383" s="1">
        <v>32906.71</v>
      </c>
      <c r="L383" s="1">
        <v>176494</v>
      </c>
      <c r="M383" s="1">
        <v>39664</v>
      </c>
      <c r="N383" s="1">
        <v>145897.39000000001</v>
      </c>
      <c r="O383" s="1">
        <v>2023</v>
      </c>
      <c r="P383" s="1" t="s">
        <v>65</v>
      </c>
      <c r="Q383" s="1" t="s">
        <v>25</v>
      </c>
      <c r="R383" s="1" t="s">
        <v>41</v>
      </c>
      <c r="S383" s="1">
        <f t="shared" si="5"/>
        <v>33</v>
      </c>
      <c r="T383" s="7" t="str">
        <f>_xlfn.TEXTJOIN("_",TRUE,Finance_Data!A383,Finance_Data!B383,Finance_Data!C383,Finance_Data!D383,Finance_Data!E383,Finance_Data!G383,Finance_Data!H383)</f>
        <v>CMP_020_South_Singapore_Watch_Wholesale_45244_45276</v>
      </c>
    </row>
    <row r="384" spans="1:20" x14ac:dyDescent="0.35">
      <c r="A384" s="6" t="s">
        <v>111</v>
      </c>
      <c r="B384" s="1" t="s">
        <v>48</v>
      </c>
      <c r="C384" s="1" t="s">
        <v>20</v>
      </c>
      <c r="D384" s="1" t="s">
        <v>51</v>
      </c>
      <c r="E384" s="1" t="s">
        <v>30</v>
      </c>
      <c r="F384" s="1" t="s">
        <v>44</v>
      </c>
      <c r="G384" s="2">
        <v>45245</v>
      </c>
      <c r="H384" s="2">
        <v>45253</v>
      </c>
      <c r="I384" s="1">
        <v>29912.93</v>
      </c>
      <c r="J384" s="1">
        <v>0.2359</v>
      </c>
      <c r="K384" s="1">
        <v>7056.46</v>
      </c>
      <c r="L384" s="1">
        <v>417000</v>
      </c>
      <c r="M384" s="1">
        <v>27867</v>
      </c>
      <c r="N384" s="1">
        <v>83312.53</v>
      </c>
      <c r="O384" s="1">
        <v>2023</v>
      </c>
      <c r="P384" s="1" t="s">
        <v>65</v>
      </c>
      <c r="Q384" s="1" t="s">
        <v>25</v>
      </c>
      <c r="R384" s="1" t="s">
        <v>61</v>
      </c>
      <c r="S384" s="1">
        <f t="shared" si="5"/>
        <v>9</v>
      </c>
      <c r="T384" s="7" t="str">
        <f>_xlfn.TEXTJOIN("_",TRUE,Finance_Data!A384,Finance_Data!B384,Finance_Data!C384,Finance_Data!D384,Finance_Data!E384,Finance_Data!G384,Finance_Data!H384)</f>
        <v>CMP_024_South_Singapore_Watch_Wholesale_45245_45253</v>
      </c>
    </row>
    <row r="385" spans="1:20" x14ac:dyDescent="0.35">
      <c r="A385" s="6" t="s">
        <v>57</v>
      </c>
      <c r="B385" s="1" t="s">
        <v>48</v>
      </c>
      <c r="C385" s="1" t="s">
        <v>69</v>
      </c>
      <c r="D385" s="1" t="s">
        <v>21</v>
      </c>
      <c r="E385" s="1" t="s">
        <v>38</v>
      </c>
      <c r="F385" s="1" t="s">
        <v>49</v>
      </c>
      <c r="G385" s="2">
        <v>45248</v>
      </c>
      <c r="H385" s="2">
        <v>45264</v>
      </c>
      <c r="I385" s="1">
        <v>48264.160000000003</v>
      </c>
      <c r="J385" s="1">
        <v>1.1628000000000001</v>
      </c>
      <c r="K385" s="1">
        <v>56121.57</v>
      </c>
      <c r="L385" s="1">
        <v>315605</v>
      </c>
      <c r="M385" s="1">
        <v>48260</v>
      </c>
      <c r="N385" s="1">
        <v>175264.65</v>
      </c>
      <c r="O385" s="1">
        <v>2023</v>
      </c>
      <c r="P385" s="1" t="s">
        <v>65</v>
      </c>
      <c r="Q385" s="1" t="s">
        <v>25</v>
      </c>
      <c r="R385" s="1" t="s">
        <v>41</v>
      </c>
      <c r="S385" s="1">
        <f t="shared" si="5"/>
        <v>17</v>
      </c>
      <c r="T385" s="7" t="str">
        <f>_xlfn.TEXTJOIN("_",TRUE,Finance_Data!A385,Finance_Data!B385,Finance_Data!C385,Finance_Data!D385,Finance_Data!E385,Finance_Data!G385,Finance_Data!H385)</f>
        <v>CMP_032_South_USA_Foundation_Ecommerce_45248_45264</v>
      </c>
    </row>
    <row r="386" spans="1:20" x14ac:dyDescent="0.35">
      <c r="A386" s="6" t="s">
        <v>113</v>
      </c>
      <c r="B386" s="1" t="s">
        <v>35</v>
      </c>
      <c r="C386" s="1" t="s">
        <v>29</v>
      </c>
      <c r="D386" s="1" t="s">
        <v>21</v>
      </c>
      <c r="E386" s="1" t="s">
        <v>38</v>
      </c>
      <c r="F386" s="1" t="s">
        <v>52</v>
      </c>
      <c r="G386" s="2">
        <v>45249</v>
      </c>
      <c r="H386" s="2">
        <v>45308</v>
      </c>
      <c r="I386" s="1">
        <v>19440.490000000002</v>
      </c>
      <c r="J386" s="1">
        <v>0.55700000000000005</v>
      </c>
      <c r="K386" s="1">
        <v>10828.35</v>
      </c>
      <c r="L386" s="1">
        <v>44455</v>
      </c>
      <c r="M386" s="1">
        <v>11691</v>
      </c>
      <c r="N386" s="1">
        <v>141383.29999999999</v>
      </c>
      <c r="O386" s="1">
        <v>2023</v>
      </c>
      <c r="P386" s="1" t="s">
        <v>65</v>
      </c>
      <c r="Q386" s="1" t="s">
        <v>25</v>
      </c>
      <c r="R386" s="1" t="s">
        <v>41</v>
      </c>
      <c r="S386" s="1">
        <f t="shared" ref="S386:S449" si="6">H386-G386+1</f>
        <v>60</v>
      </c>
      <c r="T386" s="7" t="str">
        <f>_xlfn.TEXTJOIN("_",TRUE,Finance_Data!A386,Finance_Data!B386,Finance_Data!C386,Finance_Data!D386,Finance_Data!E386,Finance_Data!G386,Finance_Data!H386)</f>
        <v>CMP_056_East_Australia_Foundation_Ecommerce_45249_45308</v>
      </c>
    </row>
    <row r="387" spans="1:20" x14ac:dyDescent="0.35">
      <c r="A387" s="6" t="s">
        <v>91</v>
      </c>
      <c r="B387" s="1" t="s">
        <v>19</v>
      </c>
      <c r="C387" s="1" t="s">
        <v>36</v>
      </c>
      <c r="D387" s="1" t="s">
        <v>59</v>
      </c>
      <c r="E387" s="1" t="s">
        <v>30</v>
      </c>
      <c r="F387" s="1" t="s">
        <v>31</v>
      </c>
      <c r="G387" s="2">
        <v>45250</v>
      </c>
      <c r="H387" s="2">
        <v>45286</v>
      </c>
      <c r="I387" s="1">
        <v>43471.86</v>
      </c>
      <c r="J387" s="1">
        <v>0.64259999999999995</v>
      </c>
      <c r="K387" s="1">
        <v>27935.02</v>
      </c>
      <c r="L387" s="1">
        <v>205472</v>
      </c>
      <c r="M387" s="1">
        <v>13133</v>
      </c>
      <c r="N387" s="1">
        <v>127659.45</v>
      </c>
      <c r="O387" s="1">
        <v>2023</v>
      </c>
      <c r="P387" s="1" t="s">
        <v>65</v>
      </c>
      <c r="Q387" s="1" t="s">
        <v>25</v>
      </c>
      <c r="R387" s="1" t="s">
        <v>41</v>
      </c>
      <c r="S387" s="1">
        <f t="shared" si="6"/>
        <v>37</v>
      </c>
      <c r="T387" s="7" t="str">
        <f>_xlfn.TEXTJOIN("_",TRUE,Finance_Data!A387,Finance_Data!B387,Finance_Data!C387,Finance_Data!D387,Finance_Data!E387,Finance_Data!G387,Finance_Data!H387)</f>
        <v>CMP_030_North_India_Lipstick_Wholesale_45250_45286</v>
      </c>
    </row>
    <row r="388" spans="1:20" x14ac:dyDescent="0.35">
      <c r="A388" s="6" t="s">
        <v>119</v>
      </c>
      <c r="B388" s="1" t="s">
        <v>35</v>
      </c>
      <c r="C388" s="1" t="s">
        <v>20</v>
      </c>
      <c r="D388" s="1" t="s">
        <v>43</v>
      </c>
      <c r="E388" s="1" t="s">
        <v>38</v>
      </c>
      <c r="F388" s="1" t="s">
        <v>49</v>
      </c>
      <c r="G388" s="2">
        <v>45251</v>
      </c>
      <c r="H388" s="2">
        <v>45297</v>
      </c>
      <c r="I388" s="1">
        <v>15276.46</v>
      </c>
      <c r="J388" s="1">
        <v>0.32829999999999998</v>
      </c>
      <c r="K388" s="1">
        <v>5015.26</v>
      </c>
      <c r="L388" s="1">
        <v>685958</v>
      </c>
      <c r="M388" s="1">
        <v>26016</v>
      </c>
      <c r="N388" s="1">
        <v>71455.78</v>
      </c>
      <c r="O388" s="1">
        <v>2023</v>
      </c>
      <c r="P388" s="1" t="s">
        <v>65</v>
      </c>
      <c r="Q388" s="1" t="s">
        <v>25</v>
      </c>
      <c r="R388" s="1" t="s">
        <v>61</v>
      </c>
      <c r="S388" s="1">
        <f t="shared" si="6"/>
        <v>47</v>
      </c>
      <c r="T388" s="7" t="str">
        <f>_xlfn.TEXTJOIN("_",TRUE,Finance_Data!A388,Finance_Data!B388,Finance_Data!C388,Finance_Data!D388,Finance_Data!E388,Finance_Data!G388,Finance_Data!H388)</f>
        <v>CMP_029_East_Singapore_Luxury Bag_Ecommerce_45251_45297</v>
      </c>
    </row>
    <row r="389" spans="1:20" x14ac:dyDescent="0.35">
      <c r="A389" s="6" t="s">
        <v>86</v>
      </c>
      <c r="B389" s="1" t="s">
        <v>28</v>
      </c>
      <c r="C389" s="1" t="s">
        <v>69</v>
      </c>
      <c r="D389" s="1" t="s">
        <v>51</v>
      </c>
      <c r="E389" s="1" t="s">
        <v>22</v>
      </c>
      <c r="F389" s="1" t="s">
        <v>31</v>
      </c>
      <c r="G389" s="2">
        <v>45251</v>
      </c>
      <c r="H389" s="2">
        <v>45291</v>
      </c>
      <c r="I389" s="1">
        <v>39639.53</v>
      </c>
      <c r="J389" s="1">
        <v>0.91049999999999998</v>
      </c>
      <c r="K389" s="1">
        <v>36091.79</v>
      </c>
      <c r="L389" s="1">
        <v>854654</v>
      </c>
      <c r="M389" s="1">
        <v>28851</v>
      </c>
      <c r="N389" s="1">
        <v>184631.26</v>
      </c>
      <c r="O389" s="1">
        <v>2023</v>
      </c>
      <c r="P389" s="1" t="s">
        <v>65</v>
      </c>
      <c r="Q389" s="1" t="s">
        <v>25</v>
      </c>
      <c r="R389" s="1" t="s">
        <v>26</v>
      </c>
      <c r="S389" s="1">
        <f t="shared" si="6"/>
        <v>41</v>
      </c>
      <c r="T389" s="7" t="str">
        <f>_xlfn.TEXTJOIN("_",TRUE,Finance_Data!A389,Finance_Data!B389,Finance_Data!C389,Finance_Data!D389,Finance_Data!E389,Finance_Data!G389,Finance_Data!H389)</f>
        <v>CMP_002_West_USA_Watch_Retail_45251_45291</v>
      </c>
    </row>
    <row r="390" spans="1:20" x14ac:dyDescent="0.35">
      <c r="A390" s="6" t="s">
        <v>66</v>
      </c>
      <c r="B390" s="1" t="s">
        <v>28</v>
      </c>
      <c r="C390" s="1" t="s">
        <v>69</v>
      </c>
      <c r="D390" s="1" t="s">
        <v>21</v>
      </c>
      <c r="E390" s="1" t="s">
        <v>38</v>
      </c>
      <c r="F390" s="1" t="s">
        <v>23</v>
      </c>
      <c r="G390" s="2">
        <v>45252</v>
      </c>
      <c r="H390" s="2">
        <v>45295</v>
      </c>
      <c r="I390" s="1">
        <v>30648.81</v>
      </c>
      <c r="J390" s="1">
        <v>1.1326000000000001</v>
      </c>
      <c r="K390" s="1">
        <v>34712.839999999997</v>
      </c>
      <c r="L390" s="1">
        <v>962575</v>
      </c>
      <c r="M390" s="1">
        <v>43797</v>
      </c>
      <c r="N390" s="1">
        <v>93460.89</v>
      </c>
      <c r="O390" s="1">
        <v>2023</v>
      </c>
      <c r="P390" s="1" t="s">
        <v>65</v>
      </c>
      <c r="Q390" s="1" t="s">
        <v>25</v>
      </c>
      <c r="R390" s="1" t="s">
        <v>41</v>
      </c>
      <c r="S390" s="1">
        <f t="shared" si="6"/>
        <v>44</v>
      </c>
      <c r="T390" s="7" t="str">
        <f>_xlfn.TEXTJOIN("_",TRUE,Finance_Data!A390,Finance_Data!B390,Finance_Data!C390,Finance_Data!D390,Finance_Data!E390,Finance_Data!G390,Finance_Data!H390)</f>
        <v>CMP_010_West_USA_Foundation_Ecommerce_45252_45295</v>
      </c>
    </row>
    <row r="391" spans="1:20" x14ac:dyDescent="0.35">
      <c r="A391" s="6" t="s">
        <v>18</v>
      </c>
      <c r="B391" s="1" t="s">
        <v>28</v>
      </c>
      <c r="C391" s="1" t="s">
        <v>20</v>
      </c>
      <c r="D391" s="1" t="s">
        <v>59</v>
      </c>
      <c r="E391" s="1" t="s">
        <v>30</v>
      </c>
      <c r="F391" s="1" t="s">
        <v>31</v>
      </c>
      <c r="G391" s="2">
        <v>45255</v>
      </c>
      <c r="H391" s="2">
        <v>45306</v>
      </c>
      <c r="I391" s="1">
        <v>4103.75</v>
      </c>
      <c r="J391" s="1">
        <v>1.1609</v>
      </c>
      <c r="K391" s="1">
        <v>4764.04</v>
      </c>
      <c r="L391" s="1">
        <v>868835</v>
      </c>
      <c r="M391" s="1">
        <v>25494</v>
      </c>
      <c r="N391" s="1">
        <v>51518.02</v>
      </c>
      <c r="O391" s="1">
        <v>2023</v>
      </c>
      <c r="P391" s="1" t="s">
        <v>65</v>
      </c>
      <c r="Q391" s="1" t="s">
        <v>25</v>
      </c>
      <c r="R391" s="1" t="s">
        <v>41</v>
      </c>
      <c r="S391" s="1">
        <f t="shared" si="6"/>
        <v>52</v>
      </c>
      <c r="T391" s="7" t="str">
        <f>_xlfn.TEXTJOIN("_",TRUE,Finance_Data!A391,Finance_Data!B391,Finance_Data!C391,Finance_Data!D391,Finance_Data!E391,Finance_Data!G391,Finance_Data!H391)</f>
        <v>CMP_044_West_Singapore_Lipstick_Wholesale_45255_45306</v>
      </c>
    </row>
    <row r="392" spans="1:20" x14ac:dyDescent="0.35">
      <c r="A392" s="6" t="s">
        <v>68</v>
      </c>
      <c r="B392" s="1" t="s">
        <v>48</v>
      </c>
      <c r="C392" s="1" t="s">
        <v>58</v>
      </c>
      <c r="D392" s="1" t="s">
        <v>63</v>
      </c>
      <c r="E392" s="1" t="s">
        <v>38</v>
      </c>
      <c r="F392" s="1" t="s">
        <v>23</v>
      </c>
      <c r="G392" s="2">
        <v>45255</v>
      </c>
      <c r="H392" s="2">
        <v>45266</v>
      </c>
      <c r="I392" s="1">
        <v>4923.38</v>
      </c>
      <c r="J392" s="1">
        <v>0.79649999999999999</v>
      </c>
      <c r="K392" s="1">
        <v>3921.47</v>
      </c>
      <c r="L392" s="1">
        <v>331384</v>
      </c>
      <c r="M392" s="1">
        <v>29323</v>
      </c>
      <c r="N392" s="1">
        <v>152642.29999999999</v>
      </c>
      <c r="O392" s="1">
        <v>2023</v>
      </c>
      <c r="P392" s="1" t="s">
        <v>65</v>
      </c>
      <c r="Q392" s="1" t="s">
        <v>25</v>
      </c>
      <c r="R392" s="1" t="s">
        <v>41</v>
      </c>
      <c r="S392" s="1">
        <f t="shared" si="6"/>
        <v>12</v>
      </c>
      <c r="T392" s="7" t="str">
        <f>_xlfn.TEXTJOIN("_",TRUE,Finance_Data!A392,Finance_Data!B392,Finance_Data!C392,Finance_Data!D392,Finance_Data!E392,Finance_Data!G392,Finance_Data!H392)</f>
        <v>CMP_028_South_UK_Skincare_Ecommerce_45255_45266</v>
      </c>
    </row>
    <row r="393" spans="1:20" x14ac:dyDescent="0.35">
      <c r="A393" s="6" t="s">
        <v>97</v>
      </c>
      <c r="B393" s="1" t="s">
        <v>35</v>
      </c>
      <c r="C393" s="1" t="s">
        <v>29</v>
      </c>
      <c r="D393" s="1" t="s">
        <v>51</v>
      </c>
      <c r="E393" s="1" t="s">
        <v>38</v>
      </c>
      <c r="F393" s="1" t="s">
        <v>23</v>
      </c>
      <c r="G393" s="2">
        <v>45255</v>
      </c>
      <c r="H393" s="2">
        <v>45261</v>
      </c>
      <c r="I393" s="1">
        <v>8455.32</v>
      </c>
      <c r="J393" s="1">
        <v>1.1639999999999999</v>
      </c>
      <c r="K393" s="1">
        <v>9841.99</v>
      </c>
      <c r="L393" s="1">
        <v>33205</v>
      </c>
      <c r="M393" s="1">
        <v>12285</v>
      </c>
      <c r="N393" s="1">
        <v>243221.49</v>
      </c>
      <c r="O393" s="1">
        <v>2023</v>
      </c>
      <c r="P393" s="1" t="s">
        <v>65</v>
      </c>
      <c r="Q393" s="1" t="s">
        <v>25</v>
      </c>
      <c r="R393" s="1" t="s">
        <v>61</v>
      </c>
      <c r="S393" s="1">
        <f t="shared" si="6"/>
        <v>7</v>
      </c>
      <c r="T393" s="7" t="str">
        <f>_xlfn.TEXTJOIN("_",TRUE,Finance_Data!A393,Finance_Data!B393,Finance_Data!C393,Finance_Data!D393,Finance_Data!E393,Finance_Data!G393,Finance_Data!H393)</f>
        <v>CMP_019_East_Australia_Watch_Ecommerce_45255_45261</v>
      </c>
    </row>
    <row r="394" spans="1:20" x14ac:dyDescent="0.35">
      <c r="A394" s="6" t="s">
        <v>91</v>
      </c>
      <c r="B394" s="1" t="s">
        <v>28</v>
      </c>
      <c r="C394" s="1" t="s">
        <v>69</v>
      </c>
      <c r="D394" s="1" t="s">
        <v>37</v>
      </c>
      <c r="E394" s="1" t="s">
        <v>38</v>
      </c>
      <c r="F394" s="1" t="s">
        <v>31</v>
      </c>
      <c r="G394" s="2">
        <v>45257</v>
      </c>
      <c r="H394" s="2">
        <v>45316</v>
      </c>
      <c r="I394" s="1">
        <v>13029.26</v>
      </c>
      <c r="J394" s="1">
        <v>1.1222000000000001</v>
      </c>
      <c r="K394" s="1">
        <v>14621.44</v>
      </c>
      <c r="L394" s="1">
        <v>302477</v>
      </c>
      <c r="M394" s="1">
        <v>29643</v>
      </c>
      <c r="N394" s="1">
        <v>64746.54</v>
      </c>
      <c r="O394" s="1">
        <v>2023</v>
      </c>
      <c r="P394" s="1" t="s">
        <v>65</v>
      </c>
      <c r="Q394" s="1" t="s">
        <v>25</v>
      </c>
      <c r="R394" s="1" t="s">
        <v>61</v>
      </c>
      <c r="S394" s="1">
        <f t="shared" si="6"/>
        <v>60</v>
      </c>
      <c r="T394" s="7" t="str">
        <f>_xlfn.TEXTJOIN("_",TRUE,Finance_Data!A394,Finance_Data!B394,Finance_Data!C394,Finance_Data!D394,Finance_Data!E394,Finance_Data!G394,Finance_Data!H394)</f>
        <v>CMP_030_West_USA_Perfume_Ecommerce_45257_45316</v>
      </c>
    </row>
    <row r="395" spans="1:20" x14ac:dyDescent="0.35">
      <c r="A395" s="6" t="s">
        <v>57</v>
      </c>
      <c r="B395" s="1" t="s">
        <v>35</v>
      </c>
      <c r="C395" s="1" t="s">
        <v>29</v>
      </c>
      <c r="D395" s="1" t="s">
        <v>43</v>
      </c>
      <c r="E395" s="1" t="s">
        <v>38</v>
      </c>
      <c r="F395" s="1" t="s">
        <v>31</v>
      </c>
      <c r="G395" s="2">
        <v>45257</v>
      </c>
      <c r="H395" s="2">
        <v>45298</v>
      </c>
      <c r="I395" s="1">
        <v>5788.56</v>
      </c>
      <c r="J395" s="1">
        <v>0.59109999999999996</v>
      </c>
      <c r="K395" s="1">
        <v>3421.62</v>
      </c>
      <c r="L395" s="1">
        <v>734423</v>
      </c>
      <c r="M395" s="1">
        <v>44344</v>
      </c>
      <c r="N395" s="1">
        <v>55447.54</v>
      </c>
      <c r="O395" s="1">
        <v>2023</v>
      </c>
      <c r="P395" s="1" t="s">
        <v>65</v>
      </c>
      <c r="Q395" s="1" t="s">
        <v>25</v>
      </c>
      <c r="R395" s="1" t="s">
        <v>54</v>
      </c>
      <c r="S395" s="1">
        <f t="shared" si="6"/>
        <v>42</v>
      </c>
      <c r="T395" s="7" t="str">
        <f>_xlfn.TEXTJOIN("_",TRUE,Finance_Data!A395,Finance_Data!B395,Finance_Data!C395,Finance_Data!D395,Finance_Data!E395,Finance_Data!G395,Finance_Data!H395)</f>
        <v>CMP_032_East_Australia_Luxury Bag_Ecommerce_45257_45298</v>
      </c>
    </row>
    <row r="396" spans="1:20" x14ac:dyDescent="0.35">
      <c r="A396" s="6" t="s">
        <v>98</v>
      </c>
      <c r="B396" s="1" t="s">
        <v>35</v>
      </c>
      <c r="C396" s="1" t="s">
        <v>58</v>
      </c>
      <c r="D396" s="1" t="s">
        <v>59</v>
      </c>
      <c r="E396" s="1" t="s">
        <v>22</v>
      </c>
      <c r="F396" s="1" t="s">
        <v>31</v>
      </c>
      <c r="G396" s="2">
        <v>45257</v>
      </c>
      <c r="H396" s="2">
        <v>45285</v>
      </c>
      <c r="I396" s="1">
        <v>44978.96</v>
      </c>
      <c r="J396" s="1">
        <v>0.98609999999999998</v>
      </c>
      <c r="K396" s="1">
        <v>44353.75</v>
      </c>
      <c r="L396" s="1">
        <v>805284</v>
      </c>
      <c r="M396" s="1">
        <v>28105</v>
      </c>
      <c r="N396" s="1">
        <v>211610.86</v>
      </c>
      <c r="O396" s="1">
        <v>2023</v>
      </c>
      <c r="P396" s="1" t="s">
        <v>65</v>
      </c>
      <c r="Q396" s="1" t="s">
        <v>25</v>
      </c>
      <c r="R396" s="1" t="s">
        <v>41</v>
      </c>
      <c r="S396" s="1">
        <f t="shared" si="6"/>
        <v>29</v>
      </c>
      <c r="T396" s="7" t="str">
        <f>_xlfn.TEXTJOIN("_",TRUE,Finance_Data!A396,Finance_Data!B396,Finance_Data!C396,Finance_Data!D396,Finance_Data!E396,Finance_Data!G396,Finance_Data!H396)</f>
        <v>CMP_005_East_UK_Lipstick_Retail_45257_45285</v>
      </c>
    </row>
    <row r="397" spans="1:20" x14ac:dyDescent="0.35">
      <c r="A397" s="6" t="s">
        <v>94</v>
      </c>
      <c r="B397" s="1" t="s">
        <v>28</v>
      </c>
      <c r="C397" s="1" t="s">
        <v>69</v>
      </c>
      <c r="D397" s="1" t="s">
        <v>21</v>
      </c>
      <c r="E397" s="1" t="s">
        <v>30</v>
      </c>
      <c r="F397" s="1" t="s">
        <v>23</v>
      </c>
      <c r="G397" s="2">
        <v>45260</v>
      </c>
      <c r="H397" s="2">
        <v>45300</v>
      </c>
      <c r="I397" s="1">
        <v>5785.04</v>
      </c>
      <c r="J397" s="1">
        <v>0.53979999999999995</v>
      </c>
      <c r="K397" s="1">
        <v>3122.76</v>
      </c>
      <c r="L397" s="1">
        <v>332998</v>
      </c>
      <c r="M397" s="1">
        <v>26694</v>
      </c>
      <c r="N397" s="1">
        <v>22053.87</v>
      </c>
      <c r="O397" s="1">
        <v>2023</v>
      </c>
      <c r="P397" s="1" t="s">
        <v>65</v>
      </c>
      <c r="Q397" s="1" t="s">
        <v>25</v>
      </c>
      <c r="R397" s="1" t="s">
        <v>26</v>
      </c>
      <c r="S397" s="1">
        <f t="shared" si="6"/>
        <v>41</v>
      </c>
      <c r="T397" s="7" t="str">
        <f>_xlfn.TEXTJOIN("_",TRUE,Finance_Data!A397,Finance_Data!B397,Finance_Data!C397,Finance_Data!D397,Finance_Data!E397,Finance_Data!G397,Finance_Data!H397)</f>
        <v>CMP_007_West_USA_Foundation_Wholesale_45260_45300</v>
      </c>
    </row>
    <row r="398" spans="1:20" x14ac:dyDescent="0.35">
      <c r="A398" s="6" t="s">
        <v>67</v>
      </c>
      <c r="B398" s="1" t="s">
        <v>28</v>
      </c>
      <c r="C398" s="1" t="s">
        <v>29</v>
      </c>
      <c r="D398" s="1" t="s">
        <v>21</v>
      </c>
      <c r="E398" s="1" t="s">
        <v>38</v>
      </c>
      <c r="F398" s="1" t="s">
        <v>52</v>
      </c>
      <c r="G398" s="2">
        <v>45261</v>
      </c>
      <c r="H398" s="2">
        <v>45308</v>
      </c>
      <c r="I398" s="1">
        <v>37685.129999999997</v>
      </c>
      <c r="J398" s="1">
        <v>0.58689999999999998</v>
      </c>
      <c r="K398" s="1">
        <v>22117.4</v>
      </c>
      <c r="L398" s="1">
        <v>81551</v>
      </c>
      <c r="M398" s="1">
        <v>5509</v>
      </c>
      <c r="N398" s="1">
        <v>139364.99</v>
      </c>
      <c r="O398" s="1">
        <v>2023</v>
      </c>
      <c r="P398" s="1" t="s">
        <v>73</v>
      </c>
      <c r="Q398" s="1" t="s">
        <v>25</v>
      </c>
      <c r="R398" s="1" t="s">
        <v>61</v>
      </c>
      <c r="S398" s="1">
        <f t="shared" si="6"/>
        <v>48</v>
      </c>
      <c r="T398" s="7" t="str">
        <f>_xlfn.TEXTJOIN("_",TRUE,Finance_Data!A398,Finance_Data!B398,Finance_Data!C398,Finance_Data!D398,Finance_Data!E398,Finance_Data!G398,Finance_Data!H398)</f>
        <v>CMP_016_West_Australia_Foundation_Ecommerce_45261_45308</v>
      </c>
    </row>
    <row r="399" spans="1:20" x14ac:dyDescent="0.35">
      <c r="A399" s="6" t="s">
        <v>105</v>
      </c>
      <c r="B399" s="1" t="s">
        <v>28</v>
      </c>
      <c r="C399" s="1" t="s">
        <v>69</v>
      </c>
      <c r="D399" s="1" t="s">
        <v>63</v>
      </c>
      <c r="E399" s="1" t="s">
        <v>30</v>
      </c>
      <c r="F399" s="1" t="s">
        <v>31</v>
      </c>
      <c r="G399" s="2">
        <v>45261</v>
      </c>
      <c r="H399" s="2">
        <v>45285</v>
      </c>
      <c r="I399" s="1">
        <v>25518.38</v>
      </c>
      <c r="J399" s="1">
        <v>0.14960000000000001</v>
      </c>
      <c r="K399" s="1">
        <v>3817.55</v>
      </c>
      <c r="L399" s="1">
        <v>597354</v>
      </c>
      <c r="M399" s="1">
        <v>25871</v>
      </c>
      <c r="N399" s="1">
        <v>97440.84</v>
      </c>
      <c r="O399" s="1">
        <v>2023</v>
      </c>
      <c r="P399" s="1" t="s">
        <v>73</v>
      </c>
      <c r="Q399" s="1" t="s">
        <v>25</v>
      </c>
      <c r="R399" s="1" t="s">
        <v>26</v>
      </c>
      <c r="S399" s="1">
        <f t="shared" si="6"/>
        <v>25</v>
      </c>
      <c r="T399" s="7" t="str">
        <f>_xlfn.TEXTJOIN("_",TRUE,Finance_Data!A399,Finance_Data!B399,Finance_Data!C399,Finance_Data!D399,Finance_Data!E399,Finance_Data!G399,Finance_Data!H399)</f>
        <v>CMP_025_West_USA_Skincare_Wholesale_45261_45285</v>
      </c>
    </row>
    <row r="400" spans="1:20" x14ac:dyDescent="0.35">
      <c r="A400" s="6" t="s">
        <v>42</v>
      </c>
      <c r="B400" s="1" t="s">
        <v>19</v>
      </c>
      <c r="C400" s="1" t="s">
        <v>69</v>
      </c>
      <c r="D400" s="1" t="s">
        <v>59</v>
      </c>
      <c r="E400" s="1" t="s">
        <v>22</v>
      </c>
      <c r="F400" s="1" t="s">
        <v>23</v>
      </c>
      <c r="G400" s="2">
        <v>45263</v>
      </c>
      <c r="H400" s="2">
        <v>45269</v>
      </c>
      <c r="I400" s="1">
        <v>14929.78</v>
      </c>
      <c r="J400" s="1">
        <v>1.1778</v>
      </c>
      <c r="K400" s="1">
        <v>17584.29</v>
      </c>
      <c r="L400" s="1">
        <v>137916</v>
      </c>
      <c r="M400" s="1">
        <v>25932</v>
      </c>
      <c r="N400" s="1">
        <v>96521.79</v>
      </c>
      <c r="O400" s="1">
        <v>2023</v>
      </c>
      <c r="P400" s="1" t="s">
        <v>73</v>
      </c>
      <c r="Q400" s="1" t="s">
        <v>25</v>
      </c>
      <c r="R400" s="1" t="s">
        <v>54</v>
      </c>
      <c r="S400" s="1">
        <f t="shared" si="6"/>
        <v>7</v>
      </c>
      <c r="T400" s="7" t="str">
        <f>_xlfn.TEXTJOIN("_",TRUE,Finance_Data!A400,Finance_Data!B400,Finance_Data!C400,Finance_Data!D400,Finance_Data!E400,Finance_Data!G400,Finance_Data!H400)</f>
        <v>CMP_060_North_USA_Lipstick_Retail_45263_45269</v>
      </c>
    </row>
    <row r="401" spans="1:20" x14ac:dyDescent="0.35">
      <c r="A401" s="6" t="s">
        <v>27</v>
      </c>
      <c r="B401" s="1" t="s">
        <v>35</v>
      </c>
      <c r="C401" s="1" t="s">
        <v>69</v>
      </c>
      <c r="D401" s="1" t="s">
        <v>63</v>
      </c>
      <c r="E401" s="1" t="s">
        <v>22</v>
      </c>
      <c r="F401" s="1" t="s">
        <v>23</v>
      </c>
      <c r="G401" s="2">
        <v>45266</v>
      </c>
      <c r="H401" s="2">
        <v>45284</v>
      </c>
      <c r="I401" s="1">
        <v>48745.52</v>
      </c>
      <c r="J401" s="1">
        <v>0.497</v>
      </c>
      <c r="K401" s="1">
        <v>24226.52</v>
      </c>
      <c r="L401" s="1">
        <v>591028</v>
      </c>
      <c r="M401" s="1">
        <v>47419</v>
      </c>
      <c r="N401" s="1">
        <v>231765.53</v>
      </c>
      <c r="O401" s="1">
        <v>2023</v>
      </c>
      <c r="P401" s="1" t="s">
        <v>73</v>
      </c>
      <c r="Q401" s="1" t="s">
        <v>25</v>
      </c>
      <c r="R401" s="1" t="s">
        <v>26</v>
      </c>
      <c r="S401" s="1">
        <f t="shared" si="6"/>
        <v>19</v>
      </c>
      <c r="T401" s="7" t="str">
        <f>_xlfn.TEXTJOIN("_",TRUE,Finance_Data!A401,Finance_Data!B401,Finance_Data!C401,Finance_Data!D401,Finance_Data!E401,Finance_Data!G401,Finance_Data!H401)</f>
        <v>CMP_035_East_USA_Skincare_Retail_45266_45284</v>
      </c>
    </row>
    <row r="402" spans="1:20" x14ac:dyDescent="0.35">
      <c r="A402" s="6" t="s">
        <v>86</v>
      </c>
      <c r="B402" s="1" t="s">
        <v>35</v>
      </c>
      <c r="C402" s="1" t="s">
        <v>29</v>
      </c>
      <c r="D402" s="1" t="s">
        <v>63</v>
      </c>
      <c r="E402" s="1" t="s">
        <v>22</v>
      </c>
      <c r="F402" s="1" t="s">
        <v>52</v>
      </c>
      <c r="G402" s="2">
        <v>45268</v>
      </c>
      <c r="H402" s="2">
        <v>45302</v>
      </c>
      <c r="I402" s="1">
        <v>44570.11</v>
      </c>
      <c r="J402" s="1">
        <v>0.13270000000000001</v>
      </c>
      <c r="K402" s="1">
        <v>5914.45</v>
      </c>
      <c r="L402" s="1">
        <v>813398</v>
      </c>
      <c r="M402" s="1">
        <v>43287</v>
      </c>
      <c r="N402" s="1">
        <v>187660.91</v>
      </c>
      <c r="O402" s="1">
        <v>2023</v>
      </c>
      <c r="P402" s="1" t="s">
        <v>73</v>
      </c>
      <c r="Q402" s="1" t="s">
        <v>25</v>
      </c>
      <c r="R402" s="1" t="s">
        <v>41</v>
      </c>
      <c r="S402" s="1">
        <f t="shared" si="6"/>
        <v>35</v>
      </c>
      <c r="T402" s="7" t="str">
        <f>_xlfn.TEXTJOIN("_",TRUE,Finance_Data!A402,Finance_Data!B402,Finance_Data!C402,Finance_Data!D402,Finance_Data!E402,Finance_Data!G402,Finance_Data!H402)</f>
        <v>CMP_002_East_Australia_Skincare_Retail_45268_45302</v>
      </c>
    </row>
    <row r="403" spans="1:20" x14ac:dyDescent="0.35">
      <c r="A403" s="6" t="s">
        <v>87</v>
      </c>
      <c r="B403" s="1" t="s">
        <v>35</v>
      </c>
      <c r="C403" s="1" t="s">
        <v>36</v>
      </c>
      <c r="D403" s="1" t="s">
        <v>21</v>
      </c>
      <c r="E403" s="1" t="s">
        <v>38</v>
      </c>
      <c r="F403" s="1" t="s">
        <v>49</v>
      </c>
      <c r="G403" s="2">
        <v>45268</v>
      </c>
      <c r="H403" s="2">
        <v>45273</v>
      </c>
      <c r="I403" s="1">
        <v>6030.51</v>
      </c>
      <c r="J403" s="1">
        <v>1.0186999999999999</v>
      </c>
      <c r="K403" s="1">
        <v>6143.28</v>
      </c>
      <c r="L403" s="1">
        <v>462762</v>
      </c>
      <c r="M403" s="1">
        <v>27342</v>
      </c>
      <c r="N403" s="1">
        <v>212910.98</v>
      </c>
      <c r="O403" s="1">
        <v>2023</v>
      </c>
      <c r="P403" s="1" t="s">
        <v>73</v>
      </c>
      <c r="Q403" s="1" t="s">
        <v>25</v>
      </c>
      <c r="R403" s="1" t="s">
        <v>54</v>
      </c>
      <c r="S403" s="1">
        <f t="shared" si="6"/>
        <v>6</v>
      </c>
      <c r="T403" s="7" t="str">
        <f>_xlfn.TEXTJOIN("_",TRUE,Finance_Data!A403,Finance_Data!B403,Finance_Data!C403,Finance_Data!D403,Finance_Data!E403,Finance_Data!G403,Finance_Data!H403)</f>
        <v>CMP_048_East_India_Foundation_Ecommerce_45268_45273</v>
      </c>
    </row>
    <row r="404" spans="1:20" x14ac:dyDescent="0.35">
      <c r="A404" s="6" t="s">
        <v>85</v>
      </c>
      <c r="B404" s="1" t="s">
        <v>35</v>
      </c>
      <c r="C404" s="1" t="s">
        <v>69</v>
      </c>
      <c r="D404" s="1" t="s">
        <v>21</v>
      </c>
      <c r="E404" s="1" t="s">
        <v>22</v>
      </c>
      <c r="F404" s="1" t="s">
        <v>44</v>
      </c>
      <c r="G404" s="2">
        <v>45272</v>
      </c>
      <c r="H404" s="2">
        <v>45318</v>
      </c>
      <c r="I404" s="1">
        <v>1797.34</v>
      </c>
      <c r="J404" s="1">
        <v>0.56920000000000004</v>
      </c>
      <c r="K404" s="1">
        <v>1023.05</v>
      </c>
      <c r="L404" s="1">
        <v>880161</v>
      </c>
      <c r="M404" s="1">
        <v>27302</v>
      </c>
      <c r="N404" s="1">
        <v>182197.15</v>
      </c>
      <c r="O404" s="1">
        <v>2023</v>
      </c>
      <c r="P404" s="1" t="s">
        <v>73</v>
      </c>
      <c r="Q404" s="1" t="s">
        <v>25</v>
      </c>
      <c r="R404" s="1" t="s">
        <v>41</v>
      </c>
      <c r="S404" s="1">
        <f t="shared" si="6"/>
        <v>47</v>
      </c>
      <c r="T404" s="7" t="str">
        <f>_xlfn.TEXTJOIN("_",TRUE,Finance_Data!A404,Finance_Data!B404,Finance_Data!C404,Finance_Data!D404,Finance_Data!E404,Finance_Data!G404,Finance_Data!H404)</f>
        <v>CMP_018_East_USA_Foundation_Retail_45272_45318</v>
      </c>
    </row>
    <row r="405" spans="1:20" x14ac:dyDescent="0.35">
      <c r="A405" s="6" t="s">
        <v>95</v>
      </c>
      <c r="B405" s="1" t="s">
        <v>28</v>
      </c>
      <c r="C405" s="1" t="s">
        <v>36</v>
      </c>
      <c r="D405" s="1" t="s">
        <v>51</v>
      </c>
      <c r="E405" s="1" t="s">
        <v>38</v>
      </c>
      <c r="F405" s="1" t="s">
        <v>44</v>
      </c>
      <c r="G405" s="2">
        <v>45275</v>
      </c>
      <c r="H405" s="2">
        <v>45333</v>
      </c>
      <c r="I405" s="1">
        <v>3667.21</v>
      </c>
      <c r="J405" s="1">
        <v>0.40699999999999997</v>
      </c>
      <c r="K405" s="1">
        <v>1492.55</v>
      </c>
      <c r="L405" s="1">
        <v>842685</v>
      </c>
      <c r="M405" s="1">
        <v>15615</v>
      </c>
      <c r="N405" s="1">
        <v>236169.16</v>
      </c>
      <c r="O405" s="1">
        <v>2023</v>
      </c>
      <c r="P405" s="1" t="s">
        <v>73</v>
      </c>
      <c r="Q405" s="1" t="s">
        <v>25</v>
      </c>
      <c r="R405" s="1" t="s">
        <v>26</v>
      </c>
      <c r="S405" s="1">
        <f t="shared" si="6"/>
        <v>59</v>
      </c>
      <c r="T405" s="7" t="str">
        <f>_xlfn.TEXTJOIN("_",TRUE,Finance_Data!A405,Finance_Data!B405,Finance_Data!C405,Finance_Data!D405,Finance_Data!E405,Finance_Data!G405,Finance_Data!H405)</f>
        <v>CMP_050_West_India_Watch_Ecommerce_45275_45333</v>
      </c>
    </row>
    <row r="406" spans="1:20" x14ac:dyDescent="0.35">
      <c r="A406" s="6" t="s">
        <v>114</v>
      </c>
      <c r="B406" s="1" t="s">
        <v>48</v>
      </c>
      <c r="C406" s="1" t="s">
        <v>20</v>
      </c>
      <c r="D406" s="1" t="s">
        <v>21</v>
      </c>
      <c r="E406" s="1" t="s">
        <v>30</v>
      </c>
      <c r="F406" s="1" t="s">
        <v>31</v>
      </c>
      <c r="G406" s="2">
        <v>45275</v>
      </c>
      <c r="H406" s="2">
        <v>45291</v>
      </c>
      <c r="I406" s="1">
        <v>34435.699999999997</v>
      </c>
      <c r="J406" s="1">
        <v>1.1496999999999999</v>
      </c>
      <c r="K406" s="1">
        <v>39590.720000000001</v>
      </c>
      <c r="L406" s="1">
        <v>773660</v>
      </c>
      <c r="M406" s="1">
        <v>42189</v>
      </c>
      <c r="N406" s="1">
        <v>134397.85</v>
      </c>
      <c r="O406" s="1">
        <v>2023</v>
      </c>
      <c r="P406" s="1" t="s">
        <v>73</v>
      </c>
      <c r="Q406" s="1" t="s">
        <v>25</v>
      </c>
      <c r="R406" s="1" t="s">
        <v>41</v>
      </c>
      <c r="S406" s="1">
        <f t="shared" si="6"/>
        <v>17</v>
      </c>
      <c r="T406" s="7" t="str">
        <f>_xlfn.TEXTJOIN("_",TRUE,Finance_Data!A406,Finance_Data!B406,Finance_Data!C406,Finance_Data!D406,Finance_Data!E406,Finance_Data!G406,Finance_Data!H406)</f>
        <v>CMP_013_South_Singapore_Foundation_Wholesale_45275_45291</v>
      </c>
    </row>
    <row r="407" spans="1:20" x14ac:dyDescent="0.35">
      <c r="A407" s="6" t="s">
        <v>27</v>
      </c>
      <c r="B407" s="1" t="s">
        <v>48</v>
      </c>
      <c r="C407" s="1" t="s">
        <v>58</v>
      </c>
      <c r="D407" s="1" t="s">
        <v>63</v>
      </c>
      <c r="E407" s="1" t="s">
        <v>30</v>
      </c>
      <c r="F407" s="1" t="s">
        <v>44</v>
      </c>
      <c r="G407" s="2">
        <v>45277</v>
      </c>
      <c r="H407" s="2">
        <v>45330</v>
      </c>
      <c r="I407" s="1">
        <v>15548.34</v>
      </c>
      <c r="J407" s="1">
        <v>0.24629999999999999</v>
      </c>
      <c r="K407" s="1">
        <v>3829.56</v>
      </c>
      <c r="L407" s="1">
        <v>997697</v>
      </c>
      <c r="M407" s="1">
        <v>27566</v>
      </c>
      <c r="N407" s="1">
        <v>122998.19</v>
      </c>
      <c r="O407" s="1">
        <v>2023</v>
      </c>
      <c r="P407" s="1" t="s">
        <v>73</v>
      </c>
      <c r="Q407" s="1" t="s">
        <v>25</v>
      </c>
      <c r="R407" s="1" t="s">
        <v>54</v>
      </c>
      <c r="S407" s="1">
        <f t="shared" si="6"/>
        <v>54</v>
      </c>
      <c r="T407" s="7" t="str">
        <f>_xlfn.TEXTJOIN("_",TRUE,Finance_Data!A407,Finance_Data!B407,Finance_Data!C407,Finance_Data!D407,Finance_Data!E407,Finance_Data!G407,Finance_Data!H407)</f>
        <v>CMP_035_South_UK_Skincare_Wholesale_45277_45330</v>
      </c>
    </row>
    <row r="408" spans="1:20" x14ac:dyDescent="0.35">
      <c r="A408" s="6" t="s">
        <v>62</v>
      </c>
      <c r="B408" s="1" t="s">
        <v>19</v>
      </c>
      <c r="C408" s="1" t="s">
        <v>69</v>
      </c>
      <c r="D408" s="1" t="s">
        <v>37</v>
      </c>
      <c r="E408" s="1" t="s">
        <v>38</v>
      </c>
      <c r="F408" s="1" t="s">
        <v>44</v>
      </c>
      <c r="G408" s="2">
        <v>45279</v>
      </c>
      <c r="H408" s="2">
        <v>45320</v>
      </c>
      <c r="I408" s="1">
        <v>25617.27</v>
      </c>
      <c r="J408" s="1">
        <v>0.47220000000000001</v>
      </c>
      <c r="K408" s="1">
        <v>12096.47</v>
      </c>
      <c r="L408" s="1">
        <v>198550</v>
      </c>
      <c r="M408" s="1">
        <v>1808</v>
      </c>
      <c r="N408" s="1">
        <v>83125</v>
      </c>
      <c r="O408" s="1">
        <v>2023</v>
      </c>
      <c r="P408" s="1" t="s">
        <v>73</v>
      </c>
      <c r="Q408" s="1" t="s">
        <v>25</v>
      </c>
      <c r="R408" s="1" t="s">
        <v>41</v>
      </c>
      <c r="S408" s="1">
        <f t="shared" si="6"/>
        <v>42</v>
      </c>
      <c r="T408" s="7" t="str">
        <f>_xlfn.TEXTJOIN("_",TRUE,Finance_Data!A408,Finance_Data!B408,Finance_Data!C408,Finance_Data!D408,Finance_Data!E408,Finance_Data!G408,Finance_Data!H408)</f>
        <v>CMP_015_North_USA_Perfume_Ecommerce_45279_45320</v>
      </c>
    </row>
    <row r="409" spans="1:20" x14ac:dyDescent="0.35">
      <c r="A409" s="6" t="s">
        <v>81</v>
      </c>
      <c r="B409" s="1" t="s">
        <v>28</v>
      </c>
      <c r="C409" s="1" t="s">
        <v>58</v>
      </c>
      <c r="D409" s="1" t="s">
        <v>21</v>
      </c>
      <c r="E409" s="1" t="s">
        <v>38</v>
      </c>
      <c r="F409" s="1" t="s">
        <v>52</v>
      </c>
      <c r="G409" s="2">
        <v>45280</v>
      </c>
      <c r="H409" s="2">
        <v>45307</v>
      </c>
      <c r="I409" s="1">
        <v>16096.18</v>
      </c>
      <c r="J409" s="1">
        <v>0.54020000000000001</v>
      </c>
      <c r="K409" s="1">
        <v>8695.16</v>
      </c>
      <c r="L409" s="1">
        <v>598285</v>
      </c>
      <c r="M409" s="1">
        <v>5840</v>
      </c>
      <c r="N409" s="1">
        <v>57845.31</v>
      </c>
      <c r="O409" s="1">
        <v>2023</v>
      </c>
      <c r="P409" s="1" t="s">
        <v>73</v>
      </c>
      <c r="Q409" s="1" t="s">
        <v>25</v>
      </c>
      <c r="R409" s="1" t="s">
        <v>54</v>
      </c>
      <c r="S409" s="1">
        <f t="shared" si="6"/>
        <v>28</v>
      </c>
      <c r="T409" s="7" t="str">
        <f>_xlfn.TEXTJOIN("_",TRUE,Finance_Data!A409,Finance_Data!B409,Finance_Data!C409,Finance_Data!D409,Finance_Data!E409,Finance_Data!G409,Finance_Data!H409)</f>
        <v>CMP_057_West_UK_Foundation_Ecommerce_45280_45307</v>
      </c>
    </row>
    <row r="410" spans="1:20" x14ac:dyDescent="0.35">
      <c r="A410" s="6" t="s">
        <v>115</v>
      </c>
      <c r="B410" s="1" t="s">
        <v>48</v>
      </c>
      <c r="C410" s="1" t="s">
        <v>69</v>
      </c>
      <c r="D410" s="1" t="s">
        <v>63</v>
      </c>
      <c r="E410" s="1" t="s">
        <v>38</v>
      </c>
      <c r="F410" s="1" t="s">
        <v>49</v>
      </c>
      <c r="G410" s="2">
        <v>45280</v>
      </c>
      <c r="H410" s="2">
        <v>45286</v>
      </c>
      <c r="I410" s="1">
        <v>24655.78</v>
      </c>
      <c r="J410" s="1">
        <v>0.36159999999999998</v>
      </c>
      <c r="K410" s="1">
        <v>8915.5300000000007</v>
      </c>
      <c r="L410" s="1">
        <v>975264</v>
      </c>
      <c r="M410" s="1">
        <v>5726</v>
      </c>
      <c r="N410" s="1">
        <v>33436.99</v>
      </c>
      <c r="O410" s="1">
        <v>2023</v>
      </c>
      <c r="P410" s="1" t="s">
        <v>73</v>
      </c>
      <c r="Q410" s="1" t="s">
        <v>25</v>
      </c>
      <c r="R410" s="1" t="s">
        <v>61</v>
      </c>
      <c r="S410" s="1">
        <f t="shared" si="6"/>
        <v>7</v>
      </c>
      <c r="T410" s="7" t="str">
        <f>_xlfn.TEXTJOIN("_",TRUE,Finance_Data!A410,Finance_Data!B410,Finance_Data!C410,Finance_Data!D410,Finance_Data!E410,Finance_Data!G410,Finance_Data!H410)</f>
        <v>CMP_047_South_USA_Skincare_Ecommerce_45280_45286</v>
      </c>
    </row>
    <row r="411" spans="1:20" x14ac:dyDescent="0.35">
      <c r="A411" s="6" t="s">
        <v>101</v>
      </c>
      <c r="B411" s="1" t="s">
        <v>19</v>
      </c>
      <c r="C411" s="1" t="s">
        <v>69</v>
      </c>
      <c r="D411" s="1" t="s">
        <v>59</v>
      </c>
      <c r="E411" s="1" t="s">
        <v>38</v>
      </c>
      <c r="F411" s="1" t="s">
        <v>44</v>
      </c>
      <c r="G411" s="2">
        <v>45282</v>
      </c>
      <c r="H411" s="2">
        <v>45339</v>
      </c>
      <c r="I411" s="1">
        <v>14548.88</v>
      </c>
      <c r="J411" s="1">
        <v>0.73160000000000003</v>
      </c>
      <c r="K411" s="1">
        <v>10643.96</v>
      </c>
      <c r="L411" s="1">
        <v>213974</v>
      </c>
      <c r="M411" s="1">
        <v>29903</v>
      </c>
      <c r="N411" s="1">
        <v>232779.89</v>
      </c>
      <c r="O411" s="1">
        <v>2023</v>
      </c>
      <c r="P411" s="1" t="s">
        <v>73</v>
      </c>
      <c r="Q411" s="1" t="s">
        <v>25</v>
      </c>
      <c r="R411" s="1" t="s">
        <v>26</v>
      </c>
      <c r="S411" s="1">
        <f t="shared" si="6"/>
        <v>58</v>
      </c>
      <c r="T411" s="7" t="str">
        <f>_xlfn.TEXTJOIN("_",TRUE,Finance_Data!A411,Finance_Data!B411,Finance_Data!C411,Finance_Data!D411,Finance_Data!E411,Finance_Data!G411,Finance_Data!H411)</f>
        <v>CMP_037_North_USA_Lipstick_Ecommerce_45282_45339</v>
      </c>
    </row>
    <row r="412" spans="1:20" x14ac:dyDescent="0.35">
      <c r="A412" s="6" t="s">
        <v>42</v>
      </c>
      <c r="B412" s="1" t="s">
        <v>48</v>
      </c>
      <c r="C412" s="1" t="s">
        <v>20</v>
      </c>
      <c r="D412" s="1" t="s">
        <v>21</v>
      </c>
      <c r="E412" s="1" t="s">
        <v>22</v>
      </c>
      <c r="F412" s="1" t="s">
        <v>52</v>
      </c>
      <c r="G412" s="2">
        <v>45283</v>
      </c>
      <c r="H412" s="2">
        <v>45336</v>
      </c>
      <c r="I412" s="1">
        <v>20176.77</v>
      </c>
      <c r="J412" s="1">
        <v>9.5500000000000002E-2</v>
      </c>
      <c r="K412" s="1">
        <v>1926.88</v>
      </c>
      <c r="L412" s="1">
        <v>772057</v>
      </c>
      <c r="M412" s="1">
        <v>18649</v>
      </c>
      <c r="N412" s="1">
        <v>74179.199999999997</v>
      </c>
      <c r="O412" s="1">
        <v>2023</v>
      </c>
      <c r="P412" s="1" t="s">
        <v>73</v>
      </c>
      <c r="Q412" s="1" t="s">
        <v>25</v>
      </c>
      <c r="R412" s="1" t="s">
        <v>41</v>
      </c>
      <c r="S412" s="1">
        <f t="shared" si="6"/>
        <v>54</v>
      </c>
      <c r="T412" s="7" t="str">
        <f>_xlfn.TEXTJOIN("_",TRUE,Finance_Data!A412,Finance_Data!B412,Finance_Data!C412,Finance_Data!D412,Finance_Data!E412,Finance_Data!G412,Finance_Data!H412)</f>
        <v>CMP_060_South_Singapore_Foundation_Retail_45283_45336</v>
      </c>
    </row>
    <row r="413" spans="1:20" x14ac:dyDescent="0.35">
      <c r="A413" s="6" t="s">
        <v>34</v>
      </c>
      <c r="B413" s="1" t="s">
        <v>28</v>
      </c>
      <c r="C413" s="1" t="s">
        <v>20</v>
      </c>
      <c r="D413" s="1" t="s">
        <v>51</v>
      </c>
      <c r="E413" s="1" t="s">
        <v>22</v>
      </c>
      <c r="F413" s="1" t="s">
        <v>23</v>
      </c>
      <c r="G413" s="2">
        <v>45284</v>
      </c>
      <c r="H413" s="2">
        <v>45303</v>
      </c>
      <c r="I413" s="1">
        <v>44286.44</v>
      </c>
      <c r="J413" s="1">
        <v>0.7994</v>
      </c>
      <c r="K413" s="1">
        <v>35402.58</v>
      </c>
      <c r="L413" s="1">
        <v>357148</v>
      </c>
      <c r="M413" s="1">
        <v>23745</v>
      </c>
      <c r="N413" s="1">
        <v>76925.72</v>
      </c>
      <c r="O413" s="1">
        <v>2023</v>
      </c>
      <c r="P413" s="1" t="s">
        <v>73</v>
      </c>
      <c r="Q413" s="1" t="s">
        <v>25</v>
      </c>
      <c r="R413" s="1" t="s">
        <v>41</v>
      </c>
      <c r="S413" s="1">
        <f t="shared" si="6"/>
        <v>20</v>
      </c>
      <c r="T413" s="7" t="str">
        <f>_xlfn.TEXTJOIN("_",TRUE,Finance_Data!A413,Finance_Data!B413,Finance_Data!C413,Finance_Data!D413,Finance_Data!E413,Finance_Data!G413,Finance_Data!H413)</f>
        <v>CMP_049_West_Singapore_Watch_Retail_45284_45303</v>
      </c>
    </row>
    <row r="414" spans="1:20" x14ac:dyDescent="0.35">
      <c r="A414" s="6" t="s">
        <v>42</v>
      </c>
      <c r="B414" s="1" t="s">
        <v>48</v>
      </c>
      <c r="C414" s="1" t="s">
        <v>29</v>
      </c>
      <c r="D414" s="1" t="s">
        <v>51</v>
      </c>
      <c r="E414" s="1" t="s">
        <v>38</v>
      </c>
      <c r="F414" s="1" t="s">
        <v>52</v>
      </c>
      <c r="G414" s="2">
        <v>45285</v>
      </c>
      <c r="H414" s="2">
        <v>45329</v>
      </c>
      <c r="I414" s="1">
        <v>41257.620000000003</v>
      </c>
      <c r="J414" s="1">
        <v>0.96530000000000005</v>
      </c>
      <c r="K414" s="1">
        <v>39825.980000000003</v>
      </c>
      <c r="L414" s="1">
        <v>663453</v>
      </c>
      <c r="M414" s="1">
        <v>9656</v>
      </c>
      <c r="N414" s="1">
        <v>112913.54</v>
      </c>
      <c r="O414" s="1">
        <v>2023</v>
      </c>
      <c r="P414" s="1" t="s">
        <v>73</v>
      </c>
      <c r="Q414" s="1" t="s">
        <v>25</v>
      </c>
      <c r="R414" s="1" t="s">
        <v>26</v>
      </c>
      <c r="S414" s="1">
        <f t="shared" si="6"/>
        <v>45</v>
      </c>
      <c r="T414" s="7" t="str">
        <f>_xlfn.TEXTJOIN("_",TRUE,Finance_Data!A414,Finance_Data!B414,Finance_Data!C414,Finance_Data!D414,Finance_Data!E414,Finance_Data!G414,Finance_Data!H414)</f>
        <v>CMP_060_South_Australia_Watch_Ecommerce_45285_45329</v>
      </c>
    </row>
    <row r="415" spans="1:20" x14ac:dyDescent="0.35">
      <c r="A415" s="6" t="s">
        <v>78</v>
      </c>
      <c r="B415" s="1" t="s">
        <v>35</v>
      </c>
      <c r="C415" s="1" t="s">
        <v>20</v>
      </c>
      <c r="D415" s="1" t="s">
        <v>21</v>
      </c>
      <c r="E415" s="1" t="s">
        <v>30</v>
      </c>
      <c r="F415" s="1" t="s">
        <v>31</v>
      </c>
      <c r="G415" s="2">
        <v>45285</v>
      </c>
      <c r="H415" s="2">
        <v>45309</v>
      </c>
      <c r="I415" s="1">
        <v>48417.13</v>
      </c>
      <c r="J415" s="1">
        <v>0.84119999999999995</v>
      </c>
      <c r="K415" s="1">
        <v>40728.49</v>
      </c>
      <c r="L415" s="1">
        <v>420997</v>
      </c>
      <c r="M415" s="1">
        <v>8550</v>
      </c>
      <c r="N415" s="1">
        <v>150785.1</v>
      </c>
      <c r="O415" s="1">
        <v>2023</v>
      </c>
      <c r="P415" s="1" t="s">
        <v>73</v>
      </c>
      <c r="Q415" s="1" t="s">
        <v>25</v>
      </c>
      <c r="R415" s="1" t="s">
        <v>61</v>
      </c>
      <c r="S415" s="1">
        <f t="shared" si="6"/>
        <v>25</v>
      </c>
      <c r="T415" s="7" t="str">
        <f>_xlfn.TEXTJOIN("_",TRUE,Finance_Data!A415,Finance_Data!B415,Finance_Data!C415,Finance_Data!D415,Finance_Data!E415,Finance_Data!G415,Finance_Data!H415)</f>
        <v>CMP_006_East_Singapore_Foundation_Wholesale_45285_45309</v>
      </c>
    </row>
    <row r="416" spans="1:20" x14ac:dyDescent="0.35">
      <c r="A416" s="6" t="s">
        <v>87</v>
      </c>
      <c r="B416" s="1" t="s">
        <v>19</v>
      </c>
      <c r="C416" s="1" t="s">
        <v>69</v>
      </c>
      <c r="D416" s="1" t="s">
        <v>37</v>
      </c>
      <c r="E416" s="1" t="s">
        <v>38</v>
      </c>
      <c r="F416" s="1" t="s">
        <v>23</v>
      </c>
      <c r="G416" s="2">
        <v>45286</v>
      </c>
      <c r="H416" s="2">
        <v>45344</v>
      </c>
      <c r="I416" s="1">
        <v>31978.14</v>
      </c>
      <c r="J416" s="1">
        <v>0.70630000000000004</v>
      </c>
      <c r="K416" s="1">
        <v>22586.16</v>
      </c>
      <c r="L416" s="1">
        <v>545118</v>
      </c>
      <c r="M416" s="1">
        <v>18536</v>
      </c>
      <c r="N416" s="1">
        <v>16143.76</v>
      </c>
      <c r="O416" s="1">
        <v>2023</v>
      </c>
      <c r="P416" s="1" t="s">
        <v>73</v>
      </c>
      <c r="Q416" s="1" t="s">
        <v>25</v>
      </c>
      <c r="R416" s="1" t="s">
        <v>61</v>
      </c>
      <c r="S416" s="1">
        <f t="shared" si="6"/>
        <v>59</v>
      </c>
      <c r="T416" s="7" t="str">
        <f>_xlfn.TEXTJOIN("_",TRUE,Finance_Data!A416,Finance_Data!B416,Finance_Data!C416,Finance_Data!D416,Finance_Data!E416,Finance_Data!G416,Finance_Data!H416)</f>
        <v>CMP_048_North_USA_Perfume_Ecommerce_45286_45344</v>
      </c>
    </row>
    <row r="417" spans="1:20" x14ac:dyDescent="0.35">
      <c r="A417" s="6" t="s">
        <v>92</v>
      </c>
      <c r="B417" s="1" t="s">
        <v>35</v>
      </c>
      <c r="C417" s="1" t="s">
        <v>29</v>
      </c>
      <c r="D417" s="1" t="s">
        <v>63</v>
      </c>
      <c r="E417" s="1" t="s">
        <v>38</v>
      </c>
      <c r="F417" s="1" t="s">
        <v>31</v>
      </c>
      <c r="G417" s="2">
        <v>45286</v>
      </c>
      <c r="H417" s="2">
        <v>45336</v>
      </c>
      <c r="I417" s="1">
        <v>21485.64</v>
      </c>
      <c r="J417" s="1">
        <v>0.3906</v>
      </c>
      <c r="K417" s="1">
        <v>8392.2900000000009</v>
      </c>
      <c r="L417" s="1">
        <v>59866</v>
      </c>
      <c r="M417" s="1">
        <v>12011</v>
      </c>
      <c r="N417" s="1">
        <v>15017.84</v>
      </c>
      <c r="O417" s="1">
        <v>2023</v>
      </c>
      <c r="P417" s="1" t="s">
        <v>73</v>
      </c>
      <c r="Q417" s="1" t="s">
        <v>25</v>
      </c>
      <c r="R417" s="1" t="s">
        <v>26</v>
      </c>
      <c r="S417" s="1">
        <f t="shared" si="6"/>
        <v>51</v>
      </c>
      <c r="T417" s="7" t="str">
        <f>_xlfn.TEXTJOIN("_",TRUE,Finance_Data!A417,Finance_Data!B417,Finance_Data!C417,Finance_Data!D417,Finance_Data!E417,Finance_Data!G417,Finance_Data!H417)</f>
        <v>CMP_004_East_Australia_Skincare_Ecommerce_45286_45336</v>
      </c>
    </row>
    <row r="418" spans="1:20" x14ac:dyDescent="0.35">
      <c r="A418" s="6" t="s">
        <v>86</v>
      </c>
      <c r="B418" s="1" t="s">
        <v>19</v>
      </c>
      <c r="C418" s="1" t="s">
        <v>69</v>
      </c>
      <c r="D418" s="1" t="s">
        <v>59</v>
      </c>
      <c r="E418" s="1" t="s">
        <v>30</v>
      </c>
      <c r="F418" s="1" t="s">
        <v>31</v>
      </c>
      <c r="G418" s="2">
        <v>45286</v>
      </c>
      <c r="H418" s="2">
        <v>45332</v>
      </c>
      <c r="I418" s="1">
        <v>25960.880000000001</v>
      </c>
      <c r="J418" s="1">
        <v>0.81859999999999999</v>
      </c>
      <c r="K418" s="1">
        <v>21251.58</v>
      </c>
      <c r="L418" s="1">
        <v>894642</v>
      </c>
      <c r="M418" s="1">
        <v>35241</v>
      </c>
      <c r="N418" s="1">
        <v>86131.72</v>
      </c>
      <c r="O418" s="1">
        <v>2023</v>
      </c>
      <c r="P418" s="1" t="s">
        <v>73</v>
      </c>
      <c r="Q418" s="1" t="s">
        <v>25</v>
      </c>
      <c r="R418" s="1" t="s">
        <v>26</v>
      </c>
      <c r="S418" s="1">
        <f t="shared" si="6"/>
        <v>47</v>
      </c>
      <c r="T418" s="7" t="str">
        <f>_xlfn.TEXTJOIN("_",TRUE,Finance_Data!A418,Finance_Data!B418,Finance_Data!C418,Finance_Data!D418,Finance_Data!E418,Finance_Data!G418,Finance_Data!H418)</f>
        <v>CMP_002_North_USA_Lipstick_Wholesale_45286_45332</v>
      </c>
    </row>
    <row r="419" spans="1:20" x14ac:dyDescent="0.35">
      <c r="A419" s="6" t="s">
        <v>71</v>
      </c>
      <c r="B419" s="1" t="s">
        <v>48</v>
      </c>
      <c r="C419" s="1" t="s">
        <v>36</v>
      </c>
      <c r="D419" s="1" t="s">
        <v>51</v>
      </c>
      <c r="E419" s="1" t="s">
        <v>38</v>
      </c>
      <c r="F419" s="1" t="s">
        <v>52</v>
      </c>
      <c r="G419" s="2">
        <v>45287</v>
      </c>
      <c r="H419" s="2">
        <v>45334</v>
      </c>
      <c r="I419" s="1">
        <v>41871.39</v>
      </c>
      <c r="J419" s="1">
        <v>6.9400000000000003E-2</v>
      </c>
      <c r="K419" s="1">
        <v>2905.87</v>
      </c>
      <c r="L419" s="1">
        <v>154408</v>
      </c>
      <c r="M419" s="1">
        <v>23051</v>
      </c>
      <c r="N419" s="1">
        <v>220286.91</v>
      </c>
      <c r="O419" s="1">
        <v>2023</v>
      </c>
      <c r="P419" s="1" t="s">
        <v>73</v>
      </c>
      <c r="Q419" s="1" t="s">
        <v>25</v>
      </c>
      <c r="R419" s="1" t="s">
        <v>61</v>
      </c>
      <c r="S419" s="1">
        <f t="shared" si="6"/>
        <v>48</v>
      </c>
      <c r="T419" s="7" t="str">
        <f>_xlfn.TEXTJOIN("_",TRUE,Finance_Data!A419,Finance_Data!B419,Finance_Data!C419,Finance_Data!D419,Finance_Data!E419,Finance_Data!G419,Finance_Data!H419)</f>
        <v>CMP_051_South_India_Watch_Ecommerce_45287_45334</v>
      </c>
    </row>
    <row r="420" spans="1:20" x14ac:dyDescent="0.35">
      <c r="A420" s="6" t="s">
        <v>118</v>
      </c>
      <c r="B420" s="1" t="s">
        <v>19</v>
      </c>
      <c r="C420" s="1" t="s">
        <v>36</v>
      </c>
      <c r="D420" s="1" t="s">
        <v>21</v>
      </c>
      <c r="E420" s="1" t="s">
        <v>38</v>
      </c>
      <c r="F420" s="1" t="s">
        <v>52</v>
      </c>
      <c r="G420" s="2">
        <v>45288</v>
      </c>
      <c r="H420" s="2">
        <v>45345</v>
      </c>
      <c r="I420" s="1">
        <v>19442.45</v>
      </c>
      <c r="J420" s="1">
        <v>0.72560000000000002</v>
      </c>
      <c r="K420" s="1">
        <v>14107.44</v>
      </c>
      <c r="L420" s="1">
        <v>415537</v>
      </c>
      <c r="M420" s="1">
        <v>11712</v>
      </c>
      <c r="N420" s="1">
        <v>210590.72</v>
      </c>
      <c r="O420" s="1">
        <v>2023</v>
      </c>
      <c r="P420" s="1" t="s">
        <v>73</v>
      </c>
      <c r="Q420" s="1" t="s">
        <v>25</v>
      </c>
      <c r="R420" s="1" t="s">
        <v>54</v>
      </c>
      <c r="S420" s="1">
        <f t="shared" si="6"/>
        <v>58</v>
      </c>
      <c r="T420" s="7" t="str">
        <f>_xlfn.TEXTJOIN("_",TRUE,Finance_Data!A420,Finance_Data!B420,Finance_Data!C420,Finance_Data!D420,Finance_Data!E420,Finance_Data!G420,Finance_Data!H420)</f>
        <v>CMP_052_North_India_Foundation_Ecommerce_45288_45345</v>
      </c>
    </row>
    <row r="421" spans="1:20" x14ac:dyDescent="0.35">
      <c r="A421" s="6" t="s">
        <v>89</v>
      </c>
      <c r="B421" s="1" t="s">
        <v>19</v>
      </c>
      <c r="C421" s="1" t="s">
        <v>36</v>
      </c>
      <c r="D421" s="1" t="s">
        <v>21</v>
      </c>
      <c r="E421" s="1" t="s">
        <v>22</v>
      </c>
      <c r="F421" s="1" t="s">
        <v>52</v>
      </c>
      <c r="G421" s="2">
        <v>45288</v>
      </c>
      <c r="H421" s="2">
        <v>45328</v>
      </c>
      <c r="I421" s="1">
        <v>41941.56</v>
      </c>
      <c r="J421" s="1">
        <v>0.2984</v>
      </c>
      <c r="K421" s="1">
        <v>12515.36</v>
      </c>
      <c r="L421" s="1">
        <v>688569</v>
      </c>
      <c r="M421" s="1">
        <v>48286</v>
      </c>
      <c r="N421" s="1">
        <v>214686.55</v>
      </c>
      <c r="O421" s="1">
        <v>2023</v>
      </c>
      <c r="P421" s="1" t="s">
        <v>73</v>
      </c>
      <c r="Q421" s="1" t="s">
        <v>25</v>
      </c>
      <c r="R421" s="1" t="s">
        <v>26</v>
      </c>
      <c r="S421" s="1">
        <f t="shared" si="6"/>
        <v>41</v>
      </c>
      <c r="T421" s="7" t="str">
        <f>_xlfn.TEXTJOIN("_",TRUE,Finance_Data!A421,Finance_Data!B421,Finance_Data!C421,Finance_Data!D421,Finance_Data!E421,Finance_Data!G421,Finance_Data!H421)</f>
        <v>CMP_045_North_India_Foundation_Retail_45288_45328</v>
      </c>
    </row>
    <row r="422" spans="1:20" x14ac:dyDescent="0.35">
      <c r="A422" s="6" t="s">
        <v>42</v>
      </c>
      <c r="B422" s="1" t="s">
        <v>48</v>
      </c>
      <c r="C422" s="1" t="s">
        <v>29</v>
      </c>
      <c r="D422" s="1" t="s">
        <v>59</v>
      </c>
      <c r="E422" s="1" t="s">
        <v>38</v>
      </c>
      <c r="F422" s="1" t="s">
        <v>23</v>
      </c>
      <c r="G422" s="2">
        <v>45289</v>
      </c>
      <c r="H422" s="2">
        <v>45343</v>
      </c>
      <c r="I422" s="1">
        <v>28434.29</v>
      </c>
      <c r="J422" s="1">
        <v>1.0508999999999999</v>
      </c>
      <c r="K422" s="1">
        <v>29881.599999999999</v>
      </c>
      <c r="L422" s="1">
        <v>660810</v>
      </c>
      <c r="M422" s="1">
        <v>49217</v>
      </c>
      <c r="N422" s="1">
        <v>42865.57</v>
      </c>
      <c r="O422" s="1">
        <v>2023</v>
      </c>
      <c r="P422" s="1" t="s">
        <v>73</v>
      </c>
      <c r="Q422" s="1" t="s">
        <v>25</v>
      </c>
      <c r="R422" s="1" t="s">
        <v>61</v>
      </c>
      <c r="S422" s="1">
        <f t="shared" si="6"/>
        <v>55</v>
      </c>
      <c r="T422" s="7" t="str">
        <f>_xlfn.TEXTJOIN("_",TRUE,Finance_Data!A422,Finance_Data!B422,Finance_Data!C422,Finance_Data!D422,Finance_Data!E422,Finance_Data!G422,Finance_Data!H422)</f>
        <v>CMP_060_South_Australia_Lipstick_Ecommerce_45289_45343</v>
      </c>
    </row>
    <row r="423" spans="1:20" x14ac:dyDescent="0.35">
      <c r="A423" s="6" t="s">
        <v>72</v>
      </c>
      <c r="B423" s="1" t="s">
        <v>19</v>
      </c>
      <c r="C423" s="1" t="s">
        <v>36</v>
      </c>
      <c r="D423" s="1" t="s">
        <v>21</v>
      </c>
      <c r="E423" s="1" t="s">
        <v>30</v>
      </c>
      <c r="F423" s="1" t="s">
        <v>31</v>
      </c>
      <c r="G423" s="2">
        <v>45289</v>
      </c>
      <c r="H423" s="2">
        <v>45321</v>
      </c>
      <c r="I423" s="1">
        <v>21144.01</v>
      </c>
      <c r="J423" s="1">
        <v>1.038</v>
      </c>
      <c r="K423" s="1">
        <v>21947.48</v>
      </c>
      <c r="L423" s="1">
        <v>66802</v>
      </c>
      <c r="M423" s="1">
        <v>44229</v>
      </c>
      <c r="N423" s="1">
        <v>165096.59</v>
      </c>
      <c r="O423" s="1">
        <v>2023</v>
      </c>
      <c r="P423" s="1" t="s">
        <v>73</v>
      </c>
      <c r="Q423" s="1" t="s">
        <v>25</v>
      </c>
      <c r="R423" s="1" t="s">
        <v>26</v>
      </c>
      <c r="S423" s="1">
        <f t="shared" si="6"/>
        <v>33</v>
      </c>
      <c r="T423" s="7" t="str">
        <f>_xlfn.TEXTJOIN("_",TRUE,Finance_Data!A423,Finance_Data!B423,Finance_Data!C423,Finance_Data!D423,Finance_Data!E423,Finance_Data!G423,Finance_Data!H423)</f>
        <v>CMP_042_North_India_Foundation_Wholesale_45289_45321</v>
      </c>
    </row>
    <row r="424" spans="1:20" x14ac:dyDescent="0.35">
      <c r="A424" s="6" t="s">
        <v>111</v>
      </c>
      <c r="B424" s="1" t="s">
        <v>28</v>
      </c>
      <c r="C424" s="1" t="s">
        <v>58</v>
      </c>
      <c r="D424" s="1" t="s">
        <v>51</v>
      </c>
      <c r="E424" s="1" t="s">
        <v>38</v>
      </c>
      <c r="F424" s="1" t="s">
        <v>49</v>
      </c>
      <c r="G424" s="2">
        <v>45292</v>
      </c>
      <c r="H424" s="2">
        <v>45352</v>
      </c>
      <c r="I424" s="1">
        <v>39261.24</v>
      </c>
      <c r="J424" s="1">
        <v>1.0403</v>
      </c>
      <c r="K424" s="1">
        <v>40843.47</v>
      </c>
      <c r="L424" s="1">
        <v>358048</v>
      </c>
      <c r="M424" s="1">
        <v>18005</v>
      </c>
      <c r="N424" s="1">
        <v>35496.379999999997</v>
      </c>
      <c r="O424" s="1">
        <v>2024</v>
      </c>
      <c r="P424" s="1" t="s">
        <v>56</v>
      </c>
      <c r="Q424" s="1" t="s">
        <v>40</v>
      </c>
      <c r="R424" s="1" t="s">
        <v>41</v>
      </c>
      <c r="S424" s="1">
        <f t="shared" si="6"/>
        <v>61</v>
      </c>
      <c r="T424" s="7" t="str">
        <f>_xlfn.TEXTJOIN("_",TRUE,Finance_Data!A424,Finance_Data!B424,Finance_Data!C424,Finance_Data!D424,Finance_Data!E424,Finance_Data!G424,Finance_Data!H424)</f>
        <v>CMP_024_West_UK_Watch_Ecommerce_45292_45352</v>
      </c>
    </row>
    <row r="425" spans="1:20" x14ac:dyDescent="0.35">
      <c r="A425" s="6" t="s">
        <v>93</v>
      </c>
      <c r="B425" s="1" t="s">
        <v>35</v>
      </c>
      <c r="C425" s="1" t="s">
        <v>36</v>
      </c>
      <c r="D425" s="1" t="s">
        <v>59</v>
      </c>
      <c r="E425" s="1" t="s">
        <v>38</v>
      </c>
      <c r="F425" s="1" t="s">
        <v>52</v>
      </c>
      <c r="G425" s="2">
        <v>45292</v>
      </c>
      <c r="H425" s="2">
        <v>45342</v>
      </c>
      <c r="I425" s="1">
        <v>28481.87</v>
      </c>
      <c r="J425" s="1">
        <v>0.55469999999999997</v>
      </c>
      <c r="K425" s="1">
        <v>15798.89</v>
      </c>
      <c r="L425" s="1">
        <v>127955</v>
      </c>
      <c r="M425" s="1">
        <v>47270</v>
      </c>
      <c r="N425" s="1">
        <v>217385.43</v>
      </c>
      <c r="O425" s="1">
        <v>2024</v>
      </c>
      <c r="P425" s="1" t="s">
        <v>56</v>
      </c>
      <c r="Q425" s="1" t="s">
        <v>40</v>
      </c>
      <c r="R425" s="1" t="s">
        <v>61</v>
      </c>
      <c r="S425" s="1">
        <f t="shared" si="6"/>
        <v>51</v>
      </c>
      <c r="T425" s="7" t="str">
        <f>_xlfn.TEXTJOIN("_",TRUE,Finance_Data!A425,Finance_Data!B425,Finance_Data!C425,Finance_Data!D425,Finance_Data!E425,Finance_Data!G425,Finance_Data!H425)</f>
        <v>CMP_008_East_India_Lipstick_Ecommerce_45292_45342</v>
      </c>
    </row>
    <row r="426" spans="1:20" x14ac:dyDescent="0.35">
      <c r="A426" s="6" t="s">
        <v>91</v>
      </c>
      <c r="B426" s="1" t="s">
        <v>48</v>
      </c>
      <c r="C426" s="1" t="s">
        <v>36</v>
      </c>
      <c r="D426" s="1" t="s">
        <v>51</v>
      </c>
      <c r="E426" s="1" t="s">
        <v>38</v>
      </c>
      <c r="F426" s="1" t="s">
        <v>44</v>
      </c>
      <c r="G426" s="2">
        <v>45292</v>
      </c>
      <c r="H426" s="2">
        <v>45317</v>
      </c>
      <c r="I426" s="1">
        <v>9507.4599999999991</v>
      </c>
      <c r="J426" s="1">
        <v>0.48849999999999999</v>
      </c>
      <c r="K426" s="1">
        <v>4644.3900000000003</v>
      </c>
      <c r="L426" s="1">
        <v>341601</v>
      </c>
      <c r="M426" s="1">
        <v>885</v>
      </c>
      <c r="N426" s="1">
        <v>100350.73</v>
      </c>
      <c r="O426" s="1">
        <v>2024</v>
      </c>
      <c r="P426" s="1" t="s">
        <v>56</v>
      </c>
      <c r="Q426" s="1" t="s">
        <v>40</v>
      </c>
      <c r="R426" s="1" t="s">
        <v>41</v>
      </c>
      <c r="S426" s="1">
        <f t="shared" si="6"/>
        <v>26</v>
      </c>
      <c r="T426" s="7" t="str">
        <f>_xlfn.TEXTJOIN("_",TRUE,Finance_Data!A426,Finance_Data!B426,Finance_Data!C426,Finance_Data!D426,Finance_Data!E426,Finance_Data!G426,Finance_Data!H426)</f>
        <v>CMP_030_South_India_Watch_Ecommerce_45292_45317</v>
      </c>
    </row>
    <row r="427" spans="1:20" x14ac:dyDescent="0.35">
      <c r="A427" s="6" t="s">
        <v>89</v>
      </c>
      <c r="B427" s="1" t="s">
        <v>28</v>
      </c>
      <c r="C427" s="1" t="s">
        <v>69</v>
      </c>
      <c r="D427" s="1" t="s">
        <v>59</v>
      </c>
      <c r="E427" s="1" t="s">
        <v>22</v>
      </c>
      <c r="F427" s="1" t="s">
        <v>23</v>
      </c>
      <c r="G427" s="2">
        <v>45293</v>
      </c>
      <c r="H427" s="2">
        <v>45343</v>
      </c>
      <c r="I427" s="1">
        <v>21078.06</v>
      </c>
      <c r="J427" s="1">
        <v>0.20080000000000001</v>
      </c>
      <c r="K427" s="1">
        <v>4232.47</v>
      </c>
      <c r="L427" s="1">
        <v>584765</v>
      </c>
      <c r="M427" s="1">
        <v>32629</v>
      </c>
      <c r="N427" s="1">
        <v>228037.37</v>
      </c>
      <c r="O427" s="1">
        <v>2024</v>
      </c>
      <c r="P427" s="1" t="s">
        <v>56</v>
      </c>
      <c r="Q427" s="1" t="s">
        <v>40</v>
      </c>
      <c r="R427" s="1" t="s">
        <v>26</v>
      </c>
      <c r="S427" s="1">
        <f t="shared" si="6"/>
        <v>51</v>
      </c>
      <c r="T427" s="7" t="str">
        <f>_xlfn.TEXTJOIN("_",TRUE,Finance_Data!A427,Finance_Data!B427,Finance_Data!C427,Finance_Data!D427,Finance_Data!E427,Finance_Data!G427,Finance_Data!H427)</f>
        <v>CMP_045_West_USA_Lipstick_Retail_45293_45343</v>
      </c>
    </row>
    <row r="428" spans="1:20" x14ac:dyDescent="0.35">
      <c r="A428" s="6" t="s">
        <v>89</v>
      </c>
      <c r="B428" s="1" t="s">
        <v>19</v>
      </c>
      <c r="C428" s="1" t="s">
        <v>20</v>
      </c>
      <c r="D428" s="1" t="s">
        <v>51</v>
      </c>
      <c r="E428" s="1" t="s">
        <v>30</v>
      </c>
      <c r="F428" s="1" t="s">
        <v>23</v>
      </c>
      <c r="G428" s="2">
        <v>45293</v>
      </c>
      <c r="H428" s="2">
        <v>45309</v>
      </c>
      <c r="I428" s="1">
        <v>11616.95</v>
      </c>
      <c r="J428" s="1">
        <v>5.0999999999999997E-2</v>
      </c>
      <c r="K428" s="1">
        <v>592.46</v>
      </c>
      <c r="L428" s="1">
        <v>717835</v>
      </c>
      <c r="M428" s="1">
        <v>34984</v>
      </c>
      <c r="N428" s="1">
        <v>57960.79</v>
      </c>
      <c r="O428" s="1">
        <v>2024</v>
      </c>
      <c r="P428" s="1" t="s">
        <v>56</v>
      </c>
      <c r="Q428" s="1" t="s">
        <v>40</v>
      </c>
      <c r="R428" s="1" t="s">
        <v>54</v>
      </c>
      <c r="S428" s="1">
        <f t="shared" si="6"/>
        <v>17</v>
      </c>
      <c r="T428" s="7" t="str">
        <f>_xlfn.TEXTJOIN("_",TRUE,Finance_Data!A428,Finance_Data!B428,Finance_Data!C428,Finance_Data!D428,Finance_Data!E428,Finance_Data!G428,Finance_Data!H428)</f>
        <v>CMP_045_North_Singapore_Watch_Wholesale_45293_45309</v>
      </c>
    </row>
    <row r="429" spans="1:20" x14ac:dyDescent="0.35">
      <c r="A429" s="6" t="s">
        <v>18</v>
      </c>
      <c r="B429" s="1" t="s">
        <v>48</v>
      </c>
      <c r="C429" s="1" t="s">
        <v>58</v>
      </c>
      <c r="D429" s="1" t="s">
        <v>37</v>
      </c>
      <c r="E429" s="1" t="s">
        <v>22</v>
      </c>
      <c r="F429" s="1" t="s">
        <v>44</v>
      </c>
      <c r="G429" s="2">
        <v>45296</v>
      </c>
      <c r="H429" s="2">
        <v>45321</v>
      </c>
      <c r="I429" s="1">
        <v>7467.16</v>
      </c>
      <c r="J429" s="1">
        <v>1.0344</v>
      </c>
      <c r="K429" s="1">
        <v>7724.03</v>
      </c>
      <c r="L429" s="1">
        <v>605990</v>
      </c>
      <c r="M429" s="1">
        <v>27681</v>
      </c>
      <c r="N429" s="1">
        <v>94526.05</v>
      </c>
      <c r="O429" s="1">
        <v>2024</v>
      </c>
      <c r="P429" s="1" t="s">
        <v>56</v>
      </c>
      <c r="Q429" s="1" t="s">
        <v>40</v>
      </c>
      <c r="R429" s="1" t="s">
        <v>26</v>
      </c>
      <c r="S429" s="1">
        <f t="shared" si="6"/>
        <v>26</v>
      </c>
      <c r="T429" s="7" t="str">
        <f>_xlfn.TEXTJOIN("_",TRUE,Finance_Data!A429,Finance_Data!B429,Finance_Data!C429,Finance_Data!D429,Finance_Data!E429,Finance_Data!G429,Finance_Data!H429)</f>
        <v>CMP_044_South_UK_Perfume_Retail_45296_45321</v>
      </c>
    </row>
    <row r="430" spans="1:20" x14ac:dyDescent="0.35">
      <c r="A430" s="6" t="s">
        <v>91</v>
      </c>
      <c r="B430" s="1" t="s">
        <v>19</v>
      </c>
      <c r="C430" s="1" t="s">
        <v>29</v>
      </c>
      <c r="D430" s="1" t="s">
        <v>63</v>
      </c>
      <c r="E430" s="1" t="s">
        <v>22</v>
      </c>
      <c r="F430" s="1" t="s">
        <v>49</v>
      </c>
      <c r="G430" s="2">
        <v>45296</v>
      </c>
      <c r="H430" s="2">
        <v>45317</v>
      </c>
      <c r="I430" s="1">
        <v>47266.89</v>
      </c>
      <c r="J430" s="1">
        <v>0.8679</v>
      </c>
      <c r="K430" s="1">
        <v>41022.93</v>
      </c>
      <c r="L430" s="1">
        <v>529886</v>
      </c>
      <c r="M430" s="1">
        <v>39015</v>
      </c>
      <c r="N430" s="1">
        <v>156083.85</v>
      </c>
      <c r="O430" s="1">
        <v>2024</v>
      </c>
      <c r="P430" s="1" t="s">
        <v>56</v>
      </c>
      <c r="Q430" s="1" t="s">
        <v>40</v>
      </c>
      <c r="R430" s="1" t="s">
        <v>41</v>
      </c>
      <c r="S430" s="1">
        <f t="shared" si="6"/>
        <v>22</v>
      </c>
      <c r="T430" s="7" t="str">
        <f>_xlfn.TEXTJOIN("_",TRUE,Finance_Data!A430,Finance_Data!B430,Finance_Data!C430,Finance_Data!D430,Finance_Data!E430,Finance_Data!G430,Finance_Data!H430)</f>
        <v>CMP_030_North_Australia_Skincare_Retail_45296_45317</v>
      </c>
    </row>
    <row r="431" spans="1:20" x14ac:dyDescent="0.35">
      <c r="A431" s="6" t="s">
        <v>88</v>
      </c>
      <c r="B431" s="1" t="s">
        <v>19</v>
      </c>
      <c r="C431" s="1" t="s">
        <v>29</v>
      </c>
      <c r="D431" s="1" t="s">
        <v>63</v>
      </c>
      <c r="E431" s="1" t="s">
        <v>30</v>
      </c>
      <c r="F431" s="1" t="s">
        <v>23</v>
      </c>
      <c r="G431" s="2">
        <v>45296</v>
      </c>
      <c r="H431" s="2">
        <v>45304</v>
      </c>
      <c r="I431" s="1">
        <v>43319.23</v>
      </c>
      <c r="J431" s="1">
        <v>0.26919999999999999</v>
      </c>
      <c r="K431" s="1">
        <v>11661.54</v>
      </c>
      <c r="L431" s="1">
        <v>128414</v>
      </c>
      <c r="M431" s="1">
        <v>15564</v>
      </c>
      <c r="N431" s="1">
        <v>160062.70000000001</v>
      </c>
      <c r="O431" s="1">
        <v>2024</v>
      </c>
      <c r="P431" s="1" t="s">
        <v>56</v>
      </c>
      <c r="Q431" s="1" t="s">
        <v>40</v>
      </c>
      <c r="R431" s="1" t="s">
        <v>54</v>
      </c>
      <c r="S431" s="1">
        <f t="shared" si="6"/>
        <v>9</v>
      </c>
      <c r="T431" s="7" t="str">
        <f>_xlfn.TEXTJOIN("_",TRUE,Finance_Data!A431,Finance_Data!B431,Finance_Data!C431,Finance_Data!D431,Finance_Data!E431,Finance_Data!G431,Finance_Data!H431)</f>
        <v>CMP_021_North_Australia_Skincare_Wholesale_45296_45304</v>
      </c>
    </row>
    <row r="432" spans="1:20" x14ac:dyDescent="0.35">
      <c r="A432" s="6" t="s">
        <v>96</v>
      </c>
      <c r="B432" s="1" t="s">
        <v>28</v>
      </c>
      <c r="C432" s="1" t="s">
        <v>69</v>
      </c>
      <c r="D432" s="1" t="s">
        <v>37</v>
      </c>
      <c r="E432" s="1" t="s">
        <v>38</v>
      </c>
      <c r="F432" s="1" t="s">
        <v>52</v>
      </c>
      <c r="G432" s="2">
        <v>45297</v>
      </c>
      <c r="H432" s="2">
        <v>45335</v>
      </c>
      <c r="I432" s="1">
        <v>38192.06</v>
      </c>
      <c r="J432" s="1">
        <v>1.0617000000000001</v>
      </c>
      <c r="K432" s="1">
        <v>40548.51</v>
      </c>
      <c r="L432" s="1">
        <v>245455</v>
      </c>
      <c r="M432" s="1">
        <v>3177</v>
      </c>
      <c r="N432" s="1">
        <v>73093.59</v>
      </c>
      <c r="O432" s="1">
        <v>2024</v>
      </c>
      <c r="P432" s="1" t="s">
        <v>56</v>
      </c>
      <c r="Q432" s="1" t="s">
        <v>40</v>
      </c>
      <c r="R432" s="1" t="s">
        <v>41</v>
      </c>
      <c r="S432" s="1">
        <f t="shared" si="6"/>
        <v>39</v>
      </c>
      <c r="T432" s="7" t="str">
        <f>_xlfn.TEXTJOIN("_",TRUE,Finance_Data!A432,Finance_Data!B432,Finance_Data!C432,Finance_Data!D432,Finance_Data!E432,Finance_Data!G432,Finance_Data!H432)</f>
        <v>CMP_027_West_USA_Perfume_Ecommerce_45297_45335</v>
      </c>
    </row>
    <row r="433" spans="1:20" x14ac:dyDescent="0.35">
      <c r="A433" s="6" t="s">
        <v>114</v>
      </c>
      <c r="B433" s="1" t="s">
        <v>35</v>
      </c>
      <c r="C433" s="1" t="s">
        <v>36</v>
      </c>
      <c r="D433" s="1" t="s">
        <v>37</v>
      </c>
      <c r="E433" s="1" t="s">
        <v>22</v>
      </c>
      <c r="F433" s="1" t="s">
        <v>52</v>
      </c>
      <c r="G433" s="2">
        <v>45298</v>
      </c>
      <c r="H433" s="2">
        <v>45303</v>
      </c>
      <c r="I433" s="1">
        <v>4612.83</v>
      </c>
      <c r="J433" s="1">
        <v>4.5699999999999998E-2</v>
      </c>
      <c r="K433" s="1">
        <v>210.81</v>
      </c>
      <c r="L433" s="1">
        <v>130784</v>
      </c>
      <c r="M433" s="1">
        <v>9432</v>
      </c>
      <c r="N433" s="1">
        <v>76191.17</v>
      </c>
      <c r="O433" s="1">
        <v>2024</v>
      </c>
      <c r="P433" s="1" t="s">
        <v>56</v>
      </c>
      <c r="Q433" s="1" t="s">
        <v>40</v>
      </c>
      <c r="R433" s="1" t="s">
        <v>41</v>
      </c>
      <c r="S433" s="1">
        <f t="shared" si="6"/>
        <v>6</v>
      </c>
      <c r="T433" s="7" t="str">
        <f>_xlfn.TEXTJOIN("_",TRUE,Finance_Data!A433,Finance_Data!B433,Finance_Data!C433,Finance_Data!D433,Finance_Data!E433,Finance_Data!G433,Finance_Data!H433)</f>
        <v>CMP_013_East_India_Perfume_Retail_45298_45303</v>
      </c>
    </row>
    <row r="434" spans="1:20" x14ac:dyDescent="0.35">
      <c r="A434" s="6" t="s">
        <v>107</v>
      </c>
      <c r="B434" s="1" t="s">
        <v>28</v>
      </c>
      <c r="C434" s="1" t="s">
        <v>69</v>
      </c>
      <c r="D434" s="1" t="s">
        <v>51</v>
      </c>
      <c r="E434" s="1" t="s">
        <v>38</v>
      </c>
      <c r="F434" s="1" t="s">
        <v>23</v>
      </c>
      <c r="G434" s="2">
        <v>45299</v>
      </c>
      <c r="H434" s="2">
        <v>45356</v>
      </c>
      <c r="I434" s="1">
        <v>3659.49</v>
      </c>
      <c r="J434" s="1">
        <v>0.27529999999999999</v>
      </c>
      <c r="K434" s="1">
        <v>1007.46</v>
      </c>
      <c r="L434" s="1">
        <v>486535</v>
      </c>
      <c r="M434" s="1">
        <v>21856</v>
      </c>
      <c r="N434" s="1">
        <v>142236.96</v>
      </c>
      <c r="O434" s="1">
        <v>2024</v>
      </c>
      <c r="P434" s="1" t="s">
        <v>56</v>
      </c>
      <c r="Q434" s="1" t="s">
        <v>40</v>
      </c>
      <c r="R434" s="1" t="s">
        <v>26</v>
      </c>
      <c r="S434" s="1">
        <f t="shared" si="6"/>
        <v>58</v>
      </c>
      <c r="T434" s="7" t="str">
        <f>_xlfn.TEXTJOIN("_",TRUE,Finance_Data!A434,Finance_Data!B434,Finance_Data!C434,Finance_Data!D434,Finance_Data!E434,Finance_Data!G434,Finance_Data!H434)</f>
        <v>CMP_040_West_USA_Watch_Ecommerce_45299_45356</v>
      </c>
    </row>
    <row r="435" spans="1:20" x14ac:dyDescent="0.35">
      <c r="A435" s="6" t="s">
        <v>67</v>
      </c>
      <c r="B435" s="1" t="s">
        <v>19</v>
      </c>
      <c r="C435" s="1" t="s">
        <v>20</v>
      </c>
      <c r="D435" s="1" t="s">
        <v>51</v>
      </c>
      <c r="E435" s="1" t="s">
        <v>30</v>
      </c>
      <c r="F435" s="1" t="s">
        <v>23</v>
      </c>
      <c r="G435" s="2">
        <v>45299</v>
      </c>
      <c r="H435" s="2">
        <v>45346</v>
      </c>
      <c r="I435" s="1">
        <v>33214.1</v>
      </c>
      <c r="J435" s="1">
        <v>0.11749999999999999</v>
      </c>
      <c r="K435" s="1">
        <v>3902.66</v>
      </c>
      <c r="L435" s="1">
        <v>998977</v>
      </c>
      <c r="M435" s="1">
        <v>47563</v>
      </c>
      <c r="N435" s="1">
        <v>211473.82</v>
      </c>
      <c r="O435" s="1">
        <v>2024</v>
      </c>
      <c r="P435" s="1" t="s">
        <v>56</v>
      </c>
      <c r="Q435" s="1" t="s">
        <v>40</v>
      </c>
      <c r="R435" s="1" t="s">
        <v>41</v>
      </c>
      <c r="S435" s="1">
        <f t="shared" si="6"/>
        <v>48</v>
      </c>
      <c r="T435" s="7" t="str">
        <f>_xlfn.TEXTJOIN("_",TRUE,Finance_Data!A435,Finance_Data!B435,Finance_Data!C435,Finance_Data!D435,Finance_Data!E435,Finance_Data!G435,Finance_Data!H435)</f>
        <v>CMP_016_North_Singapore_Watch_Wholesale_45299_45346</v>
      </c>
    </row>
    <row r="436" spans="1:20" x14ac:dyDescent="0.35">
      <c r="A436" s="6" t="s">
        <v>103</v>
      </c>
      <c r="B436" s="1" t="s">
        <v>28</v>
      </c>
      <c r="C436" s="1" t="s">
        <v>29</v>
      </c>
      <c r="D436" s="1" t="s">
        <v>63</v>
      </c>
      <c r="E436" s="1" t="s">
        <v>22</v>
      </c>
      <c r="F436" s="1" t="s">
        <v>49</v>
      </c>
      <c r="G436" s="2">
        <v>45299</v>
      </c>
      <c r="H436" s="2">
        <v>45328</v>
      </c>
      <c r="I436" s="1">
        <v>46091.1</v>
      </c>
      <c r="J436" s="1">
        <v>0.223</v>
      </c>
      <c r="K436" s="1">
        <v>10278.32</v>
      </c>
      <c r="L436" s="1">
        <v>909138</v>
      </c>
      <c r="M436" s="1">
        <v>2417</v>
      </c>
      <c r="N436" s="1">
        <v>140451.87</v>
      </c>
      <c r="O436" s="1">
        <v>2024</v>
      </c>
      <c r="P436" s="1" t="s">
        <v>56</v>
      </c>
      <c r="Q436" s="1" t="s">
        <v>40</v>
      </c>
      <c r="R436" s="1" t="s">
        <v>41</v>
      </c>
      <c r="S436" s="1">
        <f t="shared" si="6"/>
        <v>30</v>
      </c>
      <c r="T436" s="7" t="str">
        <f>_xlfn.TEXTJOIN("_",TRUE,Finance_Data!A436,Finance_Data!B436,Finance_Data!C436,Finance_Data!D436,Finance_Data!E436,Finance_Data!G436,Finance_Data!H436)</f>
        <v>CMP_059_West_Australia_Skincare_Retail_45299_45328</v>
      </c>
    </row>
    <row r="437" spans="1:20" x14ac:dyDescent="0.35">
      <c r="A437" s="6" t="s">
        <v>96</v>
      </c>
      <c r="B437" s="1" t="s">
        <v>35</v>
      </c>
      <c r="C437" s="1" t="s">
        <v>36</v>
      </c>
      <c r="D437" s="1" t="s">
        <v>51</v>
      </c>
      <c r="E437" s="1" t="s">
        <v>22</v>
      </c>
      <c r="F437" s="1" t="s">
        <v>49</v>
      </c>
      <c r="G437" s="2">
        <v>45300</v>
      </c>
      <c r="H437" s="2">
        <v>45334</v>
      </c>
      <c r="I437" s="1">
        <v>8239.44</v>
      </c>
      <c r="J437" s="1">
        <v>0.18909999999999999</v>
      </c>
      <c r="K437" s="1">
        <v>1558.08</v>
      </c>
      <c r="L437" s="1">
        <v>728596</v>
      </c>
      <c r="M437" s="1">
        <v>19778</v>
      </c>
      <c r="N437" s="1">
        <v>211809.89</v>
      </c>
      <c r="O437" s="1">
        <v>2024</v>
      </c>
      <c r="P437" s="1" t="s">
        <v>56</v>
      </c>
      <c r="Q437" s="1" t="s">
        <v>40</v>
      </c>
      <c r="R437" s="1" t="s">
        <v>41</v>
      </c>
      <c r="S437" s="1">
        <f t="shared" si="6"/>
        <v>35</v>
      </c>
      <c r="T437" s="7" t="str">
        <f>_xlfn.TEXTJOIN("_",TRUE,Finance_Data!A437,Finance_Data!B437,Finance_Data!C437,Finance_Data!D437,Finance_Data!E437,Finance_Data!G437,Finance_Data!H437)</f>
        <v>CMP_027_East_India_Watch_Retail_45300_45334</v>
      </c>
    </row>
    <row r="438" spans="1:20" x14ac:dyDescent="0.35">
      <c r="A438" s="6" t="s">
        <v>104</v>
      </c>
      <c r="B438" s="1" t="s">
        <v>19</v>
      </c>
      <c r="C438" s="1" t="s">
        <v>29</v>
      </c>
      <c r="D438" s="1" t="s">
        <v>43</v>
      </c>
      <c r="E438" s="1" t="s">
        <v>38</v>
      </c>
      <c r="F438" s="1" t="s">
        <v>52</v>
      </c>
      <c r="G438" s="2">
        <v>45301</v>
      </c>
      <c r="H438" s="2">
        <v>45334</v>
      </c>
      <c r="I438" s="1">
        <v>31863.37</v>
      </c>
      <c r="J438" s="1">
        <v>0.1497</v>
      </c>
      <c r="K438" s="1">
        <v>4769.95</v>
      </c>
      <c r="L438" s="1">
        <v>467311</v>
      </c>
      <c r="M438" s="1">
        <v>4537</v>
      </c>
      <c r="N438" s="1">
        <v>123291.05</v>
      </c>
      <c r="O438" s="1">
        <v>2024</v>
      </c>
      <c r="P438" s="1" t="s">
        <v>56</v>
      </c>
      <c r="Q438" s="1" t="s">
        <v>40</v>
      </c>
      <c r="R438" s="1" t="s">
        <v>41</v>
      </c>
      <c r="S438" s="1">
        <f t="shared" si="6"/>
        <v>34</v>
      </c>
      <c r="T438" s="7" t="str">
        <f>_xlfn.TEXTJOIN("_",TRUE,Finance_Data!A438,Finance_Data!B438,Finance_Data!C438,Finance_Data!D438,Finance_Data!E438,Finance_Data!G438,Finance_Data!H438)</f>
        <v>CMP_034_North_Australia_Luxury Bag_Ecommerce_45301_45334</v>
      </c>
    </row>
    <row r="439" spans="1:20" x14ac:dyDescent="0.35">
      <c r="A439" s="6" t="s">
        <v>98</v>
      </c>
      <c r="B439" s="1" t="s">
        <v>28</v>
      </c>
      <c r="C439" s="1" t="s">
        <v>20</v>
      </c>
      <c r="D439" s="1" t="s">
        <v>21</v>
      </c>
      <c r="E439" s="1" t="s">
        <v>30</v>
      </c>
      <c r="F439" s="1" t="s">
        <v>31</v>
      </c>
      <c r="G439" s="2">
        <v>45301</v>
      </c>
      <c r="H439" s="2">
        <v>45308</v>
      </c>
      <c r="I439" s="1">
        <v>20628.5</v>
      </c>
      <c r="J439" s="1">
        <v>0.68859999999999999</v>
      </c>
      <c r="K439" s="1">
        <v>14204.79</v>
      </c>
      <c r="L439" s="1">
        <v>214110</v>
      </c>
      <c r="M439" s="1">
        <v>23858</v>
      </c>
      <c r="N439" s="1">
        <v>140539.62</v>
      </c>
      <c r="O439" s="1">
        <v>2024</v>
      </c>
      <c r="P439" s="1" t="s">
        <v>56</v>
      </c>
      <c r="Q439" s="1" t="s">
        <v>40</v>
      </c>
      <c r="R439" s="1" t="s">
        <v>26</v>
      </c>
      <c r="S439" s="1">
        <f t="shared" si="6"/>
        <v>8</v>
      </c>
      <c r="T439" s="7" t="str">
        <f>_xlfn.TEXTJOIN("_",TRUE,Finance_Data!A439,Finance_Data!B439,Finance_Data!C439,Finance_Data!D439,Finance_Data!E439,Finance_Data!G439,Finance_Data!H439)</f>
        <v>CMP_005_West_Singapore_Foundation_Wholesale_45301_45308</v>
      </c>
    </row>
    <row r="440" spans="1:20" x14ac:dyDescent="0.35">
      <c r="A440" s="6" t="s">
        <v>83</v>
      </c>
      <c r="B440" s="1" t="s">
        <v>19</v>
      </c>
      <c r="C440" s="1" t="s">
        <v>69</v>
      </c>
      <c r="D440" s="1" t="s">
        <v>37</v>
      </c>
      <c r="E440" s="1" t="s">
        <v>38</v>
      </c>
      <c r="F440" s="1" t="s">
        <v>44</v>
      </c>
      <c r="G440" s="2">
        <v>45303</v>
      </c>
      <c r="H440" s="2">
        <v>45359</v>
      </c>
      <c r="I440" s="1">
        <v>25379.61</v>
      </c>
      <c r="J440" s="1">
        <v>0.33489999999999998</v>
      </c>
      <c r="K440" s="1">
        <v>8499.6299999999992</v>
      </c>
      <c r="L440" s="1">
        <v>35918</v>
      </c>
      <c r="M440" s="1">
        <v>11868</v>
      </c>
      <c r="N440" s="1">
        <v>113213.68</v>
      </c>
      <c r="O440" s="1">
        <v>2024</v>
      </c>
      <c r="P440" s="1" t="s">
        <v>56</v>
      </c>
      <c r="Q440" s="1" t="s">
        <v>40</v>
      </c>
      <c r="R440" s="1" t="s">
        <v>26</v>
      </c>
      <c r="S440" s="1">
        <f t="shared" si="6"/>
        <v>57</v>
      </c>
      <c r="T440" s="7" t="str">
        <f>_xlfn.TEXTJOIN("_",TRUE,Finance_Data!A440,Finance_Data!B440,Finance_Data!C440,Finance_Data!D440,Finance_Data!E440,Finance_Data!G440,Finance_Data!H440)</f>
        <v>CMP_017_North_USA_Perfume_Ecommerce_45303_45359</v>
      </c>
    </row>
    <row r="441" spans="1:20" x14ac:dyDescent="0.35">
      <c r="A441" s="6" t="s">
        <v>50</v>
      </c>
      <c r="B441" s="1" t="s">
        <v>35</v>
      </c>
      <c r="C441" s="1" t="s">
        <v>58</v>
      </c>
      <c r="D441" s="1" t="s">
        <v>51</v>
      </c>
      <c r="E441" s="1" t="s">
        <v>30</v>
      </c>
      <c r="F441" s="1" t="s">
        <v>49</v>
      </c>
      <c r="G441" s="2">
        <v>45303</v>
      </c>
      <c r="H441" s="2">
        <v>45347</v>
      </c>
      <c r="I441" s="1">
        <v>11821.61</v>
      </c>
      <c r="J441" s="1">
        <v>1.1493</v>
      </c>
      <c r="K441" s="1">
        <v>13586.58</v>
      </c>
      <c r="L441" s="1">
        <v>511410</v>
      </c>
      <c r="M441" s="1">
        <v>10139</v>
      </c>
      <c r="N441" s="1">
        <v>116469.77</v>
      </c>
      <c r="O441" s="1">
        <v>2024</v>
      </c>
      <c r="P441" s="1" t="s">
        <v>56</v>
      </c>
      <c r="Q441" s="1" t="s">
        <v>40</v>
      </c>
      <c r="R441" s="1" t="s">
        <v>61</v>
      </c>
      <c r="S441" s="1">
        <f t="shared" si="6"/>
        <v>45</v>
      </c>
      <c r="T441" s="7" t="str">
        <f>_xlfn.TEXTJOIN("_",TRUE,Finance_Data!A441,Finance_Data!B441,Finance_Data!C441,Finance_Data!D441,Finance_Data!E441,Finance_Data!G441,Finance_Data!H441)</f>
        <v>CMP_039_East_UK_Watch_Wholesale_45303_45347</v>
      </c>
    </row>
    <row r="442" spans="1:20" x14ac:dyDescent="0.35">
      <c r="A442" s="6" t="s">
        <v>62</v>
      </c>
      <c r="B442" s="1" t="s">
        <v>19</v>
      </c>
      <c r="C442" s="1" t="s">
        <v>36</v>
      </c>
      <c r="D442" s="1" t="s">
        <v>37</v>
      </c>
      <c r="E442" s="1" t="s">
        <v>22</v>
      </c>
      <c r="F442" s="1" t="s">
        <v>23</v>
      </c>
      <c r="G442" s="2">
        <v>45303</v>
      </c>
      <c r="H442" s="2">
        <v>45318</v>
      </c>
      <c r="I442" s="1">
        <v>13500.69</v>
      </c>
      <c r="J442" s="1">
        <v>0.13250000000000001</v>
      </c>
      <c r="K442" s="1">
        <v>1788.84</v>
      </c>
      <c r="L442" s="1">
        <v>611790</v>
      </c>
      <c r="M442" s="1">
        <v>44279</v>
      </c>
      <c r="N442" s="1">
        <v>182080.7</v>
      </c>
      <c r="O442" s="1">
        <v>2024</v>
      </c>
      <c r="P442" s="1" t="s">
        <v>56</v>
      </c>
      <c r="Q442" s="1" t="s">
        <v>40</v>
      </c>
      <c r="R442" s="1" t="s">
        <v>54</v>
      </c>
      <c r="S442" s="1">
        <f t="shared" si="6"/>
        <v>16</v>
      </c>
      <c r="T442" s="7" t="str">
        <f>_xlfn.TEXTJOIN("_",TRUE,Finance_Data!A442,Finance_Data!B442,Finance_Data!C442,Finance_Data!D442,Finance_Data!E442,Finance_Data!G442,Finance_Data!H442)</f>
        <v>CMP_015_North_India_Perfume_Retail_45303_45318</v>
      </c>
    </row>
    <row r="443" spans="1:20" x14ac:dyDescent="0.35">
      <c r="A443" s="6" t="s">
        <v>72</v>
      </c>
      <c r="B443" s="1" t="s">
        <v>28</v>
      </c>
      <c r="C443" s="1" t="s">
        <v>58</v>
      </c>
      <c r="D443" s="1" t="s">
        <v>37</v>
      </c>
      <c r="E443" s="1" t="s">
        <v>30</v>
      </c>
      <c r="F443" s="1" t="s">
        <v>31</v>
      </c>
      <c r="G443" s="2">
        <v>45304</v>
      </c>
      <c r="H443" s="2">
        <v>45325</v>
      </c>
      <c r="I443" s="1">
        <v>25636.87</v>
      </c>
      <c r="J443" s="1">
        <v>2.5499999999999998E-2</v>
      </c>
      <c r="K443" s="1">
        <v>653.74</v>
      </c>
      <c r="L443" s="1">
        <v>296290</v>
      </c>
      <c r="M443" s="1">
        <v>2297</v>
      </c>
      <c r="N443" s="1">
        <v>163568.44</v>
      </c>
      <c r="O443" s="1">
        <v>2024</v>
      </c>
      <c r="P443" s="1" t="s">
        <v>56</v>
      </c>
      <c r="Q443" s="1" t="s">
        <v>40</v>
      </c>
      <c r="R443" s="1" t="s">
        <v>41</v>
      </c>
      <c r="S443" s="1">
        <f t="shared" si="6"/>
        <v>22</v>
      </c>
      <c r="T443" s="7" t="str">
        <f>_xlfn.TEXTJOIN("_",TRUE,Finance_Data!A443,Finance_Data!B443,Finance_Data!C443,Finance_Data!D443,Finance_Data!E443,Finance_Data!G443,Finance_Data!H443)</f>
        <v>CMP_042_West_UK_Perfume_Wholesale_45304_45325</v>
      </c>
    </row>
    <row r="444" spans="1:20" x14ac:dyDescent="0.35">
      <c r="A444" s="6" t="s">
        <v>88</v>
      </c>
      <c r="B444" s="1" t="s">
        <v>28</v>
      </c>
      <c r="C444" s="1" t="s">
        <v>29</v>
      </c>
      <c r="D444" s="1" t="s">
        <v>51</v>
      </c>
      <c r="E444" s="1" t="s">
        <v>38</v>
      </c>
      <c r="F444" s="1" t="s">
        <v>49</v>
      </c>
      <c r="G444" s="2">
        <v>45305</v>
      </c>
      <c r="H444" s="2">
        <v>45347</v>
      </c>
      <c r="I444" s="1">
        <v>34529.089999999997</v>
      </c>
      <c r="J444" s="1">
        <v>0.55520000000000003</v>
      </c>
      <c r="K444" s="1">
        <v>19170.55</v>
      </c>
      <c r="L444" s="1">
        <v>20821</v>
      </c>
      <c r="M444" s="1">
        <v>30828</v>
      </c>
      <c r="N444" s="1">
        <v>37635.21</v>
      </c>
      <c r="O444" s="1">
        <v>2024</v>
      </c>
      <c r="P444" s="1" t="s">
        <v>56</v>
      </c>
      <c r="Q444" s="1" t="s">
        <v>40</v>
      </c>
      <c r="R444" s="1" t="s">
        <v>41</v>
      </c>
      <c r="S444" s="1">
        <f t="shared" si="6"/>
        <v>43</v>
      </c>
      <c r="T444" s="7" t="str">
        <f>_xlfn.TEXTJOIN("_",TRUE,Finance_Data!A444,Finance_Data!B444,Finance_Data!C444,Finance_Data!D444,Finance_Data!E444,Finance_Data!G444,Finance_Data!H444)</f>
        <v>CMP_021_West_Australia_Watch_Ecommerce_45305_45347</v>
      </c>
    </row>
    <row r="445" spans="1:20" x14ac:dyDescent="0.35">
      <c r="A445" s="6" t="s">
        <v>66</v>
      </c>
      <c r="B445" s="1" t="s">
        <v>35</v>
      </c>
      <c r="C445" s="1" t="s">
        <v>58</v>
      </c>
      <c r="D445" s="1" t="s">
        <v>43</v>
      </c>
      <c r="E445" s="1" t="s">
        <v>22</v>
      </c>
      <c r="F445" s="1" t="s">
        <v>44</v>
      </c>
      <c r="G445" s="2">
        <v>45305</v>
      </c>
      <c r="H445" s="2">
        <v>45321</v>
      </c>
      <c r="I445" s="1">
        <v>11052.61</v>
      </c>
      <c r="J445" s="1">
        <v>0.85150000000000003</v>
      </c>
      <c r="K445" s="1">
        <v>9411.2999999999993</v>
      </c>
      <c r="L445" s="1">
        <v>707883</v>
      </c>
      <c r="M445" s="1">
        <v>20871</v>
      </c>
      <c r="N445" s="1">
        <v>244615.53</v>
      </c>
      <c r="O445" s="1">
        <v>2024</v>
      </c>
      <c r="P445" s="1" t="s">
        <v>56</v>
      </c>
      <c r="Q445" s="1" t="s">
        <v>40</v>
      </c>
      <c r="R445" s="1" t="s">
        <v>41</v>
      </c>
      <c r="S445" s="1">
        <f t="shared" si="6"/>
        <v>17</v>
      </c>
      <c r="T445" s="7" t="str">
        <f>_xlfn.TEXTJOIN("_",TRUE,Finance_Data!A445,Finance_Data!B445,Finance_Data!C445,Finance_Data!D445,Finance_Data!E445,Finance_Data!G445,Finance_Data!H445)</f>
        <v>CMP_010_East_UK_Luxury Bag_Retail_45305_45321</v>
      </c>
    </row>
    <row r="446" spans="1:20" x14ac:dyDescent="0.35">
      <c r="A446" s="6" t="s">
        <v>82</v>
      </c>
      <c r="B446" s="1" t="s">
        <v>48</v>
      </c>
      <c r="C446" s="1" t="s">
        <v>69</v>
      </c>
      <c r="D446" s="1" t="s">
        <v>37</v>
      </c>
      <c r="E446" s="1" t="s">
        <v>22</v>
      </c>
      <c r="F446" s="1" t="s">
        <v>44</v>
      </c>
      <c r="G446" s="2">
        <v>45310</v>
      </c>
      <c r="H446" s="2">
        <v>45339</v>
      </c>
      <c r="I446" s="1">
        <v>22978.32</v>
      </c>
      <c r="J446" s="1">
        <v>1.1013999999999999</v>
      </c>
      <c r="K446" s="1">
        <v>25308.32</v>
      </c>
      <c r="L446" s="1">
        <v>405833</v>
      </c>
      <c r="M446" s="1">
        <v>24718</v>
      </c>
      <c r="N446" s="1">
        <v>24661.25</v>
      </c>
      <c r="O446" s="1">
        <v>2024</v>
      </c>
      <c r="P446" s="1" t="s">
        <v>56</v>
      </c>
      <c r="Q446" s="1" t="s">
        <v>40</v>
      </c>
      <c r="R446" s="1" t="s">
        <v>54</v>
      </c>
      <c r="S446" s="1">
        <f t="shared" si="6"/>
        <v>30</v>
      </c>
      <c r="T446" s="7" t="str">
        <f>_xlfn.TEXTJOIN("_",TRUE,Finance_Data!A446,Finance_Data!B446,Finance_Data!C446,Finance_Data!D446,Finance_Data!E446,Finance_Data!G446,Finance_Data!H446)</f>
        <v>CMP_043_South_USA_Perfume_Retail_45310_45339</v>
      </c>
    </row>
    <row r="447" spans="1:20" x14ac:dyDescent="0.35">
      <c r="A447" s="6" t="s">
        <v>93</v>
      </c>
      <c r="B447" s="1" t="s">
        <v>35</v>
      </c>
      <c r="C447" s="1" t="s">
        <v>69</v>
      </c>
      <c r="D447" s="1" t="s">
        <v>51</v>
      </c>
      <c r="E447" s="1" t="s">
        <v>22</v>
      </c>
      <c r="F447" s="1" t="s">
        <v>31</v>
      </c>
      <c r="G447" s="2">
        <v>45311</v>
      </c>
      <c r="H447" s="2">
        <v>45356</v>
      </c>
      <c r="I447" s="1">
        <v>27179.39</v>
      </c>
      <c r="J447" s="1">
        <v>0.20749999999999999</v>
      </c>
      <c r="K447" s="1">
        <v>5639.72</v>
      </c>
      <c r="L447" s="1">
        <v>645111</v>
      </c>
      <c r="M447" s="1">
        <v>25630</v>
      </c>
      <c r="N447" s="1">
        <v>50907.83</v>
      </c>
      <c r="O447" s="1">
        <v>2024</v>
      </c>
      <c r="P447" s="1" t="s">
        <v>56</v>
      </c>
      <c r="Q447" s="1" t="s">
        <v>40</v>
      </c>
      <c r="R447" s="1" t="s">
        <v>54</v>
      </c>
      <c r="S447" s="1">
        <f t="shared" si="6"/>
        <v>46</v>
      </c>
      <c r="T447" s="7" t="str">
        <f>_xlfn.TEXTJOIN("_",TRUE,Finance_Data!A447,Finance_Data!B447,Finance_Data!C447,Finance_Data!D447,Finance_Data!E447,Finance_Data!G447,Finance_Data!H447)</f>
        <v>CMP_008_East_USA_Watch_Retail_45311_45356</v>
      </c>
    </row>
    <row r="448" spans="1:20" x14ac:dyDescent="0.35">
      <c r="A448" s="6" t="s">
        <v>105</v>
      </c>
      <c r="B448" s="1" t="s">
        <v>48</v>
      </c>
      <c r="C448" s="1" t="s">
        <v>20</v>
      </c>
      <c r="D448" s="1" t="s">
        <v>21</v>
      </c>
      <c r="E448" s="1" t="s">
        <v>38</v>
      </c>
      <c r="F448" s="1" t="s">
        <v>31</v>
      </c>
      <c r="G448" s="2">
        <v>45312</v>
      </c>
      <c r="H448" s="2">
        <v>45358</v>
      </c>
      <c r="I448" s="1">
        <v>19547.41</v>
      </c>
      <c r="J448" s="1">
        <v>0.70930000000000004</v>
      </c>
      <c r="K448" s="1">
        <v>13864.98</v>
      </c>
      <c r="L448" s="1">
        <v>951858</v>
      </c>
      <c r="M448" s="1">
        <v>5201</v>
      </c>
      <c r="N448" s="1">
        <v>131582.41</v>
      </c>
      <c r="O448" s="1">
        <v>2024</v>
      </c>
      <c r="P448" s="1" t="s">
        <v>56</v>
      </c>
      <c r="Q448" s="1" t="s">
        <v>40</v>
      </c>
      <c r="R448" s="1" t="s">
        <v>54</v>
      </c>
      <c r="S448" s="1">
        <f t="shared" si="6"/>
        <v>47</v>
      </c>
      <c r="T448" s="7" t="str">
        <f>_xlfn.TEXTJOIN("_",TRUE,Finance_Data!A448,Finance_Data!B448,Finance_Data!C448,Finance_Data!D448,Finance_Data!E448,Finance_Data!G448,Finance_Data!H448)</f>
        <v>CMP_025_South_Singapore_Foundation_Ecommerce_45312_45358</v>
      </c>
    </row>
    <row r="449" spans="1:20" x14ac:dyDescent="0.35">
      <c r="A449" s="6" t="s">
        <v>114</v>
      </c>
      <c r="B449" s="1" t="s">
        <v>35</v>
      </c>
      <c r="C449" s="1" t="s">
        <v>36</v>
      </c>
      <c r="D449" s="1" t="s">
        <v>21</v>
      </c>
      <c r="E449" s="1" t="s">
        <v>30</v>
      </c>
      <c r="F449" s="1" t="s">
        <v>23</v>
      </c>
      <c r="G449" s="2">
        <v>45312</v>
      </c>
      <c r="H449" s="2">
        <v>45354</v>
      </c>
      <c r="I449" s="1">
        <v>45395.97</v>
      </c>
      <c r="J449" s="1">
        <v>0.63690000000000002</v>
      </c>
      <c r="K449" s="1">
        <v>28912.69</v>
      </c>
      <c r="L449" s="1">
        <v>277865</v>
      </c>
      <c r="M449" s="1">
        <v>11262</v>
      </c>
      <c r="N449" s="1">
        <v>19726.96</v>
      </c>
      <c r="O449" s="1">
        <v>2024</v>
      </c>
      <c r="P449" s="1" t="s">
        <v>56</v>
      </c>
      <c r="Q449" s="1" t="s">
        <v>40</v>
      </c>
      <c r="R449" s="1" t="s">
        <v>26</v>
      </c>
      <c r="S449" s="1">
        <f t="shared" si="6"/>
        <v>43</v>
      </c>
      <c r="T449" s="7" t="str">
        <f>_xlfn.TEXTJOIN("_",TRUE,Finance_Data!A449,Finance_Data!B449,Finance_Data!C449,Finance_Data!D449,Finance_Data!E449,Finance_Data!G449,Finance_Data!H449)</f>
        <v>CMP_013_East_India_Foundation_Wholesale_45312_45354</v>
      </c>
    </row>
    <row r="450" spans="1:20" x14ac:dyDescent="0.35">
      <c r="A450" s="6" t="s">
        <v>103</v>
      </c>
      <c r="B450" s="1" t="s">
        <v>28</v>
      </c>
      <c r="C450" s="1" t="s">
        <v>20</v>
      </c>
      <c r="D450" s="1" t="s">
        <v>59</v>
      </c>
      <c r="E450" s="1" t="s">
        <v>38</v>
      </c>
      <c r="F450" s="1" t="s">
        <v>31</v>
      </c>
      <c r="G450" s="2">
        <v>45313</v>
      </c>
      <c r="H450" s="2">
        <v>45358</v>
      </c>
      <c r="I450" s="1">
        <v>6288.65</v>
      </c>
      <c r="J450" s="1">
        <v>0.33600000000000002</v>
      </c>
      <c r="K450" s="1">
        <v>2112.9899999999998</v>
      </c>
      <c r="L450" s="1">
        <v>667343</v>
      </c>
      <c r="M450" s="1">
        <v>44585</v>
      </c>
      <c r="N450" s="1">
        <v>138504.51999999999</v>
      </c>
      <c r="O450" s="1">
        <v>2024</v>
      </c>
      <c r="P450" s="1" t="s">
        <v>56</v>
      </c>
      <c r="Q450" s="1" t="s">
        <v>40</v>
      </c>
      <c r="R450" s="1" t="s">
        <v>41</v>
      </c>
      <c r="S450" s="1">
        <f t="shared" ref="S450:S513" si="7">H450-G450+1</f>
        <v>46</v>
      </c>
      <c r="T450" s="7" t="str">
        <f>_xlfn.TEXTJOIN("_",TRUE,Finance_Data!A450,Finance_Data!B450,Finance_Data!C450,Finance_Data!D450,Finance_Data!E450,Finance_Data!G450,Finance_Data!H450)</f>
        <v>CMP_059_West_Singapore_Lipstick_Ecommerce_45313_45358</v>
      </c>
    </row>
    <row r="451" spans="1:20" x14ac:dyDescent="0.35">
      <c r="A451" s="6" t="s">
        <v>67</v>
      </c>
      <c r="B451" s="1" t="s">
        <v>35</v>
      </c>
      <c r="C451" s="1" t="s">
        <v>69</v>
      </c>
      <c r="D451" s="1" t="s">
        <v>51</v>
      </c>
      <c r="E451" s="1" t="s">
        <v>22</v>
      </c>
      <c r="F451" s="1" t="s">
        <v>44</v>
      </c>
      <c r="G451" s="2">
        <v>45315</v>
      </c>
      <c r="H451" s="2">
        <v>45361</v>
      </c>
      <c r="I451" s="1">
        <v>39583.29</v>
      </c>
      <c r="J451" s="1">
        <v>0.1421</v>
      </c>
      <c r="K451" s="1">
        <v>5624.79</v>
      </c>
      <c r="L451" s="1">
        <v>991586</v>
      </c>
      <c r="M451" s="1">
        <v>13878</v>
      </c>
      <c r="N451" s="1">
        <v>79742.73</v>
      </c>
      <c r="O451" s="1">
        <v>2024</v>
      </c>
      <c r="P451" s="1" t="s">
        <v>56</v>
      </c>
      <c r="Q451" s="1" t="s">
        <v>40</v>
      </c>
      <c r="R451" s="1" t="s">
        <v>54</v>
      </c>
      <c r="S451" s="1">
        <f t="shared" si="7"/>
        <v>47</v>
      </c>
      <c r="T451" s="7" t="str">
        <f>_xlfn.TEXTJOIN("_",TRUE,Finance_Data!A451,Finance_Data!B451,Finance_Data!C451,Finance_Data!D451,Finance_Data!E451,Finance_Data!G451,Finance_Data!H451)</f>
        <v>CMP_016_East_USA_Watch_Retail_45315_45361</v>
      </c>
    </row>
    <row r="452" spans="1:20" x14ac:dyDescent="0.35">
      <c r="A452" s="6" t="s">
        <v>55</v>
      </c>
      <c r="B452" s="1" t="s">
        <v>19</v>
      </c>
      <c r="C452" s="1" t="s">
        <v>29</v>
      </c>
      <c r="D452" s="1" t="s">
        <v>37</v>
      </c>
      <c r="E452" s="1" t="s">
        <v>38</v>
      </c>
      <c r="F452" s="1" t="s">
        <v>49</v>
      </c>
      <c r="G452" s="2">
        <v>45315</v>
      </c>
      <c r="H452" s="2">
        <v>45337</v>
      </c>
      <c r="I452" s="1">
        <v>49486.64</v>
      </c>
      <c r="J452" s="1">
        <v>0.77159999999999995</v>
      </c>
      <c r="K452" s="1">
        <v>38183.89</v>
      </c>
      <c r="L452" s="1">
        <v>594004</v>
      </c>
      <c r="M452" s="1">
        <v>14492</v>
      </c>
      <c r="N452" s="1">
        <v>172730.49</v>
      </c>
      <c r="O452" s="1">
        <v>2024</v>
      </c>
      <c r="P452" s="1" t="s">
        <v>56</v>
      </c>
      <c r="Q452" s="1" t="s">
        <v>40</v>
      </c>
      <c r="R452" s="1" t="s">
        <v>41</v>
      </c>
      <c r="S452" s="1">
        <f t="shared" si="7"/>
        <v>23</v>
      </c>
      <c r="T452" s="7" t="str">
        <f>_xlfn.TEXTJOIN("_",TRUE,Finance_Data!A452,Finance_Data!B452,Finance_Data!C452,Finance_Data!D452,Finance_Data!E452,Finance_Data!G452,Finance_Data!H452)</f>
        <v>CMP_054_North_Australia_Perfume_Ecommerce_45315_45337</v>
      </c>
    </row>
    <row r="453" spans="1:20" x14ac:dyDescent="0.35">
      <c r="A453" s="6" t="s">
        <v>89</v>
      </c>
      <c r="B453" s="1" t="s">
        <v>19</v>
      </c>
      <c r="C453" s="1" t="s">
        <v>20</v>
      </c>
      <c r="D453" s="1" t="s">
        <v>51</v>
      </c>
      <c r="E453" s="1" t="s">
        <v>22</v>
      </c>
      <c r="F453" s="1" t="s">
        <v>49</v>
      </c>
      <c r="G453" s="2">
        <v>45317</v>
      </c>
      <c r="H453" s="2">
        <v>45360</v>
      </c>
      <c r="I453" s="1">
        <v>26997.29</v>
      </c>
      <c r="J453" s="1">
        <v>0.54990000000000006</v>
      </c>
      <c r="K453" s="1">
        <v>14845.81</v>
      </c>
      <c r="L453" s="1">
        <v>644836</v>
      </c>
      <c r="M453" s="1">
        <v>28293</v>
      </c>
      <c r="N453" s="1">
        <v>29298.720000000001</v>
      </c>
      <c r="O453" s="1">
        <v>2024</v>
      </c>
      <c r="P453" s="1" t="s">
        <v>56</v>
      </c>
      <c r="Q453" s="1" t="s">
        <v>40</v>
      </c>
      <c r="R453" s="1" t="s">
        <v>54</v>
      </c>
      <c r="S453" s="1">
        <f t="shared" si="7"/>
        <v>44</v>
      </c>
      <c r="T453" s="7" t="str">
        <f>_xlfn.TEXTJOIN("_",TRUE,Finance_Data!A453,Finance_Data!B453,Finance_Data!C453,Finance_Data!D453,Finance_Data!E453,Finance_Data!G453,Finance_Data!H453)</f>
        <v>CMP_045_North_Singapore_Watch_Retail_45317_45360</v>
      </c>
    </row>
    <row r="454" spans="1:20" x14ac:dyDescent="0.35">
      <c r="A454" s="6" t="s">
        <v>97</v>
      </c>
      <c r="B454" s="1" t="s">
        <v>35</v>
      </c>
      <c r="C454" s="1" t="s">
        <v>29</v>
      </c>
      <c r="D454" s="1" t="s">
        <v>37</v>
      </c>
      <c r="E454" s="1" t="s">
        <v>30</v>
      </c>
      <c r="F454" s="1" t="s">
        <v>31</v>
      </c>
      <c r="G454" s="2">
        <v>45317</v>
      </c>
      <c r="H454" s="2">
        <v>45331</v>
      </c>
      <c r="I454" s="1">
        <v>3600.18</v>
      </c>
      <c r="J454" s="1">
        <v>7.7399999999999997E-2</v>
      </c>
      <c r="K454" s="1">
        <v>278.64999999999998</v>
      </c>
      <c r="L454" s="1">
        <v>289947</v>
      </c>
      <c r="M454" s="1">
        <v>49264</v>
      </c>
      <c r="N454" s="1">
        <v>197455.39</v>
      </c>
      <c r="O454" s="1">
        <v>2024</v>
      </c>
      <c r="P454" s="1" t="s">
        <v>56</v>
      </c>
      <c r="Q454" s="1" t="s">
        <v>40</v>
      </c>
      <c r="R454" s="1" t="s">
        <v>61</v>
      </c>
      <c r="S454" s="1">
        <f t="shared" si="7"/>
        <v>15</v>
      </c>
      <c r="T454" s="7" t="str">
        <f>_xlfn.TEXTJOIN("_",TRUE,Finance_Data!A454,Finance_Data!B454,Finance_Data!C454,Finance_Data!D454,Finance_Data!E454,Finance_Data!G454,Finance_Data!H454)</f>
        <v>CMP_019_East_Australia_Perfume_Wholesale_45317_45331</v>
      </c>
    </row>
    <row r="455" spans="1:20" x14ac:dyDescent="0.35">
      <c r="A455" s="6" t="s">
        <v>62</v>
      </c>
      <c r="B455" s="1" t="s">
        <v>19</v>
      </c>
      <c r="C455" s="1" t="s">
        <v>20</v>
      </c>
      <c r="D455" s="1" t="s">
        <v>37</v>
      </c>
      <c r="E455" s="1" t="s">
        <v>38</v>
      </c>
      <c r="F455" s="1" t="s">
        <v>52</v>
      </c>
      <c r="G455" s="2">
        <v>45318</v>
      </c>
      <c r="H455" s="2">
        <v>45355</v>
      </c>
      <c r="I455" s="1">
        <v>32389.01</v>
      </c>
      <c r="J455" s="1">
        <v>0.28660000000000002</v>
      </c>
      <c r="K455" s="1">
        <v>9282.69</v>
      </c>
      <c r="L455" s="1">
        <v>626005</v>
      </c>
      <c r="M455" s="1">
        <v>46278</v>
      </c>
      <c r="N455" s="1">
        <v>247153.31</v>
      </c>
      <c r="O455" s="1">
        <v>2024</v>
      </c>
      <c r="P455" s="1" t="s">
        <v>56</v>
      </c>
      <c r="Q455" s="1" t="s">
        <v>40</v>
      </c>
      <c r="R455" s="1" t="s">
        <v>54</v>
      </c>
      <c r="S455" s="1">
        <f t="shared" si="7"/>
        <v>38</v>
      </c>
      <c r="T455" s="7" t="str">
        <f>_xlfn.TEXTJOIN("_",TRUE,Finance_Data!A455,Finance_Data!B455,Finance_Data!C455,Finance_Data!D455,Finance_Data!E455,Finance_Data!G455,Finance_Data!H455)</f>
        <v>CMP_015_North_Singapore_Perfume_Ecommerce_45318_45355</v>
      </c>
    </row>
    <row r="456" spans="1:20" x14ac:dyDescent="0.35">
      <c r="A456" s="6" t="s">
        <v>98</v>
      </c>
      <c r="B456" s="1" t="s">
        <v>28</v>
      </c>
      <c r="C456" s="1" t="s">
        <v>29</v>
      </c>
      <c r="D456" s="1" t="s">
        <v>43</v>
      </c>
      <c r="E456" s="1" t="s">
        <v>38</v>
      </c>
      <c r="F456" s="1" t="s">
        <v>52</v>
      </c>
      <c r="G456" s="2">
        <v>45318</v>
      </c>
      <c r="H456" s="2">
        <v>45347</v>
      </c>
      <c r="I456" s="1">
        <v>17300.080000000002</v>
      </c>
      <c r="J456" s="1">
        <v>8.1500000000000003E-2</v>
      </c>
      <c r="K456" s="1">
        <v>1409.96</v>
      </c>
      <c r="L456" s="1">
        <v>862283</v>
      </c>
      <c r="M456" s="1">
        <v>17445</v>
      </c>
      <c r="N456" s="1">
        <v>48592.72</v>
      </c>
      <c r="O456" s="1">
        <v>2024</v>
      </c>
      <c r="P456" s="1" t="s">
        <v>56</v>
      </c>
      <c r="Q456" s="1" t="s">
        <v>40</v>
      </c>
      <c r="R456" s="1" t="s">
        <v>54</v>
      </c>
      <c r="S456" s="1">
        <f t="shared" si="7"/>
        <v>30</v>
      </c>
      <c r="T456" s="7" t="str">
        <f>_xlfn.TEXTJOIN("_",TRUE,Finance_Data!A456,Finance_Data!B456,Finance_Data!C456,Finance_Data!D456,Finance_Data!E456,Finance_Data!G456,Finance_Data!H456)</f>
        <v>CMP_005_West_Australia_Luxury Bag_Ecommerce_45318_45347</v>
      </c>
    </row>
    <row r="457" spans="1:20" x14ac:dyDescent="0.35">
      <c r="A457" s="6" t="s">
        <v>104</v>
      </c>
      <c r="B457" s="1" t="s">
        <v>48</v>
      </c>
      <c r="C457" s="1" t="s">
        <v>36</v>
      </c>
      <c r="D457" s="1" t="s">
        <v>43</v>
      </c>
      <c r="E457" s="1" t="s">
        <v>38</v>
      </c>
      <c r="F457" s="1" t="s">
        <v>31</v>
      </c>
      <c r="G457" s="2">
        <v>45318</v>
      </c>
      <c r="H457" s="2">
        <v>45346</v>
      </c>
      <c r="I457" s="1">
        <v>9771.27</v>
      </c>
      <c r="J457" s="1">
        <v>0.89970000000000006</v>
      </c>
      <c r="K457" s="1">
        <v>8791.2099999999991</v>
      </c>
      <c r="L457" s="1">
        <v>21190</v>
      </c>
      <c r="M457" s="1">
        <v>12934</v>
      </c>
      <c r="N457" s="1">
        <v>113309.74</v>
      </c>
      <c r="O457" s="1">
        <v>2024</v>
      </c>
      <c r="P457" s="1" t="s">
        <v>56</v>
      </c>
      <c r="Q457" s="1" t="s">
        <v>40</v>
      </c>
      <c r="R457" s="1" t="s">
        <v>26</v>
      </c>
      <c r="S457" s="1">
        <f t="shared" si="7"/>
        <v>29</v>
      </c>
      <c r="T457" s="7" t="str">
        <f>_xlfn.TEXTJOIN("_",TRUE,Finance_Data!A457,Finance_Data!B457,Finance_Data!C457,Finance_Data!D457,Finance_Data!E457,Finance_Data!G457,Finance_Data!H457)</f>
        <v>CMP_034_South_India_Luxury Bag_Ecommerce_45318_45346</v>
      </c>
    </row>
    <row r="458" spans="1:20" x14ac:dyDescent="0.35">
      <c r="A458" s="6" t="s">
        <v>42</v>
      </c>
      <c r="B458" s="1" t="s">
        <v>35</v>
      </c>
      <c r="C458" s="1" t="s">
        <v>29</v>
      </c>
      <c r="D458" s="1" t="s">
        <v>59</v>
      </c>
      <c r="E458" s="1" t="s">
        <v>38</v>
      </c>
      <c r="F458" s="1" t="s">
        <v>44</v>
      </c>
      <c r="G458" s="2">
        <v>45320</v>
      </c>
      <c r="H458" s="2">
        <v>45380</v>
      </c>
      <c r="I458" s="1">
        <v>31153.49</v>
      </c>
      <c r="J458" s="1">
        <v>0.3054</v>
      </c>
      <c r="K458" s="1">
        <v>9514.2800000000007</v>
      </c>
      <c r="L458" s="1">
        <v>917340</v>
      </c>
      <c r="M458" s="1">
        <v>10566</v>
      </c>
      <c r="N458" s="1">
        <v>204302.07</v>
      </c>
      <c r="O458" s="1">
        <v>2024</v>
      </c>
      <c r="P458" s="1" t="s">
        <v>56</v>
      </c>
      <c r="Q458" s="1" t="s">
        <v>40</v>
      </c>
      <c r="R458" s="1" t="s">
        <v>54</v>
      </c>
      <c r="S458" s="1">
        <f t="shared" si="7"/>
        <v>61</v>
      </c>
      <c r="T458" s="7" t="str">
        <f>_xlfn.TEXTJOIN("_",TRUE,Finance_Data!A458,Finance_Data!B458,Finance_Data!C458,Finance_Data!D458,Finance_Data!E458,Finance_Data!G458,Finance_Data!H458)</f>
        <v>CMP_060_East_Australia_Lipstick_Ecommerce_45320_45380</v>
      </c>
    </row>
    <row r="459" spans="1:20" x14ac:dyDescent="0.35">
      <c r="A459" s="6" t="s">
        <v>50</v>
      </c>
      <c r="B459" s="1" t="s">
        <v>48</v>
      </c>
      <c r="C459" s="1" t="s">
        <v>69</v>
      </c>
      <c r="D459" s="1" t="s">
        <v>21</v>
      </c>
      <c r="E459" s="1" t="s">
        <v>38</v>
      </c>
      <c r="F459" s="1" t="s">
        <v>31</v>
      </c>
      <c r="G459" s="2">
        <v>45323</v>
      </c>
      <c r="H459" s="2">
        <v>45370</v>
      </c>
      <c r="I459" s="1">
        <v>30426.76</v>
      </c>
      <c r="J459" s="1">
        <v>1.0604</v>
      </c>
      <c r="K459" s="1">
        <v>32264.54</v>
      </c>
      <c r="L459" s="1">
        <v>538597</v>
      </c>
      <c r="M459" s="1">
        <v>25309</v>
      </c>
      <c r="N459" s="1">
        <v>107572.86</v>
      </c>
      <c r="O459" s="1">
        <v>2024</v>
      </c>
      <c r="P459" s="1" t="s">
        <v>39</v>
      </c>
      <c r="Q459" s="1" t="s">
        <v>40</v>
      </c>
      <c r="R459" s="1" t="s">
        <v>54</v>
      </c>
      <c r="S459" s="1">
        <f t="shared" si="7"/>
        <v>48</v>
      </c>
      <c r="T459" s="7" t="str">
        <f>_xlfn.TEXTJOIN("_",TRUE,Finance_Data!A459,Finance_Data!B459,Finance_Data!C459,Finance_Data!D459,Finance_Data!E459,Finance_Data!G459,Finance_Data!H459)</f>
        <v>CMP_039_South_USA_Foundation_Ecommerce_45323_45370</v>
      </c>
    </row>
    <row r="460" spans="1:20" x14ac:dyDescent="0.35">
      <c r="A460" s="6" t="s">
        <v>86</v>
      </c>
      <c r="B460" s="1" t="s">
        <v>35</v>
      </c>
      <c r="C460" s="1" t="s">
        <v>58</v>
      </c>
      <c r="D460" s="1" t="s">
        <v>59</v>
      </c>
      <c r="E460" s="1" t="s">
        <v>38</v>
      </c>
      <c r="F460" s="1" t="s">
        <v>44</v>
      </c>
      <c r="G460" s="2">
        <v>45324</v>
      </c>
      <c r="H460" s="2">
        <v>45371</v>
      </c>
      <c r="I460" s="1">
        <v>14294.21</v>
      </c>
      <c r="J460" s="1">
        <v>1.024</v>
      </c>
      <c r="K460" s="1">
        <v>14637.27</v>
      </c>
      <c r="L460" s="1">
        <v>702165</v>
      </c>
      <c r="M460" s="1">
        <v>23707</v>
      </c>
      <c r="N460" s="1">
        <v>216749.16</v>
      </c>
      <c r="O460" s="1">
        <v>2024</v>
      </c>
      <c r="P460" s="1" t="s">
        <v>39</v>
      </c>
      <c r="Q460" s="1" t="s">
        <v>40</v>
      </c>
      <c r="R460" s="1" t="s">
        <v>26</v>
      </c>
      <c r="S460" s="1">
        <f t="shared" si="7"/>
        <v>48</v>
      </c>
      <c r="T460" s="7" t="str">
        <f>_xlfn.TEXTJOIN("_",TRUE,Finance_Data!A460,Finance_Data!B460,Finance_Data!C460,Finance_Data!D460,Finance_Data!E460,Finance_Data!G460,Finance_Data!H460)</f>
        <v>CMP_002_East_UK_Lipstick_Ecommerce_45324_45371</v>
      </c>
    </row>
    <row r="461" spans="1:20" x14ac:dyDescent="0.35">
      <c r="A461" s="6" t="s">
        <v>109</v>
      </c>
      <c r="B461" s="1" t="s">
        <v>35</v>
      </c>
      <c r="C461" s="1" t="s">
        <v>69</v>
      </c>
      <c r="D461" s="1" t="s">
        <v>43</v>
      </c>
      <c r="E461" s="1" t="s">
        <v>30</v>
      </c>
      <c r="F461" s="1" t="s">
        <v>44</v>
      </c>
      <c r="G461" s="2">
        <v>45324</v>
      </c>
      <c r="H461" s="2">
        <v>45359</v>
      </c>
      <c r="I461" s="1">
        <v>45977.2</v>
      </c>
      <c r="J461" s="1">
        <v>1.0589999999999999</v>
      </c>
      <c r="K461" s="1">
        <v>48689.85</v>
      </c>
      <c r="L461" s="1">
        <v>51843</v>
      </c>
      <c r="M461" s="1">
        <v>42601</v>
      </c>
      <c r="N461" s="1">
        <v>84397.42</v>
      </c>
      <c r="O461" s="1">
        <v>2024</v>
      </c>
      <c r="P461" s="1" t="s">
        <v>39</v>
      </c>
      <c r="Q461" s="1" t="s">
        <v>40</v>
      </c>
      <c r="R461" s="1" t="s">
        <v>61</v>
      </c>
      <c r="S461" s="1">
        <f t="shared" si="7"/>
        <v>36</v>
      </c>
      <c r="T461" s="7" t="str">
        <f>_xlfn.TEXTJOIN("_",TRUE,Finance_Data!A461,Finance_Data!B461,Finance_Data!C461,Finance_Data!D461,Finance_Data!E461,Finance_Data!G461,Finance_Data!H461)</f>
        <v>CMP_046_East_USA_Luxury Bag_Wholesale_45324_45359</v>
      </c>
    </row>
    <row r="462" spans="1:20" x14ac:dyDescent="0.35">
      <c r="A462" s="6" t="s">
        <v>104</v>
      </c>
      <c r="B462" s="1" t="s">
        <v>35</v>
      </c>
      <c r="C462" s="1" t="s">
        <v>20</v>
      </c>
      <c r="D462" s="1" t="s">
        <v>37</v>
      </c>
      <c r="E462" s="1" t="s">
        <v>38</v>
      </c>
      <c r="F462" s="1" t="s">
        <v>49</v>
      </c>
      <c r="G462" s="2">
        <v>45327</v>
      </c>
      <c r="H462" s="2">
        <v>45369</v>
      </c>
      <c r="I462" s="1">
        <v>21447.42</v>
      </c>
      <c r="J462" s="1">
        <v>1.1928000000000001</v>
      </c>
      <c r="K462" s="1">
        <v>25582.48</v>
      </c>
      <c r="L462" s="1">
        <v>334348</v>
      </c>
      <c r="M462" s="1">
        <v>12589</v>
      </c>
      <c r="N462" s="1">
        <v>15069.49</v>
      </c>
      <c r="O462" s="1">
        <v>2024</v>
      </c>
      <c r="P462" s="1" t="s">
        <v>39</v>
      </c>
      <c r="Q462" s="1" t="s">
        <v>40</v>
      </c>
      <c r="R462" s="1" t="s">
        <v>41</v>
      </c>
      <c r="S462" s="1">
        <f t="shared" si="7"/>
        <v>43</v>
      </c>
      <c r="T462" s="7" t="str">
        <f>_xlfn.TEXTJOIN("_",TRUE,Finance_Data!A462,Finance_Data!B462,Finance_Data!C462,Finance_Data!D462,Finance_Data!E462,Finance_Data!G462,Finance_Data!H462)</f>
        <v>CMP_034_East_Singapore_Perfume_Ecommerce_45327_45369</v>
      </c>
    </row>
    <row r="463" spans="1:20" x14ac:dyDescent="0.35">
      <c r="A463" s="6" t="s">
        <v>97</v>
      </c>
      <c r="B463" s="1" t="s">
        <v>35</v>
      </c>
      <c r="C463" s="1" t="s">
        <v>36</v>
      </c>
      <c r="D463" s="1" t="s">
        <v>37</v>
      </c>
      <c r="E463" s="1" t="s">
        <v>30</v>
      </c>
      <c r="F463" s="1" t="s">
        <v>23</v>
      </c>
      <c r="G463" s="2">
        <v>45327</v>
      </c>
      <c r="H463" s="2">
        <v>45348</v>
      </c>
      <c r="I463" s="1">
        <v>25239.87</v>
      </c>
      <c r="J463" s="1">
        <v>1.1653</v>
      </c>
      <c r="K463" s="1">
        <v>29412.02</v>
      </c>
      <c r="L463" s="1">
        <v>656908</v>
      </c>
      <c r="M463" s="1">
        <v>44434</v>
      </c>
      <c r="N463" s="1">
        <v>91427.12</v>
      </c>
      <c r="O463" s="1">
        <v>2024</v>
      </c>
      <c r="P463" s="1" t="s">
        <v>39</v>
      </c>
      <c r="Q463" s="1" t="s">
        <v>40</v>
      </c>
      <c r="R463" s="1" t="s">
        <v>61</v>
      </c>
      <c r="S463" s="1">
        <f t="shared" si="7"/>
        <v>22</v>
      </c>
      <c r="T463" s="7" t="str">
        <f>_xlfn.TEXTJOIN("_",TRUE,Finance_Data!A463,Finance_Data!B463,Finance_Data!C463,Finance_Data!D463,Finance_Data!E463,Finance_Data!G463,Finance_Data!H463)</f>
        <v>CMP_019_East_India_Perfume_Wholesale_45327_45348</v>
      </c>
    </row>
    <row r="464" spans="1:20" x14ac:dyDescent="0.35">
      <c r="A464" s="6" t="s">
        <v>78</v>
      </c>
      <c r="B464" s="1" t="s">
        <v>35</v>
      </c>
      <c r="C464" s="1" t="s">
        <v>20</v>
      </c>
      <c r="D464" s="1" t="s">
        <v>21</v>
      </c>
      <c r="E464" s="1" t="s">
        <v>22</v>
      </c>
      <c r="F464" s="1" t="s">
        <v>23</v>
      </c>
      <c r="G464" s="2">
        <v>45329</v>
      </c>
      <c r="H464" s="2">
        <v>45370</v>
      </c>
      <c r="I464" s="1">
        <v>27933.47</v>
      </c>
      <c r="J464" s="1">
        <v>0.59419999999999995</v>
      </c>
      <c r="K464" s="1">
        <v>16598.07</v>
      </c>
      <c r="L464" s="1">
        <v>67152</v>
      </c>
      <c r="M464" s="1">
        <v>23747</v>
      </c>
      <c r="N464" s="1">
        <v>5934.82</v>
      </c>
      <c r="O464" s="1">
        <v>2024</v>
      </c>
      <c r="P464" s="1" t="s">
        <v>39</v>
      </c>
      <c r="Q464" s="1" t="s">
        <v>40</v>
      </c>
      <c r="R464" s="1" t="s">
        <v>26</v>
      </c>
      <c r="S464" s="1">
        <f t="shared" si="7"/>
        <v>42</v>
      </c>
      <c r="T464" s="7" t="str">
        <f>_xlfn.TEXTJOIN("_",TRUE,Finance_Data!A464,Finance_Data!B464,Finance_Data!C464,Finance_Data!D464,Finance_Data!E464,Finance_Data!G464,Finance_Data!H464)</f>
        <v>CMP_006_East_Singapore_Foundation_Retail_45329_45370</v>
      </c>
    </row>
    <row r="465" spans="1:20" x14ac:dyDescent="0.35">
      <c r="A465" s="6" t="s">
        <v>94</v>
      </c>
      <c r="B465" s="1" t="s">
        <v>28</v>
      </c>
      <c r="C465" s="1" t="s">
        <v>58</v>
      </c>
      <c r="D465" s="1" t="s">
        <v>59</v>
      </c>
      <c r="E465" s="1" t="s">
        <v>22</v>
      </c>
      <c r="F465" s="1" t="s">
        <v>31</v>
      </c>
      <c r="G465" s="2">
        <v>45331</v>
      </c>
      <c r="H465" s="2">
        <v>45359</v>
      </c>
      <c r="I465" s="1">
        <v>15664.96</v>
      </c>
      <c r="J465" s="1">
        <v>0.51970000000000005</v>
      </c>
      <c r="K465" s="1">
        <v>8141.08</v>
      </c>
      <c r="L465" s="1">
        <v>201031</v>
      </c>
      <c r="M465" s="1">
        <v>35255</v>
      </c>
      <c r="N465" s="1">
        <v>203828.24</v>
      </c>
      <c r="O465" s="1">
        <v>2024</v>
      </c>
      <c r="P465" s="1" t="s">
        <v>39</v>
      </c>
      <c r="Q465" s="1" t="s">
        <v>40</v>
      </c>
      <c r="R465" s="1" t="s">
        <v>54</v>
      </c>
      <c r="S465" s="1">
        <f t="shared" si="7"/>
        <v>29</v>
      </c>
      <c r="T465" s="7" t="str">
        <f>_xlfn.TEXTJOIN("_",TRUE,Finance_Data!A465,Finance_Data!B465,Finance_Data!C465,Finance_Data!D465,Finance_Data!E465,Finance_Data!G465,Finance_Data!H465)</f>
        <v>CMP_007_West_UK_Lipstick_Retail_45331_45359</v>
      </c>
    </row>
    <row r="466" spans="1:20" x14ac:dyDescent="0.35">
      <c r="A466" s="6" t="s">
        <v>82</v>
      </c>
      <c r="B466" s="1" t="s">
        <v>28</v>
      </c>
      <c r="C466" s="1" t="s">
        <v>69</v>
      </c>
      <c r="D466" s="1" t="s">
        <v>43</v>
      </c>
      <c r="E466" s="1" t="s">
        <v>30</v>
      </c>
      <c r="F466" s="1" t="s">
        <v>31</v>
      </c>
      <c r="G466" s="2">
        <v>45331</v>
      </c>
      <c r="H466" s="2">
        <v>45343</v>
      </c>
      <c r="I466" s="1">
        <v>1651.93</v>
      </c>
      <c r="J466" s="1">
        <v>0.79039999999999999</v>
      </c>
      <c r="K466" s="1">
        <v>1305.69</v>
      </c>
      <c r="L466" s="1">
        <v>492515</v>
      </c>
      <c r="M466" s="1">
        <v>45438</v>
      </c>
      <c r="N466" s="1">
        <v>104247.44</v>
      </c>
      <c r="O466" s="1">
        <v>2024</v>
      </c>
      <c r="P466" s="1" t="s">
        <v>39</v>
      </c>
      <c r="Q466" s="1" t="s">
        <v>40</v>
      </c>
      <c r="R466" s="1" t="s">
        <v>54</v>
      </c>
      <c r="S466" s="1">
        <f t="shared" si="7"/>
        <v>13</v>
      </c>
      <c r="T466" s="7" t="str">
        <f>_xlfn.TEXTJOIN("_",TRUE,Finance_Data!A466,Finance_Data!B466,Finance_Data!C466,Finance_Data!D466,Finance_Data!E466,Finance_Data!G466,Finance_Data!H466)</f>
        <v>CMP_043_West_USA_Luxury Bag_Wholesale_45331_45343</v>
      </c>
    </row>
    <row r="467" spans="1:20" x14ac:dyDescent="0.35">
      <c r="A467" s="6" t="s">
        <v>99</v>
      </c>
      <c r="B467" s="1" t="s">
        <v>19</v>
      </c>
      <c r="C467" s="1" t="s">
        <v>20</v>
      </c>
      <c r="D467" s="1" t="s">
        <v>43</v>
      </c>
      <c r="E467" s="1" t="s">
        <v>22</v>
      </c>
      <c r="F467" s="1" t="s">
        <v>31</v>
      </c>
      <c r="G467" s="2">
        <v>45332</v>
      </c>
      <c r="H467" s="2">
        <v>45392</v>
      </c>
      <c r="I467" s="1">
        <v>16203.45</v>
      </c>
      <c r="J467" s="1">
        <v>0.41399999999999998</v>
      </c>
      <c r="K467" s="1">
        <v>6708.23</v>
      </c>
      <c r="L467" s="1">
        <v>359247</v>
      </c>
      <c r="M467" s="1">
        <v>11118</v>
      </c>
      <c r="N467" s="1">
        <v>23712.95</v>
      </c>
      <c r="O467" s="1">
        <v>2024</v>
      </c>
      <c r="P467" s="1" t="s">
        <v>39</v>
      </c>
      <c r="Q467" s="1" t="s">
        <v>40</v>
      </c>
      <c r="R467" s="1" t="s">
        <v>41</v>
      </c>
      <c r="S467" s="1">
        <f t="shared" si="7"/>
        <v>61</v>
      </c>
      <c r="T467" s="7" t="str">
        <f>_xlfn.TEXTJOIN("_",TRUE,Finance_Data!A467,Finance_Data!B467,Finance_Data!C467,Finance_Data!D467,Finance_Data!E467,Finance_Data!G467,Finance_Data!H467)</f>
        <v>CMP_041_North_Singapore_Luxury Bag_Retail_45332_45392</v>
      </c>
    </row>
    <row r="468" spans="1:20" x14ac:dyDescent="0.35">
      <c r="A468" s="6" t="s">
        <v>75</v>
      </c>
      <c r="B468" s="1" t="s">
        <v>28</v>
      </c>
      <c r="C468" s="1" t="s">
        <v>20</v>
      </c>
      <c r="D468" s="1" t="s">
        <v>51</v>
      </c>
      <c r="E468" s="1" t="s">
        <v>30</v>
      </c>
      <c r="F468" s="1" t="s">
        <v>52</v>
      </c>
      <c r="G468" s="2">
        <v>45332</v>
      </c>
      <c r="H468" s="2">
        <v>45369</v>
      </c>
      <c r="I468" s="1">
        <v>3398.58</v>
      </c>
      <c r="J468" s="1">
        <v>0.36559999999999998</v>
      </c>
      <c r="K468" s="1">
        <v>1242.52</v>
      </c>
      <c r="L468" s="1">
        <v>869926</v>
      </c>
      <c r="M468" s="1">
        <v>11494</v>
      </c>
      <c r="N468" s="1">
        <v>12615.11</v>
      </c>
      <c r="O468" s="1">
        <v>2024</v>
      </c>
      <c r="P468" s="1" t="s">
        <v>39</v>
      </c>
      <c r="Q468" s="1" t="s">
        <v>40</v>
      </c>
      <c r="R468" s="1" t="s">
        <v>26</v>
      </c>
      <c r="S468" s="1">
        <f t="shared" si="7"/>
        <v>38</v>
      </c>
      <c r="T468" s="7" t="str">
        <f>_xlfn.TEXTJOIN("_",TRUE,Finance_Data!A468,Finance_Data!B468,Finance_Data!C468,Finance_Data!D468,Finance_Data!E468,Finance_Data!G468,Finance_Data!H468)</f>
        <v>CMP_026_West_Singapore_Watch_Wholesale_45332_45369</v>
      </c>
    </row>
    <row r="469" spans="1:20" x14ac:dyDescent="0.35">
      <c r="A469" s="6" t="s">
        <v>34</v>
      </c>
      <c r="B469" s="1" t="s">
        <v>48</v>
      </c>
      <c r="C469" s="1" t="s">
        <v>58</v>
      </c>
      <c r="D469" s="1" t="s">
        <v>59</v>
      </c>
      <c r="E469" s="1" t="s">
        <v>22</v>
      </c>
      <c r="F469" s="1" t="s">
        <v>44</v>
      </c>
      <c r="G469" s="2">
        <v>45333</v>
      </c>
      <c r="H469" s="2">
        <v>45361</v>
      </c>
      <c r="I469" s="1">
        <v>25606.2</v>
      </c>
      <c r="J469" s="1">
        <v>0.79859999999999998</v>
      </c>
      <c r="K469" s="1">
        <v>20449.11</v>
      </c>
      <c r="L469" s="1">
        <v>899173</v>
      </c>
      <c r="M469" s="1">
        <v>40341</v>
      </c>
      <c r="N469" s="1">
        <v>172619.61</v>
      </c>
      <c r="O469" s="1">
        <v>2024</v>
      </c>
      <c r="P469" s="1" t="s">
        <v>39</v>
      </c>
      <c r="Q469" s="1" t="s">
        <v>40</v>
      </c>
      <c r="R469" s="1" t="s">
        <v>61</v>
      </c>
      <c r="S469" s="1">
        <f t="shared" si="7"/>
        <v>29</v>
      </c>
      <c r="T469" s="7" t="str">
        <f>_xlfn.TEXTJOIN("_",TRUE,Finance_Data!A469,Finance_Data!B469,Finance_Data!C469,Finance_Data!D469,Finance_Data!E469,Finance_Data!G469,Finance_Data!H469)</f>
        <v>CMP_049_South_UK_Lipstick_Retail_45333_45361</v>
      </c>
    </row>
    <row r="470" spans="1:20" x14ac:dyDescent="0.35">
      <c r="A470" s="6" t="s">
        <v>112</v>
      </c>
      <c r="B470" s="1" t="s">
        <v>35</v>
      </c>
      <c r="C470" s="1" t="s">
        <v>69</v>
      </c>
      <c r="D470" s="1" t="s">
        <v>63</v>
      </c>
      <c r="E470" s="1" t="s">
        <v>30</v>
      </c>
      <c r="F470" s="1" t="s">
        <v>49</v>
      </c>
      <c r="G470" s="2">
        <v>45333</v>
      </c>
      <c r="H470" s="2">
        <v>45353</v>
      </c>
      <c r="I470" s="1">
        <v>28051.89</v>
      </c>
      <c r="J470" s="1">
        <v>0.93289999999999995</v>
      </c>
      <c r="K470" s="1">
        <v>26169.61</v>
      </c>
      <c r="L470" s="1">
        <v>409152</v>
      </c>
      <c r="M470" s="1">
        <v>30656</v>
      </c>
      <c r="N470" s="1">
        <v>135744.28</v>
      </c>
      <c r="O470" s="1">
        <v>2024</v>
      </c>
      <c r="P470" s="1" t="s">
        <v>39</v>
      </c>
      <c r="Q470" s="1" t="s">
        <v>40</v>
      </c>
      <c r="R470" s="1" t="s">
        <v>54</v>
      </c>
      <c r="S470" s="1">
        <f t="shared" si="7"/>
        <v>21</v>
      </c>
      <c r="T470" s="7" t="str">
        <f>_xlfn.TEXTJOIN("_",TRUE,Finance_Data!A470,Finance_Data!B470,Finance_Data!C470,Finance_Data!D470,Finance_Data!E470,Finance_Data!G470,Finance_Data!H470)</f>
        <v>CMP_023_East_USA_Skincare_Wholesale_45333_45353</v>
      </c>
    </row>
    <row r="471" spans="1:20" x14ac:dyDescent="0.35">
      <c r="A471" s="6" t="s">
        <v>62</v>
      </c>
      <c r="B471" s="1" t="s">
        <v>19</v>
      </c>
      <c r="C471" s="1" t="s">
        <v>69</v>
      </c>
      <c r="D471" s="1" t="s">
        <v>37</v>
      </c>
      <c r="E471" s="1" t="s">
        <v>30</v>
      </c>
      <c r="F471" s="1" t="s">
        <v>44</v>
      </c>
      <c r="G471" s="2">
        <v>45335</v>
      </c>
      <c r="H471" s="2">
        <v>45382</v>
      </c>
      <c r="I471" s="1">
        <v>32844.019999999997</v>
      </c>
      <c r="J471" s="1">
        <v>0.53129999999999999</v>
      </c>
      <c r="K471" s="1">
        <v>17450.03</v>
      </c>
      <c r="L471" s="1">
        <v>552717</v>
      </c>
      <c r="M471" s="1">
        <v>29688</v>
      </c>
      <c r="N471" s="1">
        <v>34646.03</v>
      </c>
      <c r="O471" s="1">
        <v>2024</v>
      </c>
      <c r="P471" s="1" t="s">
        <v>39</v>
      </c>
      <c r="Q471" s="1" t="s">
        <v>40</v>
      </c>
      <c r="R471" s="1" t="s">
        <v>61</v>
      </c>
      <c r="S471" s="1">
        <f t="shared" si="7"/>
        <v>48</v>
      </c>
      <c r="T471" s="7" t="str">
        <f>_xlfn.TEXTJOIN("_",TRUE,Finance_Data!A471,Finance_Data!B471,Finance_Data!C471,Finance_Data!D471,Finance_Data!E471,Finance_Data!G471,Finance_Data!H471)</f>
        <v>CMP_015_North_USA_Perfume_Wholesale_45335_45382</v>
      </c>
    </row>
    <row r="472" spans="1:20" x14ac:dyDescent="0.35">
      <c r="A472" s="6" t="s">
        <v>89</v>
      </c>
      <c r="B472" s="1" t="s">
        <v>19</v>
      </c>
      <c r="C472" s="1" t="s">
        <v>20</v>
      </c>
      <c r="D472" s="1" t="s">
        <v>21</v>
      </c>
      <c r="E472" s="1" t="s">
        <v>30</v>
      </c>
      <c r="F472" s="1" t="s">
        <v>44</v>
      </c>
      <c r="G472" s="2">
        <v>45337</v>
      </c>
      <c r="H472" s="2">
        <v>45380</v>
      </c>
      <c r="I472" s="1">
        <v>14303.22</v>
      </c>
      <c r="J472" s="1">
        <v>0.22900000000000001</v>
      </c>
      <c r="K472" s="1">
        <v>3275.44</v>
      </c>
      <c r="L472" s="1">
        <v>177775</v>
      </c>
      <c r="M472" s="1">
        <v>37579</v>
      </c>
      <c r="N472" s="1">
        <v>58362.89</v>
      </c>
      <c r="O472" s="1">
        <v>2024</v>
      </c>
      <c r="P472" s="1" t="s">
        <v>39</v>
      </c>
      <c r="Q472" s="1" t="s">
        <v>40</v>
      </c>
      <c r="R472" s="1" t="s">
        <v>41</v>
      </c>
      <c r="S472" s="1">
        <f t="shared" si="7"/>
        <v>44</v>
      </c>
      <c r="T472" s="7" t="str">
        <f>_xlfn.TEXTJOIN("_",TRUE,Finance_Data!A472,Finance_Data!B472,Finance_Data!C472,Finance_Data!D472,Finance_Data!E472,Finance_Data!G472,Finance_Data!H472)</f>
        <v>CMP_045_North_Singapore_Foundation_Wholesale_45337_45380</v>
      </c>
    </row>
    <row r="473" spans="1:20" x14ac:dyDescent="0.35">
      <c r="A473" s="6" t="s">
        <v>118</v>
      </c>
      <c r="B473" s="1" t="s">
        <v>28</v>
      </c>
      <c r="C473" s="1" t="s">
        <v>29</v>
      </c>
      <c r="D473" s="1" t="s">
        <v>37</v>
      </c>
      <c r="E473" s="1" t="s">
        <v>22</v>
      </c>
      <c r="F473" s="1" t="s">
        <v>23</v>
      </c>
      <c r="G473" s="2">
        <v>45337</v>
      </c>
      <c r="H473" s="2">
        <v>45367</v>
      </c>
      <c r="I473" s="1">
        <v>48153.19</v>
      </c>
      <c r="J473" s="1">
        <v>0.33350000000000002</v>
      </c>
      <c r="K473" s="1">
        <v>16059.09</v>
      </c>
      <c r="L473" s="1">
        <v>414452</v>
      </c>
      <c r="M473" s="1">
        <v>45313</v>
      </c>
      <c r="N473" s="1">
        <v>213414.54</v>
      </c>
      <c r="O473" s="1">
        <v>2024</v>
      </c>
      <c r="P473" s="1" t="s">
        <v>39</v>
      </c>
      <c r="Q473" s="1" t="s">
        <v>40</v>
      </c>
      <c r="R473" s="1" t="s">
        <v>61</v>
      </c>
      <c r="S473" s="1">
        <f t="shared" si="7"/>
        <v>31</v>
      </c>
      <c r="T473" s="7" t="str">
        <f>_xlfn.TEXTJOIN("_",TRUE,Finance_Data!A473,Finance_Data!B473,Finance_Data!C473,Finance_Data!D473,Finance_Data!E473,Finance_Data!G473,Finance_Data!H473)</f>
        <v>CMP_052_West_Australia_Perfume_Retail_45337_45367</v>
      </c>
    </row>
    <row r="474" spans="1:20" x14ac:dyDescent="0.35">
      <c r="A474" s="6" t="s">
        <v>72</v>
      </c>
      <c r="B474" s="1" t="s">
        <v>48</v>
      </c>
      <c r="C474" s="1" t="s">
        <v>20</v>
      </c>
      <c r="D474" s="1" t="s">
        <v>37</v>
      </c>
      <c r="E474" s="1" t="s">
        <v>30</v>
      </c>
      <c r="F474" s="1" t="s">
        <v>44</v>
      </c>
      <c r="G474" s="2">
        <v>45338</v>
      </c>
      <c r="H474" s="2">
        <v>45392</v>
      </c>
      <c r="I474" s="1">
        <v>9051.91</v>
      </c>
      <c r="J474" s="1">
        <v>8.3099999999999993E-2</v>
      </c>
      <c r="K474" s="1">
        <v>752.21</v>
      </c>
      <c r="L474" s="1">
        <v>806070</v>
      </c>
      <c r="M474" s="1">
        <v>2530</v>
      </c>
      <c r="N474" s="1">
        <v>166743.16</v>
      </c>
      <c r="O474" s="1">
        <v>2024</v>
      </c>
      <c r="P474" s="1" t="s">
        <v>39</v>
      </c>
      <c r="Q474" s="1" t="s">
        <v>40</v>
      </c>
      <c r="R474" s="1" t="s">
        <v>41</v>
      </c>
      <c r="S474" s="1">
        <f t="shared" si="7"/>
        <v>55</v>
      </c>
      <c r="T474" s="7" t="str">
        <f>_xlfn.TEXTJOIN("_",TRUE,Finance_Data!A474,Finance_Data!B474,Finance_Data!C474,Finance_Data!D474,Finance_Data!E474,Finance_Data!G474,Finance_Data!H474)</f>
        <v>CMP_042_South_Singapore_Perfume_Wholesale_45338_45392</v>
      </c>
    </row>
    <row r="475" spans="1:20" x14ac:dyDescent="0.35">
      <c r="A475" s="6" t="s">
        <v>57</v>
      </c>
      <c r="B475" s="1" t="s">
        <v>35</v>
      </c>
      <c r="C475" s="1" t="s">
        <v>20</v>
      </c>
      <c r="D475" s="1" t="s">
        <v>37</v>
      </c>
      <c r="E475" s="1" t="s">
        <v>30</v>
      </c>
      <c r="F475" s="1" t="s">
        <v>23</v>
      </c>
      <c r="G475" s="2">
        <v>45339</v>
      </c>
      <c r="H475" s="2">
        <v>45376</v>
      </c>
      <c r="I475" s="1">
        <v>37740.32</v>
      </c>
      <c r="J475" s="1">
        <v>0.8367</v>
      </c>
      <c r="K475" s="1">
        <v>31577.33</v>
      </c>
      <c r="L475" s="1">
        <v>929933</v>
      </c>
      <c r="M475" s="1">
        <v>24287</v>
      </c>
      <c r="N475" s="1">
        <v>116400.43</v>
      </c>
      <c r="O475" s="1">
        <v>2024</v>
      </c>
      <c r="P475" s="1" t="s">
        <v>39</v>
      </c>
      <c r="Q475" s="1" t="s">
        <v>40</v>
      </c>
      <c r="R475" s="1" t="s">
        <v>54</v>
      </c>
      <c r="S475" s="1">
        <f t="shared" si="7"/>
        <v>38</v>
      </c>
      <c r="T475" s="7" t="str">
        <f>_xlfn.TEXTJOIN("_",TRUE,Finance_Data!A475,Finance_Data!B475,Finance_Data!C475,Finance_Data!D475,Finance_Data!E475,Finance_Data!G475,Finance_Data!H475)</f>
        <v>CMP_032_East_Singapore_Perfume_Wholesale_45339_45376</v>
      </c>
    </row>
    <row r="476" spans="1:20" x14ac:dyDescent="0.35">
      <c r="A476" s="6" t="s">
        <v>107</v>
      </c>
      <c r="B476" s="1" t="s">
        <v>35</v>
      </c>
      <c r="C476" s="1" t="s">
        <v>20</v>
      </c>
      <c r="D476" s="1" t="s">
        <v>43</v>
      </c>
      <c r="E476" s="1" t="s">
        <v>22</v>
      </c>
      <c r="F476" s="1" t="s">
        <v>49</v>
      </c>
      <c r="G476" s="2">
        <v>45340</v>
      </c>
      <c r="H476" s="2">
        <v>45371</v>
      </c>
      <c r="I476" s="1">
        <v>2755.76</v>
      </c>
      <c r="J476" s="1">
        <v>0.66339999999999999</v>
      </c>
      <c r="K476" s="1">
        <v>1828.17</v>
      </c>
      <c r="L476" s="1">
        <v>876028</v>
      </c>
      <c r="M476" s="1">
        <v>6056</v>
      </c>
      <c r="N476" s="1">
        <v>198986.9</v>
      </c>
      <c r="O476" s="1">
        <v>2024</v>
      </c>
      <c r="P476" s="1" t="s">
        <v>39</v>
      </c>
      <c r="Q476" s="1" t="s">
        <v>40</v>
      </c>
      <c r="R476" s="1" t="s">
        <v>41</v>
      </c>
      <c r="S476" s="1">
        <f t="shared" si="7"/>
        <v>32</v>
      </c>
      <c r="T476" s="7" t="str">
        <f>_xlfn.TEXTJOIN("_",TRUE,Finance_Data!A476,Finance_Data!B476,Finance_Data!C476,Finance_Data!D476,Finance_Data!E476,Finance_Data!G476,Finance_Data!H476)</f>
        <v>CMP_040_East_Singapore_Luxury Bag_Retail_45340_45371</v>
      </c>
    </row>
    <row r="477" spans="1:20" x14ac:dyDescent="0.35">
      <c r="A477" s="6" t="s">
        <v>78</v>
      </c>
      <c r="B477" s="1" t="s">
        <v>28</v>
      </c>
      <c r="C477" s="1" t="s">
        <v>20</v>
      </c>
      <c r="D477" s="1" t="s">
        <v>43</v>
      </c>
      <c r="E477" s="1" t="s">
        <v>30</v>
      </c>
      <c r="F477" s="1" t="s">
        <v>31</v>
      </c>
      <c r="G477" s="2">
        <v>45340</v>
      </c>
      <c r="H477" s="2">
        <v>45352</v>
      </c>
      <c r="I477" s="1">
        <v>47138.21</v>
      </c>
      <c r="J477" s="1">
        <v>0.68789999999999996</v>
      </c>
      <c r="K477" s="1">
        <v>32426.37</v>
      </c>
      <c r="L477" s="1">
        <v>617040</v>
      </c>
      <c r="M477" s="1">
        <v>39062</v>
      </c>
      <c r="N477" s="1">
        <v>14736.71</v>
      </c>
      <c r="O477" s="1">
        <v>2024</v>
      </c>
      <c r="P477" s="1" t="s">
        <v>39</v>
      </c>
      <c r="Q477" s="1" t="s">
        <v>40</v>
      </c>
      <c r="R477" s="1" t="s">
        <v>41</v>
      </c>
      <c r="S477" s="1">
        <f t="shared" si="7"/>
        <v>13</v>
      </c>
      <c r="T477" s="7" t="str">
        <f>_xlfn.TEXTJOIN("_",TRUE,Finance_Data!A477,Finance_Data!B477,Finance_Data!C477,Finance_Data!D477,Finance_Data!E477,Finance_Data!G477,Finance_Data!H477)</f>
        <v>CMP_006_West_Singapore_Luxury Bag_Wholesale_45340_45352</v>
      </c>
    </row>
    <row r="478" spans="1:20" x14ac:dyDescent="0.35">
      <c r="A478" s="6" t="s">
        <v>34</v>
      </c>
      <c r="B478" s="1" t="s">
        <v>48</v>
      </c>
      <c r="C478" s="1" t="s">
        <v>58</v>
      </c>
      <c r="D478" s="1" t="s">
        <v>59</v>
      </c>
      <c r="E478" s="1" t="s">
        <v>22</v>
      </c>
      <c r="F478" s="1" t="s">
        <v>52</v>
      </c>
      <c r="G478" s="2">
        <v>45342</v>
      </c>
      <c r="H478" s="2">
        <v>45399</v>
      </c>
      <c r="I478" s="1">
        <v>29417.74</v>
      </c>
      <c r="J478" s="1">
        <v>0.78979999999999995</v>
      </c>
      <c r="K478" s="1">
        <v>23234.13</v>
      </c>
      <c r="L478" s="1">
        <v>504932</v>
      </c>
      <c r="M478" s="1">
        <v>42966</v>
      </c>
      <c r="N478" s="1">
        <v>130598.51</v>
      </c>
      <c r="O478" s="1">
        <v>2024</v>
      </c>
      <c r="P478" s="1" t="s">
        <v>39</v>
      </c>
      <c r="Q478" s="1" t="s">
        <v>40</v>
      </c>
      <c r="R478" s="1" t="s">
        <v>54</v>
      </c>
      <c r="S478" s="1">
        <f t="shared" si="7"/>
        <v>58</v>
      </c>
      <c r="T478" s="7" t="str">
        <f>_xlfn.TEXTJOIN("_",TRUE,Finance_Data!A478,Finance_Data!B478,Finance_Data!C478,Finance_Data!D478,Finance_Data!E478,Finance_Data!G478,Finance_Data!H478)</f>
        <v>CMP_049_South_UK_Lipstick_Retail_45342_45399</v>
      </c>
    </row>
    <row r="479" spans="1:20" x14ac:dyDescent="0.35">
      <c r="A479" s="6" t="s">
        <v>47</v>
      </c>
      <c r="B479" s="1" t="s">
        <v>19</v>
      </c>
      <c r="C479" s="1" t="s">
        <v>36</v>
      </c>
      <c r="D479" s="1" t="s">
        <v>37</v>
      </c>
      <c r="E479" s="1" t="s">
        <v>38</v>
      </c>
      <c r="F479" s="1" t="s">
        <v>49</v>
      </c>
      <c r="G479" s="2">
        <v>45342</v>
      </c>
      <c r="H479" s="2">
        <v>45376</v>
      </c>
      <c r="I479" s="1">
        <v>28685.11</v>
      </c>
      <c r="J479" s="1">
        <v>1.1883999999999999</v>
      </c>
      <c r="K479" s="1">
        <v>34089.379999999997</v>
      </c>
      <c r="L479" s="1">
        <v>246828</v>
      </c>
      <c r="M479" s="1">
        <v>19759</v>
      </c>
      <c r="N479" s="1">
        <v>172590.2</v>
      </c>
      <c r="O479" s="1">
        <v>2024</v>
      </c>
      <c r="P479" s="1" t="s">
        <v>39</v>
      </c>
      <c r="Q479" s="1" t="s">
        <v>40</v>
      </c>
      <c r="R479" s="1" t="s">
        <v>54</v>
      </c>
      <c r="S479" s="1">
        <f t="shared" si="7"/>
        <v>35</v>
      </c>
      <c r="T479" s="7" t="str">
        <f>_xlfn.TEXTJOIN("_",TRUE,Finance_Data!A479,Finance_Data!B479,Finance_Data!C479,Finance_Data!D479,Finance_Data!E479,Finance_Data!G479,Finance_Data!H479)</f>
        <v>CMP_055_North_India_Perfume_Ecommerce_45342_45376</v>
      </c>
    </row>
    <row r="480" spans="1:20" x14ac:dyDescent="0.35">
      <c r="A480" s="6" t="s">
        <v>89</v>
      </c>
      <c r="B480" s="1" t="s">
        <v>35</v>
      </c>
      <c r="C480" s="1" t="s">
        <v>29</v>
      </c>
      <c r="D480" s="1" t="s">
        <v>51</v>
      </c>
      <c r="E480" s="1" t="s">
        <v>30</v>
      </c>
      <c r="F480" s="1" t="s">
        <v>44</v>
      </c>
      <c r="G480" s="2">
        <v>45342</v>
      </c>
      <c r="H480" s="2">
        <v>45347</v>
      </c>
      <c r="I480" s="1">
        <v>31198.04</v>
      </c>
      <c r="J480" s="1">
        <v>1.0940000000000001</v>
      </c>
      <c r="K480" s="1">
        <v>34130.660000000003</v>
      </c>
      <c r="L480" s="1">
        <v>792150</v>
      </c>
      <c r="M480" s="1">
        <v>577</v>
      </c>
      <c r="N480" s="1">
        <v>179969.22</v>
      </c>
      <c r="O480" s="1">
        <v>2024</v>
      </c>
      <c r="P480" s="1" t="s">
        <v>39</v>
      </c>
      <c r="Q480" s="1" t="s">
        <v>40</v>
      </c>
      <c r="R480" s="1" t="s">
        <v>26</v>
      </c>
      <c r="S480" s="1">
        <f t="shared" si="7"/>
        <v>6</v>
      </c>
      <c r="T480" s="7" t="str">
        <f>_xlfn.TEXTJOIN("_",TRUE,Finance_Data!A480,Finance_Data!B480,Finance_Data!C480,Finance_Data!D480,Finance_Data!E480,Finance_Data!G480,Finance_Data!H480)</f>
        <v>CMP_045_East_Australia_Watch_Wholesale_45342_45347</v>
      </c>
    </row>
    <row r="481" spans="1:20" x14ac:dyDescent="0.35">
      <c r="A481" s="6" t="s">
        <v>106</v>
      </c>
      <c r="B481" s="1" t="s">
        <v>48</v>
      </c>
      <c r="C481" s="1" t="s">
        <v>36</v>
      </c>
      <c r="D481" s="1" t="s">
        <v>59</v>
      </c>
      <c r="E481" s="1" t="s">
        <v>22</v>
      </c>
      <c r="F481" s="1" t="s">
        <v>49</v>
      </c>
      <c r="G481" s="2">
        <v>45346</v>
      </c>
      <c r="H481" s="2">
        <v>45392</v>
      </c>
      <c r="I481" s="1">
        <v>16779.18</v>
      </c>
      <c r="J481" s="1">
        <v>0.1245</v>
      </c>
      <c r="K481" s="1">
        <v>2089.0100000000002</v>
      </c>
      <c r="L481" s="1">
        <v>700897</v>
      </c>
      <c r="M481" s="1">
        <v>4469</v>
      </c>
      <c r="N481" s="1">
        <v>15725.43</v>
      </c>
      <c r="O481" s="1">
        <v>2024</v>
      </c>
      <c r="P481" s="1" t="s">
        <v>39</v>
      </c>
      <c r="Q481" s="1" t="s">
        <v>40</v>
      </c>
      <c r="R481" s="1" t="s">
        <v>61</v>
      </c>
      <c r="S481" s="1">
        <f t="shared" si="7"/>
        <v>47</v>
      </c>
      <c r="T481" s="7" t="str">
        <f>_xlfn.TEXTJOIN("_",TRUE,Finance_Data!A481,Finance_Data!B481,Finance_Data!C481,Finance_Data!D481,Finance_Data!E481,Finance_Data!G481,Finance_Data!H481)</f>
        <v>CMP_009_South_India_Lipstick_Retail_45346_45392</v>
      </c>
    </row>
    <row r="482" spans="1:20" x14ac:dyDescent="0.35">
      <c r="A482" s="6" t="s">
        <v>34</v>
      </c>
      <c r="B482" s="1" t="s">
        <v>48</v>
      </c>
      <c r="C482" s="1" t="s">
        <v>29</v>
      </c>
      <c r="D482" s="1" t="s">
        <v>59</v>
      </c>
      <c r="E482" s="1" t="s">
        <v>38</v>
      </c>
      <c r="F482" s="1" t="s">
        <v>31</v>
      </c>
      <c r="G482" s="2">
        <v>45346</v>
      </c>
      <c r="H482" s="2">
        <v>45391</v>
      </c>
      <c r="I482" s="1">
        <v>45806.11</v>
      </c>
      <c r="J482" s="1">
        <v>0.50329999999999997</v>
      </c>
      <c r="K482" s="1">
        <v>23054.22</v>
      </c>
      <c r="L482" s="1">
        <v>592813</v>
      </c>
      <c r="M482" s="1">
        <v>30385</v>
      </c>
      <c r="N482" s="1">
        <v>179010.52</v>
      </c>
      <c r="O482" s="1">
        <v>2024</v>
      </c>
      <c r="P482" s="1" t="s">
        <v>39</v>
      </c>
      <c r="Q482" s="1" t="s">
        <v>40</v>
      </c>
      <c r="R482" s="1" t="s">
        <v>54</v>
      </c>
      <c r="S482" s="1">
        <f t="shared" si="7"/>
        <v>46</v>
      </c>
      <c r="T482" s="7" t="str">
        <f>_xlfn.TEXTJOIN("_",TRUE,Finance_Data!A482,Finance_Data!B482,Finance_Data!C482,Finance_Data!D482,Finance_Data!E482,Finance_Data!G482,Finance_Data!H482)</f>
        <v>CMP_049_South_Australia_Lipstick_Ecommerce_45346_45391</v>
      </c>
    </row>
    <row r="483" spans="1:20" x14ac:dyDescent="0.35">
      <c r="A483" s="6" t="s">
        <v>111</v>
      </c>
      <c r="B483" s="1" t="s">
        <v>19</v>
      </c>
      <c r="C483" s="1" t="s">
        <v>20</v>
      </c>
      <c r="D483" s="1" t="s">
        <v>21</v>
      </c>
      <c r="E483" s="1" t="s">
        <v>30</v>
      </c>
      <c r="F483" s="1" t="s">
        <v>23</v>
      </c>
      <c r="G483" s="2">
        <v>45347</v>
      </c>
      <c r="H483" s="2">
        <v>45386</v>
      </c>
      <c r="I483" s="1">
        <v>29241.27</v>
      </c>
      <c r="J483" s="1">
        <v>4.9799999999999997E-2</v>
      </c>
      <c r="K483" s="1">
        <v>1456.22</v>
      </c>
      <c r="L483" s="1">
        <v>49704</v>
      </c>
      <c r="M483" s="1">
        <v>37334</v>
      </c>
      <c r="N483" s="1">
        <v>123400.69</v>
      </c>
      <c r="O483" s="1">
        <v>2024</v>
      </c>
      <c r="P483" s="1" t="s">
        <v>39</v>
      </c>
      <c r="Q483" s="1" t="s">
        <v>40</v>
      </c>
      <c r="R483" s="1" t="s">
        <v>61</v>
      </c>
      <c r="S483" s="1">
        <f t="shared" si="7"/>
        <v>40</v>
      </c>
      <c r="T483" s="7" t="str">
        <f>_xlfn.TEXTJOIN("_",TRUE,Finance_Data!A483,Finance_Data!B483,Finance_Data!C483,Finance_Data!D483,Finance_Data!E483,Finance_Data!G483,Finance_Data!H483)</f>
        <v>CMP_024_North_Singapore_Foundation_Wholesale_45347_45386</v>
      </c>
    </row>
    <row r="484" spans="1:20" x14ac:dyDescent="0.35">
      <c r="A484" s="6" t="s">
        <v>97</v>
      </c>
      <c r="B484" s="1" t="s">
        <v>35</v>
      </c>
      <c r="C484" s="1" t="s">
        <v>69</v>
      </c>
      <c r="D484" s="1" t="s">
        <v>37</v>
      </c>
      <c r="E484" s="1" t="s">
        <v>30</v>
      </c>
      <c r="F484" s="1" t="s">
        <v>44</v>
      </c>
      <c r="G484" s="2">
        <v>45347</v>
      </c>
      <c r="H484" s="2">
        <v>45374</v>
      </c>
      <c r="I484" s="1">
        <v>43806.76</v>
      </c>
      <c r="J484" s="1">
        <v>1.1298999999999999</v>
      </c>
      <c r="K484" s="1">
        <v>49497.26</v>
      </c>
      <c r="L484" s="1">
        <v>453481</v>
      </c>
      <c r="M484" s="1">
        <v>47355</v>
      </c>
      <c r="N484" s="1">
        <v>17604.29</v>
      </c>
      <c r="O484" s="1">
        <v>2024</v>
      </c>
      <c r="P484" s="1" t="s">
        <v>39</v>
      </c>
      <c r="Q484" s="1" t="s">
        <v>40</v>
      </c>
      <c r="R484" s="1" t="s">
        <v>61</v>
      </c>
      <c r="S484" s="1">
        <f t="shared" si="7"/>
        <v>28</v>
      </c>
      <c r="T484" s="7" t="str">
        <f>_xlfn.TEXTJOIN("_",TRUE,Finance_Data!A484,Finance_Data!B484,Finance_Data!C484,Finance_Data!D484,Finance_Data!E484,Finance_Data!G484,Finance_Data!H484)</f>
        <v>CMP_019_East_USA_Perfume_Wholesale_45347_45374</v>
      </c>
    </row>
    <row r="485" spans="1:20" x14ac:dyDescent="0.35">
      <c r="A485" s="6" t="s">
        <v>107</v>
      </c>
      <c r="B485" s="1" t="s">
        <v>28</v>
      </c>
      <c r="C485" s="1" t="s">
        <v>69</v>
      </c>
      <c r="D485" s="1" t="s">
        <v>51</v>
      </c>
      <c r="E485" s="1" t="s">
        <v>30</v>
      </c>
      <c r="F485" s="1" t="s">
        <v>49</v>
      </c>
      <c r="G485" s="2">
        <v>45349</v>
      </c>
      <c r="H485" s="2">
        <v>45366</v>
      </c>
      <c r="I485" s="1">
        <v>42820.62</v>
      </c>
      <c r="J485" s="1">
        <v>0.2271</v>
      </c>
      <c r="K485" s="1">
        <v>9724.56</v>
      </c>
      <c r="L485" s="1">
        <v>313662</v>
      </c>
      <c r="M485" s="1">
        <v>7332</v>
      </c>
      <c r="N485" s="1">
        <v>161038.71</v>
      </c>
      <c r="O485" s="1">
        <v>2024</v>
      </c>
      <c r="P485" s="1" t="s">
        <v>39</v>
      </c>
      <c r="Q485" s="1" t="s">
        <v>40</v>
      </c>
      <c r="R485" s="1" t="s">
        <v>61</v>
      </c>
      <c r="S485" s="1">
        <f t="shared" si="7"/>
        <v>18</v>
      </c>
      <c r="T485" s="7" t="str">
        <f>_xlfn.TEXTJOIN("_",TRUE,Finance_Data!A485,Finance_Data!B485,Finance_Data!C485,Finance_Data!D485,Finance_Data!E485,Finance_Data!G485,Finance_Data!H485)</f>
        <v>CMP_040_West_USA_Watch_Wholesale_45349_45366</v>
      </c>
    </row>
    <row r="486" spans="1:20" x14ac:dyDescent="0.35">
      <c r="A486" s="6" t="s">
        <v>99</v>
      </c>
      <c r="B486" s="1" t="s">
        <v>28</v>
      </c>
      <c r="C486" s="1" t="s">
        <v>20</v>
      </c>
      <c r="D486" s="1" t="s">
        <v>21</v>
      </c>
      <c r="E486" s="1" t="s">
        <v>22</v>
      </c>
      <c r="F486" s="1" t="s">
        <v>31</v>
      </c>
      <c r="G486" s="2">
        <v>45350</v>
      </c>
      <c r="H486" s="2">
        <v>45374</v>
      </c>
      <c r="I486" s="1">
        <v>14482.54</v>
      </c>
      <c r="J486" s="1">
        <v>0.67249999999999999</v>
      </c>
      <c r="K486" s="1">
        <v>9739.51</v>
      </c>
      <c r="L486" s="1">
        <v>630407</v>
      </c>
      <c r="M486" s="1">
        <v>48282</v>
      </c>
      <c r="N486" s="1">
        <v>228336.53</v>
      </c>
      <c r="O486" s="1">
        <v>2024</v>
      </c>
      <c r="P486" s="1" t="s">
        <v>39</v>
      </c>
      <c r="Q486" s="1" t="s">
        <v>40</v>
      </c>
      <c r="R486" s="1" t="s">
        <v>54</v>
      </c>
      <c r="S486" s="1">
        <f t="shared" si="7"/>
        <v>25</v>
      </c>
      <c r="T486" s="7" t="str">
        <f>_xlfn.TEXTJOIN("_",TRUE,Finance_Data!A486,Finance_Data!B486,Finance_Data!C486,Finance_Data!D486,Finance_Data!E486,Finance_Data!G486,Finance_Data!H486)</f>
        <v>CMP_041_West_Singapore_Foundation_Retail_45350_45374</v>
      </c>
    </row>
    <row r="487" spans="1:20" x14ac:dyDescent="0.35">
      <c r="A487" s="6" t="s">
        <v>114</v>
      </c>
      <c r="B487" s="1" t="s">
        <v>35</v>
      </c>
      <c r="C487" s="1" t="s">
        <v>69</v>
      </c>
      <c r="D487" s="1" t="s">
        <v>37</v>
      </c>
      <c r="E487" s="1" t="s">
        <v>38</v>
      </c>
      <c r="F487" s="1" t="s">
        <v>31</v>
      </c>
      <c r="G487" s="2">
        <v>45350</v>
      </c>
      <c r="H487" s="2">
        <v>45357</v>
      </c>
      <c r="I487" s="1">
        <v>17355.82</v>
      </c>
      <c r="J487" s="1">
        <v>0.67689999999999995</v>
      </c>
      <c r="K487" s="1">
        <v>11748.15</v>
      </c>
      <c r="L487" s="1">
        <v>678470</v>
      </c>
      <c r="M487" s="1">
        <v>14015</v>
      </c>
      <c r="N487" s="1">
        <v>7767.83</v>
      </c>
      <c r="O487" s="1">
        <v>2024</v>
      </c>
      <c r="P487" s="1" t="s">
        <v>39</v>
      </c>
      <c r="Q487" s="1" t="s">
        <v>40</v>
      </c>
      <c r="R487" s="1" t="s">
        <v>41</v>
      </c>
      <c r="S487" s="1">
        <f t="shared" si="7"/>
        <v>8</v>
      </c>
      <c r="T487" s="7" t="str">
        <f>_xlfn.TEXTJOIN("_",TRUE,Finance_Data!A487,Finance_Data!B487,Finance_Data!C487,Finance_Data!D487,Finance_Data!E487,Finance_Data!G487,Finance_Data!H487)</f>
        <v>CMP_013_East_USA_Perfume_Ecommerce_45350_45357</v>
      </c>
    </row>
    <row r="488" spans="1:20" x14ac:dyDescent="0.35">
      <c r="A488" s="6" t="s">
        <v>50</v>
      </c>
      <c r="B488" s="1" t="s">
        <v>28</v>
      </c>
      <c r="C488" s="1" t="s">
        <v>69</v>
      </c>
      <c r="D488" s="1" t="s">
        <v>51</v>
      </c>
      <c r="E488" s="1" t="s">
        <v>30</v>
      </c>
      <c r="F488" s="1" t="s">
        <v>44</v>
      </c>
      <c r="G488" s="2">
        <v>45353</v>
      </c>
      <c r="H488" s="2">
        <v>45395</v>
      </c>
      <c r="I488" s="1">
        <v>16076.21</v>
      </c>
      <c r="J488" s="1">
        <v>1.0794999999999999</v>
      </c>
      <c r="K488" s="1">
        <v>17354.27</v>
      </c>
      <c r="L488" s="1">
        <v>924462</v>
      </c>
      <c r="M488" s="1">
        <v>45191</v>
      </c>
      <c r="N488" s="1">
        <v>159168.82</v>
      </c>
      <c r="O488" s="1">
        <v>2024</v>
      </c>
      <c r="P488" s="1" t="s">
        <v>60</v>
      </c>
      <c r="Q488" s="1" t="s">
        <v>40</v>
      </c>
      <c r="R488" s="1" t="s">
        <v>61</v>
      </c>
      <c r="S488" s="1">
        <f t="shared" si="7"/>
        <v>43</v>
      </c>
      <c r="T488" s="7" t="str">
        <f>_xlfn.TEXTJOIN("_",TRUE,Finance_Data!A488,Finance_Data!B488,Finance_Data!C488,Finance_Data!D488,Finance_Data!E488,Finance_Data!G488,Finance_Data!H488)</f>
        <v>CMP_039_West_USA_Watch_Wholesale_45353_45395</v>
      </c>
    </row>
    <row r="489" spans="1:20" x14ac:dyDescent="0.35">
      <c r="A489" s="6" t="s">
        <v>27</v>
      </c>
      <c r="B489" s="1" t="s">
        <v>48</v>
      </c>
      <c r="C489" s="1" t="s">
        <v>29</v>
      </c>
      <c r="D489" s="1" t="s">
        <v>51</v>
      </c>
      <c r="E489" s="1" t="s">
        <v>22</v>
      </c>
      <c r="F489" s="1" t="s">
        <v>44</v>
      </c>
      <c r="G489" s="2">
        <v>45354</v>
      </c>
      <c r="H489" s="2">
        <v>45374</v>
      </c>
      <c r="I489" s="1">
        <v>29072.03</v>
      </c>
      <c r="J489" s="1">
        <v>0.51749999999999996</v>
      </c>
      <c r="K489" s="1">
        <v>15044.78</v>
      </c>
      <c r="L489" s="1">
        <v>337557</v>
      </c>
      <c r="M489" s="1">
        <v>39773</v>
      </c>
      <c r="N489" s="1">
        <v>85674.76</v>
      </c>
      <c r="O489" s="1">
        <v>2024</v>
      </c>
      <c r="P489" s="1" t="s">
        <v>60</v>
      </c>
      <c r="Q489" s="1" t="s">
        <v>40</v>
      </c>
      <c r="R489" s="1" t="s">
        <v>61</v>
      </c>
      <c r="S489" s="1">
        <f t="shared" si="7"/>
        <v>21</v>
      </c>
      <c r="T489" s="7" t="str">
        <f>_xlfn.TEXTJOIN("_",TRUE,Finance_Data!A489,Finance_Data!B489,Finance_Data!C489,Finance_Data!D489,Finance_Data!E489,Finance_Data!G489,Finance_Data!H489)</f>
        <v>CMP_035_South_Australia_Watch_Retail_45354_45374</v>
      </c>
    </row>
    <row r="490" spans="1:20" x14ac:dyDescent="0.35">
      <c r="A490" s="6" t="s">
        <v>102</v>
      </c>
      <c r="B490" s="1" t="s">
        <v>48</v>
      </c>
      <c r="C490" s="1" t="s">
        <v>20</v>
      </c>
      <c r="D490" s="1" t="s">
        <v>51</v>
      </c>
      <c r="E490" s="1" t="s">
        <v>38</v>
      </c>
      <c r="F490" s="1" t="s">
        <v>31</v>
      </c>
      <c r="G490" s="2">
        <v>45355</v>
      </c>
      <c r="H490" s="2">
        <v>45385</v>
      </c>
      <c r="I490" s="1">
        <v>20025.47</v>
      </c>
      <c r="J490" s="1">
        <v>5.1999999999999998E-2</v>
      </c>
      <c r="K490" s="1">
        <v>1041.32</v>
      </c>
      <c r="L490" s="1">
        <v>752464</v>
      </c>
      <c r="M490" s="1">
        <v>37589</v>
      </c>
      <c r="N490" s="1">
        <v>204923.6</v>
      </c>
      <c r="O490" s="1">
        <v>2024</v>
      </c>
      <c r="P490" s="1" t="s">
        <v>60</v>
      </c>
      <c r="Q490" s="1" t="s">
        <v>40</v>
      </c>
      <c r="R490" s="1" t="s">
        <v>41</v>
      </c>
      <c r="S490" s="1">
        <f t="shared" si="7"/>
        <v>31</v>
      </c>
      <c r="T490" s="7" t="str">
        <f>_xlfn.TEXTJOIN("_",TRUE,Finance_Data!A490,Finance_Data!B490,Finance_Data!C490,Finance_Data!D490,Finance_Data!E490,Finance_Data!G490,Finance_Data!H490)</f>
        <v>CMP_022_South_Singapore_Watch_Ecommerce_45355_45385</v>
      </c>
    </row>
    <row r="491" spans="1:20" x14ac:dyDescent="0.35">
      <c r="A491" s="6" t="s">
        <v>113</v>
      </c>
      <c r="B491" s="1" t="s">
        <v>48</v>
      </c>
      <c r="C491" s="1" t="s">
        <v>58</v>
      </c>
      <c r="D491" s="1" t="s">
        <v>51</v>
      </c>
      <c r="E491" s="1" t="s">
        <v>30</v>
      </c>
      <c r="F491" s="1" t="s">
        <v>52</v>
      </c>
      <c r="G491" s="2">
        <v>45355</v>
      </c>
      <c r="H491" s="2">
        <v>45360</v>
      </c>
      <c r="I491" s="1">
        <v>28327.81</v>
      </c>
      <c r="J491" s="1">
        <v>0.2384</v>
      </c>
      <c r="K491" s="1">
        <v>6753.35</v>
      </c>
      <c r="L491" s="1">
        <v>565953</v>
      </c>
      <c r="M491" s="1">
        <v>6370</v>
      </c>
      <c r="N491" s="1">
        <v>156635.63</v>
      </c>
      <c r="O491" s="1">
        <v>2024</v>
      </c>
      <c r="P491" s="1" t="s">
        <v>60</v>
      </c>
      <c r="Q491" s="1" t="s">
        <v>40</v>
      </c>
      <c r="R491" s="1" t="s">
        <v>41</v>
      </c>
      <c r="S491" s="1">
        <f t="shared" si="7"/>
        <v>6</v>
      </c>
      <c r="T491" s="7" t="str">
        <f>_xlfn.TEXTJOIN("_",TRUE,Finance_Data!A491,Finance_Data!B491,Finance_Data!C491,Finance_Data!D491,Finance_Data!E491,Finance_Data!G491,Finance_Data!H491)</f>
        <v>CMP_056_South_UK_Watch_Wholesale_45355_45360</v>
      </c>
    </row>
    <row r="492" spans="1:20" x14ac:dyDescent="0.35">
      <c r="A492" s="6" t="s">
        <v>70</v>
      </c>
      <c r="B492" s="1" t="s">
        <v>48</v>
      </c>
      <c r="C492" s="1" t="s">
        <v>20</v>
      </c>
      <c r="D492" s="1" t="s">
        <v>21</v>
      </c>
      <c r="E492" s="1" t="s">
        <v>30</v>
      </c>
      <c r="F492" s="1" t="s">
        <v>31</v>
      </c>
      <c r="G492" s="2">
        <v>45356</v>
      </c>
      <c r="H492" s="2">
        <v>45392</v>
      </c>
      <c r="I492" s="1">
        <v>48098.07</v>
      </c>
      <c r="J492" s="1">
        <v>1.1673</v>
      </c>
      <c r="K492" s="1">
        <v>56144.88</v>
      </c>
      <c r="L492" s="1">
        <v>159289</v>
      </c>
      <c r="M492" s="1">
        <v>46738</v>
      </c>
      <c r="N492" s="1">
        <v>73557.19</v>
      </c>
      <c r="O492" s="1">
        <v>2024</v>
      </c>
      <c r="P492" s="1" t="s">
        <v>60</v>
      </c>
      <c r="Q492" s="1" t="s">
        <v>40</v>
      </c>
      <c r="R492" s="1" t="s">
        <v>54</v>
      </c>
      <c r="S492" s="1">
        <f t="shared" si="7"/>
        <v>37</v>
      </c>
      <c r="T492" s="7" t="str">
        <f>_xlfn.TEXTJOIN("_",TRUE,Finance_Data!A492,Finance_Data!B492,Finance_Data!C492,Finance_Data!D492,Finance_Data!E492,Finance_Data!G492,Finance_Data!H492)</f>
        <v>CMP_003_South_Singapore_Foundation_Wholesale_45356_45392</v>
      </c>
    </row>
    <row r="493" spans="1:20" x14ac:dyDescent="0.35">
      <c r="A493" s="6" t="s">
        <v>88</v>
      </c>
      <c r="B493" s="1" t="s">
        <v>19</v>
      </c>
      <c r="C493" s="1" t="s">
        <v>20</v>
      </c>
      <c r="D493" s="1" t="s">
        <v>37</v>
      </c>
      <c r="E493" s="1" t="s">
        <v>22</v>
      </c>
      <c r="F493" s="1" t="s">
        <v>52</v>
      </c>
      <c r="G493" s="2">
        <v>45356</v>
      </c>
      <c r="H493" s="2">
        <v>45388</v>
      </c>
      <c r="I493" s="1">
        <v>34602.379999999997</v>
      </c>
      <c r="J493" s="1">
        <v>0.49</v>
      </c>
      <c r="K493" s="1">
        <v>16955.169999999998</v>
      </c>
      <c r="L493" s="1">
        <v>826466</v>
      </c>
      <c r="M493" s="1">
        <v>45353</v>
      </c>
      <c r="N493" s="1">
        <v>136712.98000000001</v>
      </c>
      <c r="O493" s="1">
        <v>2024</v>
      </c>
      <c r="P493" s="1" t="s">
        <v>60</v>
      </c>
      <c r="Q493" s="1" t="s">
        <v>40</v>
      </c>
      <c r="R493" s="1" t="s">
        <v>41</v>
      </c>
      <c r="S493" s="1">
        <f t="shared" si="7"/>
        <v>33</v>
      </c>
      <c r="T493" s="7" t="str">
        <f>_xlfn.TEXTJOIN("_",TRUE,Finance_Data!A493,Finance_Data!B493,Finance_Data!C493,Finance_Data!D493,Finance_Data!E493,Finance_Data!G493,Finance_Data!H493)</f>
        <v>CMP_021_North_Singapore_Perfume_Retail_45356_45388</v>
      </c>
    </row>
    <row r="494" spans="1:20" x14ac:dyDescent="0.35">
      <c r="A494" s="6" t="s">
        <v>88</v>
      </c>
      <c r="B494" s="1" t="s">
        <v>35</v>
      </c>
      <c r="C494" s="1" t="s">
        <v>36</v>
      </c>
      <c r="D494" s="1" t="s">
        <v>63</v>
      </c>
      <c r="E494" s="1" t="s">
        <v>30</v>
      </c>
      <c r="F494" s="1" t="s">
        <v>44</v>
      </c>
      <c r="G494" s="2">
        <v>45356</v>
      </c>
      <c r="H494" s="2">
        <v>45386</v>
      </c>
      <c r="I494" s="1">
        <v>44403.360000000001</v>
      </c>
      <c r="J494" s="1">
        <v>0.84389999999999998</v>
      </c>
      <c r="K494" s="1">
        <v>37472</v>
      </c>
      <c r="L494" s="1">
        <v>925979</v>
      </c>
      <c r="M494" s="1">
        <v>20044</v>
      </c>
      <c r="N494" s="1">
        <v>181780.01</v>
      </c>
      <c r="O494" s="1">
        <v>2024</v>
      </c>
      <c r="P494" s="1" t="s">
        <v>60</v>
      </c>
      <c r="Q494" s="1" t="s">
        <v>40</v>
      </c>
      <c r="R494" s="1" t="s">
        <v>61</v>
      </c>
      <c r="S494" s="1">
        <f t="shared" si="7"/>
        <v>31</v>
      </c>
      <c r="T494" s="7" t="str">
        <f>_xlfn.TEXTJOIN("_",TRUE,Finance_Data!A494,Finance_Data!B494,Finance_Data!C494,Finance_Data!D494,Finance_Data!E494,Finance_Data!G494,Finance_Data!H494)</f>
        <v>CMP_021_East_India_Skincare_Wholesale_45356_45386</v>
      </c>
    </row>
    <row r="495" spans="1:20" x14ac:dyDescent="0.35">
      <c r="A495" s="6" t="s">
        <v>27</v>
      </c>
      <c r="B495" s="1" t="s">
        <v>19</v>
      </c>
      <c r="C495" s="1" t="s">
        <v>58</v>
      </c>
      <c r="D495" s="1" t="s">
        <v>51</v>
      </c>
      <c r="E495" s="1" t="s">
        <v>38</v>
      </c>
      <c r="F495" s="1" t="s">
        <v>49</v>
      </c>
      <c r="G495" s="2">
        <v>45356</v>
      </c>
      <c r="H495" s="2">
        <v>45373</v>
      </c>
      <c r="I495" s="1">
        <v>32489.97</v>
      </c>
      <c r="J495" s="1">
        <v>0.9587</v>
      </c>
      <c r="K495" s="1">
        <v>31148.13</v>
      </c>
      <c r="L495" s="1">
        <v>271250</v>
      </c>
      <c r="M495" s="1">
        <v>41437</v>
      </c>
      <c r="N495" s="1">
        <v>248551.38</v>
      </c>
      <c r="O495" s="1">
        <v>2024</v>
      </c>
      <c r="P495" s="1" t="s">
        <v>60</v>
      </c>
      <c r="Q495" s="1" t="s">
        <v>40</v>
      </c>
      <c r="R495" s="1" t="s">
        <v>54</v>
      </c>
      <c r="S495" s="1">
        <f t="shared" si="7"/>
        <v>18</v>
      </c>
      <c r="T495" s="7" t="str">
        <f>_xlfn.TEXTJOIN("_",TRUE,Finance_Data!A495,Finance_Data!B495,Finance_Data!C495,Finance_Data!D495,Finance_Data!E495,Finance_Data!G495,Finance_Data!H495)</f>
        <v>CMP_035_North_UK_Watch_Ecommerce_45356_45373</v>
      </c>
    </row>
    <row r="496" spans="1:20" x14ac:dyDescent="0.35">
      <c r="A496" s="6" t="s">
        <v>62</v>
      </c>
      <c r="B496" s="1" t="s">
        <v>19</v>
      </c>
      <c r="C496" s="1" t="s">
        <v>29</v>
      </c>
      <c r="D496" s="1" t="s">
        <v>51</v>
      </c>
      <c r="E496" s="1" t="s">
        <v>22</v>
      </c>
      <c r="F496" s="1" t="s">
        <v>23</v>
      </c>
      <c r="G496" s="2">
        <v>45358</v>
      </c>
      <c r="H496" s="2">
        <v>45364</v>
      </c>
      <c r="I496" s="1">
        <v>49475.24</v>
      </c>
      <c r="J496" s="1">
        <v>0.41120000000000001</v>
      </c>
      <c r="K496" s="1">
        <v>20344.22</v>
      </c>
      <c r="L496" s="1">
        <v>211485</v>
      </c>
      <c r="M496" s="1">
        <v>44661</v>
      </c>
      <c r="N496" s="1">
        <v>168892.62</v>
      </c>
      <c r="O496" s="1">
        <v>2024</v>
      </c>
      <c r="P496" s="1" t="s">
        <v>60</v>
      </c>
      <c r="Q496" s="1" t="s">
        <v>40</v>
      </c>
      <c r="R496" s="1" t="s">
        <v>54</v>
      </c>
      <c r="S496" s="1">
        <f t="shared" si="7"/>
        <v>7</v>
      </c>
      <c r="T496" s="7" t="str">
        <f>_xlfn.TEXTJOIN("_",TRUE,Finance_Data!A496,Finance_Data!B496,Finance_Data!C496,Finance_Data!D496,Finance_Data!E496,Finance_Data!G496,Finance_Data!H496)</f>
        <v>CMP_015_North_Australia_Watch_Retail_45358_45364</v>
      </c>
    </row>
    <row r="497" spans="1:20" x14ac:dyDescent="0.35">
      <c r="A497" s="6" t="s">
        <v>67</v>
      </c>
      <c r="B497" s="1" t="s">
        <v>19</v>
      </c>
      <c r="C497" s="1" t="s">
        <v>69</v>
      </c>
      <c r="D497" s="1" t="s">
        <v>63</v>
      </c>
      <c r="E497" s="1" t="s">
        <v>38</v>
      </c>
      <c r="F497" s="1" t="s">
        <v>31</v>
      </c>
      <c r="G497" s="2">
        <v>45359</v>
      </c>
      <c r="H497" s="2">
        <v>45395</v>
      </c>
      <c r="I497" s="1">
        <v>19575.64</v>
      </c>
      <c r="J497" s="1">
        <v>0.45419999999999999</v>
      </c>
      <c r="K497" s="1">
        <v>8891.26</v>
      </c>
      <c r="L497" s="1">
        <v>128733</v>
      </c>
      <c r="M497" s="1">
        <v>22248</v>
      </c>
      <c r="N497" s="1">
        <v>228941.07</v>
      </c>
      <c r="O497" s="1">
        <v>2024</v>
      </c>
      <c r="P497" s="1" t="s">
        <v>60</v>
      </c>
      <c r="Q497" s="1" t="s">
        <v>40</v>
      </c>
      <c r="R497" s="1" t="s">
        <v>41</v>
      </c>
      <c r="S497" s="1">
        <f t="shared" si="7"/>
        <v>37</v>
      </c>
      <c r="T497" s="7" t="str">
        <f>_xlfn.TEXTJOIN("_",TRUE,Finance_Data!A497,Finance_Data!B497,Finance_Data!C497,Finance_Data!D497,Finance_Data!E497,Finance_Data!G497,Finance_Data!H497)</f>
        <v>CMP_016_North_USA_Skincare_Ecommerce_45359_45395</v>
      </c>
    </row>
    <row r="498" spans="1:20" x14ac:dyDescent="0.35">
      <c r="A498" s="6" t="s">
        <v>102</v>
      </c>
      <c r="B498" s="1" t="s">
        <v>48</v>
      </c>
      <c r="C498" s="1" t="s">
        <v>58</v>
      </c>
      <c r="D498" s="1" t="s">
        <v>51</v>
      </c>
      <c r="E498" s="1" t="s">
        <v>30</v>
      </c>
      <c r="F498" s="1" t="s">
        <v>49</v>
      </c>
      <c r="G498" s="2">
        <v>45359</v>
      </c>
      <c r="H498" s="2">
        <v>45386</v>
      </c>
      <c r="I498" s="1">
        <v>10574.95</v>
      </c>
      <c r="J498" s="1">
        <v>0.24840000000000001</v>
      </c>
      <c r="K498" s="1">
        <v>2626.82</v>
      </c>
      <c r="L498" s="1">
        <v>962631</v>
      </c>
      <c r="M498" s="1">
        <v>13289</v>
      </c>
      <c r="N498" s="1">
        <v>197389.63</v>
      </c>
      <c r="O498" s="1">
        <v>2024</v>
      </c>
      <c r="P498" s="1" t="s">
        <v>60</v>
      </c>
      <c r="Q498" s="1" t="s">
        <v>40</v>
      </c>
      <c r="R498" s="1" t="s">
        <v>41</v>
      </c>
      <c r="S498" s="1">
        <f t="shared" si="7"/>
        <v>28</v>
      </c>
      <c r="T498" s="7" t="str">
        <f>_xlfn.TEXTJOIN("_",TRUE,Finance_Data!A498,Finance_Data!B498,Finance_Data!C498,Finance_Data!D498,Finance_Data!E498,Finance_Data!G498,Finance_Data!H498)</f>
        <v>CMP_022_South_UK_Watch_Wholesale_45359_45386</v>
      </c>
    </row>
    <row r="499" spans="1:20" x14ac:dyDescent="0.35">
      <c r="A499" s="6" t="s">
        <v>104</v>
      </c>
      <c r="B499" s="1" t="s">
        <v>28</v>
      </c>
      <c r="C499" s="1" t="s">
        <v>20</v>
      </c>
      <c r="D499" s="1" t="s">
        <v>37</v>
      </c>
      <c r="E499" s="1" t="s">
        <v>22</v>
      </c>
      <c r="F499" s="1" t="s">
        <v>44</v>
      </c>
      <c r="G499" s="2">
        <v>45360</v>
      </c>
      <c r="H499" s="2">
        <v>45389</v>
      </c>
      <c r="I499" s="1">
        <v>42727.72</v>
      </c>
      <c r="J499" s="1">
        <v>0.55620000000000003</v>
      </c>
      <c r="K499" s="1">
        <v>23765.16</v>
      </c>
      <c r="L499" s="1">
        <v>238808</v>
      </c>
      <c r="M499" s="1">
        <v>30685</v>
      </c>
      <c r="N499" s="1">
        <v>79025.55</v>
      </c>
      <c r="O499" s="1">
        <v>2024</v>
      </c>
      <c r="P499" s="1" t="s">
        <v>60</v>
      </c>
      <c r="Q499" s="1" t="s">
        <v>40</v>
      </c>
      <c r="R499" s="1" t="s">
        <v>41</v>
      </c>
      <c r="S499" s="1">
        <f t="shared" si="7"/>
        <v>30</v>
      </c>
      <c r="T499" s="7" t="str">
        <f>_xlfn.TEXTJOIN("_",TRUE,Finance_Data!A499,Finance_Data!B499,Finance_Data!C499,Finance_Data!D499,Finance_Data!E499,Finance_Data!G499,Finance_Data!H499)</f>
        <v>CMP_034_West_Singapore_Perfume_Retail_45360_45389</v>
      </c>
    </row>
    <row r="500" spans="1:20" x14ac:dyDescent="0.35">
      <c r="A500" s="6" t="s">
        <v>91</v>
      </c>
      <c r="B500" s="1" t="s">
        <v>48</v>
      </c>
      <c r="C500" s="1" t="s">
        <v>29</v>
      </c>
      <c r="D500" s="1" t="s">
        <v>37</v>
      </c>
      <c r="E500" s="1" t="s">
        <v>38</v>
      </c>
      <c r="F500" s="1" t="s">
        <v>31</v>
      </c>
      <c r="G500" s="2">
        <v>45361</v>
      </c>
      <c r="H500" s="2">
        <v>45402</v>
      </c>
      <c r="I500" s="1">
        <v>36241.79</v>
      </c>
      <c r="J500" s="1">
        <v>0.92510000000000003</v>
      </c>
      <c r="K500" s="1">
        <v>33527.279999999999</v>
      </c>
      <c r="L500" s="1">
        <v>282735</v>
      </c>
      <c r="M500" s="1">
        <v>10752</v>
      </c>
      <c r="N500" s="1">
        <v>240274.73</v>
      </c>
      <c r="O500" s="1">
        <v>2024</v>
      </c>
      <c r="P500" s="1" t="s">
        <v>60</v>
      </c>
      <c r="Q500" s="1" t="s">
        <v>40</v>
      </c>
      <c r="R500" s="1" t="s">
        <v>26</v>
      </c>
      <c r="S500" s="1">
        <f t="shared" si="7"/>
        <v>42</v>
      </c>
      <c r="T500" s="7" t="str">
        <f>_xlfn.TEXTJOIN("_",TRUE,Finance_Data!A500,Finance_Data!B500,Finance_Data!C500,Finance_Data!D500,Finance_Data!E500,Finance_Data!G500,Finance_Data!H500)</f>
        <v>CMP_030_South_Australia_Perfume_Ecommerce_45361_45402</v>
      </c>
    </row>
    <row r="501" spans="1:20" x14ac:dyDescent="0.35">
      <c r="A501" s="6" t="s">
        <v>67</v>
      </c>
      <c r="B501" s="1" t="s">
        <v>19</v>
      </c>
      <c r="C501" s="1" t="s">
        <v>20</v>
      </c>
      <c r="D501" s="1" t="s">
        <v>37</v>
      </c>
      <c r="E501" s="1" t="s">
        <v>30</v>
      </c>
      <c r="F501" s="1" t="s">
        <v>49</v>
      </c>
      <c r="G501" s="2">
        <v>45362</v>
      </c>
      <c r="H501" s="2">
        <v>45400</v>
      </c>
      <c r="I501" s="1">
        <v>20321.689999999999</v>
      </c>
      <c r="J501" s="1">
        <v>0.97360000000000002</v>
      </c>
      <c r="K501" s="1">
        <v>19785.2</v>
      </c>
      <c r="L501" s="1">
        <v>740494</v>
      </c>
      <c r="M501" s="1">
        <v>6522</v>
      </c>
      <c r="N501" s="1">
        <v>115848.14</v>
      </c>
      <c r="O501" s="1">
        <v>2024</v>
      </c>
      <c r="P501" s="1" t="s">
        <v>60</v>
      </c>
      <c r="Q501" s="1" t="s">
        <v>40</v>
      </c>
      <c r="R501" s="1" t="s">
        <v>61</v>
      </c>
      <c r="S501" s="1">
        <f t="shared" si="7"/>
        <v>39</v>
      </c>
      <c r="T501" s="7" t="str">
        <f>_xlfn.TEXTJOIN("_",TRUE,Finance_Data!A501,Finance_Data!B501,Finance_Data!C501,Finance_Data!D501,Finance_Data!E501,Finance_Data!G501,Finance_Data!H501)</f>
        <v>CMP_016_North_Singapore_Perfume_Wholesale_45362_45400</v>
      </c>
    </row>
    <row r="502" spans="1:20" x14ac:dyDescent="0.35">
      <c r="A502" s="6" t="s">
        <v>81</v>
      </c>
      <c r="B502" s="1" t="s">
        <v>28</v>
      </c>
      <c r="C502" s="1" t="s">
        <v>69</v>
      </c>
      <c r="D502" s="1" t="s">
        <v>59</v>
      </c>
      <c r="E502" s="1" t="s">
        <v>22</v>
      </c>
      <c r="F502" s="1" t="s">
        <v>23</v>
      </c>
      <c r="G502" s="2">
        <v>45362</v>
      </c>
      <c r="H502" s="2">
        <v>45375</v>
      </c>
      <c r="I502" s="1">
        <v>13471.38</v>
      </c>
      <c r="J502" s="1">
        <v>0.9214</v>
      </c>
      <c r="K502" s="1">
        <v>12412.53</v>
      </c>
      <c r="L502" s="1">
        <v>964293</v>
      </c>
      <c r="M502" s="1">
        <v>5593</v>
      </c>
      <c r="N502" s="1">
        <v>74400.33</v>
      </c>
      <c r="O502" s="1">
        <v>2024</v>
      </c>
      <c r="P502" s="1" t="s">
        <v>60</v>
      </c>
      <c r="Q502" s="1" t="s">
        <v>40</v>
      </c>
      <c r="R502" s="1" t="s">
        <v>26</v>
      </c>
      <c r="S502" s="1">
        <f t="shared" si="7"/>
        <v>14</v>
      </c>
      <c r="T502" s="7" t="str">
        <f>_xlfn.TEXTJOIN("_",TRUE,Finance_Data!A502,Finance_Data!B502,Finance_Data!C502,Finance_Data!D502,Finance_Data!E502,Finance_Data!G502,Finance_Data!H502)</f>
        <v>CMP_057_West_USA_Lipstick_Retail_45362_45375</v>
      </c>
    </row>
    <row r="503" spans="1:20" x14ac:dyDescent="0.35">
      <c r="A503" s="6" t="s">
        <v>106</v>
      </c>
      <c r="B503" s="1" t="s">
        <v>28</v>
      </c>
      <c r="C503" s="1" t="s">
        <v>20</v>
      </c>
      <c r="D503" s="1" t="s">
        <v>51</v>
      </c>
      <c r="E503" s="1" t="s">
        <v>30</v>
      </c>
      <c r="F503" s="1" t="s">
        <v>49</v>
      </c>
      <c r="G503" s="2">
        <v>45364</v>
      </c>
      <c r="H503" s="2">
        <v>45407</v>
      </c>
      <c r="I503" s="1">
        <v>42542.1</v>
      </c>
      <c r="J503" s="1">
        <v>0.31900000000000001</v>
      </c>
      <c r="K503" s="1">
        <v>13570.93</v>
      </c>
      <c r="L503" s="1">
        <v>613080</v>
      </c>
      <c r="M503" s="1">
        <v>40944</v>
      </c>
      <c r="N503" s="1">
        <v>91694.07</v>
      </c>
      <c r="O503" s="1">
        <v>2024</v>
      </c>
      <c r="P503" s="1" t="s">
        <v>60</v>
      </c>
      <c r="Q503" s="1" t="s">
        <v>40</v>
      </c>
      <c r="R503" s="1" t="s">
        <v>54</v>
      </c>
      <c r="S503" s="1">
        <f t="shared" si="7"/>
        <v>44</v>
      </c>
      <c r="T503" s="7" t="str">
        <f>_xlfn.TEXTJOIN("_",TRUE,Finance_Data!A503,Finance_Data!B503,Finance_Data!C503,Finance_Data!D503,Finance_Data!E503,Finance_Data!G503,Finance_Data!H503)</f>
        <v>CMP_009_West_Singapore_Watch_Wholesale_45364_45407</v>
      </c>
    </row>
    <row r="504" spans="1:20" x14ac:dyDescent="0.35">
      <c r="A504" s="6" t="s">
        <v>97</v>
      </c>
      <c r="B504" s="1" t="s">
        <v>48</v>
      </c>
      <c r="C504" s="1" t="s">
        <v>29</v>
      </c>
      <c r="D504" s="1" t="s">
        <v>43</v>
      </c>
      <c r="E504" s="1" t="s">
        <v>30</v>
      </c>
      <c r="F504" s="1" t="s">
        <v>44</v>
      </c>
      <c r="G504" s="2">
        <v>45365</v>
      </c>
      <c r="H504" s="2">
        <v>45400</v>
      </c>
      <c r="I504" s="1">
        <v>49356.7</v>
      </c>
      <c r="J504" s="1">
        <v>1.0299</v>
      </c>
      <c r="K504" s="1">
        <v>50832.47</v>
      </c>
      <c r="L504" s="1">
        <v>959173</v>
      </c>
      <c r="M504" s="1">
        <v>6683</v>
      </c>
      <c r="N504" s="1">
        <v>184898.05</v>
      </c>
      <c r="O504" s="1">
        <v>2024</v>
      </c>
      <c r="P504" s="1" t="s">
        <v>60</v>
      </c>
      <c r="Q504" s="1" t="s">
        <v>40</v>
      </c>
      <c r="R504" s="1" t="s">
        <v>26</v>
      </c>
      <c r="S504" s="1">
        <f t="shared" si="7"/>
        <v>36</v>
      </c>
      <c r="T504" s="7" t="str">
        <f>_xlfn.TEXTJOIN("_",TRUE,Finance_Data!A504,Finance_Data!B504,Finance_Data!C504,Finance_Data!D504,Finance_Data!E504,Finance_Data!G504,Finance_Data!H504)</f>
        <v>CMP_019_South_Australia_Luxury Bag_Wholesale_45365_45400</v>
      </c>
    </row>
    <row r="505" spans="1:20" x14ac:dyDescent="0.35">
      <c r="A505" s="6" t="s">
        <v>47</v>
      </c>
      <c r="B505" s="1" t="s">
        <v>28</v>
      </c>
      <c r="C505" s="1" t="s">
        <v>69</v>
      </c>
      <c r="D505" s="1" t="s">
        <v>51</v>
      </c>
      <c r="E505" s="1" t="s">
        <v>30</v>
      </c>
      <c r="F505" s="1" t="s">
        <v>23</v>
      </c>
      <c r="G505" s="2">
        <v>45365</v>
      </c>
      <c r="H505" s="2">
        <v>45393</v>
      </c>
      <c r="I505" s="1">
        <v>9667.86</v>
      </c>
      <c r="J505" s="1">
        <v>0.71789999999999998</v>
      </c>
      <c r="K505" s="1">
        <v>6940.56</v>
      </c>
      <c r="L505" s="1">
        <v>579128</v>
      </c>
      <c r="M505" s="1">
        <v>28665</v>
      </c>
      <c r="N505" s="1">
        <v>98483.01</v>
      </c>
      <c r="O505" s="1">
        <v>2024</v>
      </c>
      <c r="P505" s="1" t="s">
        <v>60</v>
      </c>
      <c r="Q505" s="1" t="s">
        <v>40</v>
      </c>
      <c r="R505" s="1" t="s">
        <v>26</v>
      </c>
      <c r="S505" s="1">
        <f t="shared" si="7"/>
        <v>29</v>
      </c>
      <c r="T505" s="7" t="str">
        <f>_xlfn.TEXTJOIN("_",TRUE,Finance_Data!A505,Finance_Data!B505,Finance_Data!C505,Finance_Data!D505,Finance_Data!E505,Finance_Data!G505,Finance_Data!H505)</f>
        <v>CMP_055_West_USA_Watch_Wholesale_45365_45393</v>
      </c>
    </row>
    <row r="506" spans="1:20" x14ac:dyDescent="0.35">
      <c r="A506" s="6" t="s">
        <v>34</v>
      </c>
      <c r="B506" s="1" t="s">
        <v>19</v>
      </c>
      <c r="C506" s="1" t="s">
        <v>20</v>
      </c>
      <c r="D506" s="1" t="s">
        <v>63</v>
      </c>
      <c r="E506" s="1" t="s">
        <v>38</v>
      </c>
      <c r="F506" s="1" t="s">
        <v>44</v>
      </c>
      <c r="G506" s="2">
        <v>45365</v>
      </c>
      <c r="H506" s="2">
        <v>45391</v>
      </c>
      <c r="I506" s="1">
        <v>2020.52</v>
      </c>
      <c r="J506" s="1">
        <v>1.1695</v>
      </c>
      <c r="K506" s="1">
        <v>2363</v>
      </c>
      <c r="L506" s="1">
        <v>934065</v>
      </c>
      <c r="M506" s="1">
        <v>5144</v>
      </c>
      <c r="N506" s="1">
        <v>46827.65</v>
      </c>
      <c r="O506" s="1">
        <v>2024</v>
      </c>
      <c r="P506" s="1" t="s">
        <v>60</v>
      </c>
      <c r="Q506" s="1" t="s">
        <v>40</v>
      </c>
      <c r="R506" s="1" t="s">
        <v>26</v>
      </c>
      <c r="S506" s="1">
        <f t="shared" si="7"/>
        <v>27</v>
      </c>
      <c r="T506" s="7" t="str">
        <f>_xlfn.TEXTJOIN("_",TRUE,Finance_Data!A506,Finance_Data!B506,Finance_Data!C506,Finance_Data!D506,Finance_Data!E506,Finance_Data!G506,Finance_Data!H506)</f>
        <v>CMP_049_North_Singapore_Skincare_Ecommerce_45365_45391</v>
      </c>
    </row>
    <row r="507" spans="1:20" x14ac:dyDescent="0.35">
      <c r="A507" s="6" t="s">
        <v>66</v>
      </c>
      <c r="B507" s="1" t="s">
        <v>35</v>
      </c>
      <c r="C507" s="1" t="s">
        <v>36</v>
      </c>
      <c r="D507" s="1" t="s">
        <v>37</v>
      </c>
      <c r="E507" s="1" t="s">
        <v>38</v>
      </c>
      <c r="F507" s="1" t="s">
        <v>23</v>
      </c>
      <c r="G507" s="2">
        <v>45366</v>
      </c>
      <c r="H507" s="2">
        <v>45421</v>
      </c>
      <c r="I507" s="1">
        <v>10109.83</v>
      </c>
      <c r="J507" s="1">
        <v>0.3019</v>
      </c>
      <c r="K507" s="1">
        <v>3052.16</v>
      </c>
      <c r="L507" s="1">
        <v>235636</v>
      </c>
      <c r="M507" s="1">
        <v>43154</v>
      </c>
      <c r="N507" s="1">
        <v>96056.77</v>
      </c>
      <c r="O507" s="1">
        <v>2024</v>
      </c>
      <c r="P507" s="1" t="s">
        <v>60</v>
      </c>
      <c r="Q507" s="1" t="s">
        <v>40</v>
      </c>
      <c r="R507" s="1" t="s">
        <v>41</v>
      </c>
      <c r="S507" s="1">
        <f t="shared" si="7"/>
        <v>56</v>
      </c>
      <c r="T507" s="7" t="str">
        <f>_xlfn.TEXTJOIN("_",TRUE,Finance_Data!A507,Finance_Data!B507,Finance_Data!C507,Finance_Data!D507,Finance_Data!E507,Finance_Data!G507,Finance_Data!H507)</f>
        <v>CMP_010_East_India_Perfume_Ecommerce_45366_45421</v>
      </c>
    </row>
    <row r="508" spans="1:20" x14ac:dyDescent="0.35">
      <c r="A508" s="6" t="s">
        <v>82</v>
      </c>
      <c r="B508" s="1" t="s">
        <v>19</v>
      </c>
      <c r="C508" s="1" t="s">
        <v>20</v>
      </c>
      <c r="D508" s="1" t="s">
        <v>59</v>
      </c>
      <c r="E508" s="1" t="s">
        <v>38</v>
      </c>
      <c r="F508" s="1" t="s">
        <v>31</v>
      </c>
      <c r="G508" s="2">
        <v>45368</v>
      </c>
      <c r="H508" s="2">
        <v>45384</v>
      </c>
      <c r="I508" s="1">
        <v>13360.89</v>
      </c>
      <c r="J508" s="1">
        <v>0.59460000000000002</v>
      </c>
      <c r="K508" s="1">
        <v>7944.39</v>
      </c>
      <c r="L508" s="1">
        <v>360520</v>
      </c>
      <c r="M508" s="1">
        <v>20046</v>
      </c>
      <c r="N508" s="1">
        <v>32324.51</v>
      </c>
      <c r="O508" s="1">
        <v>2024</v>
      </c>
      <c r="P508" s="1" t="s">
        <v>60</v>
      </c>
      <c r="Q508" s="1" t="s">
        <v>40</v>
      </c>
      <c r="R508" s="1" t="s">
        <v>41</v>
      </c>
      <c r="S508" s="1">
        <f t="shared" si="7"/>
        <v>17</v>
      </c>
      <c r="T508" s="7" t="str">
        <f>_xlfn.TEXTJOIN("_",TRUE,Finance_Data!A508,Finance_Data!B508,Finance_Data!C508,Finance_Data!D508,Finance_Data!E508,Finance_Data!G508,Finance_Data!H508)</f>
        <v>CMP_043_North_Singapore_Lipstick_Ecommerce_45368_45384</v>
      </c>
    </row>
    <row r="509" spans="1:20" x14ac:dyDescent="0.35">
      <c r="A509" s="6" t="s">
        <v>67</v>
      </c>
      <c r="B509" s="1" t="s">
        <v>28</v>
      </c>
      <c r="C509" s="1" t="s">
        <v>58</v>
      </c>
      <c r="D509" s="1" t="s">
        <v>21</v>
      </c>
      <c r="E509" s="1" t="s">
        <v>22</v>
      </c>
      <c r="F509" s="1" t="s">
        <v>31</v>
      </c>
      <c r="G509" s="2">
        <v>45369</v>
      </c>
      <c r="H509" s="2">
        <v>45411</v>
      </c>
      <c r="I509" s="1">
        <v>45994.73</v>
      </c>
      <c r="J509" s="1">
        <v>0.35610000000000003</v>
      </c>
      <c r="K509" s="1">
        <v>16378.72</v>
      </c>
      <c r="L509" s="1">
        <v>43697</v>
      </c>
      <c r="M509" s="1">
        <v>31110</v>
      </c>
      <c r="N509" s="1">
        <v>233569.02</v>
      </c>
      <c r="O509" s="1">
        <v>2024</v>
      </c>
      <c r="P509" s="1" t="s">
        <v>60</v>
      </c>
      <c r="Q509" s="1" t="s">
        <v>40</v>
      </c>
      <c r="R509" s="1" t="s">
        <v>41</v>
      </c>
      <c r="S509" s="1">
        <f t="shared" si="7"/>
        <v>43</v>
      </c>
      <c r="T509" s="7" t="str">
        <f>_xlfn.TEXTJOIN("_",TRUE,Finance_Data!A509,Finance_Data!B509,Finance_Data!C509,Finance_Data!D509,Finance_Data!E509,Finance_Data!G509,Finance_Data!H509)</f>
        <v>CMP_016_West_UK_Foundation_Retail_45369_45411</v>
      </c>
    </row>
    <row r="510" spans="1:20" x14ac:dyDescent="0.35">
      <c r="A510" s="6" t="s">
        <v>112</v>
      </c>
      <c r="B510" s="1" t="s">
        <v>19</v>
      </c>
      <c r="C510" s="1" t="s">
        <v>29</v>
      </c>
      <c r="D510" s="1" t="s">
        <v>51</v>
      </c>
      <c r="E510" s="1" t="s">
        <v>22</v>
      </c>
      <c r="F510" s="1" t="s">
        <v>31</v>
      </c>
      <c r="G510" s="2">
        <v>45369</v>
      </c>
      <c r="H510" s="2">
        <v>45405</v>
      </c>
      <c r="I510" s="1">
        <v>13889.77</v>
      </c>
      <c r="J510" s="1">
        <v>1.0387999999999999</v>
      </c>
      <c r="K510" s="1">
        <v>14428.69</v>
      </c>
      <c r="L510" s="1">
        <v>301979</v>
      </c>
      <c r="M510" s="1">
        <v>48048</v>
      </c>
      <c r="N510" s="1">
        <v>168835.32</v>
      </c>
      <c r="O510" s="1">
        <v>2024</v>
      </c>
      <c r="P510" s="1" t="s">
        <v>60</v>
      </c>
      <c r="Q510" s="1" t="s">
        <v>40</v>
      </c>
      <c r="R510" s="1" t="s">
        <v>61</v>
      </c>
      <c r="S510" s="1">
        <f t="shared" si="7"/>
        <v>37</v>
      </c>
      <c r="T510" s="7" t="str">
        <f>_xlfn.TEXTJOIN("_",TRUE,Finance_Data!A510,Finance_Data!B510,Finance_Data!C510,Finance_Data!D510,Finance_Data!E510,Finance_Data!G510,Finance_Data!H510)</f>
        <v>CMP_023_North_Australia_Watch_Retail_45369_45405</v>
      </c>
    </row>
    <row r="511" spans="1:20" x14ac:dyDescent="0.35">
      <c r="A511" s="6" t="s">
        <v>64</v>
      </c>
      <c r="B511" s="1" t="s">
        <v>48</v>
      </c>
      <c r="C511" s="1" t="s">
        <v>58</v>
      </c>
      <c r="D511" s="1" t="s">
        <v>21</v>
      </c>
      <c r="E511" s="1" t="s">
        <v>38</v>
      </c>
      <c r="F511" s="1" t="s">
        <v>31</v>
      </c>
      <c r="G511" s="2">
        <v>45369</v>
      </c>
      <c r="H511" s="2">
        <v>45383</v>
      </c>
      <c r="I511" s="1">
        <v>32173.66</v>
      </c>
      <c r="J511" s="1">
        <v>0.22989999999999999</v>
      </c>
      <c r="K511" s="1">
        <v>7396.72</v>
      </c>
      <c r="L511" s="1">
        <v>868311</v>
      </c>
      <c r="M511" s="1">
        <v>48898</v>
      </c>
      <c r="N511" s="1">
        <v>166079.01</v>
      </c>
      <c r="O511" s="1">
        <v>2024</v>
      </c>
      <c r="P511" s="1" t="s">
        <v>60</v>
      </c>
      <c r="Q511" s="1" t="s">
        <v>40</v>
      </c>
      <c r="R511" s="1" t="s">
        <v>26</v>
      </c>
      <c r="S511" s="1">
        <f t="shared" si="7"/>
        <v>15</v>
      </c>
      <c r="T511" s="7" t="str">
        <f>_xlfn.TEXTJOIN("_",TRUE,Finance_Data!A511,Finance_Data!B511,Finance_Data!C511,Finance_Data!D511,Finance_Data!E511,Finance_Data!G511,Finance_Data!H511)</f>
        <v>CMP_011_South_UK_Foundation_Ecommerce_45369_45383</v>
      </c>
    </row>
    <row r="512" spans="1:20" x14ac:dyDescent="0.35">
      <c r="A512" s="6" t="s">
        <v>66</v>
      </c>
      <c r="B512" s="1" t="s">
        <v>19</v>
      </c>
      <c r="C512" s="1" t="s">
        <v>36</v>
      </c>
      <c r="D512" s="1" t="s">
        <v>51</v>
      </c>
      <c r="E512" s="1" t="s">
        <v>22</v>
      </c>
      <c r="F512" s="1" t="s">
        <v>44</v>
      </c>
      <c r="G512" s="2">
        <v>45370</v>
      </c>
      <c r="H512" s="2">
        <v>45417</v>
      </c>
      <c r="I512" s="1">
        <v>36605.949999999997</v>
      </c>
      <c r="J512" s="1">
        <v>0.58350000000000002</v>
      </c>
      <c r="K512" s="1">
        <v>21359.57</v>
      </c>
      <c r="L512" s="1">
        <v>705951</v>
      </c>
      <c r="M512" s="1">
        <v>44421</v>
      </c>
      <c r="N512" s="1">
        <v>162144.09</v>
      </c>
      <c r="O512" s="1">
        <v>2024</v>
      </c>
      <c r="P512" s="1" t="s">
        <v>60</v>
      </c>
      <c r="Q512" s="1" t="s">
        <v>40</v>
      </c>
      <c r="R512" s="1" t="s">
        <v>54</v>
      </c>
      <c r="S512" s="1">
        <f t="shared" si="7"/>
        <v>48</v>
      </c>
      <c r="T512" s="7" t="str">
        <f>_xlfn.TEXTJOIN("_",TRUE,Finance_Data!A512,Finance_Data!B512,Finance_Data!C512,Finance_Data!D512,Finance_Data!E512,Finance_Data!G512,Finance_Data!H512)</f>
        <v>CMP_010_North_India_Watch_Retail_45370_45417</v>
      </c>
    </row>
    <row r="513" spans="1:20" x14ac:dyDescent="0.35">
      <c r="A513" s="6" t="s">
        <v>114</v>
      </c>
      <c r="B513" s="1" t="s">
        <v>48</v>
      </c>
      <c r="C513" s="1" t="s">
        <v>58</v>
      </c>
      <c r="D513" s="1" t="s">
        <v>37</v>
      </c>
      <c r="E513" s="1" t="s">
        <v>22</v>
      </c>
      <c r="F513" s="1" t="s">
        <v>52</v>
      </c>
      <c r="G513" s="2">
        <v>45371</v>
      </c>
      <c r="H513" s="2">
        <v>45419</v>
      </c>
      <c r="I513" s="1">
        <v>49778.15</v>
      </c>
      <c r="J513" s="1">
        <v>0.41789999999999999</v>
      </c>
      <c r="K513" s="1">
        <v>20802.29</v>
      </c>
      <c r="L513" s="1">
        <v>955169</v>
      </c>
      <c r="M513" s="1">
        <v>32224</v>
      </c>
      <c r="N513" s="1">
        <v>93016.47</v>
      </c>
      <c r="O513" s="1">
        <v>2024</v>
      </c>
      <c r="P513" s="1" t="s">
        <v>60</v>
      </c>
      <c r="Q513" s="1" t="s">
        <v>40</v>
      </c>
      <c r="R513" s="1" t="s">
        <v>61</v>
      </c>
      <c r="S513" s="1">
        <f t="shared" si="7"/>
        <v>49</v>
      </c>
      <c r="T513" s="7" t="str">
        <f>_xlfn.TEXTJOIN("_",TRUE,Finance_Data!A513,Finance_Data!B513,Finance_Data!C513,Finance_Data!D513,Finance_Data!E513,Finance_Data!G513,Finance_Data!H513)</f>
        <v>CMP_013_South_UK_Perfume_Retail_45371_45419</v>
      </c>
    </row>
    <row r="514" spans="1:20" x14ac:dyDescent="0.35">
      <c r="A514" s="6" t="s">
        <v>66</v>
      </c>
      <c r="B514" s="1" t="s">
        <v>48</v>
      </c>
      <c r="C514" s="1" t="s">
        <v>29</v>
      </c>
      <c r="D514" s="1" t="s">
        <v>63</v>
      </c>
      <c r="E514" s="1" t="s">
        <v>22</v>
      </c>
      <c r="F514" s="1" t="s">
        <v>31</v>
      </c>
      <c r="G514" s="2">
        <v>45371</v>
      </c>
      <c r="H514" s="2">
        <v>45406</v>
      </c>
      <c r="I514" s="1">
        <v>15183.86</v>
      </c>
      <c r="J514" s="1">
        <v>0.58830000000000005</v>
      </c>
      <c r="K514" s="1">
        <v>8932.66</v>
      </c>
      <c r="L514" s="1">
        <v>807861</v>
      </c>
      <c r="M514" s="1">
        <v>28211</v>
      </c>
      <c r="N514" s="1">
        <v>65698.09</v>
      </c>
      <c r="O514" s="1">
        <v>2024</v>
      </c>
      <c r="P514" s="1" t="s">
        <v>60</v>
      </c>
      <c r="Q514" s="1" t="s">
        <v>40</v>
      </c>
      <c r="R514" s="1" t="s">
        <v>61</v>
      </c>
      <c r="S514" s="1">
        <f t="shared" ref="S514:S577" si="8">H514-G514+1</f>
        <v>36</v>
      </c>
      <c r="T514" s="7" t="str">
        <f>_xlfn.TEXTJOIN("_",TRUE,Finance_Data!A514,Finance_Data!B514,Finance_Data!C514,Finance_Data!D514,Finance_Data!E514,Finance_Data!G514,Finance_Data!H514)</f>
        <v>CMP_010_South_Australia_Skincare_Retail_45371_45406</v>
      </c>
    </row>
    <row r="515" spans="1:20" x14ac:dyDescent="0.35">
      <c r="A515" s="6" t="s">
        <v>87</v>
      </c>
      <c r="B515" s="1" t="s">
        <v>19</v>
      </c>
      <c r="C515" s="1" t="s">
        <v>20</v>
      </c>
      <c r="D515" s="1" t="s">
        <v>59</v>
      </c>
      <c r="E515" s="1" t="s">
        <v>22</v>
      </c>
      <c r="F515" s="1" t="s">
        <v>23</v>
      </c>
      <c r="G515" s="2">
        <v>45372</v>
      </c>
      <c r="H515" s="2">
        <v>45393</v>
      </c>
      <c r="I515" s="1">
        <v>17380.439999999999</v>
      </c>
      <c r="J515" s="1">
        <v>0.96809999999999996</v>
      </c>
      <c r="K515" s="1">
        <v>16826</v>
      </c>
      <c r="L515" s="1">
        <v>805248</v>
      </c>
      <c r="M515" s="1">
        <v>29797</v>
      </c>
      <c r="N515" s="1">
        <v>15612.78</v>
      </c>
      <c r="O515" s="1">
        <v>2024</v>
      </c>
      <c r="P515" s="1" t="s">
        <v>60</v>
      </c>
      <c r="Q515" s="1" t="s">
        <v>40</v>
      </c>
      <c r="R515" s="1" t="s">
        <v>54</v>
      </c>
      <c r="S515" s="1">
        <f t="shared" si="8"/>
        <v>22</v>
      </c>
      <c r="T515" s="7" t="str">
        <f>_xlfn.TEXTJOIN("_",TRUE,Finance_Data!A515,Finance_Data!B515,Finance_Data!C515,Finance_Data!D515,Finance_Data!E515,Finance_Data!G515,Finance_Data!H515)</f>
        <v>CMP_048_North_Singapore_Lipstick_Retail_45372_45393</v>
      </c>
    </row>
    <row r="516" spans="1:20" x14ac:dyDescent="0.35">
      <c r="A516" s="6" t="s">
        <v>27</v>
      </c>
      <c r="B516" s="1" t="s">
        <v>28</v>
      </c>
      <c r="C516" s="1" t="s">
        <v>58</v>
      </c>
      <c r="D516" s="1" t="s">
        <v>21</v>
      </c>
      <c r="E516" s="1" t="s">
        <v>30</v>
      </c>
      <c r="F516" s="1" t="s">
        <v>44</v>
      </c>
      <c r="G516" s="2">
        <v>45372</v>
      </c>
      <c r="H516" s="2">
        <v>45388</v>
      </c>
      <c r="I516" s="1">
        <v>36955.97</v>
      </c>
      <c r="J516" s="1">
        <v>1.1589</v>
      </c>
      <c r="K516" s="1">
        <v>42828.27</v>
      </c>
      <c r="L516" s="1">
        <v>293201</v>
      </c>
      <c r="M516" s="1">
        <v>40464</v>
      </c>
      <c r="N516" s="1">
        <v>203008.81</v>
      </c>
      <c r="O516" s="1">
        <v>2024</v>
      </c>
      <c r="P516" s="1" t="s">
        <v>60</v>
      </c>
      <c r="Q516" s="1" t="s">
        <v>40</v>
      </c>
      <c r="R516" s="1" t="s">
        <v>41</v>
      </c>
      <c r="S516" s="1">
        <f t="shared" si="8"/>
        <v>17</v>
      </c>
      <c r="T516" s="7" t="str">
        <f>_xlfn.TEXTJOIN("_",TRUE,Finance_Data!A516,Finance_Data!B516,Finance_Data!C516,Finance_Data!D516,Finance_Data!E516,Finance_Data!G516,Finance_Data!H516)</f>
        <v>CMP_035_West_UK_Foundation_Wholesale_45372_45388</v>
      </c>
    </row>
    <row r="517" spans="1:20" x14ac:dyDescent="0.35">
      <c r="A517" s="6" t="s">
        <v>91</v>
      </c>
      <c r="B517" s="1" t="s">
        <v>48</v>
      </c>
      <c r="C517" s="1" t="s">
        <v>58</v>
      </c>
      <c r="D517" s="1" t="s">
        <v>21</v>
      </c>
      <c r="E517" s="1" t="s">
        <v>22</v>
      </c>
      <c r="F517" s="1" t="s">
        <v>23</v>
      </c>
      <c r="G517" s="2">
        <v>45373</v>
      </c>
      <c r="H517" s="2">
        <v>45431</v>
      </c>
      <c r="I517" s="1">
        <v>31676.9</v>
      </c>
      <c r="J517" s="1">
        <v>0.95009999999999994</v>
      </c>
      <c r="K517" s="1">
        <v>30096.22</v>
      </c>
      <c r="L517" s="1">
        <v>210188</v>
      </c>
      <c r="M517" s="1">
        <v>5742</v>
      </c>
      <c r="N517" s="1">
        <v>78724.88</v>
      </c>
      <c r="O517" s="1">
        <v>2024</v>
      </c>
      <c r="P517" s="1" t="s">
        <v>60</v>
      </c>
      <c r="Q517" s="1" t="s">
        <v>40</v>
      </c>
      <c r="R517" s="1" t="s">
        <v>61</v>
      </c>
      <c r="S517" s="1">
        <f t="shared" si="8"/>
        <v>59</v>
      </c>
      <c r="T517" s="7" t="str">
        <f>_xlfn.TEXTJOIN("_",TRUE,Finance_Data!A517,Finance_Data!B517,Finance_Data!C517,Finance_Data!D517,Finance_Data!E517,Finance_Data!G517,Finance_Data!H517)</f>
        <v>CMP_030_South_UK_Foundation_Retail_45373_45431</v>
      </c>
    </row>
    <row r="518" spans="1:20" x14ac:dyDescent="0.35">
      <c r="A518" s="6" t="s">
        <v>71</v>
      </c>
      <c r="B518" s="1" t="s">
        <v>28</v>
      </c>
      <c r="C518" s="1" t="s">
        <v>69</v>
      </c>
      <c r="D518" s="1" t="s">
        <v>43</v>
      </c>
      <c r="E518" s="1" t="s">
        <v>22</v>
      </c>
      <c r="F518" s="1" t="s">
        <v>31</v>
      </c>
      <c r="G518" s="2">
        <v>45374</v>
      </c>
      <c r="H518" s="2">
        <v>45393</v>
      </c>
      <c r="I518" s="1">
        <v>5879.32</v>
      </c>
      <c r="J518" s="1">
        <v>0.96340000000000003</v>
      </c>
      <c r="K518" s="1">
        <v>5664.14</v>
      </c>
      <c r="L518" s="1">
        <v>538751</v>
      </c>
      <c r="M518" s="1">
        <v>7857</v>
      </c>
      <c r="N518" s="1">
        <v>159703.06</v>
      </c>
      <c r="O518" s="1">
        <v>2024</v>
      </c>
      <c r="P518" s="1" t="s">
        <v>60</v>
      </c>
      <c r="Q518" s="1" t="s">
        <v>40</v>
      </c>
      <c r="R518" s="1" t="s">
        <v>61</v>
      </c>
      <c r="S518" s="1">
        <f t="shared" si="8"/>
        <v>20</v>
      </c>
      <c r="T518" s="7" t="str">
        <f>_xlfn.TEXTJOIN("_",TRUE,Finance_Data!A518,Finance_Data!B518,Finance_Data!C518,Finance_Data!D518,Finance_Data!E518,Finance_Data!G518,Finance_Data!H518)</f>
        <v>CMP_051_West_USA_Luxury Bag_Retail_45374_45393</v>
      </c>
    </row>
    <row r="519" spans="1:20" x14ac:dyDescent="0.35">
      <c r="A519" s="6" t="s">
        <v>79</v>
      </c>
      <c r="B519" s="1" t="s">
        <v>19</v>
      </c>
      <c r="C519" s="1" t="s">
        <v>58</v>
      </c>
      <c r="D519" s="1" t="s">
        <v>51</v>
      </c>
      <c r="E519" s="1" t="s">
        <v>38</v>
      </c>
      <c r="F519" s="1" t="s">
        <v>31</v>
      </c>
      <c r="G519" s="2">
        <v>45376</v>
      </c>
      <c r="H519" s="2">
        <v>45409</v>
      </c>
      <c r="I519" s="1">
        <v>42794.26</v>
      </c>
      <c r="J519" s="1">
        <v>4.58E-2</v>
      </c>
      <c r="K519" s="1">
        <v>1959.98</v>
      </c>
      <c r="L519" s="1">
        <v>155699</v>
      </c>
      <c r="M519" s="1">
        <v>37947</v>
      </c>
      <c r="N519" s="1">
        <v>219068.79999999999</v>
      </c>
      <c r="O519" s="1">
        <v>2024</v>
      </c>
      <c r="P519" s="1" t="s">
        <v>60</v>
      </c>
      <c r="Q519" s="1" t="s">
        <v>40</v>
      </c>
      <c r="R519" s="1" t="s">
        <v>61</v>
      </c>
      <c r="S519" s="1">
        <f t="shared" si="8"/>
        <v>34</v>
      </c>
      <c r="T519" s="7" t="str">
        <f>_xlfn.TEXTJOIN("_",TRUE,Finance_Data!A519,Finance_Data!B519,Finance_Data!C519,Finance_Data!D519,Finance_Data!E519,Finance_Data!G519,Finance_Data!H519)</f>
        <v>CMP_020_North_UK_Watch_Ecommerce_45376_45409</v>
      </c>
    </row>
    <row r="520" spans="1:20" x14ac:dyDescent="0.35">
      <c r="A520" s="6" t="s">
        <v>84</v>
      </c>
      <c r="B520" s="1" t="s">
        <v>35</v>
      </c>
      <c r="C520" s="1" t="s">
        <v>29</v>
      </c>
      <c r="D520" s="1" t="s">
        <v>37</v>
      </c>
      <c r="E520" s="1" t="s">
        <v>30</v>
      </c>
      <c r="F520" s="1" t="s">
        <v>44</v>
      </c>
      <c r="G520" s="2">
        <v>45379</v>
      </c>
      <c r="H520" s="2">
        <v>45425</v>
      </c>
      <c r="I520" s="1">
        <v>13565.75</v>
      </c>
      <c r="J520" s="1">
        <v>0.58009999999999995</v>
      </c>
      <c r="K520" s="1">
        <v>7869.49</v>
      </c>
      <c r="L520" s="1">
        <v>221883</v>
      </c>
      <c r="M520" s="1">
        <v>35396</v>
      </c>
      <c r="N520" s="1">
        <v>71427.520000000004</v>
      </c>
      <c r="O520" s="1">
        <v>2024</v>
      </c>
      <c r="P520" s="1" t="s">
        <v>60</v>
      </c>
      <c r="Q520" s="1" t="s">
        <v>40</v>
      </c>
      <c r="R520" s="1" t="s">
        <v>61</v>
      </c>
      <c r="S520" s="1">
        <f t="shared" si="8"/>
        <v>47</v>
      </c>
      <c r="T520" s="7" t="str">
        <f>_xlfn.TEXTJOIN("_",TRUE,Finance_Data!A520,Finance_Data!B520,Finance_Data!C520,Finance_Data!D520,Finance_Data!E520,Finance_Data!G520,Finance_Data!H520)</f>
        <v>CMP_036_East_Australia_Perfume_Wholesale_45379_45425</v>
      </c>
    </row>
    <row r="521" spans="1:20" x14ac:dyDescent="0.35">
      <c r="A521" s="6" t="s">
        <v>79</v>
      </c>
      <c r="B521" s="1" t="s">
        <v>28</v>
      </c>
      <c r="C521" s="1" t="s">
        <v>58</v>
      </c>
      <c r="D521" s="1" t="s">
        <v>37</v>
      </c>
      <c r="E521" s="1" t="s">
        <v>22</v>
      </c>
      <c r="F521" s="1" t="s">
        <v>31</v>
      </c>
      <c r="G521" s="2">
        <v>45379</v>
      </c>
      <c r="H521" s="2">
        <v>45424</v>
      </c>
      <c r="I521" s="1">
        <v>15838.2</v>
      </c>
      <c r="J521" s="1">
        <v>0.33689999999999998</v>
      </c>
      <c r="K521" s="1">
        <v>5335.89</v>
      </c>
      <c r="L521" s="1">
        <v>68900</v>
      </c>
      <c r="M521" s="1">
        <v>23164</v>
      </c>
      <c r="N521" s="1">
        <v>129297.54</v>
      </c>
      <c r="O521" s="1">
        <v>2024</v>
      </c>
      <c r="P521" s="1" t="s">
        <v>60</v>
      </c>
      <c r="Q521" s="1" t="s">
        <v>40</v>
      </c>
      <c r="R521" s="1" t="s">
        <v>41</v>
      </c>
      <c r="S521" s="1">
        <f t="shared" si="8"/>
        <v>46</v>
      </c>
      <c r="T521" s="7" t="str">
        <f>_xlfn.TEXTJOIN("_",TRUE,Finance_Data!A521,Finance_Data!B521,Finance_Data!C521,Finance_Data!D521,Finance_Data!E521,Finance_Data!G521,Finance_Data!H521)</f>
        <v>CMP_020_West_UK_Perfume_Retail_45379_45424</v>
      </c>
    </row>
    <row r="522" spans="1:20" x14ac:dyDescent="0.35">
      <c r="A522" s="6" t="s">
        <v>66</v>
      </c>
      <c r="B522" s="1" t="s">
        <v>48</v>
      </c>
      <c r="C522" s="1" t="s">
        <v>29</v>
      </c>
      <c r="D522" s="1" t="s">
        <v>37</v>
      </c>
      <c r="E522" s="1" t="s">
        <v>22</v>
      </c>
      <c r="F522" s="1" t="s">
        <v>44</v>
      </c>
      <c r="G522" s="2">
        <v>45379</v>
      </c>
      <c r="H522" s="2">
        <v>45424</v>
      </c>
      <c r="I522" s="1">
        <v>1296.0899999999999</v>
      </c>
      <c r="J522" s="1">
        <v>1.0450999999999999</v>
      </c>
      <c r="K522" s="1">
        <v>1354.54</v>
      </c>
      <c r="L522" s="1">
        <v>83384</v>
      </c>
      <c r="M522" s="1">
        <v>12713</v>
      </c>
      <c r="N522" s="1">
        <v>17766.18</v>
      </c>
      <c r="O522" s="1">
        <v>2024</v>
      </c>
      <c r="P522" s="1" t="s">
        <v>60</v>
      </c>
      <c r="Q522" s="1" t="s">
        <v>40</v>
      </c>
      <c r="R522" s="1" t="s">
        <v>61</v>
      </c>
      <c r="S522" s="1">
        <f t="shared" si="8"/>
        <v>46</v>
      </c>
      <c r="T522" s="7" t="str">
        <f>_xlfn.TEXTJOIN("_",TRUE,Finance_Data!A522,Finance_Data!B522,Finance_Data!C522,Finance_Data!D522,Finance_Data!E522,Finance_Data!G522,Finance_Data!H522)</f>
        <v>CMP_010_South_Australia_Perfume_Retail_45379_45424</v>
      </c>
    </row>
    <row r="523" spans="1:20" x14ac:dyDescent="0.35">
      <c r="A523" s="6" t="s">
        <v>79</v>
      </c>
      <c r="B523" s="1" t="s">
        <v>28</v>
      </c>
      <c r="C523" s="1" t="s">
        <v>29</v>
      </c>
      <c r="D523" s="1" t="s">
        <v>63</v>
      </c>
      <c r="E523" s="1" t="s">
        <v>30</v>
      </c>
      <c r="F523" s="1" t="s">
        <v>44</v>
      </c>
      <c r="G523" s="2">
        <v>45381</v>
      </c>
      <c r="H523" s="2">
        <v>45425</v>
      </c>
      <c r="I523" s="1">
        <v>14961.47</v>
      </c>
      <c r="J523" s="1">
        <v>0.90080000000000005</v>
      </c>
      <c r="K523" s="1">
        <v>13477.29</v>
      </c>
      <c r="L523" s="1">
        <v>480735</v>
      </c>
      <c r="M523" s="1">
        <v>15435</v>
      </c>
      <c r="N523" s="1">
        <v>135832.73000000001</v>
      </c>
      <c r="O523" s="1">
        <v>2024</v>
      </c>
      <c r="P523" s="1" t="s">
        <v>60</v>
      </c>
      <c r="Q523" s="1" t="s">
        <v>40</v>
      </c>
      <c r="R523" s="1" t="s">
        <v>54</v>
      </c>
      <c r="S523" s="1">
        <f t="shared" si="8"/>
        <v>45</v>
      </c>
      <c r="T523" s="7" t="str">
        <f>_xlfn.TEXTJOIN("_",TRUE,Finance_Data!A523,Finance_Data!B523,Finance_Data!C523,Finance_Data!D523,Finance_Data!E523,Finance_Data!G523,Finance_Data!H523)</f>
        <v>CMP_020_West_Australia_Skincare_Wholesale_45381_45425</v>
      </c>
    </row>
    <row r="524" spans="1:20" x14ac:dyDescent="0.35">
      <c r="A524" s="6" t="s">
        <v>42</v>
      </c>
      <c r="B524" s="1" t="s">
        <v>28</v>
      </c>
      <c r="C524" s="1" t="s">
        <v>20</v>
      </c>
      <c r="D524" s="1" t="s">
        <v>63</v>
      </c>
      <c r="E524" s="1" t="s">
        <v>38</v>
      </c>
      <c r="F524" s="1" t="s">
        <v>52</v>
      </c>
      <c r="G524" s="2">
        <v>45381</v>
      </c>
      <c r="H524" s="2">
        <v>45418</v>
      </c>
      <c r="I524" s="1">
        <v>2221.8000000000002</v>
      </c>
      <c r="J524" s="1">
        <v>0.58440000000000003</v>
      </c>
      <c r="K524" s="1">
        <v>1298.42</v>
      </c>
      <c r="L524" s="1">
        <v>534344</v>
      </c>
      <c r="M524" s="1">
        <v>10197</v>
      </c>
      <c r="N524" s="1">
        <v>51601.86</v>
      </c>
      <c r="O524" s="1">
        <v>2024</v>
      </c>
      <c r="P524" s="1" t="s">
        <v>60</v>
      </c>
      <c r="Q524" s="1" t="s">
        <v>40</v>
      </c>
      <c r="R524" s="1" t="s">
        <v>26</v>
      </c>
      <c r="S524" s="1">
        <f t="shared" si="8"/>
        <v>38</v>
      </c>
      <c r="T524" s="7" t="str">
        <f>_xlfn.TEXTJOIN("_",TRUE,Finance_Data!A524,Finance_Data!B524,Finance_Data!C524,Finance_Data!D524,Finance_Data!E524,Finance_Data!G524,Finance_Data!H524)</f>
        <v>CMP_060_West_Singapore_Skincare_Ecommerce_45381_45418</v>
      </c>
    </row>
    <row r="525" spans="1:20" x14ac:dyDescent="0.35">
      <c r="A525" s="6" t="s">
        <v>108</v>
      </c>
      <c r="B525" s="1" t="s">
        <v>35</v>
      </c>
      <c r="C525" s="1" t="s">
        <v>36</v>
      </c>
      <c r="D525" s="1" t="s">
        <v>21</v>
      </c>
      <c r="E525" s="1" t="s">
        <v>38</v>
      </c>
      <c r="F525" s="1" t="s">
        <v>52</v>
      </c>
      <c r="G525" s="2">
        <v>45381</v>
      </c>
      <c r="H525" s="2">
        <v>45414</v>
      </c>
      <c r="I525" s="1">
        <v>47577.2</v>
      </c>
      <c r="J525" s="1">
        <v>1.028</v>
      </c>
      <c r="K525" s="1">
        <v>48909.36</v>
      </c>
      <c r="L525" s="1">
        <v>114180</v>
      </c>
      <c r="M525" s="1">
        <v>45036</v>
      </c>
      <c r="N525" s="1">
        <v>94997.06</v>
      </c>
      <c r="O525" s="1">
        <v>2024</v>
      </c>
      <c r="P525" s="1" t="s">
        <v>60</v>
      </c>
      <c r="Q525" s="1" t="s">
        <v>40</v>
      </c>
      <c r="R525" s="1" t="s">
        <v>26</v>
      </c>
      <c r="S525" s="1">
        <f t="shared" si="8"/>
        <v>34</v>
      </c>
      <c r="T525" s="7" t="str">
        <f>_xlfn.TEXTJOIN("_",TRUE,Finance_Data!A525,Finance_Data!B525,Finance_Data!C525,Finance_Data!D525,Finance_Data!E525,Finance_Data!G525,Finance_Data!H525)</f>
        <v>CMP_058_East_India_Foundation_Ecommerce_45381_45414</v>
      </c>
    </row>
    <row r="526" spans="1:20" x14ac:dyDescent="0.35">
      <c r="A526" s="6" t="s">
        <v>105</v>
      </c>
      <c r="B526" s="1" t="s">
        <v>28</v>
      </c>
      <c r="C526" s="1" t="s">
        <v>29</v>
      </c>
      <c r="D526" s="1" t="s">
        <v>43</v>
      </c>
      <c r="E526" s="1" t="s">
        <v>38</v>
      </c>
      <c r="F526" s="1" t="s">
        <v>31</v>
      </c>
      <c r="G526" s="2">
        <v>45383</v>
      </c>
      <c r="H526" s="2">
        <v>45415</v>
      </c>
      <c r="I526" s="1">
        <v>30220.16</v>
      </c>
      <c r="J526" s="1">
        <v>0.33329999999999999</v>
      </c>
      <c r="K526" s="1">
        <v>10072.379999999999</v>
      </c>
      <c r="L526" s="1">
        <v>344232</v>
      </c>
      <c r="M526" s="1">
        <v>40923</v>
      </c>
      <c r="N526" s="1">
        <v>31351.98</v>
      </c>
      <c r="O526" s="1">
        <v>2024</v>
      </c>
      <c r="P526" s="1" t="s">
        <v>76</v>
      </c>
      <c r="Q526" s="1" t="s">
        <v>46</v>
      </c>
      <c r="R526" s="1" t="s">
        <v>26</v>
      </c>
      <c r="S526" s="1">
        <f t="shared" si="8"/>
        <v>33</v>
      </c>
      <c r="T526" s="7" t="str">
        <f>_xlfn.TEXTJOIN("_",TRUE,Finance_Data!A526,Finance_Data!B526,Finance_Data!C526,Finance_Data!D526,Finance_Data!E526,Finance_Data!G526,Finance_Data!H526)</f>
        <v>CMP_025_West_Australia_Luxury Bag_Ecommerce_45383_45415</v>
      </c>
    </row>
    <row r="527" spans="1:20" x14ac:dyDescent="0.35">
      <c r="A527" s="6" t="s">
        <v>18</v>
      </c>
      <c r="B527" s="1" t="s">
        <v>35</v>
      </c>
      <c r="C527" s="1" t="s">
        <v>58</v>
      </c>
      <c r="D527" s="1" t="s">
        <v>37</v>
      </c>
      <c r="E527" s="1" t="s">
        <v>38</v>
      </c>
      <c r="F527" s="1" t="s">
        <v>31</v>
      </c>
      <c r="G527" s="2">
        <v>45383</v>
      </c>
      <c r="H527" s="2">
        <v>45403</v>
      </c>
      <c r="I527" s="1">
        <v>45320.33</v>
      </c>
      <c r="J527" s="1">
        <v>0.74029999999999996</v>
      </c>
      <c r="K527" s="1">
        <v>33550.639999999999</v>
      </c>
      <c r="L527" s="1">
        <v>661303</v>
      </c>
      <c r="M527" s="1">
        <v>16079</v>
      </c>
      <c r="N527" s="1">
        <v>239929.72</v>
      </c>
      <c r="O527" s="1">
        <v>2024</v>
      </c>
      <c r="P527" s="1" t="s">
        <v>76</v>
      </c>
      <c r="Q527" s="1" t="s">
        <v>46</v>
      </c>
      <c r="R527" s="1" t="s">
        <v>41</v>
      </c>
      <c r="S527" s="1">
        <f t="shared" si="8"/>
        <v>21</v>
      </c>
      <c r="T527" s="7" t="str">
        <f>_xlfn.TEXTJOIN("_",TRUE,Finance_Data!A527,Finance_Data!B527,Finance_Data!C527,Finance_Data!D527,Finance_Data!E527,Finance_Data!G527,Finance_Data!H527)</f>
        <v>CMP_044_East_UK_Perfume_Ecommerce_45383_45403</v>
      </c>
    </row>
    <row r="528" spans="1:20" x14ac:dyDescent="0.35">
      <c r="A528" s="6" t="s">
        <v>96</v>
      </c>
      <c r="B528" s="1" t="s">
        <v>28</v>
      </c>
      <c r="C528" s="1" t="s">
        <v>36</v>
      </c>
      <c r="D528" s="1" t="s">
        <v>37</v>
      </c>
      <c r="E528" s="1" t="s">
        <v>38</v>
      </c>
      <c r="F528" s="1" t="s">
        <v>49</v>
      </c>
      <c r="G528" s="2">
        <v>45383</v>
      </c>
      <c r="H528" s="2">
        <v>45397</v>
      </c>
      <c r="I528" s="1">
        <v>2697.82</v>
      </c>
      <c r="J528" s="1">
        <v>0.74680000000000002</v>
      </c>
      <c r="K528" s="1">
        <v>2014.73</v>
      </c>
      <c r="L528" s="1">
        <v>267724</v>
      </c>
      <c r="M528" s="1">
        <v>42520</v>
      </c>
      <c r="N528" s="1">
        <v>77300.759999999995</v>
      </c>
      <c r="O528" s="1">
        <v>2024</v>
      </c>
      <c r="P528" s="1" t="s">
        <v>76</v>
      </c>
      <c r="Q528" s="1" t="s">
        <v>46</v>
      </c>
      <c r="R528" s="1" t="s">
        <v>61</v>
      </c>
      <c r="S528" s="1">
        <f t="shared" si="8"/>
        <v>15</v>
      </c>
      <c r="T528" s="7" t="str">
        <f>_xlfn.TEXTJOIN("_",TRUE,Finance_Data!A528,Finance_Data!B528,Finance_Data!C528,Finance_Data!D528,Finance_Data!E528,Finance_Data!G528,Finance_Data!H528)</f>
        <v>CMP_027_West_India_Perfume_Ecommerce_45383_45397</v>
      </c>
    </row>
    <row r="529" spans="1:20" x14ac:dyDescent="0.35">
      <c r="A529" s="6" t="s">
        <v>119</v>
      </c>
      <c r="B529" s="1" t="s">
        <v>48</v>
      </c>
      <c r="C529" s="1" t="s">
        <v>20</v>
      </c>
      <c r="D529" s="1" t="s">
        <v>59</v>
      </c>
      <c r="E529" s="1" t="s">
        <v>30</v>
      </c>
      <c r="F529" s="1" t="s">
        <v>31</v>
      </c>
      <c r="G529" s="2">
        <v>45386</v>
      </c>
      <c r="H529" s="2">
        <v>45435</v>
      </c>
      <c r="I529" s="1">
        <v>22375.27</v>
      </c>
      <c r="J529" s="1">
        <v>0.20200000000000001</v>
      </c>
      <c r="K529" s="1">
        <v>4519.8</v>
      </c>
      <c r="L529" s="1">
        <v>771485</v>
      </c>
      <c r="M529" s="1">
        <v>12696</v>
      </c>
      <c r="N529" s="1">
        <v>119963.91</v>
      </c>
      <c r="O529" s="1">
        <v>2024</v>
      </c>
      <c r="P529" s="1" t="s">
        <v>76</v>
      </c>
      <c r="Q529" s="1" t="s">
        <v>46</v>
      </c>
      <c r="R529" s="1" t="s">
        <v>54</v>
      </c>
      <c r="S529" s="1">
        <f t="shared" si="8"/>
        <v>50</v>
      </c>
      <c r="T529" s="7" t="str">
        <f>_xlfn.TEXTJOIN("_",TRUE,Finance_Data!A529,Finance_Data!B529,Finance_Data!C529,Finance_Data!D529,Finance_Data!E529,Finance_Data!G529,Finance_Data!H529)</f>
        <v>CMP_029_South_Singapore_Lipstick_Wholesale_45386_45435</v>
      </c>
    </row>
    <row r="530" spans="1:20" x14ac:dyDescent="0.35">
      <c r="A530" s="6" t="s">
        <v>104</v>
      </c>
      <c r="B530" s="1" t="s">
        <v>35</v>
      </c>
      <c r="C530" s="1" t="s">
        <v>20</v>
      </c>
      <c r="D530" s="1" t="s">
        <v>21</v>
      </c>
      <c r="E530" s="1" t="s">
        <v>30</v>
      </c>
      <c r="F530" s="1" t="s">
        <v>52</v>
      </c>
      <c r="G530" s="2">
        <v>45387</v>
      </c>
      <c r="H530" s="2">
        <v>45422</v>
      </c>
      <c r="I530" s="1">
        <v>2114.66</v>
      </c>
      <c r="J530" s="1">
        <v>0.25869999999999999</v>
      </c>
      <c r="K530" s="1">
        <v>547.05999999999995</v>
      </c>
      <c r="L530" s="1">
        <v>574139</v>
      </c>
      <c r="M530" s="1">
        <v>13985</v>
      </c>
      <c r="N530" s="1">
        <v>54931.33</v>
      </c>
      <c r="O530" s="1">
        <v>2024</v>
      </c>
      <c r="P530" s="1" t="s">
        <v>76</v>
      </c>
      <c r="Q530" s="1" t="s">
        <v>46</v>
      </c>
      <c r="R530" s="1" t="s">
        <v>26</v>
      </c>
      <c r="S530" s="1">
        <f t="shared" si="8"/>
        <v>36</v>
      </c>
      <c r="T530" s="7" t="str">
        <f>_xlfn.TEXTJOIN("_",TRUE,Finance_Data!A530,Finance_Data!B530,Finance_Data!C530,Finance_Data!D530,Finance_Data!E530,Finance_Data!G530,Finance_Data!H530)</f>
        <v>CMP_034_East_Singapore_Foundation_Wholesale_45387_45422</v>
      </c>
    </row>
    <row r="531" spans="1:20" x14ac:dyDescent="0.35">
      <c r="A531" s="6" t="s">
        <v>50</v>
      </c>
      <c r="B531" s="1" t="s">
        <v>35</v>
      </c>
      <c r="C531" s="1" t="s">
        <v>58</v>
      </c>
      <c r="D531" s="1" t="s">
        <v>37</v>
      </c>
      <c r="E531" s="1" t="s">
        <v>22</v>
      </c>
      <c r="F531" s="1" t="s">
        <v>52</v>
      </c>
      <c r="G531" s="2">
        <v>45387</v>
      </c>
      <c r="H531" s="2">
        <v>45402</v>
      </c>
      <c r="I531" s="1">
        <v>44583.03</v>
      </c>
      <c r="J531" s="1">
        <v>1.1500999999999999</v>
      </c>
      <c r="K531" s="1">
        <v>51274.94</v>
      </c>
      <c r="L531" s="1">
        <v>275356</v>
      </c>
      <c r="M531" s="1">
        <v>38561</v>
      </c>
      <c r="N531" s="1">
        <v>105403.03</v>
      </c>
      <c r="O531" s="1">
        <v>2024</v>
      </c>
      <c r="P531" s="1" t="s">
        <v>76</v>
      </c>
      <c r="Q531" s="1" t="s">
        <v>46</v>
      </c>
      <c r="R531" s="1" t="s">
        <v>41</v>
      </c>
      <c r="S531" s="1">
        <f t="shared" si="8"/>
        <v>16</v>
      </c>
      <c r="T531" s="7" t="str">
        <f>_xlfn.TEXTJOIN("_",TRUE,Finance_Data!A531,Finance_Data!B531,Finance_Data!C531,Finance_Data!D531,Finance_Data!E531,Finance_Data!G531,Finance_Data!H531)</f>
        <v>CMP_039_East_UK_Perfume_Retail_45387_45402</v>
      </c>
    </row>
    <row r="532" spans="1:20" x14ac:dyDescent="0.35">
      <c r="A532" s="6" t="s">
        <v>71</v>
      </c>
      <c r="B532" s="1" t="s">
        <v>48</v>
      </c>
      <c r="C532" s="1" t="s">
        <v>36</v>
      </c>
      <c r="D532" s="1" t="s">
        <v>21</v>
      </c>
      <c r="E532" s="1" t="s">
        <v>22</v>
      </c>
      <c r="F532" s="1" t="s">
        <v>31</v>
      </c>
      <c r="G532" s="2">
        <v>45391</v>
      </c>
      <c r="H532" s="2">
        <v>45440</v>
      </c>
      <c r="I532" s="1">
        <v>2340.19</v>
      </c>
      <c r="J532" s="1">
        <v>7.1999999999999995E-2</v>
      </c>
      <c r="K532" s="1">
        <v>168.49</v>
      </c>
      <c r="L532" s="1">
        <v>682758</v>
      </c>
      <c r="M532" s="1">
        <v>12141</v>
      </c>
      <c r="N532" s="1">
        <v>159388.29999999999</v>
      </c>
      <c r="O532" s="1">
        <v>2024</v>
      </c>
      <c r="P532" s="1" t="s">
        <v>76</v>
      </c>
      <c r="Q532" s="1" t="s">
        <v>46</v>
      </c>
      <c r="R532" s="1" t="s">
        <v>41</v>
      </c>
      <c r="S532" s="1">
        <f t="shared" si="8"/>
        <v>50</v>
      </c>
      <c r="T532" s="7" t="str">
        <f>_xlfn.TEXTJOIN("_",TRUE,Finance_Data!A532,Finance_Data!B532,Finance_Data!C532,Finance_Data!D532,Finance_Data!E532,Finance_Data!G532,Finance_Data!H532)</f>
        <v>CMP_051_South_India_Foundation_Retail_45391_45440</v>
      </c>
    </row>
    <row r="533" spans="1:20" x14ac:dyDescent="0.35">
      <c r="A533" s="6" t="s">
        <v>85</v>
      </c>
      <c r="B533" s="1" t="s">
        <v>48</v>
      </c>
      <c r="C533" s="1" t="s">
        <v>36</v>
      </c>
      <c r="D533" s="1" t="s">
        <v>59</v>
      </c>
      <c r="E533" s="1" t="s">
        <v>22</v>
      </c>
      <c r="F533" s="1" t="s">
        <v>23</v>
      </c>
      <c r="G533" s="2">
        <v>45391</v>
      </c>
      <c r="H533" s="2">
        <v>45422</v>
      </c>
      <c r="I533" s="1">
        <v>22651.89</v>
      </c>
      <c r="J533" s="1">
        <v>0.72540000000000004</v>
      </c>
      <c r="K533" s="1">
        <v>16431.68</v>
      </c>
      <c r="L533" s="1">
        <v>16892</v>
      </c>
      <c r="M533" s="1">
        <v>16137</v>
      </c>
      <c r="N533" s="1">
        <v>221131.13</v>
      </c>
      <c r="O533" s="1">
        <v>2024</v>
      </c>
      <c r="P533" s="1" t="s">
        <v>76</v>
      </c>
      <c r="Q533" s="1" t="s">
        <v>46</v>
      </c>
      <c r="R533" s="1" t="s">
        <v>41</v>
      </c>
      <c r="S533" s="1">
        <f t="shared" si="8"/>
        <v>32</v>
      </c>
      <c r="T533" s="7" t="str">
        <f>_xlfn.TEXTJOIN("_",TRUE,Finance_Data!A533,Finance_Data!B533,Finance_Data!C533,Finance_Data!D533,Finance_Data!E533,Finance_Data!G533,Finance_Data!H533)</f>
        <v>CMP_018_South_India_Lipstick_Retail_45391_45422</v>
      </c>
    </row>
    <row r="534" spans="1:20" x14ac:dyDescent="0.35">
      <c r="A534" s="6" t="s">
        <v>72</v>
      </c>
      <c r="B534" s="1" t="s">
        <v>19</v>
      </c>
      <c r="C534" s="1" t="s">
        <v>58</v>
      </c>
      <c r="D534" s="1" t="s">
        <v>43</v>
      </c>
      <c r="E534" s="1" t="s">
        <v>38</v>
      </c>
      <c r="F534" s="1" t="s">
        <v>44</v>
      </c>
      <c r="G534" s="2">
        <v>45391</v>
      </c>
      <c r="H534" s="2">
        <v>45420</v>
      </c>
      <c r="I534" s="1">
        <v>23746.25</v>
      </c>
      <c r="J534" s="1">
        <v>0.51939999999999997</v>
      </c>
      <c r="K534" s="1">
        <v>12333.8</v>
      </c>
      <c r="L534" s="1">
        <v>660338</v>
      </c>
      <c r="M534" s="1">
        <v>40681</v>
      </c>
      <c r="N534" s="1">
        <v>29813.09</v>
      </c>
      <c r="O534" s="1">
        <v>2024</v>
      </c>
      <c r="P534" s="1" t="s">
        <v>76</v>
      </c>
      <c r="Q534" s="1" t="s">
        <v>46</v>
      </c>
      <c r="R534" s="1" t="s">
        <v>61</v>
      </c>
      <c r="S534" s="1">
        <f t="shared" si="8"/>
        <v>30</v>
      </c>
      <c r="T534" s="7" t="str">
        <f>_xlfn.TEXTJOIN("_",TRUE,Finance_Data!A534,Finance_Data!B534,Finance_Data!C534,Finance_Data!D534,Finance_Data!E534,Finance_Data!G534,Finance_Data!H534)</f>
        <v>CMP_042_North_UK_Luxury Bag_Ecommerce_45391_45420</v>
      </c>
    </row>
    <row r="535" spans="1:20" x14ac:dyDescent="0.35">
      <c r="A535" s="6" t="s">
        <v>102</v>
      </c>
      <c r="B535" s="1" t="s">
        <v>48</v>
      </c>
      <c r="C535" s="1" t="s">
        <v>69</v>
      </c>
      <c r="D535" s="1" t="s">
        <v>51</v>
      </c>
      <c r="E535" s="1" t="s">
        <v>38</v>
      </c>
      <c r="F535" s="1" t="s">
        <v>31</v>
      </c>
      <c r="G535" s="2">
        <v>45391</v>
      </c>
      <c r="H535" s="2">
        <v>45400</v>
      </c>
      <c r="I535" s="1">
        <v>34742.07</v>
      </c>
      <c r="J535" s="1">
        <v>0.1981</v>
      </c>
      <c r="K535" s="1">
        <v>6882.4</v>
      </c>
      <c r="L535" s="1">
        <v>445810</v>
      </c>
      <c r="M535" s="1">
        <v>31835</v>
      </c>
      <c r="N535" s="1">
        <v>118788.33</v>
      </c>
      <c r="O535" s="1">
        <v>2024</v>
      </c>
      <c r="P535" s="1" t="s">
        <v>76</v>
      </c>
      <c r="Q535" s="1" t="s">
        <v>46</v>
      </c>
      <c r="R535" s="1" t="s">
        <v>54</v>
      </c>
      <c r="S535" s="1">
        <f t="shared" si="8"/>
        <v>10</v>
      </c>
      <c r="T535" s="7" t="str">
        <f>_xlfn.TEXTJOIN("_",TRUE,Finance_Data!A535,Finance_Data!B535,Finance_Data!C535,Finance_Data!D535,Finance_Data!E535,Finance_Data!G535,Finance_Data!H535)</f>
        <v>CMP_022_South_USA_Watch_Ecommerce_45391_45400</v>
      </c>
    </row>
    <row r="536" spans="1:20" x14ac:dyDescent="0.35">
      <c r="A536" s="6" t="s">
        <v>68</v>
      </c>
      <c r="B536" s="1" t="s">
        <v>19</v>
      </c>
      <c r="C536" s="1" t="s">
        <v>20</v>
      </c>
      <c r="D536" s="1" t="s">
        <v>21</v>
      </c>
      <c r="E536" s="1" t="s">
        <v>30</v>
      </c>
      <c r="F536" s="1" t="s">
        <v>52</v>
      </c>
      <c r="G536" s="2">
        <v>45392</v>
      </c>
      <c r="H536" s="2">
        <v>45429</v>
      </c>
      <c r="I536" s="1">
        <v>21782.11</v>
      </c>
      <c r="J536" s="1">
        <v>0.9859</v>
      </c>
      <c r="K536" s="1">
        <v>21474.98</v>
      </c>
      <c r="L536" s="1">
        <v>413402</v>
      </c>
      <c r="M536" s="1">
        <v>23385</v>
      </c>
      <c r="N536" s="1">
        <v>60306.53</v>
      </c>
      <c r="O536" s="1">
        <v>2024</v>
      </c>
      <c r="P536" s="1" t="s">
        <v>76</v>
      </c>
      <c r="Q536" s="1" t="s">
        <v>46</v>
      </c>
      <c r="R536" s="1" t="s">
        <v>41</v>
      </c>
      <c r="S536" s="1">
        <f t="shared" si="8"/>
        <v>38</v>
      </c>
      <c r="T536" s="7" t="str">
        <f>_xlfn.TEXTJOIN("_",TRUE,Finance_Data!A536,Finance_Data!B536,Finance_Data!C536,Finance_Data!D536,Finance_Data!E536,Finance_Data!G536,Finance_Data!H536)</f>
        <v>CMP_028_North_Singapore_Foundation_Wholesale_45392_45429</v>
      </c>
    </row>
    <row r="537" spans="1:20" x14ac:dyDescent="0.35">
      <c r="A537" s="6" t="s">
        <v>111</v>
      </c>
      <c r="B537" s="1" t="s">
        <v>28</v>
      </c>
      <c r="C537" s="1" t="s">
        <v>36</v>
      </c>
      <c r="D537" s="1" t="s">
        <v>51</v>
      </c>
      <c r="E537" s="1" t="s">
        <v>22</v>
      </c>
      <c r="F537" s="1" t="s">
        <v>49</v>
      </c>
      <c r="G537" s="2">
        <v>45392</v>
      </c>
      <c r="H537" s="2">
        <v>45426</v>
      </c>
      <c r="I537" s="1">
        <v>38819.919999999998</v>
      </c>
      <c r="J537" s="1">
        <v>1.0503</v>
      </c>
      <c r="K537" s="1">
        <v>40772.559999999998</v>
      </c>
      <c r="L537" s="1">
        <v>435051</v>
      </c>
      <c r="M537" s="1">
        <v>12220</v>
      </c>
      <c r="N537" s="1">
        <v>198515.38</v>
      </c>
      <c r="O537" s="1">
        <v>2024</v>
      </c>
      <c r="P537" s="1" t="s">
        <v>76</v>
      </c>
      <c r="Q537" s="1" t="s">
        <v>46</v>
      </c>
      <c r="R537" s="1" t="s">
        <v>41</v>
      </c>
      <c r="S537" s="1">
        <f t="shared" si="8"/>
        <v>35</v>
      </c>
      <c r="T537" s="7" t="str">
        <f>_xlfn.TEXTJOIN("_",TRUE,Finance_Data!A537,Finance_Data!B537,Finance_Data!C537,Finance_Data!D537,Finance_Data!E537,Finance_Data!G537,Finance_Data!H537)</f>
        <v>CMP_024_West_India_Watch_Retail_45392_45426</v>
      </c>
    </row>
    <row r="538" spans="1:20" x14ac:dyDescent="0.35">
      <c r="A538" s="6" t="s">
        <v>75</v>
      </c>
      <c r="B538" s="1" t="s">
        <v>48</v>
      </c>
      <c r="C538" s="1" t="s">
        <v>29</v>
      </c>
      <c r="D538" s="1" t="s">
        <v>51</v>
      </c>
      <c r="E538" s="1" t="s">
        <v>30</v>
      </c>
      <c r="F538" s="1" t="s">
        <v>23</v>
      </c>
      <c r="G538" s="2">
        <v>45393</v>
      </c>
      <c r="H538" s="2">
        <v>45424</v>
      </c>
      <c r="I538" s="1">
        <v>44420.71</v>
      </c>
      <c r="J538" s="1">
        <v>0.69499999999999995</v>
      </c>
      <c r="K538" s="1">
        <v>30872.39</v>
      </c>
      <c r="L538" s="1">
        <v>763240</v>
      </c>
      <c r="M538" s="1">
        <v>45736</v>
      </c>
      <c r="N538" s="1">
        <v>99074.72</v>
      </c>
      <c r="O538" s="1">
        <v>2024</v>
      </c>
      <c r="P538" s="1" t="s">
        <v>76</v>
      </c>
      <c r="Q538" s="1" t="s">
        <v>46</v>
      </c>
      <c r="R538" s="1" t="s">
        <v>26</v>
      </c>
      <c r="S538" s="1">
        <f t="shared" si="8"/>
        <v>32</v>
      </c>
      <c r="T538" s="7" t="str">
        <f>_xlfn.TEXTJOIN("_",TRUE,Finance_Data!A538,Finance_Data!B538,Finance_Data!C538,Finance_Data!D538,Finance_Data!E538,Finance_Data!G538,Finance_Data!H538)</f>
        <v>CMP_026_South_Australia_Watch_Wholesale_45393_45424</v>
      </c>
    </row>
    <row r="539" spans="1:20" x14ac:dyDescent="0.35">
      <c r="A539" s="6" t="s">
        <v>105</v>
      </c>
      <c r="B539" s="1" t="s">
        <v>35</v>
      </c>
      <c r="C539" s="1" t="s">
        <v>20</v>
      </c>
      <c r="D539" s="1" t="s">
        <v>63</v>
      </c>
      <c r="E539" s="1" t="s">
        <v>30</v>
      </c>
      <c r="F539" s="1" t="s">
        <v>31</v>
      </c>
      <c r="G539" s="2">
        <v>45394</v>
      </c>
      <c r="H539" s="2">
        <v>45453</v>
      </c>
      <c r="I539" s="1">
        <v>15803.96</v>
      </c>
      <c r="J539" s="1">
        <v>1.1993</v>
      </c>
      <c r="K539" s="1">
        <v>18953.689999999999</v>
      </c>
      <c r="L539" s="1">
        <v>904787</v>
      </c>
      <c r="M539" s="1">
        <v>31767</v>
      </c>
      <c r="N539" s="1">
        <v>31130.05</v>
      </c>
      <c r="O539" s="1">
        <v>2024</v>
      </c>
      <c r="P539" s="1" t="s">
        <v>76</v>
      </c>
      <c r="Q539" s="1" t="s">
        <v>46</v>
      </c>
      <c r="R539" s="1" t="s">
        <v>26</v>
      </c>
      <c r="S539" s="1">
        <f t="shared" si="8"/>
        <v>60</v>
      </c>
      <c r="T539" s="7" t="str">
        <f>_xlfn.TEXTJOIN("_",TRUE,Finance_Data!A539,Finance_Data!B539,Finance_Data!C539,Finance_Data!D539,Finance_Data!E539,Finance_Data!G539,Finance_Data!H539)</f>
        <v>CMP_025_East_Singapore_Skincare_Wholesale_45394_45453</v>
      </c>
    </row>
    <row r="540" spans="1:20" x14ac:dyDescent="0.35">
      <c r="A540" s="6" t="s">
        <v>77</v>
      </c>
      <c r="B540" s="1" t="s">
        <v>28</v>
      </c>
      <c r="C540" s="1" t="s">
        <v>36</v>
      </c>
      <c r="D540" s="1" t="s">
        <v>51</v>
      </c>
      <c r="E540" s="1" t="s">
        <v>22</v>
      </c>
      <c r="F540" s="1" t="s">
        <v>52</v>
      </c>
      <c r="G540" s="2">
        <v>45394</v>
      </c>
      <c r="H540" s="2">
        <v>45402</v>
      </c>
      <c r="I540" s="1">
        <v>45983.519999999997</v>
      </c>
      <c r="J540" s="1">
        <v>0.84850000000000003</v>
      </c>
      <c r="K540" s="1">
        <v>39017.019999999997</v>
      </c>
      <c r="L540" s="1">
        <v>297286</v>
      </c>
      <c r="M540" s="1">
        <v>24240</v>
      </c>
      <c r="N540" s="1">
        <v>206759.04000000001</v>
      </c>
      <c r="O540" s="1">
        <v>2024</v>
      </c>
      <c r="P540" s="1" t="s">
        <v>76</v>
      </c>
      <c r="Q540" s="1" t="s">
        <v>46</v>
      </c>
      <c r="R540" s="1" t="s">
        <v>41</v>
      </c>
      <c r="S540" s="1">
        <f t="shared" si="8"/>
        <v>9</v>
      </c>
      <c r="T540" s="7" t="str">
        <f>_xlfn.TEXTJOIN("_",TRUE,Finance_Data!A540,Finance_Data!B540,Finance_Data!C540,Finance_Data!D540,Finance_Data!E540,Finance_Data!G540,Finance_Data!H540)</f>
        <v>CMP_033_West_India_Watch_Retail_45394_45402</v>
      </c>
    </row>
    <row r="541" spans="1:20" x14ac:dyDescent="0.35">
      <c r="A541" s="6" t="s">
        <v>95</v>
      </c>
      <c r="B541" s="1" t="s">
        <v>19</v>
      </c>
      <c r="C541" s="1" t="s">
        <v>20</v>
      </c>
      <c r="D541" s="1" t="s">
        <v>37</v>
      </c>
      <c r="E541" s="1" t="s">
        <v>22</v>
      </c>
      <c r="F541" s="1" t="s">
        <v>31</v>
      </c>
      <c r="G541" s="2">
        <v>45396</v>
      </c>
      <c r="H541" s="2">
        <v>45455</v>
      </c>
      <c r="I541" s="1">
        <v>26291.61</v>
      </c>
      <c r="J541" s="1">
        <v>0.82179999999999997</v>
      </c>
      <c r="K541" s="1">
        <v>21606.45</v>
      </c>
      <c r="L541" s="1">
        <v>999583</v>
      </c>
      <c r="M541" s="1">
        <v>2050</v>
      </c>
      <c r="N541" s="1">
        <v>113431.78</v>
      </c>
      <c r="O541" s="1">
        <v>2024</v>
      </c>
      <c r="P541" s="1" t="s">
        <v>76</v>
      </c>
      <c r="Q541" s="1" t="s">
        <v>46</v>
      </c>
      <c r="R541" s="1" t="s">
        <v>41</v>
      </c>
      <c r="S541" s="1">
        <f t="shared" si="8"/>
        <v>60</v>
      </c>
      <c r="T541" s="7" t="str">
        <f>_xlfn.TEXTJOIN("_",TRUE,Finance_Data!A541,Finance_Data!B541,Finance_Data!C541,Finance_Data!D541,Finance_Data!E541,Finance_Data!G541,Finance_Data!H541)</f>
        <v>CMP_050_North_Singapore_Perfume_Retail_45396_45455</v>
      </c>
    </row>
    <row r="542" spans="1:20" x14ac:dyDescent="0.35">
      <c r="A542" s="6" t="s">
        <v>100</v>
      </c>
      <c r="B542" s="1" t="s">
        <v>48</v>
      </c>
      <c r="C542" s="1" t="s">
        <v>20</v>
      </c>
      <c r="D542" s="1" t="s">
        <v>59</v>
      </c>
      <c r="E542" s="1" t="s">
        <v>38</v>
      </c>
      <c r="F542" s="1" t="s">
        <v>23</v>
      </c>
      <c r="G542" s="2">
        <v>45399</v>
      </c>
      <c r="H542" s="2">
        <v>45453</v>
      </c>
      <c r="I542" s="1">
        <v>14806.81</v>
      </c>
      <c r="J542" s="1">
        <v>0.46439999999999998</v>
      </c>
      <c r="K542" s="1">
        <v>6876.28</v>
      </c>
      <c r="L542" s="1">
        <v>563081</v>
      </c>
      <c r="M542" s="1">
        <v>27537</v>
      </c>
      <c r="N542" s="1">
        <v>241735.7</v>
      </c>
      <c r="O542" s="1">
        <v>2024</v>
      </c>
      <c r="P542" s="1" t="s">
        <v>76</v>
      </c>
      <c r="Q542" s="1" t="s">
        <v>46</v>
      </c>
      <c r="R542" s="1" t="s">
        <v>54</v>
      </c>
      <c r="S542" s="1">
        <f t="shared" si="8"/>
        <v>55</v>
      </c>
      <c r="T542" s="7" t="str">
        <f>_xlfn.TEXTJOIN("_",TRUE,Finance_Data!A542,Finance_Data!B542,Finance_Data!C542,Finance_Data!D542,Finance_Data!E542,Finance_Data!G542,Finance_Data!H542)</f>
        <v>CMP_053_South_Singapore_Lipstick_Ecommerce_45399_45453</v>
      </c>
    </row>
    <row r="543" spans="1:20" x14ac:dyDescent="0.35">
      <c r="A543" s="6" t="s">
        <v>85</v>
      </c>
      <c r="B543" s="1" t="s">
        <v>19</v>
      </c>
      <c r="C543" s="1" t="s">
        <v>69</v>
      </c>
      <c r="D543" s="1" t="s">
        <v>43</v>
      </c>
      <c r="E543" s="1" t="s">
        <v>22</v>
      </c>
      <c r="F543" s="1" t="s">
        <v>31</v>
      </c>
      <c r="G543" s="2">
        <v>45400</v>
      </c>
      <c r="H543" s="2">
        <v>45456</v>
      </c>
      <c r="I543" s="1">
        <v>38386.78</v>
      </c>
      <c r="J543" s="1">
        <v>0.62639999999999996</v>
      </c>
      <c r="K543" s="1">
        <v>24045.48</v>
      </c>
      <c r="L543" s="1">
        <v>889962</v>
      </c>
      <c r="M543" s="1">
        <v>3661</v>
      </c>
      <c r="N543" s="1">
        <v>25741.48</v>
      </c>
      <c r="O543" s="1">
        <v>2024</v>
      </c>
      <c r="P543" s="1" t="s">
        <v>76</v>
      </c>
      <c r="Q543" s="1" t="s">
        <v>46</v>
      </c>
      <c r="R543" s="1" t="s">
        <v>54</v>
      </c>
      <c r="S543" s="1">
        <f t="shared" si="8"/>
        <v>57</v>
      </c>
      <c r="T543" s="7" t="str">
        <f>_xlfn.TEXTJOIN("_",TRUE,Finance_Data!A543,Finance_Data!B543,Finance_Data!C543,Finance_Data!D543,Finance_Data!E543,Finance_Data!G543,Finance_Data!H543)</f>
        <v>CMP_018_North_USA_Luxury Bag_Retail_45400_45456</v>
      </c>
    </row>
    <row r="544" spans="1:20" x14ac:dyDescent="0.35">
      <c r="A544" s="6" t="s">
        <v>50</v>
      </c>
      <c r="B544" s="1" t="s">
        <v>19</v>
      </c>
      <c r="C544" s="1" t="s">
        <v>69</v>
      </c>
      <c r="D544" s="1" t="s">
        <v>59</v>
      </c>
      <c r="E544" s="1" t="s">
        <v>30</v>
      </c>
      <c r="F544" s="1" t="s">
        <v>52</v>
      </c>
      <c r="G544" s="2">
        <v>45400</v>
      </c>
      <c r="H544" s="2">
        <v>45433</v>
      </c>
      <c r="I544" s="1">
        <v>18578.34</v>
      </c>
      <c r="J544" s="1">
        <v>0.3735</v>
      </c>
      <c r="K544" s="1">
        <v>6939.01</v>
      </c>
      <c r="L544" s="1">
        <v>588469</v>
      </c>
      <c r="M544" s="1">
        <v>7232</v>
      </c>
      <c r="N544" s="1">
        <v>48063.69</v>
      </c>
      <c r="O544" s="1">
        <v>2024</v>
      </c>
      <c r="P544" s="1" t="s">
        <v>76</v>
      </c>
      <c r="Q544" s="1" t="s">
        <v>46</v>
      </c>
      <c r="R544" s="1" t="s">
        <v>41</v>
      </c>
      <c r="S544" s="1">
        <f t="shared" si="8"/>
        <v>34</v>
      </c>
      <c r="T544" s="7" t="str">
        <f>_xlfn.TEXTJOIN("_",TRUE,Finance_Data!A544,Finance_Data!B544,Finance_Data!C544,Finance_Data!D544,Finance_Data!E544,Finance_Data!G544,Finance_Data!H544)</f>
        <v>CMP_039_North_USA_Lipstick_Wholesale_45400_45433</v>
      </c>
    </row>
    <row r="545" spans="1:20" x14ac:dyDescent="0.35">
      <c r="A545" s="6" t="s">
        <v>62</v>
      </c>
      <c r="B545" s="1" t="s">
        <v>48</v>
      </c>
      <c r="C545" s="1" t="s">
        <v>29</v>
      </c>
      <c r="D545" s="1" t="s">
        <v>21</v>
      </c>
      <c r="E545" s="1" t="s">
        <v>38</v>
      </c>
      <c r="F545" s="1" t="s">
        <v>23</v>
      </c>
      <c r="G545" s="2">
        <v>45400</v>
      </c>
      <c r="H545" s="2">
        <v>45411</v>
      </c>
      <c r="I545" s="1">
        <v>40390.94</v>
      </c>
      <c r="J545" s="1">
        <v>0.1764</v>
      </c>
      <c r="K545" s="1">
        <v>7124.96</v>
      </c>
      <c r="L545" s="1">
        <v>22537</v>
      </c>
      <c r="M545" s="1">
        <v>4141</v>
      </c>
      <c r="N545" s="1">
        <v>208441.22</v>
      </c>
      <c r="O545" s="1">
        <v>2024</v>
      </c>
      <c r="P545" s="1" t="s">
        <v>76</v>
      </c>
      <c r="Q545" s="1" t="s">
        <v>46</v>
      </c>
      <c r="R545" s="1" t="s">
        <v>41</v>
      </c>
      <c r="S545" s="1">
        <f t="shared" si="8"/>
        <v>12</v>
      </c>
      <c r="T545" s="7" t="str">
        <f>_xlfn.TEXTJOIN("_",TRUE,Finance_Data!A545,Finance_Data!B545,Finance_Data!C545,Finance_Data!D545,Finance_Data!E545,Finance_Data!G545,Finance_Data!H545)</f>
        <v>CMP_015_South_Australia_Foundation_Ecommerce_45400_45411</v>
      </c>
    </row>
    <row r="546" spans="1:20" x14ac:dyDescent="0.35">
      <c r="A546" s="6" t="s">
        <v>90</v>
      </c>
      <c r="B546" s="1" t="s">
        <v>48</v>
      </c>
      <c r="C546" s="1" t="s">
        <v>58</v>
      </c>
      <c r="D546" s="1" t="s">
        <v>21</v>
      </c>
      <c r="E546" s="1" t="s">
        <v>38</v>
      </c>
      <c r="F546" s="1" t="s">
        <v>49</v>
      </c>
      <c r="G546" s="2">
        <v>45401</v>
      </c>
      <c r="H546" s="2">
        <v>45459</v>
      </c>
      <c r="I546" s="1">
        <v>32658.97</v>
      </c>
      <c r="J546" s="1">
        <v>0.1176</v>
      </c>
      <c r="K546" s="1">
        <v>3840.69</v>
      </c>
      <c r="L546" s="1">
        <v>534977</v>
      </c>
      <c r="M546" s="1">
        <v>7516</v>
      </c>
      <c r="N546" s="1">
        <v>49043.99</v>
      </c>
      <c r="O546" s="1">
        <v>2024</v>
      </c>
      <c r="P546" s="1" t="s">
        <v>76</v>
      </c>
      <c r="Q546" s="1" t="s">
        <v>46</v>
      </c>
      <c r="R546" s="1" t="s">
        <v>26</v>
      </c>
      <c r="S546" s="1">
        <f t="shared" si="8"/>
        <v>59</v>
      </c>
      <c r="T546" s="7" t="str">
        <f>_xlfn.TEXTJOIN("_",TRUE,Finance_Data!A546,Finance_Data!B546,Finance_Data!C546,Finance_Data!D546,Finance_Data!E546,Finance_Data!G546,Finance_Data!H546)</f>
        <v>CMP_038_South_UK_Foundation_Ecommerce_45401_45459</v>
      </c>
    </row>
    <row r="547" spans="1:20" x14ac:dyDescent="0.35">
      <c r="A547" s="6" t="s">
        <v>27</v>
      </c>
      <c r="B547" s="1" t="s">
        <v>48</v>
      </c>
      <c r="C547" s="1" t="s">
        <v>29</v>
      </c>
      <c r="D547" s="1" t="s">
        <v>37</v>
      </c>
      <c r="E547" s="1" t="s">
        <v>38</v>
      </c>
      <c r="F547" s="1" t="s">
        <v>23</v>
      </c>
      <c r="G547" s="2">
        <v>45402</v>
      </c>
      <c r="H547" s="2">
        <v>45430</v>
      </c>
      <c r="I547" s="1">
        <v>29992.86</v>
      </c>
      <c r="J547" s="1">
        <v>0.59709999999999996</v>
      </c>
      <c r="K547" s="1">
        <v>17908.740000000002</v>
      </c>
      <c r="L547" s="1">
        <v>820143</v>
      </c>
      <c r="M547" s="1">
        <v>12907</v>
      </c>
      <c r="N547" s="1">
        <v>184453.52</v>
      </c>
      <c r="O547" s="1">
        <v>2024</v>
      </c>
      <c r="P547" s="1" t="s">
        <v>76</v>
      </c>
      <c r="Q547" s="1" t="s">
        <v>46</v>
      </c>
      <c r="R547" s="1" t="s">
        <v>61</v>
      </c>
      <c r="S547" s="1">
        <f t="shared" si="8"/>
        <v>29</v>
      </c>
      <c r="T547" s="7" t="str">
        <f>_xlfn.TEXTJOIN("_",TRUE,Finance_Data!A547,Finance_Data!B547,Finance_Data!C547,Finance_Data!D547,Finance_Data!E547,Finance_Data!G547,Finance_Data!H547)</f>
        <v>CMP_035_South_Australia_Perfume_Ecommerce_45402_45430</v>
      </c>
    </row>
    <row r="548" spans="1:20" x14ac:dyDescent="0.35">
      <c r="A548" s="6" t="s">
        <v>78</v>
      </c>
      <c r="B548" s="1" t="s">
        <v>35</v>
      </c>
      <c r="C548" s="1" t="s">
        <v>20</v>
      </c>
      <c r="D548" s="1" t="s">
        <v>51</v>
      </c>
      <c r="E548" s="1" t="s">
        <v>30</v>
      </c>
      <c r="F548" s="1" t="s">
        <v>44</v>
      </c>
      <c r="G548" s="2">
        <v>45403</v>
      </c>
      <c r="H548" s="2">
        <v>45436</v>
      </c>
      <c r="I548" s="1">
        <v>22665.83</v>
      </c>
      <c r="J548" s="1">
        <v>0.26429999999999998</v>
      </c>
      <c r="K548" s="1">
        <v>5990.58</v>
      </c>
      <c r="L548" s="1">
        <v>506171</v>
      </c>
      <c r="M548" s="1">
        <v>48331</v>
      </c>
      <c r="N548" s="1">
        <v>46574.39</v>
      </c>
      <c r="O548" s="1">
        <v>2024</v>
      </c>
      <c r="P548" s="1" t="s">
        <v>76</v>
      </c>
      <c r="Q548" s="1" t="s">
        <v>46</v>
      </c>
      <c r="R548" s="1" t="s">
        <v>41</v>
      </c>
      <c r="S548" s="1">
        <f t="shared" si="8"/>
        <v>34</v>
      </c>
      <c r="T548" s="7" t="str">
        <f>_xlfn.TEXTJOIN("_",TRUE,Finance_Data!A548,Finance_Data!B548,Finance_Data!C548,Finance_Data!D548,Finance_Data!E548,Finance_Data!G548,Finance_Data!H548)</f>
        <v>CMP_006_East_Singapore_Watch_Wholesale_45403_45436</v>
      </c>
    </row>
    <row r="549" spans="1:20" x14ac:dyDescent="0.35">
      <c r="A549" s="6" t="s">
        <v>95</v>
      </c>
      <c r="B549" s="1" t="s">
        <v>35</v>
      </c>
      <c r="C549" s="1" t="s">
        <v>58</v>
      </c>
      <c r="D549" s="1" t="s">
        <v>43</v>
      </c>
      <c r="E549" s="1" t="s">
        <v>30</v>
      </c>
      <c r="F549" s="1" t="s">
        <v>31</v>
      </c>
      <c r="G549" s="2">
        <v>45404</v>
      </c>
      <c r="H549" s="2">
        <v>45454</v>
      </c>
      <c r="I549" s="1">
        <v>46937.23</v>
      </c>
      <c r="J549" s="1">
        <v>5.7500000000000002E-2</v>
      </c>
      <c r="K549" s="1">
        <v>2698.89</v>
      </c>
      <c r="L549" s="1">
        <v>983737</v>
      </c>
      <c r="M549" s="1">
        <v>21243</v>
      </c>
      <c r="N549" s="1">
        <v>151235.68</v>
      </c>
      <c r="O549" s="1">
        <v>2024</v>
      </c>
      <c r="P549" s="1" t="s">
        <v>76</v>
      </c>
      <c r="Q549" s="1" t="s">
        <v>46</v>
      </c>
      <c r="R549" s="1" t="s">
        <v>26</v>
      </c>
      <c r="S549" s="1">
        <f t="shared" si="8"/>
        <v>51</v>
      </c>
      <c r="T549" s="7" t="str">
        <f>_xlfn.TEXTJOIN("_",TRUE,Finance_Data!A549,Finance_Data!B549,Finance_Data!C549,Finance_Data!D549,Finance_Data!E549,Finance_Data!G549,Finance_Data!H549)</f>
        <v>CMP_050_East_UK_Luxury Bag_Wholesale_45404_45454</v>
      </c>
    </row>
    <row r="550" spans="1:20" x14ac:dyDescent="0.35">
      <c r="A550" s="6" t="s">
        <v>89</v>
      </c>
      <c r="B550" s="1" t="s">
        <v>35</v>
      </c>
      <c r="C550" s="1" t="s">
        <v>69</v>
      </c>
      <c r="D550" s="1" t="s">
        <v>59</v>
      </c>
      <c r="E550" s="1" t="s">
        <v>22</v>
      </c>
      <c r="F550" s="1" t="s">
        <v>31</v>
      </c>
      <c r="G550" s="2">
        <v>45405</v>
      </c>
      <c r="H550" s="2">
        <v>45452</v>
      </c>
      <c r="I550" s="1">
        <v>46872.92</v>
      </c>
      <c r="J550" s="1">
        <v>0.77010000000000001</v>
      </c>
      <c r="K550" s="1">
        <v>36096.839999999997</v>
      </c>
      <c r="L550" s="1">
        <v>977516</v>
      </c>
      <c r="M550" s="1">
        <v>18213</v>
      </c>
      <c r="N550" s="1">
        <v>193492.99</v>
      </c>
      <c r="O550" s="1">
        <v>2024</v>
      </c>
      <c r="P550" s="1" t="s">
        <v>76</v>
      </c>
      <c r="Q550" s="1" t="s">
        <v>46</v>
      </c>
      <c r="R550" s="1" t="s">
        <v>26</v>
      </c>
      <c r="S550" s="1">
        <f t="shared" si="8"/>
        <v>48</v>
      </c>
      <c r="T550" s="7" t="str">
        <f>_xlfn.TEXTJOIN("_",TRUE,Finance_Data!A550,Finance_Data!B550,Finance_Data!C550,Finance_Data!D550,Finance_Data!E550,Finance_Data!G550,Finance_Data!H550)</f>
        <v>CMP_045_East_USA_Lipstick_Retail_45405_45452</v>
      </c>
    </row>
    <row r="551" spans="1:20" x14ac:dyDescent="0.35">
      <c r="A551" s="6" t="s">
        <v>18</v>
      </c>
      <c r="B551" s="1" t="s">
        <v>48</v>
      </c>
      <c r="C551" s="1" t="s">
        <v>36</v>
      </c>
      <c r="D551" s="1" t="s">
        <v>59</v>
      </c>
      <c r="E551" s="1" t="s">
        <v>30</v>
      </c>
      <c r="F551" s="1" t="s">
        <v>44</v>
      </c>
      <c r="G551" s="2">
        <v>45407</v>
      </c>
      <c r="H551" s="2">
        <v>45431</v>
      </c>
      <c r="I551" s="1">
        <v>30563.14</v>
      </c>
      <c r="J551" s="1">
        <v>0.35639999999999999</v>
      </c>
      <c r="K551" s="1">
        <v>10892.7</v>
      </c>
      <c r="L551" s="1">
        <v>18474</v>
      </c>
      <c r="M551" s="1">
        <v>34026</v>
      </c>
      <c r="N551" s="1">
        <v>148677.78</v>
      </c>
      <c r="O551" s="1">
        <v>2024</v>
      </c>
      <c r="P551" s="1" t="s">
        <v>76</v>
      </c>
      <c r="Q551" s="1" t="s">
        <v>46</v>
      </c>
      <c r="R551" s="1" t="s">
        <v>26</v>
      </c>
      <c r="S551" s="1">
        <f t="shared" si="8"/>
        <v>25</v>
      </c>
      <c r="T551" s="7" t="str">
        <f>_xlfn.TEXTJOIN("_",TRUE,Finance_Data!A551,Finance_Data!B551,Finance_Data!C551,Finance_Data!D551,Finance_Data!E551,Finance_Data!G551,Finance_Data!H551)</f>
        <v>CMP_044_South_India_Lipstick_Wholesale_45407_45431</v>
      </c>
    </row>
    <row r="552" spans="1:20" x14ac:dyDescent="0.35">
      <c r="A552" s="6" t="s">
        <v>104</v>
      </c>
      <c r="B552" s="1" t="s">
        <v>35</v>
      </c>
      <c r="C552" s="1" t="s">
        <v>29</v>
      </c>
      <c r="D552" s="1" t="s">
        <v>51</v>
      </c>
      <c r="E552" s="1" t="s">
        <v>38</v>
      </c>
      <c r="F552" s="1" t="s">
        <v>44</v>
      </c>
      <c r="G552" s="2">
        <v>45410</v>
      </c>
      <c r="H552" s="2">
        <v>45453</v>
      </c>
      <c r="I552" s="1">
        <v>33289.620000000003</v>
      </c>
      <c r="J552" s="1">
        <v>0.69550000000000001</v>
      </c>
      <c r="K552" s="1">
        <v>23152.93</v>
      </c>
      <c r="L552" s="1">
        <v>982462</v>
      </c>
      <c r="M552" s="1">
        <v>33325</v>
      </c>
      <c r="N552" s="1">
        <v>194972.51</v>
      </c>
      <c r="O552" s="1">
        <v>2024</v>
      </c>
      <c r="P552" s="1" t="s">
        <v>76</v>
      </c>
      <c r="Q552" s="1" t="s">
        <v>46</v>
      </c>
      <c r="R552" s="1" t="s">
        <v>41</v>
      </c>
      <c r="S552" s="1">
        <f t="shared" si="8"/>
        <v>44</v>
      </c>
      <c r="T552" s="7" t="str">
        <f>_xlfn.TEXTJOIN("_",TRUE,Finance_Data!A552,Finance_Data!B552,Finance_Data!C552,Finance_Data!D552,Finance_Data!E552,Finance_Data!G552,Finance_Data!H552)</f>
        <v>CMP_034_East_Australia_Watch_Ecommerce_45410_45453</v>
      </c>
    </row>
    <row r="553" spans="1:20" x14ac:dyDescent="0.35">
      <c r="A553" s="6" t="s">
        <v>92</v>
      </c>
      <c r="B553" s="1" t="s">
        <v>48</v>
      </c>
      <c r="C553" s="1" t="s">
        <v>29</v>
      </c>
      <c r="D553" s="1" t="s">
        <v>59</v>
      </c>
      <c r="E553" s="1" t="s">
        <v>38</v>
      </c>
      <c r="F553" s="1" t="s">
        <v>49</v>
      </c>
      <c r="G553" s="2">
        <v>45410</v>
      </c>
      <c r="H553" s="2">
        <v>45427</v>
      </c>
      <c r="I553" s="1">
        <v>25523.39</v>
      </c>
      <c r="J553" s="1">
        <v>1.0423</v>
      </c>
      <c r="K553" s="1">
        <v>26603.03</v>
      </c>
      <c r="L553" s="1">
        <v>410209</v>
      </c>
      <c r="M553" s="1">
        <v>34823</v>
      </c>
      <c r="N553" s="1">
        <v>78097.16</v>
      </c>
      <c r="O553" s="1">
        <v>2024</v>
      </c>
      <c r="P553" s="1" t="s">
        <v>76</v>
      </c>
      <c r="Q553" s="1" t="s">
        <v>46</v>
      </c>
      <c r="R553" s="1" t="s">
        <v>54</v>
      </c>
      <c r="S553" s="1">
        <f t="shared" si="8"/>
        <v>18</v>
      </c>
      <c r="T553" s="7" t="str">
        <f>_xlfn.TEXTJOIN("_",TRUE,Finance_Data!A553,Finance_Data!B553,Finance_Data!C553,Finance_Data!D553,Finance_Data!E553,Finance_Data!G553,Finance_Data!H553)</f>
        <v>CMP_004_South_Australia_Lipstick_Ecommerce_45410_45427</v>
      </c>
    </row>
    <row r="554" spans="1:20" x14ac:dyDescent="0.35">
      <c r="A554" s="6" t="s">
        <v>70</v>
      </c>
      <c r="B554" s="1" t="s">
        <v>19</v>
      </c>
      <c r="C554" s="1" t="s">
        <v>69</v>
      </c>
      <c r="D554" s="1" t="s">
        <v>21</v>
      </c>
      <c r="E554" s="1" t="s">
        <v>30</v>
      </c>
      <c r="F554" s="1" t="s">
        <v>31</v>
      </c>
      <c r="G554" s="2">
        <v>45411</v>
      </c>
      <c r="H554" s="2">
        <v>45440</v>
      </c>
      <c r="I554" s="1">
        <v>34390.67</v>
      </c>
      <c r="J554" s="1">
        <v>0.38140000000000002</v>
      </c>
      <c r="K554" s="1">
        <v>13116.6</v>
      </c>
      <c r="L554" s="1">
        <v>348756</v>
      </c>
      <c r="M554" s="1">
        <v>10494</v>
      </c>
      <c r="N554" s="1">
        <v>159145.24</v>
      </c>
      <c r="O554" s="1">
        <v>2024</v>
      </c>
      <c r="P554" s="1" t="s">
        <v>76</v>
      </c>
      <c r="Q554" s="1" t="s">
        <v>46</v>
      </c>
      <c r="R554" s="1" t="s">
        <v>61</v>
      </c>
      <c r="S554" s="1">
        <f t="shared" si="8"/>
        <v>30</v>
      </c>
      <c r="T554" s="7" t="str">
        <f>_xlfn.TEXTJOIN("_",TRUE,Finance_Data!A554,Finance_Data!B554,Finance_Data!C554,Finance_Data!D554,Finance_Data!E554,Finance_Data!G554,Finance_Data!H554)</f>
        <v>CMP_003_North_USA_Foundation_Wholesale_45411_45440</v>
      </c>
    </row>
    <row r="555" spans="1:20" x14ac:dyDescent="0.35">
      <c r="A555" s="6" t="s">
        <v>86</v>
      </c>
      <c r="B555" s="1" t="s">
        <v>48</v>
      </c>
      <c r="C555" s="1" t="s">
        <v>20</v>
      </c>
      <c r="D555" s="1" t="s">
        <v>51</v>
      </c>
      <c r="E555" s="1" t="s">
        <v>38</v>
      </c>
      <c r="F555" s="1" t="s">
        <v>49</v>
      </c>
      <c r="G555" s="2">
        <v>45412</v>
      </c>
      <c r="H555" s="2">
        <v>45439</v>
      </c>
      <c r="I555" s="1">
        <v>21586.37</v>
      </c>
      <c r="J555" s="1">
        <v>0.88790000000000002</v>
      </c>
      <c r="K555" s="1">
        <v>19166.54</v>
      </c>
      <c r="L555" s="1">
        <v>32525</v>
      </c>
      <c r="M555" s="1">
        <v>19204</v>
      </c>
      <c r="N555" s="1">
        <v>51319.86</v>
      </c>
      <c r="O555" s="1">
        <v>2024</v>
      </c>
      <c r="P555" s="1" t="s">
        <v>76</v>
      </c>
      <c r="Q555" s="1" t="s">
        <v>46</v>
      </c>
      <c r="R555" s="1" t="s">
        <v>41</v>
      </c>
      <c r="S555" s="1">
        <f t="shared" si="8"/>
        <v>28</v>
      </c>
      <c r="T555" s="7" t="str">
        <f>_xlfn.TEXTJOIN("_",TRUE,Finance_Data!A555,Finance_Data!B555,Finance_Data!C555,Finance_Data!D555,Finance_Data!E555,Finance_Data!G555,Finance_Data!H555)</f>
        <v>CMP_002_South_Singapore_Watch_Ecommerce_45412_45439</v>
      </c>
    </row>
    <row r="556" spans="1:20" x14ac:dyDescent="0.35">
      <c r="A556" s="6" t="s">
        <v>107</v>
      </c>
      <c r="B556" s="1" t="s">
        <v>48</v>
      </c>
      <c r="C556" s="1" t="s">
        <v>58</v>
      </c>
      <c r="D556" s="1" t="s">
        <v>51</v>
      </c>
      <c r="E556" s="1" t="s">
        <v>38</v>
      </c>
      <c r="F556" s="1" t="s">
        <v>23</v>
      </c>
      <c r="G556" s="2">
        <v>45414</v>
      </c>
      <c r="H556" s="2">
        <v>45436</v>
      </c>
      <c r="I556" s="1">
        <v>28589.8</v>
      </c>
      <c r="J556" s="1">
        <v>0.51349999999999996</v>
      </c>
      <c r="K556" s="1">
        <v>14680.86</v>
      </c>
      <c r="L556" s="1">
        <v>803237</v>
      </c>
      <c r="M556" s="1">
        <v>27791</v>
      </c>
      <c r="N556" s="1">
        <v>203693.62</v>
      </c>
      <c r="O556" s="1">
        <v>2024</v>
      </c>
      <c r="P556" s="1" t="s">
        <v>45</v>
      </c>
      <c r="Q556" s="1" t="s">
        <v>46</v>
      </c>
      <c r="R556" s="1" t="s">
        <v>26</v>
      </c>
      <c r="S556" s="1">
        <f t="shared" si="8"/>
        <v>23</v>
      </c>
      <c r="T556" s="7" t="str">
        <f>_xlfn.TEXTJOIN("_",TRUE,Finance_Data!A556,Finance_Data!B556,Finance_Data!C556,Finance_Data!D556,Finance_Data!E556,Finance_Data!G556,Finance_Data!H556)</f>
        <v>CMP_040_South_UK_Watch_Ecommerce_45414_45436</v>
      </c>
    </row>
    <row r="557" spans="1:20" x14ac:dyDescent="0.35">
      <c r="A557" s="6" t="s">
        <v>78</v>
      </c>
      <c r="B557" s="1" t="s">
        <v>19</v>
      </c>
      <c r="C557" s="1" t="s">
        <v>29</v>
      </c>
      <c r="D557" s="1" t="s">
        <v>59</v>
      </c>
      <c r="E557" s="1" t="s">
        <v>30</v>
      </c>
      <c r="F557" s="1" t="s">
        <v>52</v>
      </c>
      <c r="G557" s="2">
        <v>45415</v>
      </c>
      <c r="H557" s="2">
        <v>45457</v>
      </c>
      <c r="I557" s="1">
        <v>43571.81</v>
      </c>
      <c r="J557" s="1">
        <v>5.45E-2</v>
      </c>
      <c r="K557" s="1">
        <v>2374.66</v>
      </c>
      <c r="L557" s="1">
        <v>179054</v>
      </c>
      <c r="M557" s="1">
        <v>10031</v>
      </c>
      <c r="N557" s="1">
        <v>172181.63</v>
      </c>
      <c r="O557" s="1">
        <v>2024</v>
      </c>
      <c r="P557" s="1" t="s">
        <v>45</v>
      </c>
      <c r="Q557" s="1" t="s">
        <v>46</v>
      </c>
      <c r="R557" s="1" t="s">
        <v>61</v>
      </c>
      <c r="S557" s="1">
        <f t="shared" si="8"/>
        <v>43</v>
      </c>
      <c r="T557" s="7" t="str">
        <f>_xlfn.TEXTJOIN("_",TRUE,Finance_Data!A557,Finance_Data!B557,Finance_Data!C557,Finance_Data!D557,Finance_Data!E557,Finance_Data!G557,Finance_Data!H557)</f>
        <v>CMP_006_North_Australia_Lipstick_Wholesale_45415_45457</v>
      </c>
    </row>
    <row r="558" spans="1:20" x14ac:dyDescent="0.35">
      <c r="A558" s="6" t="s">
        <v>82</v>
      </c>
      <c r="B558" s="1" t="s">
        <v>48</v>
      </c>
      <c r="C558" s="1" t="s">
        <v>69</v>
      </c>
      <c r="D558" s="1" t="s">
        <v>43</v>
      </c>
      <c r="E558" s="1" t="s">
        <v>38</v>
      </c>
      <c r="F558" s="1" t="s">
        <v>52</v>
      </c>
      <c r="G558" s="2">
        <v>45416</v>
      </c>
      <c r="H558" s="2">
        <v>45423</v>
      </c>
      <c r="I558" s="1">
        <v>46151.96</v>
      </c>
      <c r="J558" s="1">
        <v>0.44009999999999999</v>
      </c>
      <c r="K558" s="1">
        <v>20311.48</v>
      </c>
      <c r="L558" s="1">
        <v>750880</v>
      </c>
      <c r="M558" s="1">
        <v>44430</v>
      </c>
      <c r="N558" s="1">
        <v>11922.74</v>
      </c>
      <c r="O558" s="1">
        <v>2024</v>
      </c>
      <c r="P558" s="1" t="s">
        <v>45</v>
      </c>
      <c r="Q558" s="1" t="s">
        <v>46</v>
      </c>
      <c r="R558" s="1" t="s">
        <v>41</v>
      </c>
      <c r="S558" s="1">
        <f t="shared" si="8"/>
        <v>8</v>
      </c>
      <c r="T558" s="7" t="str">
        <f>_xlfn.TEXTJOIN("_",TRUE,Finance_Data!A558,Finance_Data!B558,Finance_Data!C558,Finance_Data!D558,Finance_Data!E558,Finance_Data!G558,Finance_Data!H558)</f>
        <v>CMP_043_South_USA_Luxury Bag_Ecommerce_45416_45423</v>
      </c>
    </row>
    <row r="559" spans="1:20" x14ac:dyDescent="0.35">
      <c r="A559" s="6" t="s">
        <v>98</v>
      </c>
      <c r="B559" s="1" t="s">
        <v>28</v>
      </c>
      <c r="C559" s="1" t="s">
        <v>58</v>
      </c>
      <c r="D559" s="1" t="s">
        <v>37</v>
      </c>
      <c r="E559" s="1" t="s">
        <v>30</v>
      </c>
      <c r="F559" s="1" t="s">
        <v>23</v>
      </c>
      <c r="G559" s="2">
        <v>45417</v>
      </c>
      <c r="H559" s="2">
        <v>45450</v>
      </c>
      <c r="I559" s="1">
        <v>17694.59</v>
      </c>
      <c r="J559" s="1">
        <v>1.1589</v>
      </c>
      <c r="K559" s="1">
        <v>20506.259999999998</v>
      </c>
      <c r="L559" s="1">
        <v>274742</v>
      </c>
      <c r="M559" s="1">
        <v>31408</v>
      </c>
      <c r="N559" s="1">
        <v>32951.35</v>
      </c>
      <c r="O559" s="1">
        <v>2024</v>
      </c>
      <c r="P559" s="1" t="s">
        <v>45</v>
      </c>
      <c r="Q559" s="1" t="s">
        <v>46</v>
      </c>
      <c r="R559" s="1" t="s">
        <v>61</v>
      </c>
      <c r="S559" s="1">
        <f t="shared" si="8"/>
        <v>34</v>
      </c>
      <c r="T559" s="7" t="str">
        <f>_xlfn.TEXTJOIN("_",TRUE,Finance_Data!A559,Finance_Data!B559,Finance_Data!C559,Finance_Data!D559,Finance_Data!E559,Finance_Data!G559,Finance_Data!H559)</f>
        <v>CMP_005_West_UK_Perfume_Wholesale_45417_45450</v>
      </c>
    </row>
    <row r="560" spans="1:20" x14ac:dyDescent="0.35">
      <c r="A560" s="6" t="s">
        <v>114</v>
      </c>
      <c r="B560" s="1" t="s">
        <v>19</v>
      </c>
      <c r="C560" s="1" t="s">
        <v>58</v>
      </c>
      <c r="D560" s="1" t="s">
        <v>59</v>
      </c>
      <c r="E560" s="1" t="s">
        <v>30</v>
      </c>
      <c r="F560" s="1" t="s">
        <v>44</v>
      </c>
      <c r="G560" s="2">
        <v>45417</v>
      </c>
      <c r="H560" s="2">
        <v>45435</v>
      </c>
      <c r="I560" s="1">
        <v>43604.22</v>
      </c>
      <c r="J560" s="1">
        <v>0.40620000000000001</v>
      </c>
      <c r="K560" s="1">
        <v>17712.03</v>
      </c>
      <c r="L560" s="1">
        <v>963149</v>
      </c>
      <c r="M560" s="1">
        <v>1104</v>
      </c>
      <c r="N560" s="1">
        <v>56892.9</v>
      </c>
      <c r="O560" s="1">
        <v>2024</v>
      </c>
      <c r="P560" s="1" t="s">
        <v>45</v>
      </c>
      <c r="Q560" s="1" t="s">
        <v>46</v>
      </c>
      <c r="R560" s="1" t="s">
        <v>61</v>
      </c>
      <c r="S560" s="1">
        <f t="shared" si="8"/>
        <v>19</v>
      </c>
      <c r="T560" s="7" t="str">
        <f>_xlfn.TEXTJOIN("_",TRUE,Finance_Data!A560,Finance_Data!B560,Finance_Data!C560,Finance_Data!D560,Finance_Data!E560,Finance_Data!G560,Finance_Data!H560)</f>
        <v>CMP_013_North_UK_Lipstick_Wholesale_45417_45435</v>
      </c>
    </row>
    <row r="561" spans="1:20" x14ac:dyDescent="0.35">
      <c r="A561" s="6" t="s">
        <v>87</v>
      </c>
      <c r="B561" s="1" t="s">
        <v>48</v>
      </c>
      <c r="C561" s="1" t="s">
        <v>29</v>
      </c>
      <c r="D561" s="1" t="s">
        <v>37</v>
      </c>
      <c r="E561" s="1" t="s">
        <v>38</v>
      </c>
      <c r="F561" s="1" t="s">
        <v>49</v>
      </c>
      <c r="G561" s="2">
        <v>45419</v>
      </c>
      <c r="H561" s="2">
        <v>45459</v>
      </c>
      <c r="I561" s="1">
        <v>10707.32</v>
      </c>
      <c r="J561" s="1">
        <v>0.48039999999999999</v>
      </c>
      <c r="K561" s="1">
        <v>5143.8</v>
      </c>
      <c r="L561" s="1">
        <v>609083</v>
      </c>
      <c r="M561" s="1">
        <v>12951</v>
      </c>
      <c r="N561" s="1">
        <v>142486.06</v>
      </c>
      <c r="O561" s="1">
        <v>2024</v>
      </c>
      <c r="P561" s="1" t="s">
        <v>45</v>
      </c>
      <c r="Q561" s="1" t="s">
        <v>46</v>
      </c>
      <c r="R561" s="1" t="s">
        <v>41</v>
      </c>
      <c r="S561" s="1">
        <f t="shared" si="8"/>
        <v>41</v>
      </c>
      <c r="T561" s="7" t="str">
        <f>_xlfn.TEXTJOIN("_",TRUE,Finance_Data!A561,Finance_Data!B561,Finance_Data!C561,Finance_Data!D561,Finance_Data!E561,Finance_Data!G561,Finance_Data!H561)</f>
        <v>CMP_048_South_Australia_Perfume_Ecommerce_45419_45459</v>
      </c>
    </row>
    <row r="562" spans="1:20" x14ac:dyDescent="0.35">
      <c r="A562" s="6" t="s">
        <v>57</v>
      </c>
      <c r="B562" s="1" t="s">
        <v>28</v>
      </c>
      <c r="C562" s="1" t="s">
        <v>69</v>
      </c>
      <c r="D562" s="1" t="s">
        <v>43</v>
      </c>
      <c r="E562" s="1" t="s">
        <v>30</v>
      </c>
      <c r="F562" s="1" t="s">
        <v>23</v>
      </c>
      <c r="G562" s="2">
        <v>45421</v>
      </c>
      <c r="H562" s="2">
        <v>45444</v>
      </c>
      <c r="I562" s="1">
        <v>45475.62</v>
      </c>
      <c r="J562" s="1">
        <v>0.64449999999999996</v>
      </c>
      <c r="K562" s="1">
        <v>29309.040000000001</v>
      </c>
      <c r="L562" s="1">
        <v>266496</v>
      </c>
      <c r="M562" s="1">
        <v>25161</v>
      </c>
      <c r="N562" s="1">
        <v>9217.07</v>
      </c>
      <c r="O562" s="1">
        <v>2024</v>
      </c>
      <c r="P562" s="1" t="s">
        <v>45</v>
      </c>
      <c r="Q562" s="1" t="s">
        <v>46</v>
      </c>
      <c r="R562" s="1" t="s">
        <v>54</v>
      </c>
      <c r="S562" s="1">
        <f t="shared" si="8"/>
        <v>24</v>
      </c>
      <c r="T562" s="7" t="str">
        <f>_xlfn.TEXTJOIN("_",TRUE,Finance_Data!A562,Finance_Data!B562,Finance_Data!C562,Finance_Data!D562,Finance_Data!E562,Finance_Data!G562,Finance_Data!H562)</f>
        <v>CMP_032_West_USA_Luxury Bag_Wholesale_45421_45444</v>
      </c>
    </row>
    <row r="563" spans="1:20" x14ac:dyDescent="0.35">
      <c r="A563" s="6" t="s">
        <v>110</v>
      </c>
      <c r="B563" s="1" t="s">
        <v>35</v>
      </c>
      <c r="C563" s="1" t="s">
        <v>69</v>
      </c>
      <c r="D563" s="1" t="s">
        <v>51</v>
      </c>
      <c r="E563" s="1" t="s">
        <v>38</v>
      </c>
      <c r="F563" s="1" t="s">
        <v>31</v>
      </c>
      <c r="G563" s="2">
        <v>45423</v>
      </c>
      <c r="H563" s="2">
        <v>45473</v>
      </c>
      <c r="I563" s="1">
        <v>22437.5</v>
      </c>
      <c r="J563" s="1">
        <v>0.36070000000000002</v>
      </c>
      <c r="K563" s="1">
        <v>8093.21</v>
      </c>
      <c r="L563" s="1">
        <v>740897</v>
      </c>
      <c r="M563" s="1">
        <v>32218</v>
      </c>
      <c r="N563" s="1">
        <v>51495.08</v>
      </c>
      <c r="O563" s="1">
        <v>2024</v>
      </c>
      <c r="P563" s="1" t="s">
        <v>45</v>
      </c>
      <c r="Q563" s="1" t="s">
        <v>46</v>
      </c>
      <c r="R563" s="1" t="s">
        <v>61</v>
      </c>
      <c r="S563" s="1">
        <f t="shared" si="8"/>
        <v>51</v>
      </c>
      <c r="T563" s="7" t="str">
        <f>_xlfn.TEXTJOIN("_",TRUE,Finance_Data!A563,Finance_Data!B563,Finance_Data!C563,Finance_Data!D563,Finance_Data!E563,Finance_Data!G563,Finance_Data!H563)</f>
        <v>CMP_012_East_USA_Watch_Ecommerce_45423_45473</v>
      </c>
    </row>
    <row r="564" spans="1:20" x14ac:dyDescent="0.35">
      <c r="A564" s="6" t="s">
        <v>57</v>
      </c>
      <c r="B564" s="1" t="s">
        <v>48</v>
      </c>
      <c r="C564" s="1" t="s">
        <v>29</v>
      </c>
      <c r="D564" s="1" t="s">
        <v>37</v>
      </c>
      <c r="E564" s="1" t="s">
        <v>22</v>
      </c>
      <c r="F564" s="1" t="s">
        <v>23</v>
      </c>
      <c r="G564" s="2">
        <v>45423</v>
      </c>
      <c r="H564" s="2">
        <v>45460</v>
      </c>
      <c r="I564" s="1">
        <v>14665.64</v>
      </c>
      <c r="J564" s="1">
        <v>0.92390000000000005</v>
      </c>
      <c r="K564" s="1">
        <v>13549.58</v>
      </c>
      <c r="L564" s="1">
        <v>123284</v>
      </c>
      <c r="M564" s="1">
        <v>8107</v>
      </c>
      <c r="N564" s="1">
        <v>66419.02</v>
      </c>
      <c r="O564" s="1">
        <v>2024</v>
      </c>
      <c r="P564" s="1" t="s">
        <v>45</v>
      </c>
      <c r="Q564" s="1" t="s">
        <v>46</v>
      </c>
      <c r="R564" s="1" t="s">
        <v>26</v>
      </c>
      <c r="S564" s="1">
        <f t="shared" si="8"/>
        <v>38</v>
      </c>
      <c r="T564" s="7" t="str">
        <f>_xlfn.TEXTJOIN("_",TRUE,Finance_Data!A564,Finance_Data!B564,Finance_Data!C564,Finance_Data!D564,Finance_Data!E564,Finance_Data!G564,Finance_Data!H564)</f>
        <v>CMP_032_South_Australia_Perfume_Retail_45423_45460</v>
      </c>
    </row>
    <row r="565" spans="1:20" x14ac:dyDescent="0.35">
      <c r="A565" s="6" t="s">
        <v>50</v>
      </c>
      <c r="B565" s="1" t="s">
        <v>48</v>
      </c>
      <c r="C565" s="1" t="s">
        <v>58</v>
      </c>
      <c r="D565" s="1" t="s">
        <v>21</v>
      </c>
      <c r="E565" s="1" t="s">
        <v>38</v>
      </c>
      <c r="F565" s="1" t="s">
        <v>52</v>
      </c>
      <c r="G565" s="2">
        <v>45423</v>
      </c>
      <c r="H565" s="2">
        <v>45439</v>
      </c>
      <c r="I565" s="1">
        <v>40169.230000000003</v>
      </c>
      <c r="J565" s="1">
        <v>1.0358000000000001</v>
      </c>
      <c r="K565" s="1">
        <v>41607.29</v>
      </c>
      <c r="L565" s="1">
        <v>369502</v>
      </c>
      <c r="M565" s="1">
        <v>5631</v>
      </c>
      <c r="N565" s="1">
        <v>241999.68</v>
      </c>
      <c r="O565" s="1">
        <v>2024</v>
      </c>
      <c r="P565" s="1" t="s">
        <v>45</v>
      </c>
      <c r="Q565" s="1" t="s">
        <v>46</v>
      </c>
      <c r="R565" s="1" t="s">
        <v>54</v>
      </c>
      <c r="S565" s="1">
        <f t="shared" si="8"/>
        <v>17</v>
      </c>
      <c r="T565" s="7" t="str">
        <f>_xlfn.TEXTJOIN("_",TRUE,Finance_Data!A565,Finance_Data!B565,Finance_Data!C565,Finance_Data!D565,Finance_Data!E565,Finance_Data!G565,Finance_Data!H565)</f>
        <v>CMP_039_South_UK_Foundation_Ecommerce_45423_45439</v>
      </c>
    </row>
    <row r="566" spans="1:20" x14ac:dyDescent="0.35">
      <c r="A566" s="6" t="s">
        <v>85</v>
      </c>
      <c r="B566" s="1" t="s">
        <v>48</v>
      </c>
      <c r="C566" s="1" t="s">
        <v>36</v>
      </c>
      <c r="D566" s="1" t="s">
        <v>63</v>
      </c>
      <c r="E566" s="1" t="s">
        <v>38</v>
      </c>
      <c r="F566" s="1" t="s">
        <v>44</v>
      </c>
      <c r="G566" s="2">
        <v>45424</v>
      </c>
      <c r="H566" s="2">
        <v>45464</v>
      </c>
      <c r="I566" s="1">
        <v>49573.36</v>
      </c>
      <c r="J566" s="1">
        <v>0.51219999999999999</v>
      </c>
      <c r="K566" s="1">
        <v>25391.47</v>
      </c>
      <c r="L566" s="1">
        <v>959648</v>
      </c>
      <c r="M566" s="1">
        <v>2525</v>
      </c>
      <c r="N566" s="1">
        <v>54487.67</v>
      </c>
      <c r="O566" s="1">
        <v>2024</v>
      </c>
      <c r="P566" s="1" t="s">
        <v>45</v>
      </c>
      <c r="Q566" s="1" t="s">
        <v>46</v>
      </c>
      <c r="R566" s="1" t="s">
        <v>61</v>
      </c>
      <c r="S566" s="1">
        <f t="shared" si="8"/>
        <v>41</v>
      </c>
      <c r="T566" s="7" t="str">
        <f>_xlfn.TEXTJOIN("_",TRUE,Finance_Data!A566,Finance_Data!B566,Finance_Data!C566,Finance_Data!D566,Finance_Data!E566,Finance_Data!G566,Finance_Data!H566)</f>
        <v>CMP_018_South_India_Skincare_Ecommerce_45424_45464</v>
      </c>
    </row>
    <row r="567" spans="1:20" x14ac:dyDescent="0.35">
      <c r="A567" s="6" t="s">
        <v>102</v>
      </c>
      <c r="B567" s="1" t="s">
        <v>35</v>
      </c>
      <c r="C567" s="1" t="s">
        <v>29</v>
      </c>
      <c r="D567" s="1" t="s">
        <v>63</v>
      </c>
      <c r="E567" s="1" t="s">
        <v>30</v>
      </c>
      <c r="F567" s="1" t="s">
        <v>49</v>
      </c>
      <c r="G567" s="2">
        <v>45424</v>
      </c>
      <c r="H567" s="2">
        <v>45459</v>
      </c>
      <c r="I567" s="1">
        <v>38088.67</v>
      </c>
      <c r="J567" s="1">
        <v>0.72919999999999996</v>
      </c>
      <c r="K567" s="1">
        <v>27774.26</v>
      </c>
      <c r="L567" s="1">
        <v>362898</v>
      </c>
      <c r="M567" s="1">
        <v>24399</v>
      </c>
      <c r="N567" s="1">
        <v>172055.7</v>
      </c>
      <c r="O567" s="1">
        <v>2024</v>
      </c>
      <c r="P567" s="1" t="s">
        <v>45</v>
      </c>
      <c r="Q567" s="1" t="s">
        <v>46</v>
      </c>
      <c r="R567" s="1" t="s">
        <v>54</v>
      </c>
      <c r="S567" s="1">
        <f t="shared" si="8"/>
        <v>36</v>
      </c>
      <c r="T567" s="7" t="str">
        <f>_xlfn.TEXTJOIN("_",TRUE,Finance_Data!A567,Finance_Data!B567,Finance_Data!C567,Finance_Data!D567,Finance_Data!E567,Finance_Data!G567,Finance_Data!H567)</f>
        <v>CMP_022_East_Australia_Skincare_Wholesale_45424_45459</v>
      </c>
    </row>
    <row r="568" spans="1:20" x14ac:dyDescent="0.35">
      <c r="A568" s="6" t="s">
        <v>100</v>
      </c>
      <c r="B568" s="1" t="s">
        <v>19</v>
      </c>
      <c r="C568" s="1" t="s">
        <v>36</v>
      </c>
      <c r="D568" s="1" t="s">
        <v>21</v>
      </c>
      <c r="E568" s="1" t="s">
        <v>38</v>
      </c>
      <c r="F568" s="1" t="s">
        <v>23</v>
      </c>
      <c r="G568" s="2">
        <v>45425</v>
      </c>
      <c r="H568" s="2">
        <v>45448</v>
      </c>
      <c r="I568" s="1">
        <v>4166.21</v>
      </c>
      <c r="J568" s="1">
        <v>0.36070000000000002</v>
      </c>
      <c r="K568" s="1">
        <v>1502.75</v>
      </c>
      <c r="L568" s="1">
        <v>485904</v>
      </c>
      <c r="M568" s="1">
        <v>2783</v>
      </c>
      <c r="N568" s="1">
        <v>58244.7</v>
      </c>
      <c r="O568" s="1">
        <v>2024</v>
      </c>
      <c r="P568" s="1" t="s">
        <v>45</v>
      </c>
      <c r="Q568" s="1" t="s">
        <v>46</v>
      </c>
      <c r="R568" s="1" t="s">
        <v>54</v>
      </c>
      <c r="S568" s="1">
        <f t="shared" si="8"/>
        <v>24</v>
      </c>
      <c r="T568" s="7" t="str">
        <f>_xlfn.TEXTJOIN("_",TRUE,Finance_Data!A568,Finance_Data!B568,Finance_Data!C568,Finance_Data!D568,Finance_Data!E568,Finance_Data!G568,Finance_Data!H568)</f>
        <v>CMP_053_North_India_Foundation_Ecommerce_45425_45448</v>
      </c>
    </row>
    <row r="569" spans="1:20" x14ac:dyDescent="0.35">
      <c r="A569" s="6" t="s">
        <v>92</v>
      </c>
      <c r="B569" s="1" t="s">
        <v>48</v>
      </c>
      <c r="C569" s="1" t="s">
        <v>29</v>
      </c>
      <c r="D569" s="1" t="s">
        <v>63</v>
      </c>
      <c r="E569" s="1" t="s">
        <v>38</v>
      </c>
      <c r="F569" s="1" t="s">
        <v>49</v>
      </c>
      <c r="G569" s="2">
        <v>45425</v>
      </c>
      <c r="H569" s="2">
        <v>45441</v>
      </c>
      <c r="I569" s="1">
        <v>25628.07</v>
      </c>
      <c r="J569" s="1">
        <v>0.14119999999999999</v>
      </c>
      <c r="K569" s="1">
        <v>3618.68</v>
      </c>
      <c r="L569" s="1">
        <v>604639</v>
      </c>
      <c r="M569" s="1">
        <v>14031</v>
      </c>
      <c r="N569" s="1">
        <v>50481.32</v>
      </c>
      <c r="O569" s="1">
        <v>2024</v>
      </c>
      <c r="P569" s="1" t="s">
        <v>45</v>
      </c>
      <c r="Q569" s="1" t="s">
        <v>46</v>
      </c>
      <c r="R569" s="1" t="s">
        <v>26</v>
      </c>
      <c r="S569" s="1">
        <f t="shared" si="8"/>
        <v>17</v>
      </c>
      <c r="T569" s="7" t="str">
        <f>_xlfn.TEXTJOIN("_",TRUE,Finance_Data!A569,Finance_Data!B569,Finance_Data!C569,Finance_Data!D569,Finance_Data!E569,Finance_Data!G569,Finance_Data!H569)</f>
        <v>CMP_004_South_Australia_Skincare_Ecommerce_45425_45441</v>
      </c>
    </row>
    <row r="570" spans="1:20" x14ac:dyDescent="0.35">
      <c r="A570" s="6" t="s">
        <v>86</v>
      </c>
      <c r="B570" s="1" t="s">
        <v>48</v>
      </c>
      <c r="C570" s="1" t="s">
        <v>58</v>
      </c>
      <c r="D570" s="1" t="s">
        <v>21</v>
      </c>
      <c r="E570" s="1" t="s">
        <v>22</v>
      </c>
      <c r="F570" s="1" t="s">
        <v>44</v>
      </c>
      <c r="G570" s="2">
        <v>45425</v>
      </c>
      <c r="H570" s="2">
        <v>45435</v>
      </c>
      <c r="I570" s="1">
        <v>44375.49</v>
      </c>
      <c r="J570" s="1">
        <v>0.53120000000000001</v>
      </c>
      <c r="K570" s="1">
        <v>23572.26</v>
      </c>
      <c r="L570" s="1">
        <v>208667</v>
      </c>
      <c r="M570" s="1">
        <v>9271</v>
      </c>
      <c r="N570" s="1">
        <v>13746.08</v>
      </c>
      <c r="O570" s="1">
        <v>2024</v>
      </c>
      <c r="P570" s="1" t="s">
        <v>45</v>
      </c>
      <c r="Q570" s="1" t="s">
        <v>46</v>
      </c>
      <c r="R570" s="1" t="s">
        <v>41</v>
      </c>
      <c r="S570" s="1">
        <f t="shared" si="8"/>
        <v>11</v>
      </c>
      <c r="T570" s="7" t="str">
        <f>_xlfn.TEXTJOIN("_",TRUE,Finance_Data!A570,Finance_Data!B570,Finance_Data!C570,Finance_Data!D570,Finance_Data!E570,Finance_Data!G570,Finance_Data!H570)</f>
        <v>CMP_002_South_UK_Foundation_Retail_45425_45435</v>
      </c>
    </row>
    <row r="571" spans="1:20" x14ac:dyDescent="0.35">
      <c r="A571" s="6" t="s">
        <v>85</v>
      </c>
      <c r="B571" s="1" t="s">
        <v>19</v>
      </c>
      <c r="C571" s="1" t="s">
        <v>20</v>
      </c>
      <c r="D571" s="1" t="s">
        <v>59</v>
      </c>
      <c r="E571" s="1" t="s">
        <v>22</v>
      </c>
      <c r="F571" s="1" t="s">
        <v>52</v>
      </c>
      <c r="G571" s="2">
        <v>45426</v>
      </c>
      <c r="H571" s="2">
        <v>45444</v>
      </c>
      <c r="I571" s="1">
        <v>18386.419999999998</v>
      </c>
      <c r="J571" s="1">
        <v>0.31740000000000002</v>
      </c>
      <c r="K571" s="1">
        <v>5835.85</v>
      </c>
      <c r="L571" s="1">
        <v>303243</v>
      </c>
      <c r="M571" s="1">
        <v>39169</v>
      </c>
      <c r="N571" s="1">
        <v>176790.02</v>
      </c>
      <c r="O571" s="1">
        <v>2024</v>
      </c>
      <c r="P571" s="1" t="s">
        <v>45</v>
      </c>
      <c r="Q571" s="1" t="s">
        <v>46</v>
      </c>
      <c r="R571" s="1" t="s">
        <v>54</v>
      </c>
      <c r="S571" s="1">
        <f t="shared" si="8"/>
        <v>19</v>
      </c>
      <c r="T571" s="7" t="str">
        <f>_xlfn.TEXTJOIN("_",TRUE,Finance_Data!A571,Finance_Data!B571,Finance_Data!C571,Finance_Data!D571,Finance_Data!E571,Finance_Data!G571,Finance_Data!H571)</f>
        <v>CMP_018_North_Singapore_Lipstick_Retail_45426_45444</v>
      </c>
    </row>
    <row r="572" spans="1:20" x14ac:dyDescent="0.35">
      <c r="A572" s="6" t="s">
        <v>120</v>
      </c>
      <c r="B572" s="1" t="s">
        <v>48</v>
      </c>
      <c r="C572" s="1" t="s">
        <v>69</v>
      </c>
      <c r="D572" s="1" t="s">
        <v>43</v>
      </c>
      <c r="E572" s="1" t="s">
        <v>30</v>
      </c>
      <c r="F572" s="1" t="s">
        <v>44</v>
      </c>
      <c r="G572" s="2">
        <v>45426</v>
      </c>
      <c r="H572" s="2">
        <v>45438</v>
      </c>
      <c r="I572" s="1">
        <v>44492.1</v>
      </c>
      <c r="J572" s="1">
        <v>0.53439999999999999</v>
      </c>
      <c r="K572" s="1">
        <v>23776.58</v>
      </c>
      <c r="L572" s="1">
        <v>76412</v>
      </c>
      <c r="M572" s="1">
        <v>17245</v>
      </c>
      <c r="N572" s="1">
        <v>165468.51999999999</v>
      </c>
      <c r="O572" s="1">
        <v>2024</v>
      </c>
      <c r="P572" s="1" t="s">
        <v>45</v>
      </c>
      <c r="Q572" s="1" t="s">
        <v>46</v>
      </c>
      <c r="R572" s="1" t="s">
        <v>26</v>
      </c>
      <c r="S572" s="1">
        <f t="shared" si="8"/>
        <v>13</v>
      </c>
      <c r="T572" s="7" t="str">
        <f>_xlfn.TEXTJOIN("_",TRUE,Finance_Data!A572,Finance_Data!B572,Finance_Data!C572,Finance_Data!D572,Finance_Data!E572,Finance_Data!G572,Finance_Data!H572)</f>
        <v>CMP_001_South_USA_Luxury Bag_Wholesale_45426_45438</v>
      </c>
    </row>
    <row r="573" spans="1:20" x14ac:dyDescent="0.35">
      <c r="A573" s="6" t="s">
        <v>97</v>
      </c>
      <c r="B573" s="1" t="s">
        <v>48</v>
      </c>
      <c r="C573" s="1" t="s">
        <v>20</v>
      </c>
      <c r="D573" s="1" t="s">
        <v>43</v>
      </c>
      <c r="E573" s="1" t="s">
        <v>22</v>
      </c>
      <c r="F573" s="1" t="s">
        <v>52</v>
      </c>
      <c r="G573" s="2">
        <v>45427</v>
      </c>
      <c r="H573" s="2">
        <v>45487</v>
      </c>
      <c r="I573" s="1">
        <v>13128.01</v>
      </c>
      <c r="J573" s="1">
        <v>0.14019999999999999</v>
      </c>
      <c r="K573" s="1">
        <v>1840.55</v>
      </c>
      <c r="L573" s="1">
        <v>868706</v>
      </c>
      <c r="M573" s="1">
        <v>1239</v>
      </c>
      <c r="N573" s="1">
        <v>143980.35</v>
      </c>
      <c r="O573" s="1">
        <v>2024</v>
      </c>
      <c r="P573" s="1" t="s">
        <v>45</v>
      </c>
      <c r="Q573" s="1" t="s">
        <v>46</v>
      </c>
      <c r="R573" s="1" t="s">
        <v>26</v>
      </c>
      <c r="S573" s="1">
        <f t="shared" si="8"/>
        <v>61</v>
      </c>
      <c r="T573" s="7" t="str">
        <f>_xlfn.TEXTJOIN("_",TRUE,Finance_Data!A573,Finance_Data!B573,Finance_Data!C573,Finance_Data!D573,Finance_Data!E573,Finance_Data!G573,Finance_Data!H573)</f>
        <v>CMP_019_South_Singapore_Luxury Bag_Retail_45427_45487</v>
      </c>
    </row>
    <row r="574" spans="1:20" x14ac:dyDescent="0.35">
      <c r="A574" s="6" t="s">
        <v>112</v>
      </c>
      <c r="B574" s="1" t="s">
        <v>48</v>
      </c>
      <c r="C574" s="1" t="s">
        <v>69</v>
      </c>
      <c r="D574" s="1" t="s">
        <v>51</v>
      </c>
      <c r="E574" s="1" t="s">
        <v>30</v>
      </c>
      <c r="F574" s="1" t="s">
        <v>23</v>
      </c>
      <c r="G574" s="2">
        <v>45427</v>
      </c>
      <c r="H574" s="2">
        <v>45470</v>
      </c>
      <c r="I574" s="1">
        <v>22859.07</v>
      </c>
      <c r="J574" s="1">
        <v>1.153</v>
      </c>
      <c r="K574" s="1">
        <v>26356.51</v>
      </c>
      <c r="L574" s="1">
        <v>507635</v>
      </c>
      <c r="M574" s="1">
        <v>38561</v>
      </c>
      <c r="N574" s="1">
        <v>140076.76</v>
      </c>
      <c r="O574" s="1">
        <v>2024</v>
      </c>
      <c r="P574" s="1" t="s">
        <v>45</v>
      </c>
      <c r="Q574" s="1" t="s">
        <v>46</v>
      </c>
      <c r="R574" s="1" t="s">
        <v>41</v>
      </c>
      <c r="S574" s="1">
        <f t="shared" si="8"/>
        <v>44</v>
      </c>
      <c r="T574" s="7" t="str">
        <f>_xlfn.TEXTJOIN("_",TRUE,Finance_Data!A574,Finance_Data!B574,Finance_Data!C574,Finance_Data!D574,Finance_Data!E574,Finance_Data!G574,Finance_Data!H574)</f>
        <v>CMP_023_South_USA_Watch_Wholesale_45427_45470</v>
      </c>
    </row>
    <row r="575" spans="1:20" x14ac:dyDescent="0.35">
      <c r="A575" s="6" t="s">
        <v>71</v>
      </c>
      <c r="B575" s="1" t="s">
        <v>19</v>
      </c>
      <c r="C575" s="1" t="s">
        <v>36</v>
      </c>
      <c r="D575" s="1" t="s">
        <v>63</v>
      </c>
      <c r="E575" s="1" t="s">
        <v>22</v>
      </c>
      <c r="F575" s="1" t="s">
        <v>49</v>
      </c>
      <c r="G575" s="2">
        <v>45427</v>
      </c>
      <c r="H575" s="2">
        <v>45467</v>
      </c>
      <c r="I575" s="1">
        <v>38150.07</v>
      </c>
      <c r="J575" s="1">
        <v>0.83179999999999998</v>
      </c>
      <c r="K575" s="1">
        <v>31733.23</v>
      </c>
      <c r="L575" s="1">
        <v>687278</v>
      </c>
      <c r="M575" s="1">
        <v>46751</v>
      </c>
      <c r="N575" s="1">
        <v>125251.23</v>
      </c>
      <c r="O575" s="1">
        <v>2024</v>
      </c>
      <c r="P575" s="1" t="s">
        <v>45</v>
      </c>
      <c r="Q575" s="1" t="s">
        <v>46</v>
      </c>
      <c r="R575" s="1" t="s">
        <v>61</v>
      </c>
      <c r="S575" s="1">
        <f t="shared" si="8"/>
        <v>41</v>
      </c>
      <c r="T575" s="7" t="str">
        <f>_xlfn.TEXTJOIN("_",TRUE,Finance_Data!A575,Finance_Data!B575,Finance_Data!C575,Finance_Data!D575,Finance_Data!E575,Finance_Data!G575,Finance_Data!H575)</f>
        <v>CMP_051_North_India_Skincare_Retail_45427_45467</v>
      </c>
    </row>
    <row r="576" spans="1:20" x14ac:dyDescent="0.35">
      <c r="A576" s="6" t="s">
        <v>67</v>
      </c>
      <c r="B576" s="1" t="s">
        <v>19</v>
      </c>
      <c r="C576" s="1" t="s">
        <v>36</v>
      </c>
      <c r="D576" s="1" t="s">
        <v>51</v>
      </c>
      <c r="E576" s="1" t="s">
        <v>38</v>
      </c>
      <c r="F576" s="1" t="s">
        <v>23</v>
      </c>
      <c r="G576" s="2">
        <v>45427</v>
      </c>
      <c r="H576" s="2">
        <v>45433</v>
      </c>
      <c r="I576" s="1">
        <v>6481.52</v>
      </c>
      <c r="J576" s="1">
        <v>0.44190000000000002</v>
      </c>
      <c r="K576" s="1">
        <v>2864.18</v>
      </c>
      <c r="L576" s="1">
        <v>882064</v>
      </c>
      <c r="M576" s="1">
        <v>20253</v>
      </c>
      <c r="N576" s="1">
        <v>63665.82</v>
      </c>
      <c r="O576" s="1">
        <v>2024</v>
      </c>
      <c r="P576" s="1" t="s">
        <v>45</v>
      </c>
      <c r="Q576" s="1" t="s">
        <v>46</v>
      </c>
      <c r="R576" s="1" t="s">
        <v>61</v>
      </c>
      <c r="S576" s="1">
        <f t="shared" si="8"/>
        <v>7</v>
      </c>
      <c r="T576" s="7" t="str">
        <f>_xlfn.TEXTJOIN("_",TRUE,Finance_Data!A576,Finance_Data!B576,Finance_Data!C576,Finance_Data!D576,Finance_Data!E576,Finance_Data!G576,Finance_Data!H576)</f>
        <v>CMP_016_North_India_Watch_Ecommerce_45427_45433</v>
      </c>
    </row>
    <row r="577" spans="1:20" x14ac:dyDescent="0.35">
      <c r="A577" s="6" t="s">
        <v>79</v>
      </c>
      <c r="B577" s="1" t="s">
        <v>48</v>
      </c>
      <c r="C577" s="1" t="s">
        <v>20</v>
      </c>
      <c r="D577" s="1" t="s">
        <v>63</v>
      </c>
      <c r="E577" s="1" t="s">
        <v>22</v>
      </c>
      <c r="F577" s="1" t="s">
        <v>31</v>
      </c>
      <c r="G577" s="2">
        <v>45428</v>
      </c>
      <c r="H577" s="2">
        <v>45458</v>
      </c>
      <c r="I577" s="1">
        <v>37475.15</v>
      </c>
      <c r="J577" s="1">
        <v>3.1899999999999998E-2</v>
      </c>
      <c r="K577" s="1">
        <v>1195.46</v>
      </c>
      <c r="L577" s="1">
        <v>727552</v>
      </c>
      <c r="M577" s="1">
        <v>23162</v>
      </c>
      <c r="N577" s="1">
        <v>92067.64</v>
      </c>
      <c r="O577" s="1">
        <v>2024</v>
      </c>
      <c r="P577" s="1" t="s">
        <v>45</v>
      </c>
      <c r="Q577" s="1" t="s">
        <v>46</v>
      </c>
      <c r="R577" s="1" t="s">
        <v>54</v>
      </c>
      <c r="S577" s="1">
        <f t="shared" si="8"/>
        <v>31</v>
      </c>
      <c r="T577" s="7" t="str">
        <f>_xlfn.TEXTJOIN("_",TRUE,Finance_Data!A577,Finance_Data!B577,Finance_Data!C577,Finance_Data!D577,Finance_Data!E577,Finance_Data!G577,Finance_Data!H577)</f>
        <v>CMP_020_South_Singapore_Skincare_Retail_45428_45458</v>
      </c>
    </row>
    <row r="578" spans="1:20" x14ac:dyDescent="0.35">
      <c r="A578" s="6" t="s">
        <v>98</v>
      </c>
      <c r="B578" s="1" t="s">
        <v>48</v>
      </c>
      <c r="C578" s="1" t="s">
        <v>69</v>
      </c>
      <c r="D578" s="1" t="s">
        <v>43</v>
      </c>
      <c r="E578" s="1" t="s">
        <v>30</v>
      </c>
      <c r="F578" s="1" t="s">
        <v>44</v>
      </c>
      <c r="G578" s="2">
        <v>45429</v>
      </c>
      <c r="H578" s="2">
        <v>45479</v>
      </c>
      <c r="I578" s="1">
        <v>45575.34</v>
      </c>
      <c r="J578" s="1">
        <v>9.7500000000000003E-2</v>
      </c>
      <c r="K578" s="1">
        <v>4443.6000000000004</v>
      </c>
      <c r="L578" s="1">
        <v>94714</v>
      </c>
      <c r="M578" s="1">
        <v>21209</v>
      </c>
      <c r="N578" s="1">
        <v>154032.87</v>
      </c>
      <c r="O578" s="1">
        <v>2024</v>
      </c>
      <c r="P578" s="1" t="s">
        <v>45</v>
      </c>
      <c r="Q578" s="1" t="s">
        <v>46</v>
      </c>
      <c r="R578" s="1" t="s">
        <v>41</v>
      </c>
      <c r="S578" s="1">
        <f t="shared" ref="S578:S641" si="9">H578-G578+1</f>
        <v>51</v>
      </c>
      <c r="T578" s="7" t="str">
        <f>_xlfn.TEXTJOIN("_",TRUE,Finance_Data!A578,Finance_Data!B578,Finance_Data!C578,Finance_Data!D578,Finance_Data!E578,Finance_Data!G578,Finance_Data!H578)</f>
        <v>CMP_005_South_USA_Luxury Bag_Wholesale_45429_45479</v>
      </c>
    </row>
    <row r="579" spans="1:20" x14ac:dyDescent="0.35">
      <c r="A579" s="6" t="s">
        <v>57</v>
      </c>
      <c r="B579" s="1" t="s">
        <v>19</v>
      </c>
      <c r="C579" s="1" t="s">
        <v>29</v>
      </c>
      <c r="D579" s="1" t="s">
        <v>51</v>
      </c>
      <c r="E579" s="1" t="s">
        <v>38</v>
      </c>
      <c r="F579" s="1" t="s">
        <v>52</v>
      </c>
      <c r="G579" s="2">
        <v>45430</v>
      </c>
      <c r="H579" s="2">
        <v>45447</v>
      </c>
      <c r="I579" s="1">
        <v>5152.45</v>
      </c>
      <c r="J579" s="1">
        <v>0.622</v>
      </c>
      <c r="K579" s="1">
        <v>3204.82</v>
      </c>
      <c r="L579" s="1">
        <v>171177</v>
      </c>
      <c r="M579" s="1">
        <v>27016</v>
      </c>
      <c r="N579" s="1">
        <v>35341.449999999997</v>
      </c>
      <c r="O579" s="1">
        <v>2024</v>
      </c>
      <c r="P579" s="1" t="s">
        <v>45</v>
      </c>
      <c r="Q579" s="1" t="s">
        <v>46</v>
      </c>
      <c r="R579" s="1" t="s">
        <v>54</v>
      </c>
      <c r="S579" s="1">
        <f t="shared" si="9"/>
        <v>18</v>
      </c>
      <c r="T579" s="7" t="str">
        <f>_xlfn.TEXTJOIN("_",TRUE,Finance_Data!A579,Finance_Data!B579,Finance_Data!C579,Finance_Data!D579,Finance_Data!E579,Finance_Data!G579,Finance_Data!H579)</f>
        <v>CMP_032_North_Australia_Watch_Ecommerce_45430_45447</v>
      </c>
    </row>
    <row r="580" spans="1:20" x14ac:dyDescent="0.35">
      <c r="A580" s="6" t="s">
        <v>91</v>
      </c>
      <c r="B580" s="1" t="s">
        <v>28</v>
      </c>
      <c r="C580" s="1" t="s">
        <v>36</v>
      </c>
      <c r="D580" s="1" t="s">
        <v>21</v>
      </c>
      <c r="E580" s="1" t="s">
        <v>22</v>
      </c>
      <c r="F580" s="1" t="s">
        <v>49</v>
      </c>
      <c r="G580" s="2">
        <v>45431</v>
      </c>
      <c r="H580" s="2">
        <v>45468</v>
      </c>
      <c r="I580" s="1">
        <v>37867.11</v>
      </c>
      <c r="J580" s="1">
        <v>0.46820000000000001</v>
      </c>
      <c r="K580" s="1">
        <v>17729.38</v>
      </c>
      <c r="L580" s="1">
        <v>130671</v>
      </c>
      <c r="M580" s="1">
        <v>17748</v>
      </c>
      <c r="N580" s="1">
        <v>19854.830000000002</v>
      </c>
      <c r="O580" s="1">
        <v>2024</v>
      </c>
      <c r="P580" s="1" t="s">
        <v>45</v>
      </c>
      <c r="Q580" s="1" t="s">
        <v>46</v>
      </c>
      <c r="R580" s="1" t="s">
        <v>61</v>
      </c>
      <c r="S580" s="1">
        <f t="shared" si="9"/>
        <v>38</v>
      </c>
      <c r="T580" s="7" t="str">
        <f>_xlfn.TEXTJOIN("_",TRUE,Finance_Data!A580,Finance_Data!B580,Finance_Data!C580,Finance_Data!D580,Finance_Data!E580,Finance_Data!G580,Finance_Data!H580)</f>
        <v>CMP_030_West_India_Foundation_Retail_45431_45468</v>
      </c>
    </row>
    <row r="581" spans="1:20" x14ac:dyDescent="0.35">
      <c r="A581" s="6" t="s">
        <v>103</v>
      </c>
      <c r="B581" s="1" t="s">
        <v>19</v>
      </c>
      <c r="C581" s="1" t="s">
        <v>69</v>
      </c>
      <c r="D581" s="1" t="s">
        <v>43</v>
      </c>
      <c r="E581" s="1" t="s">
        <v>22</v>
      </c>
      <c r="F581" s="1" t="s">
        <v>23</v>
      </c>
      <c r="G581" s="2">
        <v>45432</v>
      </c>
      <c r="H581" s="2">
        <v>45476</v>
      </c>
      <c r="I581" s="1">
        <v>3306.57</v>
      </c>
      <c r="J581" s="1">
        <v>0.36509999999999998</v>
      </c>
      <c r="K581" s="1">
        <v>1207.23</v>
      </c>
      <c r="L581" s="1">
        <v>486663</v>
      </c>
      <c r="M581" s="1">
        <v>32431</v>
      </c>
      <c r="N581" s="1">
        <v>212924.72</v>
      </c>
      <c r="O581" s="1">
        <v>2024</v>
      </c>
      <c r="P581" s="1" t="s">
        <v>45</v>
      </c>
      <c r="Q581" s="1" t="s">
        <v>46</v>
      </c>
      <c r="R581" s="1" t="s">
        <v>61</v>
      </c>
      <c r="S581" s="1">
        <f t="shared" si="9"/>
        <v>45</v>
      </c>
      <c r="T581" s="7" t="str">
        <f>_xlfn.TEXTJOIN("_",TRUE,Finance_Data!A581,Finance_Data!B581,Finance_Data!C581,Finance_Data!D581,Finance_Data!E581,Finance_Data!G581,Finance_Data!H581)</f>
        <v>CMP_059_North_USA_Luxury Bag_Retail_45432_45476</v>
      </c>
    </row>
    <row r="582" spans="1:20" x14ac:dyDescent="0.35">
      <c r="A582" s="6" t="s">
        <v>55</v>
      </c>
      <c r="B582" s="1" t="s">
        <v>28</v>
      </c>
      <c r="C582" s="1" t="s">
        <v>29</v>
      </c>
      <c r="D582" s="1" t="s">
        <v>43</v>
      </c>
      <c r="E582" s="1" t="s">
        <v>38</v>
      </c>
      <c r="F582" s="1" t="s">
        <v>31</v>
      </c>
      <c r="G582" s="2">
        <v>45432</v>
      </c>
      <c r="H582" s="2">
        <v>45444</v>
      </c>
      <c r="I582" s="1">
        <v>19854.27</v>
      </c>
      <c r="J582" s="1">
        <v>0.55379999999999996</v>
      </c>
      <c r="K582" s="1">
        <v>10995.29</v>
      </c>
      <c r="L582" s="1">
        <v>781934</v>
      </c>
      <c r="M582" s="1">
        <v>20547</v>
      </c>
      <c r="N582" s="1">
        <v>173326.41</v>
      </c>
      <c r="O582" s="1">
        <v>2024</v>
      </c>
      <c r="P582" s="1" t="s">
        <v>45</v>
      </c>
      <c r="Q582" s="1" t="s">
        <v>46</v>
      </c>
      <c r="R582" s="1" t="s">
        <v>54</v>
      </c>
      <c r="S582" s="1">
        <f t="shared" si="9"/>
        <v>13</v>
      </c>
      <c r="T582" s="7" t="str">
        <f>_xlfn.TEXTJOIN("_",TRUE,Finance_Data!A582,Finance_Data!B582,Finance_Data!C582,Finance_Data!D582,Finance_Data!E582,Finance_Data!G582,Finance_Data!H582)</f>
        <v>CMP_054_West_Australia_Luxury Bag_Ecommerce_45432_45444</v>
      </c>
    </row>
    <row r="583" spans="1:20" x14ac:dyDescent="0.35">
      <c r="A583" s="6" t="s">
        <v>47</v>
      </c>
      <c r="B583" s="1" t="s">
        <v>19</v>
      </c>
      <c r="C583" s="1" t="s">
        <v>58</v>
      </c>
      <c r="D583" s="1" t="s">
        <v>59</v>
      </c>
      <c r="E583" s="1" t="s">
        <v>38</v>
      </c>
      <c r="F583" s="1" t="s">
        <v>31</v>
      </c>
      <c r="G583" s="2">
        <v>45433</v>
      </c>
      <c r="H583" s="2">
        <v>45476</v>
      </c>
      <c r="I583" s="1">
        <v>44234.63</v>
      </c>
      <c r="J583" s="1">
        <v>0.78859999999999997</v>
      </c>
      <c r="K583" s="1">
        <v>34883.43</v>
      </c>
      <c r="L583" s="1">
        <v>503446</v>
      </c>
      <c r="M583" s="1">
        <v>18826</v>
      </c>
      <c r="N583" s="1">
        <v>136489.23000000001</v>
      </c>
      <c r="O583" s="1">
        <v>2024</v>
      </c>
      <c r="P583" s="1" t="s">
        <v>45</v>
      </c>
      <c r="Q583" s="1" t="s">
        <v>46</v>
      </c>
      <c r="R583" s="1" t="s">
        <v>54</v>
      </c>
      <c r="S583" s="1">
        <f t="shared" si="9"/>
        <v>44</v>
      </c>
      <c r="T583" s="7" t="str">
        <f>_xlfn.TEXTJOIN("_",TRUE,Finance_Data!A583,Finance_Data!B583,Finance_Data!C583,Finance_Data!D583,Finance_Data!E583,Finance_Data!G583,Finance_Data!H583)</f>
        <v>CMP_055_North_UK_Lipstick_Ecommerce_45433_45476</v>
      </c>
    </row>
    <row r="584" spans="1:20" x14ac:dyDescent="0.35">
      <c r="A584" s="6" t="s">
        <v>109</v>
      </c>
      <c r="B584" s="1" t="s">
        <v>48</v>
      </c>
      <c r="C584" s="1" t="s">
        <v>29</v>
      </c>
      <c r="D584" s="1" t="s">
        <v>51</v>
      </c>
      <c r="E584" s="1" t="s">
        <v>30</v>
      </c>
      <c r="F584" s="1" t="s">
        <v>23</v>
      </c>
      <c r="G584" s="2">
        <v>45433</v>
      </c>
      <c r="H584" s="2">
        <v>45456</v>
      </c>
      <c r="I584" s="1">
        <v>35502.879999999997</v>
      </c>
      <c r="J584" s="1">
        <v>0.45829999999999999</v>
      </c>
      <c r="K584" s="1">
        <v>16270.97</v>
      </c>
      <c r="L584" s="1">
        <v>859566</v>
      </c>
      <c r="M584" s="1">
        <v>21932</v>
      </c>
      <c r="N584" s="1">
        <v>42412.05</v>
      </c>
      <c r="O584" s="1">
        <v>2024</v>
      </c>
      <c r="P584" s="1" t="s">
        <v>45</v>
      </c>
      <c r="Q584" s="1" t="s">
        <v>46</v>
      </c>
      <c r="R584" s="1" t="s">
        <v>61</v>
      </c>
      <c r="S584" s="1">
        <f t="shared" si="9"/>
        <v>24</v>
      </c>
      <c r="T584" s="7" t="str">
        <f>_xlfn.TEXTJOIN("_",TRUE,Finance_Data!A584,Finance_Data!B584,Finance_Data!C584,Finance_Data!D584,Finance_Data!E584,Finance_Data!G584,Finance_Data!H584)</f>
        <v>CMP_046_South_Australia_Watch_Wholesale_45433_45456</v>
      </c>
    </row>
    <row r="585" spans="1:20" x14ac:dyDescent="0.35">
      <c r="A585" s="6" t="s">
        <v>97</v>
      </c>
      <c r="B585" s="1" t="s">
        <v>19</v>
      </c>
      <c r="C585" s="1" t="s">
        <v>36</v>
      </c>
      <c r="D585" s="1" t="s">
        <v>59</v>
      </c>
      <c r="E585" s="1" t="s">
        <v>30</v>
      </c>
      <c r="F585" s="1" t="s">
        <v>44</v>
      </c>
      <c r="G585" s="2">
        <v>45434</v>
      </c>
      <c r="H585" s="2">
        <v>45452</v>
      </c>
      <c r="I585" s="1">
        <v>9380.43</v>
      </c>
      <c r="J585" s="1">
        <v>0.25230000000000002</v>
      </c>
      <c r="K585" s="1">
        <v>2366.6799999999998</v>
      </c>
      <c r="L585" s="1">
        <v>677837</v>
      </c>
      <c r="M585" s="1">
        <v>18973</v>
      </c>
      <c r="N585" s="1">
        <v>177934.07</v>
      </c>
      <c r="O585" s="1">
        <v>2024</v>
      </c>
      <c r="P585" s="1" t="s">
        <v>45</v>
      </c>
      <c r="Q585" s="1" t="s">
        <v>46</v>
      </c>
      <c r="R585" s="1" t="s">
        <v>54</v>
      </c>
      <c r="S585" s="1">
        <f t="shared" si="9"/>
        <v>19</v>
      </c>
      <c r="T585" s="7" t="str">
        <f>_xlfn.TEXTJOIN("_",TRUE,Finance_Data!A585,Finance_Data!B585,Finance_Data!C585,Finance_Data!D585,Finance_Data!E585,Finance_Data!G585,Finance_Data!H585)</f>
        <v>CMP_019_North_India_Lipstick_Wholesale_45434_45452</v>
      </c>
    </row>
    <row r="586" spans="1:20" x14ac:dyDescent="0.35">
      <c r="A586" s="6" t="s">
        <v>90</v>
      </c>
      <c r="B586" s="1" t="s">
        <v>28</v>
      </c>
      <c r="C586" s="1" t="s">
        <v>29</v>
      </c>
      <c r="D586" s="1" t="s">
        <v>21</v>
      </c>
      <c r="E586" s="1" t="s">
        <v>22</v>
      </c>
      <c r="F586" s="1" t="s">
        <v>52</v>
      </c>
      <c r="G586" s="2">
        <v>45435</v>
      </c>
      <c r="H586" s="2">
        <v>45445</v>
      </c>
      <c r="I586" s="1">
        <v>12665.77</v>
      </c>
      <c r="J586" s="1">
        <v>0.1555</v>
      </c>
      <c r="K586" s="1">
        <v>1969.53</v>
      </c>
      <c r="L586" s="1">
        <v>855872</v>
      </c>
      <c r="M586" s="1">
        <v>20639</v>
      </c>
      <c r="N586" s="1">
        <v>85675.05</v>
      </c>
      <c r="O586" s="1">
        <v>2024</v>
      </c>
      <c r="P586" s="1" t="s">
        <v>45</v>
      </c>
      <c r="Q586" s="1" t="s">
        <v>46</v>
      </c>
      <c r="R586" s="1" t="s">
        <v>26</v>
      </c>
      <c r="S586" s="1">
        <f t="shared" si="9"/>
        <v>11</v>
      </c>
      <c r="T586" s="7" t="str">
        <f>_xlfn.TEXTJOIN("_",TRUE,Finance_Data!A586,Finance_Data!B586,Finance_Data!C586,Finance_Data!D586,Finance_Data!E586,Finance_Data!G586,Finance_Data!H586)</f>
        <v>CMP_038_West_Australia_Foundation_Retail_45435_45445</v>
      </c>
    </row>
    <row r="587" spans="1:20" x14ac:dyDescent="0.35">
      <c r="A587" s="6" t="s">
        <v>84</v>
      </c>
      <c r="B587" s="1" t="s">
        <v>35</v>
      </c>
      <c r="C587" s="1" t="s">
        <v>36</v>
      </c>
      <c r="D587" s="1" t="s">
        <v>21</v>
      </c>
      <c r="E587" s="1" t="s">
        <v>30</v>
      </c>
      <c r="F587" s="1" t="s">
        <v>23</v>
      </c>
      <c r="G587" s="2">
        <v>45436</v>
      </c>
      <c r="H587" s="2">
        <v>45488</v>
      </c>
      <c r="I587" s="1">
        <v>22102.1</v>
      </c>
      <c r="J587" s="1">
        <v>0.16370000000000001</v>
      </c>
      <c r="K587" s="1">
        <v>3618.11</v>
      </c>
      <c r="L587" s="1">
        <v>568453</v>
      </c>
      <c r="M587" s="1">
        <v>46215</v>
      </c>
      <c r="N587" s="1">
        <v>61377.13</v>
      </c>
      <c r="O587" s="1">
        <v>2024</v>
      </c>
      <c r="P587" s="1" t="s">
        <v>45</v>
      </c>
      <c r="Q587" s="1" t="s">
        <v>46</v>
      </c>
      <c r="R587" s="1" t="s">
        <v>54</v>
      </c>
      <c r="S587" s="1">
        <f t="shared" si="9"/>
        <v>53</v>
      </c>
      <c r="T587" s="7" t="str">
        <f>_xlfn.TEXTJOIN("_",TRUE,Finance_Data!A587,Finance_Data!B587,Finance_Data!C587,Finance_Data!D587,Finance_Data!E587,Finance_Data!G587,Finance_Data!H587)</f>
        <v>CMP_036_East_India_Foundation_Wholesale_45436_45488</v>
      </c>
    </row>
    <row r="588" spans="1:20" x14ac:dyDescent="0.35">
      <c r="A588" s="6" t="s">
        <v>79</v>
      </c>
      <c r="B588" s="1" t="s">
        <v>19</v>
      </c>
      <c r="C588" s="1" t="s">
        <v>36</v>
      </c>
      <c r="D588" s="1" t="s">
        <v>51</v>
      </c>
      <c r="E588" s="1" t="s">
        <v>30</v>
      </c>
      <c r="F588" s="1" t="s">
        <v>49</v>
      </c>
      <c r="G588" s="2">
        <v>45437</v>
      </c>
      <c r="H588" s="2">
        <v>45485</v>
      </c>
      <c r="I588" s="1">
        <v>2310.6999999999998</v>
      </c>
      <c r="J588" s="1">
        <v>0.22309999999999999</v>
      </c>
      <c r="K588" s="1">
        <v>515.52</v>
      </c>
      <c r="L588" s="1">
        <v>643952</v>
      </c>
      <c r="M588" s="1">
        <v>44612</v>
      </c>
      <c r="N588" s="1">
        <v>85104.19</v>
      </c>
      <c r="O588" s="1">
        <v>2024</v>
      </c>
      <c r="P588" s="1" t="s">
        <v>45</v>
      </c>
      <c r="Q588" s="1" t="s">
        <v>46</v>
      </c>
      <c r="R588" s="1" t="s">
        <v>54</v>
      </c>
      <c r="S588" s="1">
        <f t="shared" si="9"/>
        <v>49</v>
      </c>
      <c r="T588" s="7" t="str">
        <f>_xlfn.TEXTJOIN("_",TRUE,Finance_Data!A588,Finance_Data!B588,Finance_Data!C588,Finance_Data!D588,Finance_Data!E588,Finance_Data!G588,Finance_Data!H588)</f>
        <v>CMP_020_North_India_Watch_Wholesale_45437_45485</v>
      </c>
    </row>
    <row r="589" spans="1:20" x14ac:dyDescent="0.35">
      <c r="A589" s="6" t="s">
        <v>67</v>
      </c>
      <c r="B589" s="1" t="s">
        <v>48</v>
      </c>
      <c r="C589" s="1" t="s">
        <v>20</v>
      </c>
      <c r="D589" s="1" t="s">
        <v>63</v>
      </c>
      <c r="E589" s="1" t="s">
        <v>22</v>
      </c>
      <c r="F589" s="1" t="s">
        <v>23</v>
      </c>
      <c r="G589" s="2">
        <v>45437</v>
      </c>
      <c r="H589" s="2">
        <v>45461</v>
      </c>
      <c r="I589" s="1">
        <v>25371.14</v>
      </c>
      <c r="J589" s="1">
        <v>0.1172</v>
      </c>
      <c r="K589" s="1">
        <v>2973.5</v>
      </c>
      <c r="L589" s="1">
        <v>422344</v>
      </c>
      <c r="M589" s="1">
        <v>33224</v>
      </c>
      <c r="N589" s="1">
        <v>117021.51</v>
      </c>
      <c r="O589" s="1">
        <v>2024</v>
      </c>
      <c r="P589" s="1" t="s">
        <v>45</v>
      </c>
      <c r="Q589" s="1" t="s">
        <v>46</v>
      </c>
      <c r="R589" s="1" t="s">
        <v>41</v>
      </c>
      <c r="S589" s="1">
        <f t="shared" si="9"/>
        <v>25</v>
      </c>
      <c r="T589" s="7" t="str">
        <f>_xlfn.TEXTJOIN("_",TRUE,Finance_Data!A589,Finance_Data!B589,Finance_Data!C589,Finance_Data!D589,Finance_Data!E589,Finance_Data!G589,Finance_Data!H589)</f>
        <v>CMP_016_South_Singapore_Skincare_Retail_45437_45461</v>
      </c>
    </row>
    <row r="590" spans="1:20" x14ac:dyDescent="0.35">
      <c r="A590" s="6" t="s">
        <v>101</v>
      </c>
      <c r="B590" s="1" t="s">
        <v>35</v>
      </c>
      <c r="C590" s="1" t="s">
        <v>69</v>
      </c>
      <c r="D590" s="1" t="s">
        <v>37</v>
      </c>
      <c r="E590" s="1" t="s">
        <v>22</v>
      </c>
      <c r="F590" s="1" t="s">
        <v>52</v>
      </c>
      <c r="G590" s="2">
        <v>45437</v>
      </c>
      <c r="H590" s="2">
        <v>45448</v>
      </c>
      <c r="I590" s="1">
        <v>23285.59</v>
      </c>
      <c r="J590" s="1">
        <v>0.21199999999999999</v>
      </c>
      <c r="K590" s="1">
        <v>4936.55</v>
      </c>
      <c r="L590" s="1">
        <v>319967</v>
      </c>
      <c r="M590" s="1">
        <v>10682</v>
      </c>
      <c r="N590" s="1">
        <v>21699.65</v>
      </c>
      <c r="O590" s="1">
        <v>2024</v>
      </c>
      <c r="P590" s="1" t="s">
        <v>45</v>
      </c>
      <c r="Q590" s="1" t="s">
        <v>46</v>
      </c>
      <c r="R590" s="1" t="s">
        <v>54</v>
      </c>
      <c r="S590" s="1">
        <f t="shared" si="9"/>
        <v>12</v>
      </c>
      <c r="T590" s="7" t="str">
        <f>_xlfn.TEXTJOIN("_",TRUE,Finance_Data!A590,Finance_Data!B590,Finance_Data!C590,Finance_Data!D590,Finance_Data!E590,Finance_Data!G590,Finance_Data!H590)</f>
        <v>CMP_037_East_USA_Perfume_Retail_45437_45448</v>
      </c>
    </row>
    <row r="591" spans="1:20" x14ac:dyDescent="0.35">
      <c r="A591" s="6" t="s">
        <v>117</v>
      </c>
      <c r="B591" s="1" t="s">
        <v>48</v>
      </c>
      <c r="C591" s="1" t="s">
        <v>20</v>
      </c>
      <c r="D591" s="1" t="s">
        <v>59</v>
      </c>
      <c r="E591" s="1" t="s">
        <v>30</v>
      </c>
      <c r="F591" s="1" t="s">
        <v>52</v>
      </c>
      <c r="G591" s="2">
        <v>45437</v>
      </c>
      <c r="H591" s="2">
        <v>45442</v>
      </c>
      <c r="I591" s="1">
        <v>26987.85</v>
      </c>
      <c r="J591" s="1">
        <v>6.7799999999999999E-2</v>
      </c>
      <c r="K591" s="1">
        <v>1829.78</v>
      </c>
      <c r="L591" s="1">
        <v>990741</v>
      </c>
      <c r="M591" s="1">
        <v>28464</v>
      </c>
      <c r="N591" s="1">
        <v>210509.95</v>
      </c>
      <c r="O591" s="1">
        <v>2024</v>
      </c>
      <c r="P591" s="1" t="s">
        <v>45</v>
      </c>
      <c r="Q591" s="1" t="s">
        <v>46</v>
      </c>
      <c r="R591" s="1" t="s">
        <v>26</v>
      </c>
      <c r="S591" s="1">
        <f t="shared" si="9"/>
        <v>6</v>
      </c>
      <c r="T591" s="7" t="str">
        <f>_xlfn.TEXTJOIN("_",TRUE,Finance_Data!A591,Finance_Data!B591,Finance_Data!C591,Finance_Data!D591,Finance_Data!E591,Finance_Data!G591,Finance_Data!H591)</f>
        <v>CMP_031_South_Singapore_Lipstick_Wholesale_45437_45442</v>
      </c>
    </row>
    <row r="592" spans="1:20" x14ac:dyDescent="0.35">
      <c r="A592" s="6" t="s">
        <v>102</v>
      </c>
      <c r="B592" s="1" t="s">
        <v>19</v>
      </c>
      <c r="C592" s="1" t="s">
        <v>58</v>
      </c>
      <c r="D592" s="1" t="s">
        <v>37</v>
      </c>
      <c r="E592" s="1" t="s">
        <v>22</v>
      </c>
      <c r="F592" s="1" t="s">
        <v>44</v>
      </c>
      <c r="G592" s="2">
        <v>45438</v>
      </c>
      <c r="H592" s="2">
        <v>45477</v>
      </c>
      <c r="I592" s="1">
        <v>48282.74</v>
      </c>
      <c r="J592" s="1">
        <v>0.97599999999999998</v>
      </c>
      <c r="K592" s="1">
        <v>47123.95</v>
      </c>
      <c r="L592" s="1">
        <v>27215</v>
      </c>
      <c r="M592" s="1">
        <v>2527</v>
      </c>
      <c r="N592" s="1">
        <v>88124.85</v>
      </c>
      <c r="O592" s="1">
        <v>2024</v>
      </c>
      <c r="P592" s="1" t="s">
        <v>45</v>
      </c>
      <c r="Q592" s="1" t="s">
        <v>46</v>
      </c>
      <c r="R592" s="1" t="s">
        <v>54</v>
      </c>
      <c r="S592" s="1">
        <f t="shared" si="9"/>
        <v>40</v>
      </c>
      <c r="T592" s="7" t="str">
        <f>_xlfn.TEXTJOIN("_",TRUE,Finance_Data!A592,Finance_Data!B592,Finance_Data!C592,Finance_Data!D592,Finance_Data!E592,Finance_Data!G592,Finance_Data!H592)</f>
        <v>CMP_022_North_UK_Perfume_Retail_45438_45477</v>
      </c>
    </row>
    <row r="593" spans="1:20" x14ac:dyDescent="0.35">
      <c r="A593" s="6" t="s">
        <v>106</v>
      </c>
      <c r="B593" s="1" t="s">
        <v>35</v>
      </c>
      <c r="C593" s="1" t="s">
        <v>69</v>
      </c>
      <c r="D593" s="1" t="s">
        <v>63</v>
      </c>
      <c r="E593" s="1" t="s">
        <v>30</v>
      </c>
      <c r="F593" s="1" t="s">
        <v>49</v>
      </c>
      <c r="G593" s="2">
        <v>45440</v>
      </c>
      <c r="H593" s="2">
        <v>45478</v>
      </c>
      <c r="I593" s="1">
        <v>49621.66</v>
      </c>
      <c r="J593" s="1">
        <v>0.73440000000000005</v>
      </c>
      <c r="K593" s="1">
        <v>36442.15</v>
      </c>
      <c r="L593" s="1">
        <v>558706</v>
      </c>
      <c r="M593" s="1">
        <v>22474</v>
      </c>
      <c r="N593" s="1">
        <v>114632.65</v>
      </c>
      <c r="O593" s="1">
        <v>2024</v>
      </c>
      <c r="P593" s="1" t="s">
        <v>45</v>
      </c>
      <c r="Q593" s="1" t="s">
        <v>46</v>
      </c>
      <c r="R593" s="1" t="s">
        <v>26</v>
      </c>
      <c r="S593" s="1">
        <f t="shared" si="9"/>
        <v>39</v>
      </c>
      <c r="T593" s="7" t="str">
        <f>_xlfn.TEXTJOIN("_",TRUE,Finance_Data!A593,Finance_Data!B593,Finance_Data!C593,Finance_Data!D593,Finance_Data!E593,Finance_Data!G593,Finance_Data!H593)</f>
        <v>CMP_009_East_USA_Skincare_Wholesale_45440_45478</v>
      </c>
    </row>
    <row r="594" spans="1:20" x14ac:dyDescent="0.35">
      <c r="A594" s="6" t="s">
        <v>96</v>
      </c>
      <c r="B594" s="1" t="s">
        <v>28</v>
      </c>
      <c r="C594" s="1" t="s">
        <v>36</v>
      </c>
      <c r="D594" s="1" t="s">
        <v>43</v>
      </c>
      <c r="E594" s="1" t="s">
        <v>22</v>
      </c>
      <c r="F594" s="1" t="s">
        <v>49</v>
      </c>
      <c r="G594" s="2">
        <v>45442</v>
      </c>
      <c r="H594" s="2">
        <v>45490</v>
      </c>
      <c r="I594" s="1">
        <v>35917.33</v>
      </c>
      <c r="J594" s="1">
        <v>0.56740000000000002</v>
      </c>
      <c r="K594" s="1">
        <v>20379.490000000002</v>
      </c>
      <c r="L594" s="1">
        <v>458443</v>
      </c>
      <c r="M594" s="1">
        <v>30675</v>
      </c>
      <c r="N594" s="1">
        <v>108023.89</v>
      </c>
      <c r="O594" s="1">
        <v>2024</v>
      </c>
      <c r="P594" s="1" t="s">
        <v>45</v>
      </c>
      <c r="Q594" s="1" t="s">
        <v>46</v>
      </c>
      <c r="R594" s="1" t="s">
        <v>26</v>
      </c>
      <c r="S594" s="1">
        <f t="shared" si="9"/>
        <v>49</v>
      </c>
      <c r="T594" s="7" t="str">
        <f>_xlfn.TEXTJOIN("_",TRUE,Finance_Data!A594,Finance_Data!B594,Finance_Data!C594,Finance_Data!D594,Finance_Data!E594,Finance_Data!G594,Finance_Data!H594)</f>
        <v>CMP_027_West_India_Luxury Bag_Retail_45442_45490</v>
      </c>
    </row>
    <row r="595" spans="1:20" x14ac:dyDescent="0.35">
      <c r="A595" s="6" t="s">
        <v>83</v>
      </c>
      <c r="B595" s="1" t="s">
        <v>28</v>
      </c>
      <c r="C595" s="1" t="s">
        <v>20</v>
      </c>
      <c r="D595" s="1" t="s">
        <v>59</v>
      </c>
      <c r="E595" s="1" t="s">
        <v>22</v>
      </c>
      <c r="F595" s="1" t="s">
        <v>44</v>
      </c>
      <c r="G595" s="2">
        <v>45443</v>
      </c>
      <c r="H595" s="2">
        <v>45499</v>
      </c>
      <c r="I595" s="1">
        <v>15695.54</v>
      </c>
      <c r="J595" s="1">
        <v>0.79949999999999999</v>
      </c>
      <c r="K595" s="1">
        <v>12548.58</v>
      </c>
      <c r="L595" s="1">
        <v>338574</v>
      </c>
      <c r="M595" s="1">
        <v>13212</v>
      </c>
      <c r="N595" s="1">
        <v>106506.99</v>
      </c>
      <c r="O595" s="1">
        <v>2024</v>
      </c>
      <c r="P595" s="1" t="s">
        <v>45</v>
      </c>
      <c r="Q595" s="1" t="s">
        <v>46</v>
      </c>
      <c r="R595" s="1" t="s">
        <v>61</v>
      </c>
      <c r="S595" s="1">
        <f t="shared" si="9"/>
        <v>57</v>
      </c>
      <c r="T595" s="7" t="str">
        <f>_xlfn.TEXTJOIN("_",TRUE,Finance_Data!A595,Finance_Data!B595,Finance_Data!C595,Finance_Data!D595,Finance_Data!E595,Finance_Data!G595,Finance_Data!H595)</f>
        <v>CMP_017_West_Singapore_Lipstick_Retail_45443_45499</v>
      </c>
    </row>
    <row r="596" spans="1:20" x14ac:dyDescent="0.35">
      <c r="A596" s="6" t="s">
        <v>88</v>
      </c>
      <c r="B596" s="1" t="s">
        <v>19</v>
      </c>
      <c r="C596" s="1" t="s">
        <v>20</v>
      </c>
      <c r="D596" s="1" t="s">
        <v>51</v>
      </c>
      <c r="E596" s="1" t="s">
        <v>30</v>
      </c>
      <c r="F596" s="1" t="s">
        <v>49</v>
      </c>
      <c r="G596" s="2">
        <v>45443</v>
      </c>
      <c r="H596" s="2">
        <v>45488</v>
      </c>
      <c r="I596" s="1">
        <v>23585.87</v>
      </c>
      <c r="J596" s="1">
        <v>0.5454</v>
      </c>
      <c r="K596" s="1">
        <v>12863.73</v>
      </c>
      <c r="L596" s="1">
        <v>480888</v>
      </c>
      <c r="M596" s="1">
        <v>9863</v>
      </c>
      <c r="N596" s="1">
        <v>217254.66</v>
      </c>
      <c r="O596" s="1">
        <v>2024</v>
      </c>
      <c r="P596" s="1" t="s">
        <v>45</v>
      </c>
      <c r="Q596" s="1" t="s">
        <v>46</v>
      </c>
      <c r="R596" s="1" t="s">
        <v>54</v>
      </c>
      <c r="S596" s="1">
        <f t="shared" si="9"/>
        <v>46</v>
      </c>
      <c r="T596" s="7" t="str">
        <f>_xlfn.TEXTJOIN("_",TRUE,Finance_Data!A596,Finance_Data!B596,Finance_Data!C596,Finance_Data!D596,Finance_Data!E596,Finance_Data!G596,Finance_Data!H596)</f>
        <v>CMP_021_North_Singapore_Watch_Wholesale_45443_45488</v>
      </c>
    </row>
    <row r="597" spans="1:20" x14ac:dyDescent="0.35">
      <c r="A597" s="6" t="s">
        <v>105</v>
      </c>
      <c r="B597" s="1" t="s">
        <v>28</v>
      </c>
      <c r="C597" s="1" t="s">
        <v>36</v>
      </c>
      <c r="D597" s="1" t="s">
        <v>63</v>
      </c>
      <c r="E597" s="1" t="s">
        <v>30</v>
      </c>
      <c r="F597" s="1" t="s">
        <v>44</v>
      </c>
      <c r="G597" s="2">
        <v>45444</v>
      </c>
      <c r="H597" s="2">
        <v>45488</v>
      </c>
      <c r="I597" s="1">
        <v>37011.480000000003</v>
      </c>
      <c r="J597" s="1">
        <v>0.91479999999999995</v>
      </c>
      <c r="K597" s="1">
        <v>33858.1</v>
      </c>
      <c r="L597" s="1">
        <v>869416</v>
      </c>
      <c r="M597" s="1">
        <v>31688</v>
      </c>
      <c r="N597" s="1">
        <v>9853.7099999999991</v>
      </c>
      <c r="O597" s="1">
        <v>2024</v>
      </c>
      <c r="P597" s="1" t="s">
        <v>53</v>
      </c>
      <c r="Q597" s="1" t="s">
        <v>46</v>
      </c>
      <c r="R597" s="1" t="s">
        <v>61</v>
      </c>
      <c r="S597" s="1">
        <f t="shared" si="9"/>
        <v>45</v>
      </c>
      <c r="T597" s="7" t="str">
        <f>_xlfn.TEXTJOIN("_",TRUE,Finance_Data!A597,Finance_Data!B597,Finance_Data!C597,Finance_Data!D597,Finance_Data!E597,Finance_Data!G597,Finance_Data!H597)</f>
        <v>CMP_025_West_India_Skincare_Wholesale_45444_45488</v>
      </c>
    </row>
    <row r="598" spans="1:20" x14ac:dyDescent="0.35">
      <c r="A598" s="6" t="s">
        <v>79</v>
      </c>
      <c r="B598" s="1" t="s">
        <v>19</v>
      </c>
      <c r="C598" s="1" t="s">
        <v>20</v>
      </c>
      <c r="D598" s="1" t="s">
        <v>63</v>
      </c>
      <c r="E598" s="1" t="s">
        <v>30</v>
      </c>
      <c r="F598" s="1" t="s">
        <v>44</v>
      </c>
      <c r="G598" s="2">
        <v>45445</v>
      </c>
      <c r="H598" s="2">
        <v>45469</v>
      </c>
      <c r="I598" s="1">
        <v>18814.419999999998</v>
      </c>
      <c r="J598" s="1">
        <v>0.65790000000000004</v>
      </c>
      <c r="K598" s="1">
        <v>12378.01</v>
      </c>
      <c r="L598" s="1">
        <v>453601</v>
      </c>
      <c r="M598" s="1">
        <v>43233</v>
      </c>
      <c r="N598" s="1">
        <v>5020.96</v>
      </c>
      <c r="O598" s="1">
        <v>2024</v>
      </c>
      <c r="P598" s="1" t="s">
        <v>53</v>
      </c>
      <c r="Q598" s="1" t="s">
        <v>46</v>
      </c>
      <c r="R598" s="1" t="s">
        <v>54</v>
      </c>
      <c r="S598" s="1">
        <f t="shared" si="9"/>
        <v>25</v>
      </c>
      <c r="T598" s="7" t="str">
        <f>_xlfn.TEXTJOIN("_",TRUE,Finance_Data!A598,Finance_Data!B598,Finance_Data!C598,Finance_Data!D598,Finance_Data!E598,Finance_Data!G598,Finance_Data!H598)</f>
        <v>CMP_020_North_Singapore_Skincare_Wholesale_45445_45469</v>
      </c>
    </row>
    <row r="599" spans="1:20" x14ac:dyDescent="0.35">
      <c r="A599" s="6" t="s">
        <v>109</v>
      </c>
      <c r="B599" s="1" t="s">
        <v>35</v>
      </c>
      <c r="C599" s="1" t="s">
        <v>36</v>
      </c>
      <c r="D599" s="1" t="s">
        <v>21</v>
      </c>
      <c r="E599" s="1" t="s">
        <v>22</v>
      </c>
      <c r="F599" s="1" t="s">
        <v>44</v>
      </c>
      <c r="G599" s="2">
        <v>45446</v>
      </c>
      <c r="H599" s="2">
        <v>45472</v>
      </c>
      <c r="I599" s="1">
        <v>14529.29</v>
      </c>
      <c r="J599" s="1">
        <v>0.76039999999999996</v>
      </c>
      <c r="K599" s="1">
        <v>11048.07</v>
      </c>
      <c r="L599" s="1">
        <v>547756</v>
      </c>
      <c r="M599" s="1">
        <v>44145</v>
      </c>
      <c r="N599" s="1">
        <v>195376.16</v>
      </c>
      <c r="O599" s="1">
        <v>2024</v>
      </c>
      <c r="P599" s="1" t="s">
        <v>53</v>
      </c>
      <c r="Q599" s="1" t="s">
        <v>46</v>
      </c>
      <c r="R599" s="1" t="s">
        <v>41</v>
      </c>
      <c r="S599" s="1">
        <f t="shared" si="9"/>
        <v>27</v>
      </c>
      <c r="T599" s="7" t="str">
        <f>_xlfn.TEXTJOIN("_",TRUE,Finance_Data!A599,Finance_Data!B599,Finance_Data!C599,Finance_Data!D599,Finance_Data!E599,Finance_Data!G599,Finance_Data!H599)</f>
        <v>CMP_046_East_India_Foundation_Retail_45446_45472</v>
      </c>
    </row>
    <row r="600" spans="1:20" x14ac:dyDescent="0.35">
      <c r="A600" s="6" t="s">
        <v>66</v>
      </c>
      <c r="B600" s="1" t="s">
        <v>35</v>
      </c>
      <c r="C600" s="1" t="s">
        <v>29</v>
      </c>
      <c r="D600" s="1" t="s">
        <v>43</v>
      </c>
      <c r="E600" s="1" t="s">
        <v>30</v>
      </c>
      <c r="F600" s="1" t="s">
        <v>23</v>
      </c>
      <c r="G600" s="2">
        <v>45446</v>
      </c>
      <c r="H600" s="2">
        <v>45457</v>
      </c>
      <c r="I600" s="1">
        <v>43655.41</v>
      </c>
      <c r="J600" s="1">
        <v>0.36509999999999998</v>
      </c>
      <c r="K600" s="1">
        <v>15938.59</v>
      </c>
      <c r="L600" s="1">
        <v>679987</v>
      </c>
      <c r="M600" s="1">
        <v>33370</v>
      </c>
      <c r="N600" s="1">
        <v>154197.70000000001</v>
      </c>
      <c r="O600" s="1">
        <v>2024</v>
      </c>
      <c r="P600" s="1" t="s">
        <v>53</v>
      </c>
      <c r="Q600" s="1" t="s">
        <v>46</v>
      </c>
      <c r="R600" s="1" t="s">
        <v>41</v>
      </c>
      <c r="S600" s="1">
        <f t="shared" si="9"/>
        <v>12</v>
      </c>
      <c r="T600" s="7" t="str">
        <f>_xlfn.TEXTJOIN("_",TRUE,Finance_Data!A600,Finance_Data!B600,Finance_Data!C600,Finance_Data!D600,Finance_Data!E600,Finance_Data!G600,Finance_Data!H600)</f>
        <v>CMP_010_East_Australia_Luxury Bag_Wholesale_45446_45457</v>
      </c>
    </row>
    <row r="601" spans="1:20" x14ac:dyDescent="0.35">
      <c r="A601" s="6" t="s">
        <v>102</v>
      </c>
      <c r="B601" s="1" t="s">
        <v>19</v>
      </c>
      <c r="C601" s="1" t="s">
        <v>20</v>
      </c>
      <c r="D601" s="1" t="s">
        <v>43</v>
      </c>
      <c r="E601" s="1" t="s">
        <v>30</v>
      </c>
      <c r="F601" s="1" t="s">
        <v>44</v>
      </c>
      <c r="G601" s="2">
        <v>45447</v>
      </c>
      <c r="H601" s="2">
        <v>45498</v>
      </c>
      <c r="I601" s="1">
        <v>29815.96</v>
      </c>
      <c r="J601" s="1">
        <v>1.1343000000000001</v>
      </c>
      <c r="K601" s="1">
        <v>33820.239999999998</v>
      </c>
      <c r="L601" s="1">
        <v>111605</v>
      </c>
      <c r="M601" s="1">
        <v>15321</v>
      </c>
      <c r="N601" s="1">
        <v>77850.39</v>
      </c>
      <c r="O601" s="1">
        <v>2024</v>
      </c>
      <c r="P601" s="1" t="s">
        <v>53</v>
      </c>
      <c r="Q601" s="1" t="s">
        <v>46</v>
      </c>
      <c r="R601" s="1" t="s">
        <v>54</v>
      </c>
      <c r="S601" s="1">
        <f t="shared" si="9"/>
        <v>52</v>
      </c>
      <c r="T601" s="7" t="str">
        <f>_xlfn.TEXTJOIN("_",TRUE,Finance_Data!A601,Finance_Data!B601,Finance_Data!C601,Finance_Data!D601,Finance_Data!E601,Finance_Data!G601,Finance_Data!H601)</f>
        <v>CMP_022_North_Singapore_Luxury Bag_Wholesale_45447_45498</v>
      </c>
    </row>
    <row r="602" spans="1:20" x14ac:dyDescent="0.35">
      <c r="A602" s="6" t="s">
        <v>115</v>
      </c>
      <c r="B602" s="1" t="s">
        <v>28</v>
      </c>
      <c r="C602" s="1" t="s">
        <v>29</v>
      </c>
      <c r="D602" s="1" t="s">
        <v>63</v>
      </c>
      <c r="E602" s="1" t="s">
        <v>22</v>
      </c>
      <c r="F602" s="1" t="s">
        <v>49</v>
      </c>
      <c r="G602" s="2">
        <v>45447</v>
      </c>
      <c r="H602" s="2">
        <v>45473</v>
      </c>
      <c r="I602" s="1">
        <v>3604.7</v>
      </c>
      <c r="J602" s="1">
        <v>0.33439999999999998</v>
      </c>
      <c r="K602" s="1">
        <v>1205.4100000000001</v>
      </c>
      <c r="L602" s="1">
        <v>112564</v>
      </c>
      <c r="M602" s="1">
        <v>3320</v>
      </c>
      <c r="N602" s="1">
        <v>163912.32999999999</v>
      </c>
      <c r="O602" s="1">
        <v>2024</v>
      </c>
      <c r="P602" s="1" t="s">
        <v>53</v>
      </c>
      <c r="Q602" s="1" t="s">
        <v>46</v>
      </c>
      <c r="R602" s="1" t="s">
        <v>61</v>
      </c>
      <c r="S602" s="1">
        <f t="shared" si="9"/>
        <v>27</v>
      </c>
      <c r="T602" s="7" t="str">
        <f>_xlfn.TEXTJOIN("_",TRUE,Finance_Data!A602,Finance_Data!B602,Finance_Data!C602,Finance_Data!D602,Finance_Data!E602,Finance_Data!G602,Finance_Data!H602)</f>
        <v>CMP_047_West_Australia_Skincare_Retail_45447_45473</v>
      </c>
    </row>
    <row r="603" spans="1:20" x14ac:dyDescent="0.35">
      <c r="A603" s="6" t="s">
        <v>42</v>
      </c>
      <c r="B603" s="1" t="s">
        <v>28</v>
      </c>
      <c r="C603" s="1" t="s">
        <v>58</v>
      </c>
      <c r="D603" s="1" t="s">
        <v>37</v>
      </c>
      <c r="E603" s="1" t="s">
        <v>22</v>
      </c>
      <c r="F603" s="1" t="s">
        <v>52</v>
      </c>
      <c r="G603" s="2">
        <v>45451</v>
      </c>
      <c r="H603" s="2">
        <v>45462</v>
      </c>
      <c r="I603" s="1">
        <v>40965.589999999997</v>
      </c>
      <c r="J603" s="1">
        <v>0.39400000000000002</v>
      </c>
      <c r="K603" s="1">
        <v>16140.44</v>
      </c>
      <c r="L603" s="1">
        <v>667233</v>
      </c>
      <c r="M603" s="1">
        <v>12522</v>
      </c>
      <c r="N603" s="1">
        <v>158044.97</v>
      </c>
      <c r="O603" s="1">
        <v>2024</v>
      </c>
      <c r="P603" s="1" t="s">
        <v>53</v>
      </c>
      <c r="Q603" s="1" t="s">
        <v>46</v>
      </c>
      <c r="R603" s="1" t="s">
        <v>26</v>
      </c>
      <c r="S603" s="1">
        <f t="shared" si="9"/>
        <v>12</v>
      </c>
      <c r="T603" s="7" t="str">
        <f>_xlfn.TEXTJOIN("_",TRUE,Finance_Data!A603,Finance_Data!B603,Finance_Data!C603,Finance_Data!D603,Finance_Data!E603,Finance_Data!G603,Finance_Data!H603)</f>
        <v>CMP_060_West_UK_Perfume_Retail_45451_45462</v>
      </c>
    </row>
    <row r="604" spans="1:20" x14ac:dyDescent="0.35">
      <c r="A604" s="6" t="s">
        <v>42</v>
      </c>
      <c r="B604" s="1" t="s">
        <v>28</v>
      </c>
      <c r="C604" s="1" t="s">
        <v>20</v>
      </c>
      <c r="D604" s="1" t="s">
        <v>51</v>
      </c>
      <c r="E604" s="1" t="s">
        <v>30</v>
      </c>
      <c r="F604" s="1" t="s">
        <v>44</v>
      </c>
      <c r="G604" s="2">
        <v>45452</v>
      </c>
      <c r="H604" s="2">
        <v>45478</v>
      </c>
      <c r="I604" s="1">
        <v>48690.32</v>
      </c>
      <c r="J604" s="1">
        <v>0.81499999999999995</v>
      </c>
      <c r="K604" s="1">
        <v>39682.61</v>
      </c>
      <c r="L604" s="1">
        <v>689068</v>
      </c>
      <c r="M604" s="1">
        <v>45073</v>
      </c>
      <c r="N604" s="1">
        <v>179840.69</v>
      </c>
      <c r="O604" s="1">
        <v>2024</v>
      </c>
      <c r="P604" s="1" t="s">
        <v>53</v>
      </c>
      <c r="Q604" s="1" t="s">
        <v>46</v>
      </c>
      <c r="R604" s="1" t="s">
        <v>26</v>
      </c>
      <c r="S604" s="1">
        <f t="shared" si="9"/>
        <v>27</v>
      </c>
      <c r="T604" s="7" t="str">
        <f>_xlfn.TEXTJOIN("_",TRUE,Finance_Data!A604,Finance_Data!B604,Finance_Data!C604,Finance_Data!D604,Finance_Data!E604,Finance_Data!G604,Finance_Data!H604)</f>
        <v>CMP_060_West_Singapore_Watch_Wholesale_45452_45478</v>
      </c>
    </row>
    <row r="605" spans="1:20" x14ac:dyDescent="0.35">
      <c r="A605" s="6" t="s">
        <v>96</v>
      </c>
      <c r="B605" s="1" t="s">
        <v>48</v>
      </c>
      <c r="C605" s="1" t="s">
        <v>69</v>
      </c>
      <c r="D605" s="1" t="s">
        <v>59</v>
      </c>
      <c r="E605" s="1" t="s">
        <v>22</v>
      </c>
      <c r="F605" s="1" t="s">
        <v>31</v>
      </c>
      <c r="G605" s="2">
        <v>45454</v>
      </c>
      <c r="H605" s="2">
        <v>45466</v>
      </c>
      <c r="I605" s="1">
        <v>4472.12</v>
      </c>
      <c r="J605" s="1">
        <v>0.28999999999999998</v>
      </c>
      <c r="K605" s="1">
        <v>1296.9100000000001</v>
      </c>
      <c r="L605" s="1">
        <v>476428</v>
      </c>
      <c r="M605" s="1">
        <v>38943</v>
      </c>
      <c r="N605" s="1">
        <v>147041.64000000001</v>
      </c>
      <c r="O605" s="1">
        <v>2024</v>
      </c>
      <c r="P605" s="1" t="s">
        <v>53</v>
      </c>
      <c r="Q605" s="1" t="s">
        <v>46</v>
      </c>
      <c r="R605" s="1" t="s">
        <v>61</v>
      </c>
      <c r="S605" s="1">
        <f t="shared" si="9"/>
        <v>13</v>
      </c>
      <c r="T605" s="7" t="str">
        <f>_xlfn.TEXTJOIN("_",TRUE,Finance_Data!A605,Finance_Data!B605,Finance_Data!C605,Finance_Data!D605,Finance_Data!E605,Finance_Data!G605,Finance_Data!H605)</f>
        <v>CMP_027_South_USA_Lipstick_Retail_45454_45466</v>
      </c>
    </row>
    <row r="606" spans="1:20" x14ac:dyDescent="0.35">
      <c r="A606" s="6" t="s">
        <v>86</v>
      </c>
      <c r="B606" s="1" t="s">
        <v>35</v>
      </c>
      <c r="C606" s="1" t="s">
        <v>29</v>
      </c>
      <c r="D606" s="1" t="s">
        <v>59</v>
      </c>
      <c r="E606" s="1" t="s">
        <v>22</v>
      </c>
      <c r="F606" s="1" t="s">
        <v>52</v>
      </c>
      <c r="G606" s="2">
        <v>45457</v>
      </c>
      <c r="H606" s="2">
        <v>45494</v>
      </c>
      <c r="I606" s="1">
        <v>38287.089999999997</v>
      </c>
      <c r="J606" s="1">
        <v>0.26740000000000003</v>
      </c>
      <c r="K606" s="1">
        <v>10237.969999999999</v>
      </c>
      <c r="L606" s="1">
        <v>392615</v>
      </c>
      <c r="M606" s="1">
        <v>7622</v>
      </c>
      <c r="N606" s="1">
        <v>225150.23</v>
      </c>
      <c r="O606" s="1">
        <v>2024</v>
      </c>
      <c r="P606" s="1" t="s">
        <v>53</v>
      </c>
      <c r="Q606" s="1" t="s">
        <v>46</v>
      </c>
      <c r="R606" s="1" t="s">
        <v>41</v>
      </c>
      <c r="S606" s="1">
        <f t="shared" si="9"/>
        <v>38</v>
      </c>
      <c r="T606" s="7" t="str">
        <f>_xlfn.TEXTJOIN("_",TRUE,Finance_Data!A606,Finance_Data!B606,Finance_Data!C606,Finance_Data!D606,Finance_Data!E606,Finance_Data!G606,Finance_Data!H606)</f>
        <v>CMP_002_East_Australia_Lipstick_Retail_45457_45494</v>
      </c>
    </row>
    <row r="607" spans="1:20" x14ac:dyDescent="0.35">
      <c r="A607" s="6" t="s">
        <v>34</v>
      </c>
      <c r="B607" s="1" t="s">
        <v>48</v>
      </c>
      <c r="C607" s="1" t="s">
        <v>36</v>
      </c>
      <c r="D607" s="1" t="s">
        <v>59</v>
      </c>
      <c r="E607" s="1" t="s">
        <v>30</v>
      </c>
      <c r="F607" s="1" t="s">
        <v>52</v>
      </c>
      <c r="G607" s="2">
        <v>45458</v>
      </c>
      <c r="H607" s="2">
        <v>45516</v>
      </c>
      <c r="I607" s="1">
        <v>29651.360000000001</v>
      </c>
      <c r="J607" s="1">
        <v>0.85940000000000005</v>
      </c>
      <c r="K607" s="1">
        <v>25482.38</v>
      </c>
      <c r="L607" s="1">
        <v>838446</v>
      </c>
      <c r="M607" s="1">
        <v>42809</v>
      </c>
      <c r="N607" s="1">
        <v>35401.89</v>
      </c>
      <c r="O607" s="1">
        <v>2024</v>
      </c>
      <c r="P607" s="1" t="s">
        <v>53</v>
      </c>
      <c r="Q607" s="1" t="s">
        <v>46</v>
      </c>
      <c r="R607" s="1" t="s">
        <v>26</v>
      </c>
      <c r="S607" s="1">
        <f t="shared" si="9"/>
        <v>59</v>
      </c>
      <c r="T607" s="7" t="str">
        <f>_xlfn.TEXTJOIN("_",TRUE,Finance_Data!A607,Finance_Data!B607,Finance_Data!C607,Finance_Data!D607,Finance_Data!E607,Finance_Data!G607,Finance_Data!H607)</f>
        <v>CMP_049_South_India_Lipstick_Wholesale_45458_45516</v>
      </c>
    </row>
    <row r="608" spans="1:20" x14ac:dyDescent="0.35">
      <c r="A608" s="6" t="s">
        <v>99</v>
      </c>
      <c r="B608" s="1" t="s">
        <v>35</v>
      </c>
      <c r="C608" s="1" t="s">
        <v>20</v>
      </c>
      <c r="D608" s="1" t="s">
        <v>43</v>
      </c>
      <c r="E608" s="1" t="s">
        <v>22</v>
      </c>
      <c r="F608" s="1" t="s">
        <v>44</v>
      </c>
      <c r="G608" s="2">
        <v>45458</v>
      </c>
      <c r="H608" s="2">
        <v>45481</v>
      </c>
      <c r="I608" s="1">
        <v>42450.75</v>
      </c>
      <c r="J608" s="1">
        <v>0.30819999999999997</v>
      </c>
      <c r="K608" s="1">
        <v>13083.32</v>
      </c>
      <c r="L608" s="1">
        <v>675905</v>
      </c>
      <c r="M608" s="1">
        <v>36199</v>
      </c>
      <c r="N608" s="1">
        <v>72240.5</v>
      </c>
      <c r="O608" s="1">
        <v>2024</v>
      </c>
      <c r="P608" s="1" t="s">
        <v>53</v>
      </c>
      <c r="Q608" s="1" t="s">
        <v>46</v>
      </c>
      <c r="R608" s="1" t="s">
        <v>61</v>
      </c>
      <c r="S608" s="1">
        <f t="shared" si="9"/>
        <v>24</v>
      </c>
      <c r="T608" s="7" t="str">
        <f>_xlfn.TEXTJOIN("_",TRUE,Finance_Data!A608,Finance_Data!B608,Finance_Data!C608,Finance_Data!D608,Finance_Data!E608,Finance_Data!G608,Finance_Data!H608)</f>
        <v>CMP_041_East_Singapore_Luxury Bag_Retail_45458_45481</v>
      </c>
    </row>
    <row r="609" spans="1:20" x14ac:dyDescent="0.35">
      <c r="A609" s="6" t="s">
        <v>120</v>
      </c>
      <c r="B609" s="1" t="s">
        <v>19</v>
      </c>
      <c r="C609" s="1" t="s">
        <v>36</v>
      </c>
      <c r="D609" s="1" t="s">
        <v>21</v>
      </c>
      <c r="E609" s="1" t="s">
        <v>22</v>
      </c>
      <c r="F609" s="1" t="s">
        <v>44</v>
      </c>
      <c r="G609" s="2">
        <v>45459</v>
      </c>
      <c r="H609" s="2">
        <v>45485</v>
      </c>
      <c r="I609" s="1">
        <v>34208.19</v>
      </c>
      <c r="J609" s="1">
        <v>1.1919</v>
      </c>
      <c r="K609" s="1">
        <v>40772.74</v>
      </c>
      <c r="L609" s="1">
        <v>338487</v>
      </c>
      <c r="M609" s="1">
        <v>35988</v>
      </c>
      <c r="N609" s="1">
        <v>7591.61</v>
      </c>
      <c r="O609" s="1">
        <v>2024</v>
      </c>
      <c r="P609" s="1" t="s">
        <v>53</v>
      </c>
      <c r="Q609" s="1" t="s">
        <v>46</v>
      </c>
      <c r="R609" s="1" t="s">
        <v>26</v>
      </c>
      <c r="S609" s="1">
        <f t="shared" si="9"/>
        <v>27</v>
      </c>
      <c r="T609" s="7" t="str">
        <f>_xlfn.TEXTJOIN("_",TRUE,Finance_Data!A609,Finance_Data!B609,Finance_Data!C609,Finance_Data!D609,Finance_Data!E609,Finance_Data!G609,Finance_Data!H609)</f>
        <v>CMP_001_North_India_Foundation_Retail_45459_45485</v>
      </c>
    </row>
    <row r="610" spans="1:20" x14ac:dyDescent="0.35">
      <c r="A610" s="6" t="s">
        <v>94</v>
      </c>
      <c r="B610" s="1" t="s">
        <v>48</v>
      </c>
      <c r="C610" s="1" t="s">
        <v>58</v>
      </c>
      <c r="D610" s="1" t="s">
        <v>51</v>
      </c>
      <c r="E610" s="1" t="s">
        <v>30</v>
      </c>
      <c r="F610" s="1" t="s">
        <v>31</v>
      </c>
      <c r="G610" s="2">
        <v>45459</v>
      </c>
      <c r="H610" s="2">
        <v>45464</v>
      </c>
      <c r="I610" s="1">
        <v>19376.46</v>
      </c>
      <c r="J610" s="1">
        <v>0.25440000000000002</v>
      </c>
      <c r="K610" s="1">
        <v>4929.37</v>
      </c>
      <c r="L610" s="1">
        <v>853356</v>
      </c>
      <c r="M610" s="1">
        <v>20802</v>
      </c>
      <c r="N610" s="1">
        <v>105167.03999999999</v>
      </c>
      <c r="O610" s="1">
        <v>2024</v>
      </c>
      <c r="P610" s="1" t="s">
        <v>53</v>
      </c>
      <c r="Q610" s="1" t="s">
        <v>46</v>
      </c>
      <c r="R610" s="1" t="s">
        <v>41</v>
      </c>
      <c r="S610" s="1">
        <f t="shared" si="9"/>
        <v>6</v>
      </c>
      <c r="T610" s="7" t="str">
        <f>_xlfn.TEXTJOIN("_",TRUE,Finance_Data!A610,Finance_Data!B610,Finance_Data!C610,Finance_Data!D610,Finance_Data!E610,Finance_Data!G610,Finance_Data!H610)</f>
        <v>CMP_007_South_UK_Watch_Wholesale_45459_45464</v>
      </c>
    </row>
    <row r="611" spans="1:20" x14ac:dyDescent="0.35">
      <c r="A611" s="6" t="s">
        <v>98</v>
      </c>
      <c r="B611" s="1" t="s">
        <v>35</v>
      </c>
      <c r="C611" s="1" t="s">
        <v>36</v>
      </c>
      <c r="D611" s="1" t="s">
        <v>51</v>
      </c>
      <c r="E611" s="1" t="s">
        <v>22</v>
      </c>
      <c r="F611" s="1" t="s">
        <v>23</v>
      </c>
      <c r="G611" s="2">
        <v>45460</v>
      </c>
      <c r="H611" s="2">
        <v>45495</v>
      </c>
      <c r="I611" s="1">
        <v>18066.71</v>
      </c>
      <c r="J611" s="1">
        <v>0.12620000000000001</v>
      </c>
      <c r="K611" s="1">
        <v>2280.02</v>
      </c>
      <c r="L611" s="1">
        <v>767065</v>
      </c>
      <c r="M611" s="1">
        <v>45763</v>
      </c>
      <c r="N611" s="1">
        <v>115849.56</v>
      </c>
      <c r="O611" s="1">
        <v>2024</v>
      </c>
      <c r="P611" s="1" t="s">
        <v>53</v>
      </c>
      <c r="Q611" s="1" t="s">
        <v>46</v>
      </c>
      <c r="R611" s="1" t="s">
        <v>41</v>
      </c>
      <c r="S611" s="1">
        <f t="shared" si="9"/>
        <v>36</v>
      </c>
      <c r="T611" s="7" t="str">
        <f>_xlfn.TEXTJOIN("_",TRUE,Finance_Data!A611,Finance_Data!B611,Finance_Data!C611,Finance_Data!D611,Finance_Data!E611,Finance_Data!G611,Finance_Data!H611)</f>
        <v>CMP_005_East_India_Watch_Retail_45460_45495</v>
      </c>
    </row>
    <row r="612" spans="1:20" x14ac:dyDescent="0.35">
      <c r="A612" s="6" t="s">
        <v>67</v>
      </c>
      <c r="B612" s="1" t="s">
        <v>35</v>
      </c>
      <c r="C612" s="1" t="s">
        <v>58</v>
      </c>
      <c r="D612" s="1" t="s">
        <v>43</v>
      </c>
      <c r="E612" s="1" t="s">
        <v>22</v>
      </c>
      <c r="F612" s="1" t="s">
        <v>23</v>
      </c>
      <c r="G612" s="2">
        <v>45460</v>
      </c>
      <c r="H612" s="2">
        <v>45486</v>
      </c>
      <c r="I612" s="1">
        <v>38095.269999999997</v>
      </c>
      <c r="J612" s="1">
        <v>0.20039999999999999</v>
      </c>
      <c r="K612" s="1">
        <v>7634.29</v>
      </c>
      <c r="L612" s="1">
        <v>39246</v>
      </c>
      <c r="M612" s="1">
        <v>35485</v>
      </c>
      <c r="N612" s="1">
        <v>150163.38</v>
      </c>
      <c r="O612" s="1">
        <v>2024</v>
      </c>
      <c r="P612" s="1" t="s">
        <v>53</v>
      </c>
      <c r="Q612" s="1" t="s">
        <v>46</v>
      </c>
      <c r="R612" s="1" t="s">
        <v>41</v>
      </c>
      <c r="S612" s="1">
        <f t="shared" si="9"/>
        <v>27</v>
      </c>
      <c r="T612" s="7" t="str">
        <f>_xlfn.TEXTJOIN("_",TRUE,Finance_Data!A612,Finance_Data!B612,Finance_Data!C612,Finance_Data!D612,Finance_Data!E612,Finance_Data!G612,Finance_Data!H612)</f>
        <v>CMP_016_East_UK_Luxury Bag_Retail_45460_45486</v>
      </c>
    </row>
    <row r="613" spans="1:20" x14ac:dyDescent="0.35">
      <c r="A613" s="6" t="s">
        <v>75</v>
      </c>
      <c r="B613" s="1" t="s">
        <v>19</v>
      </c>
      <c r="C613" s="1" t="s">
        <v>20</v>
      </c>
      <c r="D613" s="1" t="s">
        <v>21</v>
      </c>
      <c r="E613" s="1" t="s">
        <v>30</v>
      </c>
      <c r="F613" s="1" t="s">
        <v>23</v>
      </c>
      <c r="G613" s="2">
        <v>45460</v>
      </c>
      <c r="H613" s="2">
        <v>45471</v>
      </c>
      <c r="I613" s="1">
        <v>23128.87</v>
      </c>
      <c r="J613" s="1">
        <v>0.99409999999999998</v>
      </c>
      <c r="K613" s="1">
        <v>22992.41</v>
      </c>
      <c r="L613" s="1">
        <v>54476</v>
      </c>
      <c r="M613" s="1">
        <v>16203</v>
      </c>
      <c r="N613" s="1">
        <v>132082.15</v>
      </c>
      <c r="O613" s="1">
        <v>2024</v>
      </c>
      <c r="P613" s="1" t="s">
        <v>53</v>
      </c>
      <c r="Q613" s="1" t="s">
        <v>46</v>
      </c>
      <c r="R613" s="1" t="s">
        <v>61</v>
      </c>
      <c r="S613" s="1">
        <f t="shared" si="9"/>
        <v>12</v>
      </c>
      <c r="T613" s="7" t="str">
        <f>_xlfn.TEXTJOIN("_",TRUE,Finance_Data!A613,Finance_Data!B613,Finance_Data!C613,Finance_Data!D613,Finance_Data!E613,Finance_Data!G613,Finance_Data!H613)</f>
        <v>CMP_026_North_Singapore_Foundation_Wholesale_45460_45471</v>
      </c>
    </row>
    <row r="614" spans="1:20" x14ac:dyDescent="0.35">
      <c r="A614" s="6" t="s">
        <v>115</v>
      </c>
      <c r="B614" s="1" t="s">
        <v>28</v>
      </c>
      <c r="C614" s="1" t="s">
        <v>29</v>
      </c>
      <c r="D614" s="1" t="s">
        <v>37</v>
      </c>
      <c r="E614" s="1" t="s">
        <v>38</v>
      </c>
      <c r="F614" s="1" t="s">
        <v>31</v>
      </c>
      <c r="G614" s="2">
        <v>45461</v>
      </c>
      <c r="H614" s="2">
        <v>45499</v>
      </c>
      <c r="I614" s="1">
        <v>12785.65</v>
      </c>
      <c r="J614" s="1">
        <v>0.57869999999999999</v>
      </c>
      <c r="K614" s="1">
        <v>7399.06</v>
      </c>
      <c r="L614" s="1">
        <v>523911</v>
      </c>
      <c r="M614" s="1">
        <v>18485</v>
      </c>
      <c r="N614" s="1">
        <v>83868.28</v>
      </c>
      <c r="O614" s="1">
        <v>2024</v>
      </c>
      <c r="P614" s="1" t="s">
        <v>53</v>
      </c>
      <c r="Q614" s="1" t="s">
        <v>46</v>
      </c>
      <c r="R614" s="1" t="s">
        <v>26</v>
      </c>
      <c r="S614" s="1">
        <f t="shared" si="9"/>
        <v>39</v>
      </c>
      <c r="T614" s="7" t="str">
        <f>_xlfn.TEXTJOIN("_",TRUE,Finance_Data!A614,Finance_Data!B614,Finance_Data!C614,Finance_Data!D614,Finance_Data!E614,Finance_Data!G614,Finance_Data!H614)</f>
        <v>CMP_047_West_Australia_Perfume_Ecommerce_45461_45499</v>
      </c>
    </row>
    <row r="615" spans="1:20" x14ac:dyDescent="0.35">
      <c r="A615" s="6" t="s">
        <v>118</v>
      </c>
      <c r="B615" s="1" t="s">
        <v>19</v>
      </c>
      <c r="C615" s="1" t="s">
        <v>58</v>
      </c>
      <c r="D615" s="1" t="s">
        <v>63</v>
      </c>
      <c r="E615" s="1" t="s">
        <v>38</v>
      </c>
      <c r="F615" s="1" t="s">
        <v>49</v>
      </c>
      <c r="G615" s="2">
        <v>45463</v>
      </c>
      <c r="H615" s="2">
        <v>45508</v>
      </c>
      <c r="I615" s="1">
        <v>32336.880000000001</v>
      </c>
      <c r="J615" s="1">
        <v>0.3785</v>
      </c>
      <c r="K615" s="1">
        <v>12239.51</v>
      </c>
      <c r="L615" s="1">
        <v>374032</v>
      </c>
      <c r="M615" s="1">
        <v>31665</v>
      </c>
      <c r="N615" s="1">
        <v>137218.69</v>
      </c>
      <c r="O615" s="1">
        <v>2024</v>
      </c>
      <c r="P615" s="1" t="s">
        <v>53</v>
      </c>
      <c r="Q615" s="1" t="s">
        <v>46</v>
      </c>
      <c r="R615" s="1" t="s">
        <v>41</v>
      </c>
      <c r="S615" s="1">
        <f t="shared" si="9"/>
        <v>46</v>
      </c>
      <c r="T615" s="7" t="str">
        <f>_xlfn.TEXTJOIN("_",TRUE,Finance_Data!A615,Finance_Data!B615,Finance_Data!C615,Finance_Data!D615,Finance_Data!E615,Finance_Data!G615,Finance_Data!H615)</f>
        <v>CMP_052_North_UK_Skincare_Ecommerce_45463_45508</v>
      </c>
    </row>
    <row r="616" spans="1:20" x14ac:dyDescent="0.35">
      <c r="A616" s="6" t="s">
        <v>115</v>
      </c>
      <c r="B616" s="1" t="s">
        <v>19</v>
      </c>
      <c r="C616" s="1" t="s">
        <v>58</v>
      </c>
      <c r="D616" s="1" t="s">
        <v>51</v>
      </c>
      <c r="E616" s="1" t="s">
        <v>30</v>
      </c>
      <c r="F616" s="1" t="s">
        <v>44</v>
      </c>
      <c r="G616" s="2">
        <v>45466</v>
      </c>
      <c r="H616" s="2">
        <v>45497</v>
      </c>
      <c r="I616" s="1">
        <v>26707.66</v>
      </c>
      <c r="J616" s="1">
        <v>0.83799999999999997</v>
      </c>
      <c r="K616" s="1">
        <v>22381.02</v>
      </c>
      <c r="L616" s="1">
        <v>651784</v>
      </c>
      <c r="M616" s="1">
        <v>3913</v>
      </c>
      <c r="N616" s="1">
        <v>31779.05</v>
      </c>
      <c r="O616" s="1">
        <v>2024</v>
      </c>
      <c r="P616" s="1" t="s">
        <v>53</v>
      </c>
      <c r="Q616" s="1" t="s">
        <v>46</v>
      </c>
      <c r="R616" s="1" t="s">
        <v>41</v>
      </c>
      <c r="S616" s="1">
        <f t="shared" si="9"/>
        <v>32</v>
      </c>
      <c r="T616" s="7" t="str">
        <f>_xlfn.TEXTJOIN("_",TRUE,Finance_Data!A616,Finance_Data!B616,Finance_Data!C616,Finance_Data!D616,Finance_Data!E616,Finance_Data!G616,Finance_Data!H616)</f>
        <v>CMP_047_North_UK_Watch_Wholesale_45466_45497</v>
      </c>
    </row>
    <row r="617" spans="1:20" x14ac:dyDescent="0.35">
      <c r="A617" s="6" t="s">
        <v>115</v>
      </c>
      <c r="B617" s="1" t="s">
        <v>19</v>
      </c>
      <c r="C617" s="1" t="s">
        <v>29</v>
      </c>
      <c r="D617" s="1" t="s">
        <v>43</v>
      </c>
      <c r="E617" s="1" t="s">
        <v>30</v>
      </c>
      <c r="F617" s="1" t="s">
        <v>49</v>
      </c>
      <c r="G617" s="2">
        <v>45468</v>
      </c>
      <c r="H617" s="2">
        <v>45486</v>
      </c>
      <c r="I617" s="1">
        <v>36074.769999999997</v>
      </c>
      <c r="J617" s="1">
        <v>1.1575</v>
      </c>
      <c r="K617" s="1">
        <v>41756.550000000003</v>
      </c>
      <c r="L617" s="1">
        <v>190117</v>
      </c>
      <c r="M617" s="1">
        <v>49515</v>
      </c>
      <c r="N617" s="1">
        <v>136595.99</v>
      </c>
      <c r="O617" s="1">
        <v>2024</v>
      </c>
      <c r="P617" s="1" t="s">
        <v>53</v>
      </c>
      <c r="Q617" s="1" t="s">
        <v>46</v>
      </c>
      <c r="R617" s="1" t="s">
        <v>41</v>
      </c>
      <c r="S617" s="1">
        <f t="shared" si="9"/>
        <v>19</v>
      </c>
      <c r="T617" s="7" t="str">
        <f>_xlfn.TEXTJOIN("_",TRUE,Finance_Data!A617,Finance_Data!B617,Finance_Data!C617,Finance_Data!D617,Finance_Data!E617,Finance_Data!G617,Finance_Data!H617)</f>
        <v>CMP_047_North_Australia_Luxury Bag_Wholesale_45468_45486</v>
      </c>
    </row>
    <row r="618" spans="1:20" x14ac:dyDescent="0.35">
      <c r="A618" s="6" t="s">
        <v>79</v>
      </c>
      <c r="B618" s="1" t="s">
        <v>28</v>
      </c>
      <c r="C618" s="1" t="s">
        <v>20</v>
      </c>
      <c r="D618" s="1" t="s">
        <v>21</v>
      </c>
      <c r="E618" s="1" t="s">
        <v>30</v>
      </c>
      <c r="F618" s="1" t="s">
        <v>49</v>
      </c>
      <c r="G618" s="2">
        <v>45468</v>
      </c>
      <c r="H618" s="2">
        <v>45481</v>
      </c>
      <c r="I618" s="1">
        <v>36665.050000000003</v>
      </c>
      <c r="J618" s="1">
        <v>0.27500000000000002</v>
      </c>
      <c r="K618" s="1">
        <v>10082.89</v>
      </c>
      <c r="L618" s="1">
        <v>13642</v>
      </c>
      <c r="M618" s="1">
        <v>49656</v>
      </c>
      <c r="N618" s="1">
        <v>10570.16</v>
      </c>
      <c r="O618" s="1">
        <v>2024</v>
      </c>
      <c r="P618" s="1" t="s">
        <v>53</v>
      </c>
      <c r="Q618" s="1" t="s">
        <v>46</v>
      </c>
      <c r="R618" s="1" t="s">
        <v>61</v>
      </c>
      <c r="S618" s="1">
        <f t="shared" si="9"/>
        <v>14</v>
      </c>
      <c r="T618" s="7" t="str">
        <f>_xlfn.TEXTJOIN("_",TRUE,Finance_Data!A618,Finance_Data!B618,Finance_Data!C618,Finance_Data!D618,Finance_Data!E618,Finance_Data!G618,Finance_Data!H618)</f>
        <v>CMP_020_West_Singapore_Foundation_Wholesale_45468_45481</v>
      </c>
    </row>
    <row r="619" spans="1:20" x14ac:dyDescent="0.35">
      <c r="A619" s="6" t="s">
        <v>99</v>
      </c>
      <c r="B619" s="1" t="s">
        <v>48</v>
      </c>
      <c r="C619" s="1" t="s">
        <v>58</v>
      </c>
      <c r="D619" s="1" t="s">
        <v>43</v>
      </c>
      <c r="E619" s="1" t="s">
        <v>30</v>
      </c>
      <c r="F619" s="1" t="s">
        <v>49</v>
      </c>
      <c r="G619" s="2">
        <v>45470</v>
      </c>
      <c r="H619" s="2">
        <v>45511</v>
      </c>
      <c r="I619" s="1">
        <v>1415.26</v>
      </c>
      <c r="J619" s="1">
        <v>0.78349999999999997</v>
      </c>
      <c r="K619" s="1">
        <v>1108.8599999999999</v>
      </c>
      <c r="L619" s="1">
        <v>471477</v>
      </c>
      <c r="M619" s="1">
        <v>23115</v>
      </c>
      <c r="N619" s="1">
        <v>181995.85</v>
      </c>
      <c r="O619" s="1">
        <v>2024</v>
      </c>
      <c r="P619" s="1" t="s">
        <v>53</v>
      </c>
      <c r="Q619" s="1" t="s">
        <v>46</v>
      </c>
      <c r="R619" s="1" t="s">
        <v>61</v>
      </c>
      <c r="S619" s="1">
        <f t="shared" si="9"/>
        <v>42</v>
      </c>
      <c r="T619" s="7" t="str">
        <f>_xlfn.TEXTJOIN("_",TRUE,Finance_Data!A619,Finance_Data!B619,Finance_Data!C619,Finance_Data!D619,Finance_Data!E619,Finance_Data!G619,Finance_Data!H619)</f>
        <v>CMP_041_South_UK_Luxury Bag_Wholesale_45470_45511</v>
      </c>
    </row>
    <row r="620" spans="1:20" x14ac:dyDescent="0.35">
      <c r="A620" s="6" t="s">
        <v>71</v>
      </c>
      <c r="B620" s="1" t="s">
        <v>48</v>
      </c>
      <c r="C620" s="1" t="s">
        <v>36</v>
      </c>
      <c r="D620" s="1" t="s">
        <v>43</v>
      </c>
      <c r="E620" s="1" t="s">
        <v>38</v>
      </c>
      <c r="F620" s="1" t="s">
        <v>23</v>
      </c>
      <c r="G620" s="2">
        <v>45470</v>
      </c>
      <c r="H620" s="2">
        <v>45477</v>
      </c>
      <c r="I620" s="1">
        <v>15532.91</v>
      </c>
      <c r="J620" s="1">
        <v>0.90590000000000004</v>
      </c>
      <c r="K620" s="1">
        <v>14071.26</v>
      </c>
      <c r="L620" s="1">
        <v>741963</v>
      </c>
      <c r="M620" s="1">
        <v>40240</v>
      </c>
      <c r="N620" s="1">
        <v>137896.6</v>
      </c>
      <c r="O620" s="1">
        <v>2024</v>
      </c>
      <c r="P620" s="1" t="s">
        <v>53</v>
      </c>
      <c r="Q620" s="1" t="s">
        <v>46</v>
      </c>
      <c r="R620" s="1" t="s">
        <v>41</v>
      </c>
      <c r="S620" s="1">
        <f t="shared" si="9"/>
        <v>8</v>
      </c>
      <c r="T620" s="7" t="str">
        <f>_xlfn.TEXTJOIN("_",TRUE,Finance_Data!A620,Finance_Data!B620,Finance_Data!C620,Finance_Data!D620,Finance_Data!E620,Finance_Data!G620,Finance_Data!H620)</f>
        <v>CMP_051_South_India_Luxury Bag_Ecommerce_45470_45477</v>
      </c>
    </row>
    <row r="621" spans="1:20" x14ac:dyDescent="0.35">
      <c r="A621" s="6" t="s">
        <v>117</v>
      </c>
      <c r="B621" s="1" t="s">
        <v>28</v>
      </c>
      <c r="C621" s="1" t="s">
        <v>36</v>
      </c>
      <c r="D621" s="1" t="s">
        <v>63</v>
      </c>
      <c r="E621" s="1" t="s">
        <v>22</v>
      </c>
      <c r="F621" s="1" t="s">
        <v>44</v>
      </c>
      <c r="G621" s="2">
        <v>45472</v>
      </c>
      <c r="H621" s="2">
        <v>45506</v>
      </c>
      <c r="I621" s="1">
        <v>20640.009999999998</v>
      </c>
      <c r="J621" s="1">
        <v>0.502</v>
      </c>
      <c r="K621" s="1">
        <v>10361.290000000001</v>
      </c>
      <c r="L621" s="1">
        <v>661034</v>
      </c>
      <c r="M621" s="1">
        <v>16070</v>
      </c>
      <c r="N621" s="1">
        <v>139247.51</v>
      </c>
      <c r="O621" s="1">
        <v>2024</v>
      </c>
      <c r="P621" s="1" t="s">
        <v>53</v>
      </c>
      <c r="Q621" s="1" t="s">
        <v>46</v>
      </c>
      <c r="R621" s="1" t="s">
        <v>54</v>
      </c>
      <c r="S621" s="1">
        <f t="shared" si="9"/>
        <v>35</v>
      </c>
      <c r="T621" s="7" t="str">
        <f>_xlfn.TEXTJOIN("_",TRUE,Finance_Data!A621,Finance_Data!B621,Finance_Data!C621,Finance_Data!D621,Finance_Data!E621,Finance_Data!G621,Finance_Data!H621)</f>
        <v>CMP_031_West_India_Skincare_Retail_45472_45506</v>
      </c>
    </row>
    <row r="622" spans="1:20" x14ac:dyDescent="0.35">
      <c r="A622" s="6" t="s">
        <v>96</v>
      </c>
      <c r="B622" s="1" t="s">
        <v>28</v>
      </c>
      <c r="C622" s="1" t="s">
        <v>36</v>
      </c>
      <c r="D622" s="1" t="s">
        <v>21</v>
      </c>
      <c r="E622" s="1" t="s">
        <v>38</v>
      </c>
      <c r="F622" s="1" t="s">
        <v>49</v>
      </c>
      <c r="G622" s="2">
        <v>45472</v>
      </c>
      <c r="H622" s="2">
        <v>45504</v>
      </c>
      <c r="I622" s="1">
        <v>33414.550000000003</v>
      </c>
      <c r="J622" s="1">
        <v>9.2100000000000001E-2</v>
      </c>
      <c r="K622" s="1">
        <v>3077.48</v>
      </c>
      <c r="L622" s="1">
        <v>688998</v>
      </c>
      <c r="M622" s="1">
        <v>22462</v>
      </c>
      <c r="N622" s="1">
        <v>8099.78</v>
      </c>
      <c r="O622" s="1">
        <v>2024</v>
      </c>
      <c r="P622" s="1" t="s">
        <v>53</v>
      </c>
      <c r="Q622" s="1" t="s">
        <v>46</v>
      </c>
      <c r="R622" s="1" t="s">
        <v>61</v>
      </c>
      <c r="S622" s="1">
        <f t="shared" si="9"/>
        <v>33</v>
      </c>
      <c r="T622" s="7" t="str">
        <f>_xlfn.TEXTJOIN("_",TRUE,Finance_Data!A622,Finance_Data!B622,Finance_Data!C622,Finance_Data!D622,Finance_Data!E622,Finance_Data!G622,Finance_Data!H622)</f>
        <v>CMP_027_West_India_Foundation_Ecommerce_45472_45504</v>
      </c>
    </row>
    <row r="623" spans="1:20" x14ac:dyDescent="0.35">
      <c r="A623" s="6" t="s">
        <v>103</v>
      </c>
      <c r="B623" s="1" t="s">
        <v>35</v>
      </c>
      <c r="C623" s="1" t="s">
        <v>69</v>
      </c>
      <c r="D623" s="1" t="s">
        <v>37</v>
      </c>
      <c r="E623" s="1" t="s">
        <v>22</v>
      </c>
      <c r="F623" s="1" t="s">
        <v>31</v>
      </c>
      <c r="G623" s="2">
        <v>45474</v>
      </c>
      <c r="H623" s="2">
        <v>45534</v>
      </c>
      <c r="I623" s="1">
        <v>12582.71</v>
      </c>
      <c r="J623" s="1">
        <v>0.53649999999999998</v>
      </c>
      <c r="K623" s="1">
        <v>6750.62</v>
      </c>
      <c r="L623" s="1">
        <v>18248</v>
      </c>
      <c r="M623" s="1">
        <v>25854</v>
      </c>
      <c r="N623" s="1">
        <v>232239.31</v>
      </c>
      <c r="O623" s="1">
        <v>2024</v>
      </c>
      <c r="P623" s="1" t="s">
        <v>80</v>
      </c>
      <c r="Q623" s="1" t="s">
        <v>33</v>
      </c>
      <c r="R623" s="1" t="s">
        <v>61</v>
      </c>
      <c r="S623" s="1">
        <f t="shared" si="9"/>
        <v>61</v>
      </c>
      <c r="T623" s="7" t="str">
        <f>_xlfn.TEXTJOIN("_",TRUE,Finance_Data!A623,Finance_Data!B623,Finance_Data!C623,Finance_Data!D623,Finance_Data!E623,Finance_Data!G623,Finance_Data!H623)</f>
        <v>CMP_059_East_USA_Perfume_Retail_45474_45534</v>
      </c>
    </row>
    <row r="624" spans="1:20" x14ac:dyDescent="0.35">
      <c r="A624" s="6" t="s">
        <v>111</v>
      </c>
      <c r="B624" s="1" t="s">
        <v>19</v>
      </c>
      <c r="C624" s="1" t="s">
        <v>36</v>
      </c>
      <c r="D624" s="1" t="s">
        <v>59</v>
      </c>
      <c r="E624" s="1" t="s">
        <v>30</v>
      </c>
      <c r="F624" s="1" t="s">
        <v>31</v>
      </c>
      <c r="G624" s="2">
        <v>45474</v>
      </c>
      <c r="H624" s="2">
        <v>45511</v>
      </c>
      <c r="I624" s="1">
        <v>46251.29</v>
      </c>
      <c r="J624" s="1">
        <v>1.0448999999999999</v>
      </c>
      <c r="K624" s="1">
        <v>48327.97</v>
      </c>
      <c r="L624" s="1">
        <v>448620</v>
      </c>
      <c r="M624" s="1">
        <v>35728</v>
      </c>
      <c r="N624" s="1">
        <v>14007.47</v>
      </c>
      <c r="O624" s="1">
        <v>2024</v>
      </c>
      <c r="P624" s="1" t="s">
        <v>80</v>
      </c>
      <c r="Q624" s="1" t="s">
        <v>33</v>
      </c>
      <c r="R624" s="1" t="s">
        <v>61</v>
      </c>
      <c r="S624" s="1">
        <f t="shared" si="9"/>
        <v>38</v>
      </c>
      <c r="T624" s="7" t="str">
        <f>_xlfn.TEXTJOIN("_",TRUE,Finance_Data!A624,Finance_Data!B624,Finance_Data!C624,Finance_Data!D624,Finance_Data!E624,Finance_Data!G624,Finance_Data!H624)</f>
        <v>CMP_024_North_India_Lipstick_Wholesale_45474_45511</v>
      </c>
    </row>
    <row r="625" spans="1:20" x14ac:dyDescent="0.35">
      <c r="A625" s="6" t="s">
        <v>89</v>
      </c>
      <c r="B625" s="1" t="s">
        <v>19</v>
      </c>
      <c r="C625" s="1" t="s">
        <v>69</v>
      </c>
      <c r="D625" s="1" t="s">
        <v>43</v>
      </c>
      <c r="E625" s="1" t="s">
        <v>22</v>
      </c>
      <c r="F625" s="1" t="s">
        <v>31</v>
      </c>
      <c r="G625" s="2">
        <v>45474</v>
      </c>
      <c r="H625" s="2">
        <v>45479</v>
      </c>
      <c r="I625" s="1">
        <v>32429.71</v>
      </c>
      <c r="J625" s="1">
        <v>0.74580000000000002</v>
      </c>
      <c r="K625" s="1">
        <v>24186.080000000002</v>
      </c>
      <c r="L625" s="1">
        <v>802682</v>
      </c>
      <c r="M625" s="1">
        <v>48986</v>
      </c>
      <c r="N625" s="1">
        <v>148473.96</v>
      </c>
      <c r="O625" s="1">
        <v>2024</v>
      </c>
      <c r="P625" s="1" t="s">
        <v>80</v>
      </c>
      <c r="Q625" s="1" t="s">
        <v>33</v>
      </c>
      <c r="R625" s="1" t="s">
        <v>41</v>
      </c>
      <c r="S625" s="1">
        <f t="shared" si="9"/>
        <v>6</v>
      </c>
      <c r="T625" s="7" t="str">
        <f>_xlfn.TEXTJOIN("_",TRUE,Finance_Data!A625,Finance_Data!B625,Finance_Data!C625,Finance_Data!D625,Finance_Data!E625,Finance_Data!G625,Finance_Data!H625)</f>
        <v>CMP_045_North_USA_Luxury Bag_Retail_45474_45479</v>
      </c>
    </row>
    <row r="626" spans="1:20" x14ac:dyDescent="0.35">
      <c r="A626" s="6" t="s">
        <v>78</v>
      </c>
      <c r="B626" s="1" t="s">
        <v>28</v>
      </c>
      <c r="C626" s="1" t="s">
        <v>36</v>
      </c>
      <c r="D626" s="1" t="s">
        <v>43</v>
      </c>
      <c r="E626" s="1" t="s">
        <v>30</v>
      </c>
      <c r="F626" s="1" t="s">
        <v>44</v>
      </c>
      <c r="G626" s="2">
        <v>45475</v>
      </c>
      <c r="H626" s="2">
        <v>45523</v>
      </c>
      <c r="I626" s="1">
        <v>43477.81</v>
      </c>
      <c r="J626" s="1">
        <v>0.57499999999999996</v>
      </c>
      <c r="K626" s="1">
        <v>24999.74</v>
      </c>
      <c r="L626" s="1">
        <v>934481</v>
      </c>
      <c r="M626" s="1">
        <v>15543</v>
      </c>
      <c r="N626" s="1">
        <v>121684.26</v>
      </c>
      <c r="O626" s="1">
        <v>2024</v>
      </c>
      <c r="P626" s="1" t="s">
        <v>80</v>
      </c>
      <c r="Q626" s="1" t="s">
        <v>33</v>
      </c>
      <c r="R626" s="1" t="s">
        <v>61</v>
      </c>
      <c r="S626" s="1">
        <f t="shared" si="9"/>
        <v>49</v>
      </c>
      <c r="T626" s="7" t="str">
        <f>_xlfn.TEXTJOIN("_",TRUE,Finance_Data!A626,Finance_Data!B626,Finance_Data!C626,Finance_Data!D626,Finance_Data!E626,Finance_Data!G626,Finance_Data!H626)</f>
        <v>CMP_006_West_India_Luxury Bag_Wholesale_45475_45523</v>
      </c>
    </row>
    <row r="627" spans="1:20" x14ac:dyDescent="0.35">
      <c r="A627" s="6" t="s">
        <v>82</v>
      </c>
      <c r="B627" s="1" t="s">
        <v>28</v>
      </c>
      <c r="C627" s="1" t="s">
        <v>69</v>
      </c>
      <c r="D627" s="1" t="s">
        <v>63</v>
      </c>
      <c r="E627" s="1" t="s">
        <v>22</v>
      </c>
      <c r="F627" s="1" t="s">
        <v>44</v>
      </c>
      <c r="G627" s="2">
        <v>45478</v>
      </c>
      <c r="H627" s="2">
        <v>45529</v>
      </c>
      <c r="I627" s="1">
        <v>6940.88</v>
      </c>
      <c r="J627" s="1">
        <v>1.0553999999999999</v>
      </c>
      <c r="K627" s="1">
        <v>7325.4</v>
      </c>
      <c r="L627" s="1">
        <v>846979</v>
      </c>
      <c r="M627" s="1">
        <v>3470</v>
      </c>
      <c r="N627" s="1">
        <v>153739.99</v>
      </c>
      <c r="O627" s="1">
        <v>2024</v>
      </c>
      <c r="P627" s="1" t="s">
        <v>80</v>
      </c>
      <c r="Q627" s="1" t="s">
        <v>33</v>
      </c>
      <c r="R627" s="1" t="s">
        <v>41</v>
      </c>
      <c r="S627" s="1">
        <f t="shared" si="9"/>
        <v>52</v>
      </c>
      <c r="T627" s="7" t="str">
        <f>_xlfn.TEXTJOIN("_",TRUE,Finance_Data!A627,Finance_Data!B627,Finance_Data!C627,Finance_Data!D627,Finance_Data!E627,Finance_Data!G627,Finance_Data!H627)</f>
        <v>CMP_043_West_USA_Skincare_Retail_45478_45529</v>
      </c>
    </row>
    <row r="628" spans="1:20" x14ac:dyDescent="0.35">
      <c r="A628" s="6" t="s">
        <v>105</v>
      </c>
      <c r="B628" s="1" t="s">
        <v>19</v>
      </c>
      <c r="C628" s="1" t="s">
        <v>36</v>
      </c>
      <c r="D628" s="1" t="s">
        <v>21</v>
      </c>
      <c r="E628" s="1" t="s">
        <v>38</v>
      </c>
      <c r="F628" s="1" t="s">
        <v>52</v>
      </c>
      <c r="G628" s="2">
        <v>45480</v>
      </c>
      <c r="H628" s="2">
        <v>45513</v>
      </c>
      <c r="I628" s="1">
        <v>3485.58</v>
      </c>
      <c r="J628" s="1">
        <v>4.4499999999999998E-2</v>
      </c>
      <c r="K628" s="1">
        <v>155.11000000000001</v>
      </c>
      <c r="L628" s="1">
        <v>957170</v>
      </c>
      <c r="M628" s="1">
        <v>44369</v>
      </c>
      <c r="N628" s="1">
        <v>17361.72</v>
      </c>
      <c r="O628" s="1">
        <v>2024</v>
      </c>
      <c r="P628" s="1" t="s">
        <v>80</v>
      </c>
      <c r="Q628" s="1" t="s">
        <v>33</v>
      </c>
      <c r="R628" s="1" t="s">
        <v>54</v>
      </c>
      <c r="S628" s="1">
        <f t="shared" si="9"/>
        <v>34</v>
      </c>
      <c r="T628" s="7" t="str">
        <f>_xlfn.TEXTJOIN("_",TRUE,Finance_Data!A628,Finance_Data!B628,Finance_Data!C628,Finance_Data!D628,Finance_Data!E628,Finance_Data!G628,Finance_Data!H628)</f>
        <v>CMP_025_North_India_Foundation_Ecommerce_45480_45513</v>
      </c>
    </row>
    <row r="629" spans="1:20" x14ac:dyDescent="0.35">
      <c r="A629" s="6" t="s">
        <v>82</v>
      </c>
      <c r="B629" s="1" t="s">
        <v>28</v>
      </c>
      <c r="C629" s="1" t="s">
        <v>69</v>
      </c>
      <c r="D629" s="1" t="s">
        <v>37</v>
      </c>
      <c r="E629" s="1" t="s">
        <v>22</v>
      </c>
      <c r="F629" s="1" t="s">
        <v>44</v>
      </c>
      <c r="G629" s="2">
        <v>45481</v>
      </c>
      <c r="H629" s="2">
        <v>45508</v>
      </c>
      <c r="I629" s="1">
        <v>32161.15</v>
      </c>
      <c r="J629" s="1">
        <v>0.83520000000000005</v>
      </c>
      <c r="K629" s="1">
        <v>26860.99</v>
      </c>
      <c r="L629" s="1">
        <v>20060</v>
      </c>
      <c r="M629" s="1">
        <v>22055</v>
      </c>
      <c r="N629" s="1">
        <v>5358.2</v>
      </c>
      <c r="O629" s="1">
        <v>2024</v>
      </c>
      <c r="P629" s="1" t="s">
        <v>80</v>
      </c>
      <c r="Q629" s="1" t="s">
        <v>33</v>
      </c>
      <c r="R629" s="1" t="s">
        <v>61</v>
      </c>
      <c r="S629" s="1">
        <f t="shared" si="9"/>
        <v>28</v>
      </c>
      <c r="T629" s="7" t="str">
        <f>_xlfn.TEXTJOIN("_",TRUE,Finance_Data!A629,Finance_Data!B629,Finance_Data!C629,Finance_Data!D629,Finance_Data!E629,Finance_Data!G629,Finance_Data!H629)</f>
        <v>CMP_043_West_USA_Perfume_Retail_45481_45508</v>
      </c>
    </row>
    <row r="630" spans="1:20" x14ac:dyDescent="0.35">
      <c r="A630" s="6" t="s">
        <v>96</v>
      </c>
      <c r="B630" s="1" t="s">
        <v>48</v>
      </c>
      <c r="C630" s="1" t="s">
        <v>36</v>
      </c>
      <c r="D630" s="1" t="s">
        <v>43</v>
      </c>
      <c r="E630" s="1" t="s">
        <v>38</v>
      </c>
      <c r="F630" s="1" t="s">
        <v>52</v>
      </c>
      <c r="G630" s="2">
        <v>45481</v>
      </c>
      <c r="H630" s="2">
        <v>45496</v>
      </c>
      <c r="I630" s="1">
        <v>14982.23</v>
      </c>
      <c r="J630" s="1">
        <v>0.22739999999999999</v>
      </c>
      <c r="K630" s="1">
        <v>3406.96</v>
      </c>
      <c r="L630" s="1">
        <v>815625</v>
      </c>
      <c r="M630" s="1">
        <v>5973</v>
      </c>
      <c r="N630" s="1">
        <v>42785.71</v>
      </c>
      <c r="O630" s="1">
        <v>2024</v>
      </c>
      <c r="P630" s="1" t="s">
        <v>80</v>
      </c>
      <c r="Q630" s="1" t="s">
        <v>33</v>
      </c>
      <c r="R630" s="1" t="s">
        <v>26</v>
      </c>
      <c r="S630" s="1">
        <f t="shared" si="9"/>
        <v>16</v>
      </c>
      <c r="T630" s="7" t="str">
        <f>_xlfn.TEXTJOIN("_",TRUE,Finance_Data!A630,Finance_Data!B630,Finance_Data!C630,Finance_Data!D630,Finance_Data!E630,Finance_Data!G630,Finance_Data!H630)</f>
        <v>CMP_027_South_India_Luxury Bag_Ecommerce_45481_45496</v>
      </c>
    </row>
    <row r="631" spans="1:20" x14ac:dyDescent="0.35">
      <c r="A631" s="6" t="s">
        <v>90</v>
      </c>
      <c r="B631" s="1" t="s">
        <v>19</v>
      </c>
      <c r="C631" s="1" t="s">
        <v>20</v>
      </c>
      <c r="D631" s="1" t="s">
        <v>21</v>
      </c>
      <c r="E631" s="1" t="s">
        <v>38</v>
      </c>
      <c r="F631" s="1" t="s">
        <v>23</v>
      </c>
      <c r="G631" s="2">
        <v>45482</v>
      </c>
      <c r="H631" s="2">
        <v>45516</v>
      </c>
      <c r="I631" s="1">
        <v>21372.94</v>
      </c>
      <c r="J631" s="1">
        <v>0.25609999999999999</v>
      </c>
      <c r="K631" s="1">
        <v>5473.61</v>
      </c>
      <c r="L631" s="1">
        <v>450552</v>
      </c>
      <c r="M631" s="1">
        <v>25624</v>
      </c>
      <c r="N631" s="1">
        <v>226685.43</v>
      </c>
      <c r="O631" s="1">
        <v>2024</v>
      </c>
      <c r="P631" s="1" t="s">
        <v>80</v>
      </c>
      <c r="Q631" s="1" t="s">
        <v>33</v>
      </c>
      <c r="R631" s="1" t="s">
        <v>41</v>
      </c>
      <c r="S631" s="1">
        <f t="shared" si="9"/>
        <v>35</v>
      </c>
      <c r="T631" s="7" t="str">
        <f>_xlfn.TEXTJOIN("_",TRUE,Finance_Data!A631,Finance_Data!B631,Finance_Data!C631,Finance_Data!D631,Finance_Data!E631,Finance_Data!G631,Finance_Data!H631)</f>
        <v>CMP_038_North_Singapore_Foundation_Ecommerce_45482_45516</v>
      </c>
    </row>
    <row r="632" spans="1:20" x14ac:dyDescent="0.35">
      <c r="A632" s="6" t="s">
        <v>95</v>
      </c>
      <c r="B632" s="1" t="s">
        <v>35</v>
      </c>
      <c r="C632" s="1" t="s">
        <v>29</v>
      </c>
      <c r="D632" s="1" t="s">
        <v>21</v>
      </c>
      <c r="E632" s="1" t="s">
        <v>30</v>
      </c>
      <c r="F632" s="1" t="s">
        <v>44</v>
      </c>
      <c r="G632" s="2">
        <v>45483</v>
      </c>
      <c r="H632" s="2">
        <v>45522</v>
      </c>
      <c r="I632" s="1">
        <v>24133.09</v>
      </c>
      <c r="J632" s="1">
        <v>0.9325</v>
      </c>
      <c r="K632" s="1">
        <v>22504.11</v>
      </c>
      <c r="L632" s="1">
        <v>393588</v>
      </c>
      <c r="M632" s="1">
        <v>25822</v>
      </c>
      <c r="N632" s="1">
        <v>59710.13</v>
      </c>
      <c r="O632" s="1">
        <v>2024</v>
      </c>
      <c r="P632" s="1" t="s">
        <v>80</v>
      </c>
      <c r="Q632" s="1" t="s">
        <v>33</v>
      </c>
      <c r="R632" s="1" t="s">
        <v>26</v>
      </c>
      <c r="S632" s="1">
        <f t="shared" si="9"/>
        <v>40</v>
      </c>
      <c r="T632" s="7" t="str">
        <f>_xlfn.TEXTJOIN("_",TRUE,Finance_Data!A632,Finance_Data!B632,Finance_Data!C632,Finance_Data!D632,Finance_Data!E632,Finance_Data!G632,Finance_Data!H632)</f>
        <v>CMP_050_East_Australia_Foundation_Wholesale_45483_45522</v>
      </c>
    </row>
    <row r="633" spans="1:20" x14ac:dyDescent="0.35">
      <c r="A633" s="6" t="s">
        <v>96</v>
      </c>
      <c r="B633" s="1" t="s">
        <v>28</v>
      </c>
      <c r="C633" s="1" t="s">
        <v>69</v>
      </c>
      <c r="D633" s="1" t="s">
        <v>59</v>
      </c>
      <c r="E633" s="1" t="s">
        <v>30</v>
      </c>
      <c r="F633" s="1" t="s">
        <v>49</v>
      </c>
      <c r="G633" s="2">
        <v>45483</v>
      </c>
      <c r="H633" s="2">
        <v>45518</v>
      </c>
      <c r="I633" s="1">
        <v>15475.44</v>
      </c>
      <c r="J633" s="1">
        <v>0.27050000000000002</v>
      </c>
      <c r="K633" s="1">
        <v>4186.1099999999997</v>
      </c>
      <c r="L633" s="1">
        <v>933685</v>
      </c>
      <c r="M633" s="1">
        <v>49577</v>
      </c>
      <c r="N633" s="1">
        <v>192164.47</v>
      </c>
      <c r="O633" s="1">
        <v>2024</v>
      </c>
      <c r="P633" s="1" t="s">
        <v>80</v>
      </c>
      <c r="Q633" s="1" t="s">
        <v>33</v>
      </c>
      <c r="R633" s="1" t="s">
        <v>26</v>
      </c>
      <c r="S633" s="1">
        <f t="shared" si="9"/>
        <v>36</v>
      </c>
      <c r="T633" s="7" t="str">
        <f>_xlfn.TEXTJOIN("_",TRUE,Finance_Data!A633,Finance_Data!B633,Finance_Data!C633,Finance_Data!D633,Finance_Data!E633,Finance_Data!G633,Finance_Data!H633)</f>
        <v>CMP_027_West_USA_Lipstick_Wholesale_45483_45518</v>
      </c>
    </row>
    <row r="634" spans="1:20" x14ac:dyDescent="0.35">
      <c r="A634" s="6" t="s">
        <v>77</v>
      </c>
      <c r="B634" s="1" t="s">
        <v>19</v>
      </c>
      <c r="C634" s="1" t="s">
        <v>36</v>
      </c>
      <c r="D634" s="1" t="s">
        <v>21</v>
      </c>
      <c r="E634" s="1" t="s">
        <v>30</v>
      </c>
      <c r="F634" s="1" t="s">
        <v>23</v>
      </c>
      <c r="G634" s="2">
        <v>45485</v>
      </c>
      <c r="H634" s="2">
        <v>45521</v>
      </c>
      <c r="I634" s="1">
        <v>16337.79</v>
      </c>
      <c r="J634" s="1">
        <v>0.78590000000000004</v>
      </c>
      <c r="K634" s="1">
        <v>12839.87</v>
      </c>
      <c r="L634" s="1">
        <v>347471</v>
      </c>
      <c r="M634" s="1">
        <v>30336</v>
      </c>
      <c r="N634" s="1">
        <v>178672.7</v>
      </c>
      <c r="O634" s="1">
        <v>2024</v>
      </c>
      <c r="P634" s="1" t="s">
        <v>80</v>
      </c>
      <c r="Q634" s="1" t="s">
        <v>33</v>
      </c>
      <c r="R634" s="1" t="s">
        <v>54</v>
      </c>
      <c r="S634" s="1">
        <f t="shared" si="9"/>
        <v>37</v>
      </c>
      <c r="T634" s="7" t="str">
        <f>_xlfn.TEXTJOIN("_",TRUE,Finance_Data!A634,Finance_Data!B634,Finance_Data!C634,Finance_Data!D634,Finance_Data!E634,Finance_Data!G634,Finance_Data!H634)</f>
        <v>CMP_033_North_India_Foundation_Wholesale_45485_45521</v>
      </c>
    </row>
    <row r="635" spans="1:20" x14ac:dyDescent="0.35">
      <c r="A635" s="6" t="s">
        <v>79</v>
      </c>
      <c r="B635" s="1" t="s">
        <v>35</v>
      </c>
      <c r="C635" s="1" t="s">
        <v>36</v>
      </c>
      <c r="D635" s="1" t="s">
        <v>63</v>
      </c>
      <c r="E635" s="1" t="s">
        <v>22</v>
      </c>
      <c r="F635" s="1" t="s">
        <v>52</v>
      </c>
      <c r="G635" s="2">
        <v>45485</v>
      </c>
      <c r="H635" s="2">
        <v>45492</v>
      </c>
      <c r="I635" s="1">
        <v>41895.160000000003</v>
      </c>
      <c r="J635" s="1">
        <v>0.70320000000000005</v>
      </c>
      <c r="K635" s="1">
        <v>29460.68</v>
      </c>
      <c r="L635" s="1">
        <v>165287</v>
      </c>
      <c r="M635" s="1">
        <v>28266</v>
      </c>
      <c r="N635" s="1">
        <v>36224.15</v>
      </c>
      <c r="O635" s="1">
        <v>2024</v>
      </c>
      <c r="P635" s="1" t="s">
        <v>80</v>
      </c>
      <c r="Q635" s="1" t="s">
        <v>33</v>
      </c>
      <c r="R635" s="1" t="s">
        <v>26</v>
      </c>
      <c r="S635" s="1">
        <f t="shared" si="9"/>
        <v>8</v>
      </c>
      <c r="T635" s="7" t="str">
        <f>_xlfn.TEXTJOIN("_",TRUE,Finance_Data!A635,Finance_Data!B635,Finance_Data!C635,Finance_Data!D635,Finance_Data!E635,Finance_Data!G635,Finance_Data!H635)</f>
        <v>CMP_020_East_India_Skincare_Retail_45485_45492</v>
      </c>
    </row>
    <row r="636" spans="1:20" x14ac:dyDescent="0.35">
      <c r="A636" s="6" t="s">
        <v>98</v>
      </c>
      <c r="B636" s="1" t="s">
        <v>19</v>
      </c>
      <c r="C636" s="1" t="s">
        <v>69</v>
      </c>
      <c r="D636" s="1" t="s">
        <v>37</v>
      </c>
      <c r="E636" s="1" t="s">
        <v>38</v>
      </c>
      <c r="F636" s="1" t="s">
        <v>44</v>
      </c>
      <c r="G636" s="2">
        <v>45487</v>
      </c>
      <c r="H636" s="2">
        <v>45544</v>
      </c>
      <c r="I636" s="1">
        <v>36959.760000000002</v>
      </c>
      <c r="J636" s="1">
        <v>1.1097999999999999</v>
      </c>
      <c r="K636" s="1">
        <v>41017.94</v>
      </c>
      <c r="L636" s="1">
        <v>705558</v>
      </c>
      <c r="M636" s="1">
        <v>4184</v>
      </c>
      <c r="N636" s="1">
        <v>62726.21</v>
      </c>
      <c r="O636" s="1">
        <v>2024</v>
      </c>
      <c r="P636" s="1" t="s">
        <v>80</v>
      </c>
      <c r="Q636" s="1" t="s">
        <v>33</v>
      </c>
      <c r="R636" s="1" t="s">
        <v>26</v>
      </c>
      <c r="S636" s="1">
        <f t="shared" si="9"/>
        <v>58</v>
      </c>
      <c r="T636" s="7" t="str">
        <f>_xlfn.TEXTJOIN("_",TRUE,Finance_Data!A636,Finance_Data!B636,Finance_Data!C636,Finance_Data!D636,Finance_Data!E636,Finance_Data!G636,Finance_Data!H636)</f>
        <v>CMP_005_North_USA_Perfume_Ecommerce_45487_45544</v>
      </c>
    </row>
    <row r="637" spans="1:20" x14ac:dyDescent="0.35">
      <c r="A637" s="6" t="s">
        <v>34</v>
      </c>
      <c r="B637" s="1" t="s">
        <v>19</v>
      </c>
      <c r="C637" s="1" t="s">
        <v>36</v>
      </c>
      <c r="D637" s="1" t="s">
        <v>37</v>
      </c>
      <c r="E637" s="1" t="s">
        <v>30</v>
      </c>
      <c r="F637" s="1" t="s">
        <v>49</v>
      </c>
      <c r="G637" s="2">
        <v>45487</v>
      </c>
      <c r="H637" s="2">
        <v>45528</v>
      </c>
      <c r="I637" s="1">
        <v>7399.12</v>
      </c>
      <c r="J637" s="1">
        <v>1.0244</v>
      </c>
      <c r="K637" s="1">
        <v>7579.66</v>
      </c>
      <c r="L637" s="1">
        <v>836596</v>
      </c>
      <c r="M637" s="1">
        <v>22627</v>
      </c>
      <c r="N637" s="1">
        <v>224067.89</v>
      </c>
      <c r="O637" s="1">
        <v>2024</v>
      </c>
      <c r="P637" s="1" t="s">
        <v>80</v>
      </c>
      <c r="Q637" s="1" t="s">
        <v>33</v>
      </c>
      <c r="R637" s="1" t="s">
        <v>26</v>
      </c>
      <c r="S637" s="1">
        <f t="shared" si="9"/>
        <v>42</v>
      </c>
      <c r="T637" s="7" t="str">
        <f>_xlfn.TEXTJOIN("_",TRUE,Finance_Data!A637,Finance_Data!B637,Finance_Data!C637,Finance_Data!D637,Finance_Data!E637,Finance_Data!G637,Finance_Data!H637)</f>
        <v>CMP_049_North_India_Perfume_Wholesale_45487_45528</v>
      </c>
    </row>
    <row r="638" spans="1:20" x14ac:dyDescent="0.35">
      <c r="A638" s="6" t="s">
        <v>68</v>
      </c>
      <c r="B638" s="1" t="s">
        <v>48</v>
      </c>
      <c r="C638" s="1" t="s">
        <v>20</v>
      </c>
      <c r="D638" s="1" t="s">
        <v>21</v>
      </c>
      <c r="E638" s="1" t="s">
        <v>22</v>
      </c>
      <c r="F638" s="1" t="s">
        <v>23</v>
      </c>
      <c r="G638" s="2">
        <v>45487</v>
      </c>
      <c r="H638" s="2">
        <v>45497</v>
      </c>
      <c r="I638" s="1">
        <v>17559.580000000002</v>
      </c>
      <c r="J638" s="1">
        <v>1.1825000000000001</v>
      </c>
      <c r="K638" s="1">
        <v>20764.2</v>
      </c>
      <c r="L638" s="1">
        <v>946615</v>
      </c>
      <c r="M638" s="1">
        <v>31736</v>
      </c>
      <c r="N638" s="1">
        <v>177603.64</v>
      </c>
      <c r="O638" s="1">
        <v>2024</v>
      </c>
      <c r="P638" s="1" t="s">
        <v>80</v>
      </c>
      <c r="Q638" s="1" t="s">
        <v>33</v>
      </c>
      <c r="R638" s="1" t="s">
        <v>26</v>
      </c>
      <c r="S638" s="1">
        <f t="shared" si="9"/>
        <v>11</v>
      </c>
      <c r="T638" s="7" t="str">
        <f>_xlfn.TEXTJOIN("_",TRUE,Finance_Data!A638,Finance_Data!B638,Finance_Data!C638,Finance_Data!D638,Finance_Data!E638,Finance_Data!G638,Finance_Data!H638)</f>
        <v>CMP_028_South_Singapore_Foundation_Retail_45487_45497</v>
      </c>
    </row>
    <row r="639" spans="1:20" x14ac:dyDescent="0.35">
      <c r="A639" s="6" t="s">
        <v>57</v>
      </c>
      <c r="B639" s="1" t="s">
        <v>28</v>
      </c>
      <c r="C639" s="1" t="s">
        <v>29</v>
      </c>
      <c r="D639" s="1" t="s">
        <v>21</v>
      </c>
      <c r="E639" s="1" t="s">
        <v>30</v>
      </c>
      <c r="F639" s="1" t="s">
        <v>31</v>
      </c>
      <c r="G639" s="2">
        <v>45488</v>
      </c>
      <c r="H639" s="2">
        <v>45509</v>
      </c>
      <c r="I639" s="1">
        <v>12619.82</v>
      </c>
      <c r="J639" s="1">
        <v>0.57089999999999996</v>
      </c>
      <c r="K639" s="1">
        <v>7204.66</v>
      </c>
      <c r="L639" s="1">
        <v>652865</v>
      </c>
      <c r="M639" s="1">
        <v>22585</v>
      </c>
      <c r="N639" s="1">
        <v>94651.42</v>
      </c>
      <c r="O639" s="1">
        <v>2024</v>
      </c>
      <c r="P639" s="1" t="s">
        <v>80</v>
      </c>
      <c r="Q639" s="1" t="s">
        <v>33</v>
      </c>
      <c r="R639" s="1" t="s">
        <v>41</v>
      </c>
      <c r="S639" s="1">
        <f t="shared" si="9"/>
        <v>22</v>
      </c>
      <c r="T639" s="7" t="str">
        <f>_xlfn.TEXTJOIN("_",TRUE,Finance_Data!A639,Finance_Data!B639,Finance_Data!C639,Finance_Data!D639,Finance_Data!E639,Finance_Data!G639,Finance_Data!H639)</f>
        <v>CMP_032_West_Australia_Foundation_Wholesale_45488_45509</v>
      </c>
    </row>
    <row r="640" spans="1:20" x14ac:dyDescent="0.35">
      <c r="A640" s="6" t="s">
        <v>72</v>
      </c>
      <c r="B640" s="1" t="s">
        <v>28</v>
      </c>
      <c r="C640" s="1" t="s">
        <v>58</v>
      </c>
      <c r="D640" s="1" t="s">
        <v>59</v>
      </c>
      <c r="E640" s="1" t="s">
        <v>30</v>
      </c>
      <c r="F640" s="1" t="s">
        <v>31</v>
      </c>
      <c r="G640" s="2">
        <v>45490</v>
      </c>
      <c r="H640" s="2">
        <v>45536</v>
      </c>
      <c r="I640" s="1">
        <v>47229.760000000002</v>
      </c>
      <c r="J640" s="1">
        <v>0.41170000000000001</v>
      </c>
      <c r="K640" s="1">
        <v>19444.490000000002</v>
      </c>
      <c r="L640" s="1">
        <v>810441</v>
      </c>
      <c r="M640" s="1">
        <v>32122</v>
      </c>
      <c r="N640" s="1">
        <v>241794.53</v>
      </c>
      <c r="O640" s="1">
        <v>2024</v>
      </c>
      <c r="P640" s="1" t="s">
        <v>80</v>
      </c>
      <c r="Q640" s="1" t="s">
        <v>33</v>
      </c>
      <c r="R640" s="1" t="s">
        <v>61</v>
      </c>
      <c r="S640" s="1">
        <f t="shared" si="9"/>
        <v>47</v>
      </c>
      <c r="T640" s="7" t="str">
        <f>_xlfn.TEXTJOIN("_",TRUE,Finance_Data!A640,Finance_Data!B640,Finance_Data!C640,Finance_Data!D640,Finance_Data!E640,Finance_Data!G640,Finance_Data!H640)</f>
        <v>CMP_042_West_UK_Lipstick_Wholesale_45490_45536</v>
      </c>
    </row>
    <row r="641" spans="1:20" x14ac:dyDescent="0.35">
      <c r="A641" s="6" t="s">
        <v>114</v>
      </c>
      <c r="B641" s="1" t="s">
        <v>35</v>
      </c>
      <c r="C641" s="1" t="s">
        <v>69</v>
      </c>
      <c r="D641" s="1" t="s">
        <v>63</v>
      </c>
      <c r="E641" s="1" t="s">
        <v>30</v>
      </c>
      <c r="F641" s="1" t="s">
        <v>23</v>
      </c>
      <c r="G641" s="2">
        <v>45490</v>
      </c>
      <c r="H641" s="2">
        <v>45505</v>
      </c>
      <c r="I641" s="1">
        <v>20938.47</v>
      </c>
      <c r="J641" s="1">
        <v>1.1227</v>
      </c>
      <c r="K641" s="1">
        <v>23507.62</v>
      </c>
      <c r="L641" s="1">
        <v>931068</v>
      </c>
      <c r="M641" s="1">
        <v>31275</v>
      </c>
      <c r="N641" s="1">
        <v>121974.89</v>
      </c>
      <c r="O641" s="1">
        <v>2024</v>
      </c>
      <c r="P641" s="1" t="s">
        <v>80</v>
      </c>
      <c r="Q641" s="1" t="s">
        <v>33</v>
      </c>
      <c r="R641" s="1" t="s">
        <v>26</v>
      </c>
      <c r="S641" s="1">
        <f t="shared" si="9"/>
        <v>16</v>
      </c>
      <c r="T641" s="7" t="str">
        <f>_xlfn.TEXTJOIN("_",TRUE,Finance_Data!A641,Finance_Data!B641,Finance_Data!C641,Finance_Data!D641,Finance_Data!E641,Finance_Data!G641,Finance_Data!H641)</f>
        <v>CMP_013_East_USA_Skincare_Wholesale_45490_45505</v>
      </c>
    </row>
    <row r="642" spans="1:20" x14ac:dyDescent="0.35">
      <c r="A642" s="6" t="s">
        <v>77</v>
      </c>
      <c r="B642" s="1" t="s">
        <v>48</v>
      </c>
      <c r="C642" s="1" t="s">
        <v>69</v>
      </c>
      <c r="D642" s="1" t="s">
        <v>21</v>
      </c>
      <c r="E642" s="1" t="s">
        <v>38</v>
      </c>
      <c r="F642" s="1" t="s">
        <v>31</v>
      </c>
      <c r="G642" s="2">
        <v>45491</v>
      </c>
      <c r="H642" s="2">
        <v>45526</v>
      </c>
      <c r="I642" s="1">
        <v>47383.43</v>
      </c>
      <c r="J642" s="1">
        <v>0.33189999999999997</v>
      </c>
      <c r="K642" s="1">
        <v>15726.56</v>
      </c>
      <c r="L642" s="1">
        <v>53768</v>
      </c>
      <c r="M642" s="1">
        <v>6919</v>
      </c>
      <c r="N642" s="1">
        <v>13722.02</v>
      </c>
      <c r="O642" s="1">
        <v>2024</v>
      </c>
      <c r="P642" s="1" t="s">
        <v>80</v>
      </c>
      <c r="Q642" s="1" t="s">
        <v>33</v>
      </c>
      <c r="R642" s="1" t="s">
        <v>61</v>
      </c>
      <c r="S642" s="1">
        <f t="shared" ref="S642:S705" si="10">H642-G642+1</f>
        <v>36</v>
      </c>
      <c r="T642" s="7" t="str">
        <f>_xlfn.TEXTJOIN("_",TRUE,Finance_Data!A642,Finance_Data!B642,Finance_Data!C642,Finance_Data!D642,Finance_Data!E642,Finance_Data!G642,Finance_Data!H642)</f>
        <v>CMP_033_South_USA_Foundation_Ecommerce_45491_45526</v>
      </c>
    </row>
    <row r="643" spans="1:20" x14ac:dyDescent="0.35">
      <c r="A643" s="6" t="s">
        <v>91</v>
      </c>
      <c r="B643" s="1" t="s">
        <v>35</v>
      </c>
      <c r="C643" s="1" t="s">
        <v>69</v>
      </c>
      <c r="D643" s="1" t="s">
        <v>63</v>
      </c>
      <c r="E643" s="1" t="s">
        <v>30</v>
      </c>
      <c r="F643" s="1" t="s">
        <v>23</v>
      </c>
      <c r="G643" s="2">
        <v>45491</v>
      </c>
      <c r="H643" s="2">
        <v>45500</v>
      </c>
      <c r="I643" s="1">
        <v>45947.8</v>
      </c>
      <c r="J643" s="1">
        <v>0.621</v>
      </c>
      <c r="K643" s="1">
        <v>28533.58</v>
      </c>
      <c r="L643" s="1">
        <v>545456</v>
      </c>
      <c r="M643" s="1">
        <v>27947</v>
      </c>
      <c r="N643" s="1">
        <v>106189.75</v>
      </c>
      <c r="O643" s="1">
        <v>2024</v>
      </c>
      <c r="P643" s="1" t="s">
        <v>80</v>
      </c>
      <c r="Q643" s="1" t="s">
        <v>33</v>
      </c>
      <c r="R643" s="1" t="s">
        <v>26</v>
      </c>
      <c r="S643" s="1">
        <f t="shared" si="10"/>
        <v>10</v>
      </c>
      <c r="T643" s="7" t="str">
        <f>_xlfn.TEXTJOIN("_",TRUE,Finance_Data!A643,Finance_Data!B643,Finance_Data!C643,Finance_Data!D643,Finance_Data!E643,Finance_Data!G643,Finance_Data!H643)</f>
        <v>CMP_030_East_USA_Skincare_Wholesale_45491_45500</v>
      </c>
    </row>
    <row r="644" spans="1:20" x14ac:dyDescent="0.35">
      <c r="A644" s="6" t="s">
        <v>67</v>
      </c>
      <c r="B644" s="1" t="s">
        <v>28</v>
      </c>
      <c r="C644" s="1" t="s">
        <v>29</v>
      </c>
      <c r="D644" s="1" t="s">
        <v>21</v>
      </c>
      <c r="E644" s="1" t="s">
        <v>22</v>
      </c>
      <c r="F644" s="1" t="s">
        <v>31</v>
      </c>
      <c r="G644" s="2">
        <v>45492</v>
      </c>
      <c r="H644" s="2">
        <v>45545</v>
      </c>
      <c r="I644" s="1">
        <v>27628.07</v>
      </c>
      <c r="J644" s="1">
        <v>0.55189999999999995</v>
      </c>
      <c r="K644" s="1">
        <v>15247.93</v>
      </c>
      <c r="L644" s="1">
        <v>347408</v>
      </c>
      <c r="M644" s="1">
        <v>12463</v>
      </c>
      <c r="N644" s="1">
        <v>245289.78</v>
      </c>
      <c r="O644" s="1">
        <v>2024</v>
      </c>
      <c r="P644" s="1" t="s">
        <v>80</v>
      </c>
      <c r="Q644" s="1" t="s">
        <v>33</v>
      </c>
      <c r="R644" s="1" t="s">
        <v>54</v>
      </c>
      <c r="S644" s="1">
        <f t="shared" si="10"/>
        <v>54</v>
      </c>
      <c r="T644" s="7" t="str">
        <f>_xlfn.TEXTJOIN("_",TRUE,Finance_Data!A644,Finance_Data!B644,Finance_Data!C644,Finance_Data!D644,Finance_Data!E644,Finance_Data!G644,Finance_Data!H644)</f>
        <v>CMP_016_West_Australia_Foundation_Retail_45492_45545</v>
      </c>
    </row>
    <row r="645" spans="1:20" x14ac:dyDescent="0.35">
      <c r="A645" s="6" t="s">
        <v>68</v>
      </c>
      <c r="B645" s="1" t="s">
        <v>35</v>
      </c>
      <c r="C645" s="1" t="s">
        <v>20</v>
      </c>
      <c r="D645" s="1" t="s">
        <v>37</v>
      </c>
      <c r="E645" s="1" t="s">
        <v>30</v>
      </c>
      <c r="F645" s="1" t="s">
        <v>23</v>
      </c>
      <c r="G645" s="2">
        <v>45492</v>
      </c>
      <c r="H645" s="2">
        <v>45527</v>
      </c>
      <c r="I645" s="1">
        <v>3749.63</v>
      </c>
      <c r="J645" s="1">
        <v>2.12E-2</v>
      </c>
      <c r="K645" s="1">
        <v>79.489999999999995</v>
      </c>
      <c r="L645" s="1">
        <v>189708</v>
      </c>
      <c r="M645" s="1">
        <v>5518</v>
      </c>
      <c r="N645" s="1">
        <v>127465.31</v>
      </c>
      <c r="O645" s="1">
        <v>2024</v>
      </c>
      <c r="P645" s="1" t="s">
        <v>80</v>
      </c>
      <c r="Q645" s="1" t="s">
        <v>33</v>
      </c>
      <c r="R645" s="1" t="s">
        <v>61</v>
      </c>
      <c r="S645" s="1">
        <f t="shared" si="10"/>
        <v>36</v>
      </c>
      <c r="T645" s="7" t="str">
        <f>_xlfn.TEXTJOIN("_",TRUE,Finance_Data!A645,Finance_Data!B645,Finance_Data!C645,Finance_Data!D645,Finance_Data!E645,Finance_Data!G645,Finance_Data!H645)</f>
        <v>CMP_028_East_Singapore_Perfume_Wholesale_45492_45527</v>
      </c>
    </row>
    <row r="646" spans="1:20" x14ac:dyDescent="0.35">
      <c r="A646" s="6" t="s">
        <v>84</v>
      </c>
      <c r="B646" s="1" t="s">
        <v>28</v>
      </c>
      <c r="C646" s="1" t="s">
        <v>36</v>
      </c>
      <c r="D646" s="1" t="s">
        <v>63</v>
      </c>
      <c r="E646" s="1" t="s">
        <v>22</v>
      </c>
      <c r="F646" s="1" t="s">
        <v>49</v>
      </c>
      <c r="G646" s="2">
        <v>45493</v>
      </c>
      <c r="H646" s="2">
        <v>45544</v>
      </c>
      <c r="I646" s="1">
        <v>9609.27</v>
      </c>
      <c r="J646" s="1">
        <v>0.4627</v>
      </c>
      <c r="K646" s="1">
        <v>4446.21</v>
      </c>
      <c r="L646" s="1">
        <v>330704</v>
      </c>
      <c r="M646" s="1">
        <v>29827</v>
      </c>
      <c r="N646" s="1">
        <v>74390.31</v>
      </c>
      <c r="O646" s="1">
        <v>2024</v>
      </c>
      <c r="P646" s="1" t="s">
        <v>80</v>
      </c>
      <c r="Q646" s="1" t="s">
        <v>33</v>
      </c>
      <c r="R646" s="1" t="s">
        <v>61</v>
      </c>
      <c r="S646" s="1">
        <f t="shared" si="10"/>
        <v>52</v>
      </c>
      <c r="T646" s="7" t="str">
        <f>_xlfn.TEXTJOIN("_",TRUE,Finance_Data!A646,Finance_Data!B646,Finance_Data!C646,Finance_Data!D646,Finance_Data!E646,Finance_Data!G646,Finance_Data!H646)</f>
        <v>CMP_036_West_India_Skincare_Retail_45493_45544</v>
      </c>
    </row>
    <row r="647" spans="1:20" x14ac:dyDescent="0.35">
      <c r="A647" s="6" t="s">
        <v>47</v>
      </c>
      <c r="B647" s="1" t="s">
        <v>35</v>
      </c>
      <c r="C647" s="1" t="s">
        <v>29</v>
      </c>
      <c r="D647" s="1" t="s">
        <v>43</v>
      </c>
      <c r="E647" s="1" t="s">
        <v>30</v>
      </c>
      <c r="F647" s="1" t="s">
        <v>44</v>
      </c>
      <c r="G647" s="2">
        <v>45493</v>
      </c>
      <c r="H647" s="2">
        <v>45536</v>
      </c>
      <c r="I647" s="1">
        <v>30400.39</v>
      </c>
      <c r="J647" s="1">
        <v>0.73299999999999998</v>
      </c>
      <c r="K647" s="1">
        <v>22283.49</v>
      </c>
      <c r="L647" s="1">
        <v>826808</v>
      </c>
      <c r="M647" s="1">
        <v>45351</v>
      </c>
      <c r="N647" s="1">
        <v>11571.98</v>
      </c>
      <c r="O647" s="1">
        <v>2024</v>
      </c>
      <c r="P647" s="1" t="s">
        <v>80</v>
      </c>
      <c r="Q647" s="1" t="s">
        <v>33</v>
      </c>
      <c r="R647" s="1" t="s">
        <v>61</v>
      </c>
      <c r="S647" s="1">
        <f t="shared" si="10"/>
        <v>44</v>
      </c>
      <c r="T647" s="7" t="str">
        <f>_xlfn.TEXTJOIN("_",TRUE,Finance_Data!A647,Finance_Data!B647,Finance_Data!C647,Finance_Data!D647,Finance_Data!E647,Finance_Data!G647,Finance_Data!H647)</f>
        <v>CMP_055_East_Australia_Luxury Bag_Wholesale_45493_45536</v>
      </c>
    </row>
    <row r="648" spans="1:20" x14ac:dyDescent="0.35">
      <c r="A648" s="6" t="s">
        <v>115</v>
      </c>
      <c r="B648" s="1" t="s">
        <v>48</v>
      </c>
      <c r="C648" s="1" t="s">
        <v>58</v>
      </c>
      <c r="D648" s="1" t="s">
        <v>21</v>
      </c>
      <c r="E648" s="1" t="s">
        <v>30</v>
      </c>
      <c r="F648" s="1" t="s">
        <v>44</v>
      </c>
      <c r="G648" s="2">
        <v>45494</v>
      </c>
      <c r="H648" s="2">
        <v>45530</v>
      </c>
      <c r="I648" s="1">
        <v>40609</v>
      </c>
      <c r="J648" s="1">
        <v>2.2700000000000001E-2</v>
      </c>
      <c r="K648" s="1">
        <v>921.82</v>
      </c>
      <c r="L648" s="1">
        <v>454579</v>
      </c>
      <c r="M648" s="1">
        <v>44470</v>
      </c>
      <c r="N648" s="1">
        <v>129627.18</v>
      </c>
      <c r="O648" s="1">
        <v>2024</v>
      </c>
      <c r="P648" s="1" t="s">
        <v>80</v>
      </c>
      <c r="Q648" s="1" t="s">
        <v>33</v>
      </c>
      <c r="R648" s="1" t="s">
        <v>26</v>
      </c>
      <c r="S648" s="1">
        <f t="shared" si="10"/>
        <v>37</v>
      </c>
      <c r="T648" s="7" t="str">
        <f>_xlfn.TEXTJOIN("_",TRUE,Finance_Data!A648,Finance_Data!B648,Finance_Data!C648,Finance_Data!D648,Finance_Data!E648,Finance_Data!G648,Finance_Data!H648)</f>
        <v>CMP_047_South_UK_Foundation_Wholesale_45494_45530</v>
      </c>
    </row>
    <row r="649" spans="1:20" x14ac:dyDescent="0.35">
      <c r="A649" s="6" t="s">
        <v>87</v>
      </c>
      <c r="B649" s="1" t="s">
        <v>48</v>
      </c>
      <c r="C649" s="1" t="s">
        <v>58</v>
      </c>
      <c r="D649" s="1" t="s">
        <v>51</v>
      </c>
      <c r="E649" s="1" t="s">
        <v>22</v>
      </c>
      <c r="F649" s="1" t="s">
        <v>52</v>
      </c>
      <c r="G649" s="2">
        <v>45494</v>
      </c>
      <c r="H649" s="2">
        <v>45510</v>
      </c>
      <c r="I649" s="1">
        <v>24351.22</v>
      </c>
      <c r="J649" s="1">
        <v>0.43070000000000003</v>
      </c>
      <c r="K649" s="1">
        <v>10488.07</v>
      </c>
      <c r="L649" s="1">
        <v>947758</v>
      </c>
      <c r="M649" s="1">
        <v>37698</v>
      </c>
      <c r="N649" s="1">
        <v>70923.570000000007</v>
      </c>
      <c r="O649" s="1">
        <v>2024</v>
      </c>
      <c r="P649" s="1" t="s">
        <v>80</v>
      </c>
      <c r="Q649" s="1" t="s">
        <v>33</v>
      </c>
      <c r="R649" s="1" t="s">
        <v>61</v>
      </c>
      <c r="S649" s="1">
        <f t="shared" si="10"/>
        <v>17</v>
      </c>
      <c r="T649" s="7" t="str">
        <f>_xlfn.TEXTJOIN("_",TRUE,Finance_Data!A649,Finance_Data!B649,Finance_Data!C649,Finance_Data!D649,Finance_Data!E649,Finance_Data!G649,Finance_Data!H649)</f>
        <v>CMP_048_South_UK_Watch_Retail_45494_45510</v>
      </c>
    </row>
    <row r="650" spans="1:20" x14ac:dyDescent="0.35">
      <c r="A650" s="6" t="s">
        <v>64</v>
      </c>
      <c r="B650" s="1" t="s">
        <v>19</v>
      </c>
      <c r="C650" s="1" t="s">
        <v>20</v>
      </c>
      <c r="D650" s="1" t="s">
        <v>63</v>
      </c>
      <c r="E650" s="1" t="s">
        <v>22</v>
      </c>
      <c r="F650" s="1" t="s">
        <v>23</v>
      </c>
      <c r="G650" s="2">
        <v>45495</v>
      </c>
      <c r="H650" s="2">
        <v>45528</v>
      </c>
      <c r="I650" s="1">
        <v>40225.14</v>
      </c>
      <c r="J650" s="1">
        <v>0.15640000000000001</v>
      </c>
      <c r="K650" s="1">
        <v>6291.21</v>
      </c>
      <c r="L650" s="1">
        <v>145073</v>
      </c>
      <c r="M650" s="1">
        <v>37788</v>
      </c>
      <c r="N650" s="1">
        <v>55526.33</v>
      </c>
      <c r="O650" s="1">
        <v>2024</v>
      </c>
      <c r="P650" s="1" t="s">
        <v>80</v>
      </c>
      <c r="Q650" s="1" t="s">
        <v>33</v>
      </c>
      <c r="R650" s="1" t="s">
        <v>26</v>
      </c>
      <c r="S650" s="1">
        <f t="shared" si="10"/>
        <v>34</v>
      </c>
      <c r="T650" s="7" t="str">
        <f>_xlfn.TEXTJOIN("_",TRUE,Finance_Data!A650,Finance_Data!B650,Finance_Data!C650,Finance_Data!D650,Finance_Data!E650,Finance_Data!G650,Finance_Data!H650)</f>
        <v>CMP_011_North_Singapore_Skincare_Retail_45495_45528</v>
      </c>
    </row>
    <row r="651" spans="1:20" x14ac:dyDescent="0.35">
      <c r="A651" s="6" t="s">
        <v>113</v>
      </c>
      <c r="B651" s="1" t="s">
        <v>35</v>
      </c>
      <c r="C651" s="1" t="s">
        <v>36</v>
      </c>
      <c r="D651" s="1" t="s">
        <v>21</v>
      </c>
      <c r="E651" s="1" t="s">
        <v>22</v>
      </c>
      <c r="F651" s="1" t="s">
        <v>52</v>
      </c>
      <c r="G651" s="2">
        <v>45495</v>
      </c>
      <c r="H651" s="2">
        <v>45510</v>
      </c>
      <c r="I651" s="1">
        <v>24992.46</v>
      </c>
      <c r="J651" s="1">
        <v>0.17699999999999999</v>
      </c>
      <c r="K651" s="1">
        <v>4423.67</v>
      </c>
      <c r="L651" s="1">
        <v>339861</v>
      </c>
      <c r="M651" s="1">
        <v>29656</v>
      </c>
      <c r="N651" s="1">
        <v>156755.44</v>
      </c>
      <c r="O651" s="1">
        <v>2024</v>
      </c>
      <c r="P651" s="1" t="s">
        <v>80</v>
      </c>
      <c r="Q651" s="1" t="s">
        <v>33</v>
      </c>
      <c r="R651" s="1" t="s">
        <v>54</v>
      </c>
      <c r="S651" s="1">
        <f t="shared" si="10"/>
        <v>16</v>
      </c>
      <c r="T651" s="7" t="str">
        <f>_xlfn.TEXTJOIN("_",TRUE,Finance_Data!A651,Finance_Data!B651,Finance_Data!C651,Finance_Data!D651,Finance_Data!E651,Finance_Data!G651,Finance_Data!H651)</f>
        <v>CMP_056_East_India_Foundation_Retail_45495_45510</v>
      </c>
    </row>
    <row r="652" spans="1:20" x14ac:dyDescent="0.35">
      <c r="A652" s="6" t="s">
        <v>47</v>
      </c>
      <c r="B652" s="1" t="s">
        <v>48</v>
      </c>
      <c r="C652" s="1" t="s">
        <v>69</v>
      </c>
      <c r="D652" s="1" t="s">
        <v>21</v>
      </c>
      <c r="E652" s="1" t="s">
        <v>22</v>
      </c>
      <c r="F652" s="1" t="s">
        <v>44</v>
      </c>
      <c r="G652" s="2">
        <v>45498</v>
      </c>
      <c r="H652" s="2">
        <v>45533</v>
      </c>
      <c r="I652" s="1">
        <v>47923.17</v>
      </c>
      <c r="J652" s="1">
        <v>1.1059000000000001</v>
      </c>
      <c r="K652" s="1">
        <v>52998.23</v>
      </c>
      <c r="L652" s="1">
        <v>72471</v>
      </c>
      <c r="M652" s="1">
        <v>22994</v>
      </c>
      <c r="N652" s="1">
        <v>93410.34</v>
      </c>
      <c r="O652" s="1">
        <v>2024</v>
      </c>
      <c r="P652" s="1" t="s">
        <v>80</v>
      </c>
      <c r="Q652" s="1" t="s">
        <v>33</v>
      </c>
      <c r="R652" s="1" t="s">
        <v>54</v>
      </c>
      <c r="S652" s="1">
        <f t="shared" si="10"/>
        <v>36</v>
      </c>
      <c r="T652" s="7" t="str">
        <f>_xlfn.TEXTJOIN("_",TRUE,Finance_Data!A652,Finance_Data!B652,Finance_Data!C652,Finance_Data!D652,Finance_Data!E652,Finance_Data!G652,Finance_Data!H652)</f>
        <v>CMP_055_South_USA_Foundation_Retail_45498_45533</v>
      </c>
    </row>
    <row r="653" spans="1:20" x14ac:dyDescent="0.35">
      <c r="A653" s="6" t="s">
        <v>95</v>
      </c>
      <c r="B653" s="1" t="s">
        <v>35</v>
      </c>
      <c r="C653" s="1" t="s">
        <v>58</v>
      </c>
      <c r="D653" s="1" t="s">
        <v>59</v>
      </c>
      <c r="E653" s="1" t="s">
        <v>30</v>
      </c>
      <c r="F653" s="1" t="s">
        <v>44</v>
      </c>
      <c r="G653" s="2">
        <v>45498</v>
      </c>
      <c r="H653" s="2">
        <v>45530</v>
      </c>
      <c r="I653" s="1">
        <v>32952.51</v>
      </c>
      <c r="J653" s="1">
        <v>0.2218</v>
      </c>
      <c r="K653" s="1">
        <v>7308.87</v>
      </c>
      <c r="L653" s="1">
        <v>918211</v>
      </c>
      <c r="M653" s="1">
        <v>24065</v>
      </c>
      <c r="N653" s="1">
        <v>214566.22</v>
      </c>
      <c r="O653" s="1">
        <v>2024</v>
      </c>
      <c r="P653" s="1" t="s">
        <v>80</v>
      </c>
      <c r="Q653" s="1" t="s">
        <v>33</v>
      </c>
      <c r="R653" s="1" t="s">
        <v>61</v>
      </c>
      <c r="S653" s="1">
        <f t="shared" si="10"/>
        <v>33</v>
      </c>
      <c r="T653" s="7" t="str">
        <f>_xlfn.TEXTJOIN("_",TRUE,Finance_Data!A653,Finance_Data!B653,Finance_Data!C653,Finance_Data!D653,Finance_Data!E653,Finance_Data!G653,Finance_Data!H653)</f>
        <v>CMP_050_East_UK_Lipstick_Wholesale_45498_45530</v>
      </c>
    </row>
    <row r="654" spans="1:20" x14ac:dyDescent="0.35">
      <c r="A654" s="6" t="s">
        <v>99</v>
      </c>
      <c r="B654" s="1" t="s">
        <v>28</v>
      </c>
      <c r="C654" s="1" t="s">
        <v>58</v>
      </c>
      <c r="D654" s="1" t="s">
        <v>63</v>
      </c>
      <c r="E654" s="1" t="s">
        <v>22</v>
      </c>
      <c r="F654" s="1" t="s">
        <v>49</v>
      </c>
      <c r="G654" s="2">
        <v>45498</v>
      </c>
      <c r="H654" s="2">
        <v>45507</v>
      </c>
      <c r="I654" s="1">
        <v>29173.15</v>
      </c>
      <c r="J654" s="1">
        <v>0.28089999999999998</v>
      </c>
      <c r="K654" s="1">
        <v>8194.74</v>
      </c>
      <c r="L654" s="1">
        <v>281212</v>
      </c>
      <c r="M654" s="1">
        <v>26814</v>
      </c>
      <c r="N654" s="1">
        <v>100067.99</v>
      </c>
      <c r="O654" s="1">
        <v>2024</v>
      </c>
      <c r="P654" s="1" t="s">
        <v>80</v>
      </c>
      <c r="Q654" s="1" t="s">
        <v>33</v>
      </c>
      <c r="R654" s="1" t="s">
        <v>26</v>
      </c>
      <c r="S654" s="1">
        <f t="shared" si="10"/>
        <v>10</v>
      </c>
      <c r="T654" s="7" t="str">
        <f>_xlfn.TEXTJOIN("_",TRUE,Finance_Data!A654,Finance_Data!B654,Finance_Data!C654,Finance_Data!D654,Finance_Data!E654,Finance_Data!G654,Finance_Data!H654)</f>
        <v>CMP_041_West_UK_Skincare_Retail_45498_45507</v>
      </c>
    </row>
    <row r="655" spans="1:20" x14ac:dyDescent="0.35">
      <c r="A655" s="6" t="s">
        <v>75</v>
      </c>
      <c r="B655" s="1" t="s">
        <v>48</v>
      </c>
      <c r="C655" s="1" t="s">
        <v>36</v>
      </c>
      <c r="D655" s="1" t="s">
        <v>51</v>
      </c>
      <c r="E655" s="1" t="s">
        <v>22</v>
      </c>
      <c r="F655" s="1" t="s">
        <v>49</v>
      </c>
      <c r="G655" s="2">
        <v>45499</v>
      </c>
      <c r="H655" s="2">
        <v>45539</v>
      </c>
      <c r="I655" s="1">
        <v>24704.25</v>
      </c>
      <c r="J655" s="1">
        <v>1.1862999999999999</v>
      </c>
      <c r="K655" s="1">
        <v>29306.65</v>
      </c>
      <c r="L655" s="1">
        <v>615711</v>
      </c>
      <c r="M655" s="1">
        <v>22667</v>
      </c>
      <c r="N655" s="1">
        <v>194677.65</v>
      </c>
      <c r="O655" s="1">
        <v>2024</v>
      </c>
      <c r="P655" s="1" t="s">
        <v>80</v>
      </c>
      <c r="Q655" s="1" t="s">
        <v>33</v>
      </c>
      <c r="R655" s="1" t="s">
        <v>61</v>
      </c>
      <c r="S655" s="1">
        <f t="shared" si="10"/>
        <v>41</v>
      </c>
      <c r="T655" s="7" t="str">
        <f>_xlfn.TEXTJOIN("_",TRUE,Finance_Data!A655,Finance_Data!B655,Finance_Data!C655,Finance_Data!D655,Finance_Data!E655,Finance_Data!G655,Finance_Data!H655)</f>
        <v>CMP_026_South_India_Watch_Retail_45499_45539</v>
      </c>
    </row>
    <row r="656" spans="1:20" x14ac:dyDescent="0.35">
      <c r="A656" s="6" t="s">
        <v>81</v>
      </c>
      <c r="B656" s="1" t="s">
        <v>35</v>
      </c>
      <c r="C656" s="1" t="s">
        <v>58</v>
      </c>
      <c r="D656" s="1" t="s">
        <v>21</v>
      </c>
      <c r="E656" s="1" t="s">
        <v>30</v>
      </c>
      <c r="F656" s="1" t="s">
        <v>49</v>
      </c>
      <c r="G656" s="2">
        <v>45499</v>
      </c>
      <c r="H656" s="2">
        <v>45508</v>
      </c>
      <c r="I656" s="1">
        <v>25655.29</v>
      </c>
      <c r="J656" s="1">
        <v>0.41460000000000002</v>
      </c>
      <c r="K656" s="1">
        <v>10636.68</v>
      </c>
      <c r="L656" s="1">
        <v>132692</v>
      </c>
      <c r="M656" s="1">
        <v>33738</v>
      </c>
      <c r="N656" s="1">
        <v>239393.79</v>
      </c>
      <c r="O656" s="1">
        <v>2024</v>
      </c>
      <c r="P656" s="1" t="s">
        <v>80</v>
      </c>
      <c r="Q656" s="1" t="s">
        <v>33</v>
      </c>
      <c r="R656" s="1" t="s">
        <v>61</v>
      </c>
      <c r="S656" s="1">
        <f t="shared" si="10"/>
        <v>10</v>
      </c>
      <c r="T656" s="7" t="str">
        <f>_xlfn.TEXTJOIN("_",TRUE,Finance_Data!A656,Finance_Data!B656,Finance_Data!C656,Finance_Data!D656,Finance_Data!E656,Finance_Data!G656,Finance_Data!H656)</f>
        <v>CMP_057_East_UK_Foundation_Wholesale_45499_45508</v>
      </c>
    </row>
    <row r="657" spans="1:20" x14ac:dyDescent="0.35">
      <c r="A657" s="6" t="s">
        <v>102</v>
      </c>
      <c r="B657" s="1" t="s">
        <v>35</v>
      </c>
      <c r="C657" s="1" t="s">
        <v>69</v>
      </c>
      <c r="D657" s="1" t="s">
        <v>63</v>
      </c>
      <c r="E657" s="1" t="s">
        <v>38</v>
      </c>
      <c r="F657" s="1" t="s">
        <v>31</v>
      </c>
      <c r="G657" s="2">
        <v>45501</v>
      </c>
      <c r="H657" s="2">
        <v>45547</v>
      </c>
      <c r="I657" s="1">
        <v>30094.85</v>
      </c>
      <c r="J657" s="1">
        <v>0.34639999999999999</v>
      </c>
      <c r="K657" s="1">
        <v>10424.86</v>
      </c>
      <c r="L657" s="1">
        <v>727659</v>
      </c>
      <c r="M657" s="1">
        <v>7184</v>
      </c>
      <c r="N657" s="1">
        <v>123025.91</v>
      </c>
      <c r="O657" s="1">
        <v>2024</v>
      </c>
      <c r="P657" s="1" t="s">
        <v>80</v>
      </c>
      <c r="Q657" s="1" t="s">
        <v>33</v>
      </c>
      <c r="R657" s="1" t="s">
        <v>61</v>
      </c>
      <c r="S657" s="1">
        <f t="shared" si="10"/>
        <v>47</v>
      </c>
      <c r="T657" s="7" t="str">
        <f>_xlfn.TEXTJOIN("_",TRUE,Finance_Data!A657,Finance_Data!B657,Finance_Data!C657,Finance_Data!D657,Finance_Data!E657,Finance_Data!G657,Finance_Data!H657)</f>
        <v>CMP_022_East_USA_Skincare_Ecommerce_45501_45547</v>
      </c>
    </row>
    <row r="658" spans="1:20" x14ac:dyDescent="0.35">
      <c r="A658" s="6" t="s">
        <v>34</v>
      </c>
      <c r="B658" s="1" t="s">
        <v>19</v>
      </c>
      <c r="C658" s="1" t="s">
        <v>20</v>
      </c>
      <c r="D658" s="1" t="s">
        <v>43</v>
      </c>
      <c r="E658" s="1" t="s">
        <v>22</v>
      </c>
      <c r="F658" s="1" t="s">
        <v>49</v>
      </c>
      <c r="G658" s="2">
        <v>45501</v>
      </c>
      <c r="H658" s="2">
        <v>45547</v>
      </c>
      <c r="I658" s="1">
        <v>7065.3</v>
      </c>
      <c r="J658" s="1">
        <v>0.67559999999999998</v>
      </c>
      <c r="K658" s="1">
        <v>4773.32</v>
      </c>
      <c r="L658" s="1">
        <v>211774</v>
      </c>
      <c r="M658" s="1">
        <v>40647</v>
      </c>
      <c r="N658" s="1">
        <v>137749.41</v>
      </c>
      <c r="O658" s="1">
        <v>2024</v>
      </c>
      <c r="P658" s="1" t="s">
        <v>80</v>
      </c>
      <c r="Q658" s="1" t="s">
        <v>33</v>
      </c>
      <c r="R658" s="1" t="s">
        <v>26</v>
      </c>
      <c r="S658" s="1">
        <f t="shared" si="10"/>
        <v>47</v>
      </c>
      <c r="T658" s="7" t="str">
        <f>_xlfn.TEXTJOIN("_",TRUE,Finance_Data!A658,Finance_Data!B658,Finance_Data!C658,Finance_Data!D658,Finance_Data!E658,Finance_Data!G658,Finance_Data!H658)</f>
        <v>CMP_049_North_Singapore_Luxury Bag_Retail_45501_45547</v>
      </c>
    </row>
    <row r="659" spans="1:20" x14ac:dyDescent="0.35">
      <c r="A659" s="6" t="s">
        <v>91</v>
      </c>
      <c r="B659" s="1" t="s">
        <v>35</v>
      </c>
      <c r="C659" s="1" t="s">
        <v>20</v>
      </c>
      <c r="D659" s="1" t="s">
        <v>63</v>
      </c>
      <c r="E659" s="1" t="s">
        <v>30</v>
      </c>
      <c r="F659" s="1" t="s">
        <v>31</v>
      </c>
      <c r="G659" s="2">
        <v>45501</v>
      </c>
      <c r="H659" s="2">
        <v>45526</v>
      </c>
      <c r="I659" s="1">
        <v>49908.02</v>
      </c>
      <c r="J659" s="1">
        <v>0.57930000000000004</v>
      </c>
      <c r="K659" s="1">
        <v>28911.72</v>
      </c>
      <c r="L659" s="1">
        <v>405129</v>
      </c>
      <c r="M659" s="1">
        <v>20662</v>
      </c>
      <c r="N659" s="1">
        <v>239387.95</v>
      </c>
      <c r="O659" s="1">
        <v>2024</v>
      </c>
      <c r="P659" s="1" t="s">
        <v>80</v>
      </c>
      <c r="Q659" s="1" t="s">
        <v>33</v>
      </c>
      <c r="R659" s="1" t="s">
        <v>54</v>
      </c>
      <c r="S659" s="1">
        <f t="shared" si="10"/>
        <v>26</v>
      </c>
      <c r="T659" s="7" t="str">
        <f>_xlfn.TEXTJOIN("_",TRUE,Finance_Data!A659,Finance_Data!B659,Finance_Data!C659,Finance_Data!D659,Finance_Data!E659,Finance_Data!G659,Finance_Data!H659)</f>
        <v>CMP_030_East_Singapore_Skincare_Wholesale_45501_45526</v>
      </c>
    </row>
    <row r="660" spans="1:20" x14ac:dyDescent="0.35">
      <c r="A660" s="6" t="s">
        <v>75</v>
      </c>
      <c r="B660" s="1" t="s">
        <v>28</v>
      </c>
      <c r="C660" s="1" t="s">
        <v>20</v>
      </c>
      <c r="D660" s="1" t="s">
        <v>51</v>
      </c>
      <c r="E660" s="1" t="s">
        <v>30</v>
      </c>
      <c r="F660" s="1" t="s">
        <v>52</v>
      </c>
      <c r="G660" s="2">
        <v>45501</v>
      </c>
      <c r="H660" s="2">
        <v>45516</v>
      </c>
      <c r="I660" s="1">
        <v>11176.41</v>
      </c>
      <c r="J660" s="1">
        <v>1.1311</v>
      </c>
      <c r="K660" s="1">
        <v>12641.64</v>
      </c>
      <c r="L660" s="1">
        <v>632234</v>
      </c>
      <c r="M660" s="1">
        <v>16481</v>
      </c>
      <c r="N660" s="1">
        <v>25552.75</v>
      </c>
      <c r="O660" s="1">
        <v>2024</v>
      </c>
      <c r="P660" s="1" t="s">
        <v>80</v>
      </c>
      <c r="Q660" s="1" t="s">
        <v>33</v>
      </c>
      <c r="R660" s="1" t="s">
        <v>26</v>
      </c>
      <c r="S660" s="1">
        <f t="shared" si="10"/>
        <v>16</v>
      </c>
      <c r="T660" s="7" t="str">
        <f>_xlfn.TEXTJOIN("_",TRUE,Finance_Data!A660,Finance_Data!B660,Finance_Data!C660,Finance_Data!D660,Finance_Data!E660,Finance_Data!G660,Finance_Data!H660)</f>
        <v>CMP_026_West_Singapore_Watch_Wholesale_45501_45516</v>
      </c>
    </row>
    <row r="661" spans="1:20" x14ac:dyDescent="0.35">
      <c r="A661" s="6" t="s">
        <v>119</v>
      </c>
      <c r="B661" s="1" t="s">
        <v>28</v>
      </c>
      <c r="C661" s="1" t="s">
        <v>29</v>
      </c>
      <c r="D661" s="1" t="s">
        <v>37</v>
      </c>
      <c r="E661" s="1" t="s">
        <v>30</v>
      </c>
      <c r="F661" s="1" t="s">
        <v>23</v>
      </c>
      <c r="G661" s="2">
        <v>45502</v>
      </c>
      <c r="H661" s="2">
        <v>45539</v>
      </c>
      <c r="I661" s="1">
        <v>33000.42</v>
      </c>
      <c r="J661" s="1">
        <v>0.49690000000000001</v>
      </c>
      <c r="K661" s="1">
        <v>16397.91</v>
      </c>
      <c r="L661" s="1">
        <v>525611</v>
      </c>
      <c r="M661" s="1">
        <v>27338</v>
      </c>
      <c r="N661" s="1">
        <v>178984.88</v>
      </c>
      <c r="O661" s="1">
        <v>2024</v>
      </c>
      <c r="P661" s="1" t="s">
        <v>80</v>
      </c>
      <c r="Q661" s="1" t="s">
        <v>33</v>
      </c>
      <c r="R661" s="1" t="s">
        <v>61</v>
      </c>
      <c r="S661" s="1">
        <f t="shared" si="10"/>
        <v>38</v>
      </c>
      <c r="T661" s="7" t="str">
        <f>_xlfn.TEXTJOIN("_",TRUE,Finance_Data!A661,Finance_Data!B661,Finance_Data!C661,Finance_Data!D661,Finance_Data!E661,Finance_Data!G661,Finance_Data!H661)</f>
        <v>CMP_029_West_Australia_Perfume_Wholesale_45502_45539</v>
      </c>
    </row>
    <row r="662" spans="1:20" x14ac:dyDescent="0.35">
      <c r="A662" s="6" t="s">
        <v>112</v>
      </c>
      <c r="B662" s="1" t="s">
        <v>35</v>
      </c>
      <c r="C662" s="1" t="s">
        <v>58</v>
      </c>
      <c r="D662" s="1" t="s">
        <v>43</v>
      </c>
      <c r="E662" s="1" t="s">
        <v>22</v>
      </c>
      <c r="F662" s="1" t="s">
        <v>31</v>
      </c>
      <c r="G662" s="2">
        <v>45504</v>
      </c>
      <c r="H662" s="2">
        <v>45559</v>
      </c>
      <c r="I662" s="1">
        <v>24706.54</v>
      </c>
      <c r="J662" s="1">
        <v>6.7199999999999996E-2</v>
      </c>
      <c r="K662" s="1">
        <v>1660.28</v>
      </c>
      <c r="L662" s="1">
        <v>107738</v>
      </c>
      <c r="M662" s="1">
        <v>20324</v>
      </c>
      <c r="N662" s="1">
        <v>7077.29</v>
      </c>
      <c r="O662" s="1">
        <v>2024</v>
      </c>
      <c r="P662" s="1" t="s">
        <v>80</v>
      </c>
      <c r="Q662" s="1" t="s">
        <v>33</v>
      </c>
      <c r="R662" s="1" t="s">
        <v>54</v>
      </c>
      <c r="S662" s="1">
        <f t="shared" si="10"/>
        <v>56</v>
      </c>
      <c r="T662" s="7" t="str">
        <f>_xlfn.TEXTJOIN("_",TRUE,Finance_Data!A662,Finance_Data!B662,Finance_Data!C662,Finance_Data!D662,Finance_Data!E662,Finance_Data!G662,Finance_Data!H662)</f>
        <v>CMP_023_East_UK_Luxury Bag_Retail_45504_45559</v>
      </c>
    </row>
    <row r="663" spans="1:20" x14ac:dyDescent="0.35">
      <c r="A663" s="6" t="s">
        <v>102</v>
      </c>
      <c r="B663" s="1" t="s">
        <v>35</v>
      </c>
      <c r="C663" s="1" t="s">
        <v>36</v>
      </c>
      <c r="D663" s="1" t="s">
        <v>59</v>
      </c>
      <c r="E663" s="1" t="s">
        <v>38</v>
      </c>
      <c r="F663" s="1" t="s">
        <v>23</v>
      </c>
      <c r="G663" s="2">
        <v>45505</v>
      </c>
      <c r="H663" s="2">
        <v>45556</v>
      </c>
      <c r="I663" s="1">
        <v>34231.68</v>
      </c>
      <c r="J663" s="1">
        <v>0.67069999999999996</v>
      </c>
      <c r="K663" s="1">
        <v>22959.19</v>
      </c>
      <c r="L663" s="1">
        <v>29627</v>
      </c>
      <c r="M663" s="1">
        <v>13748</v>
      </c>
      <c r="N663" s="1">
        <v>146462.42000000001</v>
      </c>
      <c r="O663" s="1">
        <v>2024</v>
      </c>
      <c r="P663" s="1" t="s">
        <v>32</v>
      </c>
      <c r="Q663" s="1" t="s">
        <v>33</v>
      </c>
      <c r="R663" s="1" t="s">
        <v>41</v>
      </c>
      <c r="S663" s="1">
        <f t="shared" si="10"/>
        <v>52</v>
      </c>
      <c r="T663" s="7" t="str">
        <f>_xlfn.TEXTJOIN("_",TRUE,Finance_Data!A663,Finance_Data!B663,Finance_Data!C663,Finance_Data!D663,Finance_Data!E663,Finance_Data!G663,Finance_Data!H663)</f>
        <v>CMP_022_East_India_Lipstick_Ecommerce_45505_45556</v>
      </c>
    </row>
    <row r="664" spans="1:20" x14ac:dyDescent="0.35">
      <c r="A664" s="6" t="s">
        <v>87</v>
      </c>
      <c r="B664" s="1" t="s">
        <v>48</v>
      </c>
      <c r="C664" s="1" t="s">
        <v>36</v>
      </c>
      <c r="D664" s="1" t="s">
        <v>43</v>
      </c>
      <c r="E664" s="1" t="s">
        <v>30</v>
      </c>
      <c r="F664" s="1" t="s">
        <v>31</v>
      </c>
      <c r="G664" s="2">
        <v>45507</v>
      </c>
      <c r="H664" s="2">
        <v>45565</v>
      </c>
      <c r="I664" s="1">
        <v>42622.68</v>
      </c>
      <c r="J664" s="1">
        <v>0.81569999999999998</v>
      </c>
      <c r="K664" s="1">
        <v>34767.32</v>
      </c>
      <c r="L664" s="1">
        <v>576820</v>
      </c>
      <c r="M664" s="1">
        <v>21840</v>
      </c>
      <c r="N664" s="1">
        <v>99042.32</v>
      </c>
      <c r="O664" s="1">
        <v>2024</v>
      </c>
      <c r="P664" s="1" t="s">
        <v>32</v>
      </c>
      <c r="Q664" s="1" t="s">
        <v>33</v>
      </c>
      <c r="R664" s="1" t="s">
        <v>26</v>
      </c>
      <c r="S664" s="1">
        <f t="shared" si="10"/>
        <v>59</v>
      </c>
      <c r="T664" s="7" t="str">
        <f>_xlfn.TEXTJOIN("_",TRUE,Finance_Data!A664,Finance_Data!B664,Finance_Data!C664,Finance_Data!D664,Finance_Data!E664,Finance_Data!G664,Finance_Data!H664)</f>
        <v>CMP_048_South_India_Luxury Bag_Wholesale_45507_45565</v>
      </c>
    </row>
    <row r="665" spans="1:20" x14ac:dyDescent="0.35">
      <c r="A665" s="6" t="s">
        <v>116</v>
      </c>
      <c r="B665" s="1" t="s">
        <v>28</v>
      </c>
      <c r="C665" s="1" t="s">
        <v>36</v>
      </c>
      <c r="D665" s="1" t="s">
        <v>43</v>
      </c>
      <c r="E665" s="1" t="s">
        <v>38</v>
      </c>
      <c r="F665" s="1" t="s">
        <v>52</v>
      </c>
      <c r="G665" s="2">
        <v>45508</v>
      </c>
      <c r="H665" s="2">
        <v>45553</v>
      </c>
      <c r="I665" s="1">
        <v>40158.14</v>
      </c>
      <c r="J665" s="1">
        <v>1.0973999999999999</v>
      </c>
      <c r="K665" s="1">
        <v>44069.54</v>
      </c>
      <c r="L665" s="1">
        <v>611755</v>
      </c>
      <c r="M665" s="1">
        <v>25717</v>
      </c>
      <c r="N665" s="1">
        <v>245142.17</v>
      </c>
      <c r="O665" s="1">
        <v>2024</v>
      </c>
      <c r="P665" s="1" t="s">
        <v>32</v>
      </c>
      <c r="Q665" s="1" t="s">
        <v>33</v>
      </c>
      <c r="R665" s="1" t="s">
        <v>54</v>
      </c>
      <c r="S665" s="1">
        <f t="shared" si="10"/>
        <v>46</v>
      </c>
      <c r="T665" s="7" t="str">
        <f>_xlfn.TEXTJOIN("_",TRUE,Finance_Data!A665,Finance_Data!B665,Finance_Data!C665,Finance_Data!D665,Finance_Data!E665,Finance_Data!G665,Finance_Data!H665)</f>
        <v>CMP_014_West_India_Luxury Bag_Ecommerce_45508_45553</v>
      </c>
    </row>
    <row r="666" spans="1:20" x14ac:dyDescent="0.35">
      <c r="A666" s="6" t="s">
        <v>100</v>
      </c>
      <c r="B666" s="1" t="s">
        <v>19</v>
      </c>
      <c r="C666" s="1" t="s">
        <v>20</v>
      </c>
      <c r="D666" s="1" t="s">
        <v>51</v>
      </c>
      <c r="E666" s="1" t="s">
        <v>38</v>
      </c>
      <c r="F666" s="1" t="s">
        <v>23</v>
      </c>
      <c r="G666" s="2">
        <v>45509</v>
      </c>
      <c r="H666" s="2">
        <v>45527</v>
      </c>
      <c r="I666" s="1">
        <v>36979.03</v>
      </c>
      <c r="J666" s="1">
        <v>0.87109999999999999</v>
      </c>
      <c r="K666" s="1">
        <v>32212.43</v>
      </c>
      <c r="L666" s="1">
        <v>841420</v>
      </c>
      <c r="M666" s="1">
        <v>31723</v>
      </c>
      <c r="N666" s="1">
        <v>47361.11</v>
      </c>
      <c r="O666" s="1">
        <v>2024</v>
      </c>
      <c r="P666" s="1" t="s">
        <v>32</v>
      </c>
      <c r="Q666" s="1" t="s">
        <v>33</v>
      </c>
      <c r="R666" s="1" t="s">
        <v>54</v>
      </c>
      <c r="S666" s="1">
        <f t="shared" si="10"/>
        <v>19</v>
      </c>
      <c r="T666" s="7" t="str">
        <f>_xlfn.TEXTJOIN("_",TRUE,Finance_Data!A666,Finance_Data!B666,Finance_Data!C666,Finance_Data!D666,Finance_Data!E666,Finance_Data!G666,Finance_Data!H666)</f>
        <v>CMP_053_North_Singapore_Watch_Ecommerce_45509_45527</v>
      </c>
    </row>
    <row r="667" spans="1:20" x14ac:dyDescent="0.35">
      <c r="A667" s="6" t="s">
        <v>112</v>
      </c>
      <c r="B667" s="1" t="s">
        <v>28</v>
      </c>
      <c r="C667" s="1" t="s">
        <v>58</v>
      </c>
      <c r="D667" s="1" t="s">
        <v>51</v>
      </c>
      <c r="E667" s="1" t="s">
        <v>30</v>
      </c>
      <c r="F667" s="1" t="s">
        <v>49</v>
      </c>
      <c r="G667" s="2">
        <v>45510</v>
      </c>
      <c r="H667" s="2">
        <v>45540</v>
      </c>
      <c r="I667" s="1">
        <v>42837.63</v>
      </c>
      <c r="J667" s="1">
        <v>0.27539999999999998</v>
      </c>
      <c r="K667" s="1">
        <v>11797.48</v>
      </c>
      <c r="L667" s="1">
        <v>926622</v>
      </c>
      <c r="M667" s="1">
        <v>30395</v>
      </c>
      <c r="N667" s="1">
        <v>168941.89</v>
      </c>
      <c r="O667" s="1">
        <v>2024</v>
      </c>
      <c r="P667" s="1" t="s">
        <v>32</v>
      </c>
      <c r="Q667" s="1" t="s">
        <v>33</v>
      </c>
      <c r="R667" s="1" t="s">
        <v>26</v>
      </c>
      <c r="S667" s="1">
        <f t="shared" si="10"/>
        <v>31</v>
      </c>
      <c r="T667" s="7" t="str">
        <f>_xlfn.TEXTJOIN("_",TRUE,Finance_Data!A667,Finance_Data!B667,Finance_Data!C667,Finance_Data!D667,Finance_Data!E667,Finance_Data!G667,Finance_Data!H667)</f>
        <v>CMP_023_West_UK_Watch_Wholesale_45510_45540</v>
      </c>
    </row>
    <row r="668" spans="1:20" x14ac:dyDescent="0.35">
      <c r="A668" s="6" t="s">
        <v>116</v>
      </c>
      <c r="B668" s="1" t="s">
        <v>28</v>
      </c>
      <c r="C668" s="1" t="s">
        <v>36</v>
      </c>
      <c r="D668" s="1" t="s">
        <v>43</v>
      </c>
      <c r="E668" s="1" t="s">
        <v>38</v>
      </c>
      <c r="F668" s="1" t="s">
        <v>23</v>
      </c>
      <c r="G668" s="2">
        <v>45513</v>
      </c>
      <c r="H668" s="2">
        <v>45552</v>
      </c>
      <c r="I668" s="1">
        <v>8342.77</v>
      </c>
      <c r="J668" s="1">
        <v>0.40050000000000002</v>
      </c>
      <c r="K668" s="1">
        <v>3341.28</v>
      </c>
      <c r="L668" s="1">
        <v>555617</v>
      </c>
      <c r="M668" s="1">
        <v>29056</v>
      </c>
      <c r="N668" s="1">
        <v>33478.81</v>
      </c>
      <c r="O668" s="1">
        <v>2024</v>
      </c>
      <c r="P668" s="1" t="s">
        <v>32</v>
      </c>
      <c r="Q668" s="1" t="s">
        <v>33</v>
      </c>
      <c r="R668" s="1" t="s">
        <v>54</v>
      </c>
      <c r="S668" s="1">
        <f t="shared" si="10"/>
        <v>40</v>
      </c>
      <c r="T668" s="7" t="str">
        <f>_xlfn.TEXTJOIN("_",TRUE,Finance_Data!A668,Finance_Data!B668,Finance_Data!C668,Finance_Data!D668,Finance_Data!E668,Finance_Data!G668,Finance_Data!H668)</f>
        <v>CMP_014_West_India_Luxury Bag_Ecommerce_45513_45552</v>
      </c>
    </row>
    <row r="669" spans="1:20" x14ac:dyDescent="0.35">
      <c r="A669" s="6" t="s">
        <v>106</v>
      </c>
      <c r="B669" s="1" t="s">
        <v>19</v>
      </c>
      <c r="C669" s="1" t="s">
        <v>36</v>
      </c>
      <c r="D669" s="1" t="s">
        <v>21</v>
      </c>
      <c r="E669" s="1" t="s">
        <v>22</v>
      </c>
      <c r="F669" s="1" t="s">
        <v>31</v>
      </c>
      <c r="G669" s="2">
        <v>45513</v>
      </c>
      <c r="H669" s="2">
        <v>45528</v>
      </c>
      <c r="I669" s="1">
        <v>27264.639999999999</v>
      </c>
      <c r="J669" s="1">
        <v>0.93769999999999998</v>
      </c>
      <c r="K669" s="1">
        <v>25566.05</v>
      </c>
      <c r="L669" s="1">
        <v>125674</v>
      </c>
      <c r="M669" s="1">
        <v>40293</v>
      </c>
      <c r="N669" s="1">
        <v>154634.09</v>
      </c>
      <c r="O669" s="1">
        <v>2024</v>
      </c>
      <c r="P669" s="1" t="s">
        <v>32</v>
      </c>
      <c r="Q669" s="1" t="s">
        <v>33</v>
      </c>
      <c r="R669" s="1" t="s">
        <v>41</v>
      </c>
      <c r="S669" s="1">
        <f t="shared" si="10"/>
        <v>16</v>
      </c>
      <c r="T669" s="7" t="str">
        <f>_xlfn.TEXTJOIN("_",TRUE,Finance_Data!A669,Finance_Data!B669,Finance_Data!C669,Finance_Data!D669,Finance_Data!E669,Finance_Data!G669,Finance_Data!H669)</f>
        <v>CMP_009_North_India_Foundation_Retail_45513_45528</v>
      </c>
    </row>
    <row r="670" spans="1:20" x14ac:dyDescent="0.35">
      <c r="A670" s="6" t="s">
        <v>57</v>
      </c>
      <c r="B670" s="1" t="s">
        <v>19</v>
      </c>
      <c r="C670" s="1" t="s">
        <v>29</v>
      </c>
      <c r="D670" s="1" t="s">
        <v>43</v>
      </c>
      <c r="E670" s="1" t="s">
        <v>22</v>
      </c>
      <c r="F670" s="1" t="s">
        <v>31</v>
      </c>
      <c r="G670" s="2">
        <v>45513</v>
      </c>
      <c r="H670" s="2">
        <v>45521</v>
      </c>
      <c r="I670" s="1">
        <v>33159.67</v>
      </c>
      <c r="J670" s="1">
        <v>0.35720000000000002</v>
      </c>
      <c r="K670" s="1">
        <v>11844.63</v>
      </c>
      <c r="L670" s="1">
        <v>783199</v>
      </c>
      <c r="M670" s="1">
        <v>41015</v>
      </c>
      <c r="N670" s="1">
        <v>11688.03</v>
      </c>
      <c r="O670" s="1">
        <v>2024</v>
      </c>
      <c r="P670" s="1" t="s">
        <v>32</v>
      </c>
      <c r="Q670" s="1" t="s">
        <v>33</v>
      </c>
      <c r="R670" s="1" t="s">
        <v>41</v>
      </c>
      <c r="S670" s="1">
        <f t="shared" si="10"/>
        <v>9</v>
      </c>
      <c r="T670" s="7" t="str">
        <f>_xlfn.TEXTJOIN("_",TRUE,Finance_Data!A670,Finance_Data!B670,Finance_Data!C670,Finance_Data!D670,Finance_Data!E670,Finance_Data!G670,Finance_Data!H670)</f>
        <v>CMP_032_North_Australia_Luxury Bag_Retail_45513_45521</v>
      </c>
    </row>
    <row r="671" spans="1:20" x14ac:dyDescent="0.35">
      <c r="A671" s="6" t="s">
        <v>47</v>
      </c>
      <c r="B671" s="1" t="s">
        <v>19</v>
      </c>
      <c r="C671" s="1" t="s">
        <v>20</v>
      </c>
      <c r="D671" s="1" t="s">
        <v>59</v>
      </c>
      <c r="E671" s="1" t="s">
        <v>22</v>
      </c>
      <c r="F671" s="1" t="s">
        <v>49</v>
      </c>
      <c r="G671" s="2">
        <v>45515</v>
      </c>
      <c r="H671" s="2">
        <v>45520</v>
      </c>
      <c r="I671" s="1">
        <v>26253.77</v>
      </c>
      <c r="J671" s="1">
        <v>1.1285000000000001</v>
      </c>
      <c r="K671" s="1">
        <v>29627.38</v>
      </c>
      <c r="L671" s="1">
        <v>524514</v>
      </c>
      <c r="M671" s="1">
        <v>31435</v>
      </c>
      <c r="N671" s="1">
        <v>111834.13</v>
      </c>
      <c r="O671" s="1">
        <v>2024</v>
      </c>
      <c r="P671" s="1" t="s">
        <v>32</v>
      </c>
      <c r="Q671" s="1" t="s">
        <v>33</v>
      </c>
      <c r="R671" s="1" t="s">
        <v>54</v>
      </c>
      <c r="S671" s="1">
        <f t="shared" si="10"/>
        <v>6</v>
      </c>
      <c r="T671" s="7" t="str">
        <f>_xlfn.TEXTJOIN("_",TRUE,Finance_Data!A671,Finance_Data!B671,Finance_Data!C671,Finance_Data!D671,Finance_Data!E671,Finance_Data!G671,Finance_Data!H671)</f>
        <v>CMP_055_North_Singapore_Lipstick_Retail_45515_45520</v>
      </c>
    </row>
    <row r="672" spans="1:20" x14ac:dyDescent="0.35">
      <c r="A672" s="6" t="s">
        <v>82</v>
      </c>
      <c r="B672" s="1" t="s">
        <v>28</v>
      </c>
      <c r="C672" s="1" t="s">
        <v>29</v>
      </c>
      <c r="D672" s="1" t="s">
        <v>59</v>
      </c>
      <c r="E672" s="1" t="s">
        <v>22</v>
      </c>
      <c r="F672" s="1" t="s">
        <v>52</v>
      </c>
      <c r="G672" s="2">
        <v>45516</v>
      </c>
      <c r="H672" s="2">
        <v>45570</v>
      </c>
      <c r="I672" s="1">
        <v>42816.61</v>
      </c>
      <c r="J672" s="1">
        <v>0.72970000000000002</v>
      </c>
      <c r="K672" s="1">
        <v>31243.279999999999</v>
      </c>
      <c r="L672" s="1">
        <v>856514</v>
      </c>
      <c r="M672" s="1">
        <v>48417</v>
      </c>
      <c r="N672" s="1">
        <v>218477.46</v>
      </c>
      <c r="O672" s="1">
        <v>2024</v>
      </c>
      <c r="P672" s="1" t="s">
        <v>32</v>
      </c>
      <c r="Q672" s="1" t="s">
        <v>33</v>
      </c>
      <c r="R672" s="1" t="s">
        <v>61</v>
      </c>
      <c r="S672" s="1">
        <f t="shared" si="10"/>
        <v>55</v>
      </c>
      <c r="T672" s="7" t="str">
        <f>_xlfn.TEXTJOIN("_",TRUE,Finance_Data!A672,Finance_Data!B672,Finance_Data!C672,Finance_Data!D672,Finance_Data!E672,Finance_Data!G672,Finance_Data!H672)</f>
        <v>CMP_043_West_Australia_Lipstick_Retail_45516_45570</v>
      </c>
    </row>
    <row r="673" spans="1:20" x14ac:dyDescent="0.35">
      <c r="A673" s="6" t="s">
        <v>120</v>
      </c>
      <c r="B673" s="1" t="s">
        <v>48</v>
      </c>
      <c r="C673" s="1" t="s">
        <v>36</v>
      </c>
      <c r="D673" s="1" t="s">
        <v>21</v>
      </c>
      <c r="E673" s="1" t="s">
        <v>38</v>
      </c>
      <c r="F673" s="1" t="s">
        <v>44</v>
      </c>
      <c r="G673" s="2">
        <v>45516</v>
      </c>
      <c r="H673" s="2">
        <v>45552</v>
      </c>
      <c r="I673" s="1">
        <v>31998.86</v>
      </c>
      <c r="J673" s="1">
        <v>0.9294</v>
      </c>
      <c r="K673" s="1">
        <v>29739.74</v>
      </c>
      <c r="L673" s="1">
        <v>953584</v>
      </c>
      <c r="M673" s="1">
        <v>11890</v>
      </c>
      <c r="N673" s="1">
        <v>219719.4</v>
      </c>
      <c r="O673" s="1">
        <v>2024</v>
      </c>
      <c r="P673" s="1" t="s">
        <v>32</v>
      </c>
      <c r="Q673" s="1" t="s">
        <v>33</v>
      </c>
      <c r="R673" s="1" t="s">
        <v>54</v>
      </c>
      <c r="S673" s="1">
        <f t="shared" si="10"/>
        <v>37</v>
      </c>
      <c r="T673" s="7" t="str">
        <f>_xlfn.TEXTJOIN("_",TRUE,Finance_Data!A673,Finance_Data!B673,Finance_Data!C673,Finance_Data!D673,Finance_Data!E673,Finance_Data!G673,Finance_Data!H673)</f>
        <v>CMP_001_South_India_Foundation_Ecommerce_45516_45552</v>
      </c>
    </row>
    <row r="674" spans="1:20" x14ac:dyDescent="0.35">
      <c r="A674" s="6" t="s">
        <v>89</v>
      </c>
      <c r="B674" s="1" t="s">
        <v>28</v>
      </c>
      <c r="C674" s="1" t="s">
        <v>58</v>
      </c>
      <c r="D674" s="1" t="s">
        <v>21</v>
      </c>
      <c r="E674" s="1" t="s">
        <v>22</v>
      </c>
      <c r="F674" s="1" t="s">
        <v>52</v>
      </c>
      <c r="G674" s="2">
        <v>45516</v>
      </c>
      <c r="H674" s="2">
        <v>45538</v>
      </c>
      <c r="I674" s="1">
        <v>12699.59</v>
      </c>
      <c r="J674" s="1">
        <v>0.64319999999999999</v>
      </c>
      <c r="K674" s="1">
        <v>8168.38</v>
      </c>
      <c r="L674" s="1">
        <v>298840</v>
      </c>
      <c r="M674" s="1">
        <v>14941</v>
      </c>
      <c r="N674" s="1">
        <v>221237.07</v>
      </c>
      <c r="O674" s="1">
        <v>2024</v>
      </c>
      <c r="P674" s="1" t="s">
        <v>32</v>
      </c>
      <c r="Q674" s="1" t="s">
        <v>33</v>
      </c>
      <c r="R674" s="1" t="s">
        <v>41</v>
      </c>
      <c r="S674" s="1">
        <f t="shared" si="10"/>
        <v>23</v>
      </c>
      <c r="T674" s="7" t="str">
        <f>_xlfn.TEXTJOIN("_",TRUE,Finance_Data!A674,Finance_Data!B674,Finance_Data!C674,Finance_Data!D674,Finance_Data!E674,Finance_Data!G674,Finance_Data!H674)</f>
        <v>CMP_045_West_UK_Foundation_Retail_45516_45538</v>
      </c>
    </row>
    <row r="675" spans="1:20" x14ac:dyDescent="0.35">
      <c r="A675" s="6" t="s">
        <v>47</v>
      </c>
      <c r="B675" s="1" t="s">
        <v>28</v>
      </c>
      <c r="C675" s="1" t="s">
        <v>69</v>
      </c>
      <c r="D675" s="1" t="s">
        <v>21</v>
      </c>
      <c r="E675" s="1" t="s">
        <v>38</v>
      </c>
      <c r="F675" s="1" t="s">
        <v>52</v>
      </c>
      <c r="G675" s="2">
        <v>45516</v>
      </c>
      <c r="H675" s="2">
        <v>45526</v>
      </c>
      <c r="I675" s="1">
        <v>6430.58</v>
      </c>
      <c r="J675" s="1">
        <v>0.307</v>
      </c>
      <c r="K675" s="1">
        <v>1974.19</v>
      </c>
      <c r="L675" s="1">
        <v>758226</v>
      </c>
      <c r="M675" s="1">
        <v>42644</v>
      </c>
      <c r="N675" s="1">
        <v>191974.86</v>
      </c>
      <c r="O675" s="1">
        <v>2024</v>
      </c>
      <c r="P675" s="1" t="s">
        <v>32</v>
      </c>
      <c r="Q675" s="1" t="s">
        <v>33</v>
      </c>
      <c r="R675" s="1" t="s">
        <v>41</v>
      </c>
      <c r="S675" s="1">
        <f t="shared" si="10"/>
        <v>11</v>
      </c>
      <c r="T675" s="7" t="str">
        <f>_xlfn.TEXTJOIN("_",TRUE,Finance_Data!A675,Finance_Data!B675,Finance_Data!C675,Finance_Data!D675,Finance_Data!E675,Finance_Data!G675,Finance_Data!H675)</f>
        <v>CMP_055_West_USA_Foundation_Ecommerce_45516_45526</v>
      </c>
    </row>
    <row r="676" spans="1:20" x14ac:dyDescent="0.35">
      <c r="A676" s="6" t="s">
        <v>99</v>
      </c>
      <c r="B676" s="1" t="s">
        <v>28</v>
      </c>
      <c r="C676" s="1" t="s">
        <v>20</v>
      </c>
      <c r="D676" s="1" t="s">
        <v>51</v>
      </c>
      <c r="E676" s="1" t="s">
        <v>30</v>
      </c>
      <c r="F676" s="1" t="s">
        <v>23</v>
      </c>
      <c r="G676" s="2">
        <v>45517</v>
      </c>
      <c r="H676" s="2">
        <v>45553</v>
      </c>
      <c r="I676" s="1">
        <v>11434.69</v>
      </c>
      <c r="J676" s="1">
        <v>1.1549</v>
      </c>
      <c r="K676" s="1">
        <v>13205.92</v>
      </c>
      <c r="L676" s="1">
        <v>788261</v>
      </c>
      <c r="M676" s="1">
        <v>30724</v>
      </c>
      <c r="N676" s="1">
        <v>70644.31</v>
      </c>
      <c r="O676" s="1">
        <v>2024</v>
      </c>
      <c r="P676" s="1" t="s">
        <v>32</v>
      </c>
      <c r="Q676" s="1" t="s">
        <v>33</v>
      </c>
      <c r="R676" s="1" t="s">
        <v>61</v>
      </c>
      <c r="S676" s="1">
        <f t="shared" si="10"/>
        <v>37</v>
      </c>
      <c r="T676" s="7" t="str">
        <f>_xlfn.TEXTJOIN("_",TRUE,Finance_Data!A676,Finance_Data!B676,Finance_Data!C676,Finance_Data!D676,Finance_Data!E676,Finance_Data!G676,Finance_Data!H676)</f>
        <v>CMP_041_West_Singapore_Watch_Wholesale_45517_45553</v>
      </c>
    </row>
    <row r="677" spans="1:20" x14ac:dyDescent="0.35">
      <c r="A677" s="6" t="s">
        <v>111</v>
      </c>
      <c r="B677" s="1" t="s">
        <v>28</v>
      </c>
      <c r="C677" s="1" t="s">
        <v>58</v>
      </c>
      <c r="D677" s="1" t="s">
        <v>59</v>
      </c>
      <c r="E677" s="1" t="s">
        <v>38</v>
      </c>
      <c r="F677" s="1" t="s">
        <v>49</v>
      </c>
      <c r="G677" s="2">
        <v>45517</v>
      </c>
      <c r="H677" s="2">
        <v>45550</v>
      </c>
      <c r="I677" s="1">
        <v>48418.559999999998</v>
      </c>
      <c r="J677" s="1">
        <v>0.24970000000000001</v>
      </c>
      <c r="K677" s="1">
        <v>12090.11</v>
      </c>
      <c r="L677" s="1">
        <v>914318</v>
      </c>
      <c r="M677" s="1">
        <v>31634</v>
      </c>
      <c r="N677" s="1">
        <v>24603.91</v>
      </c>
      <c r="O677" s="1">
        <v>2024</v>
      </c>
      <c r="P677" s="1" t="s">
        <v>32</v>
      </c>
      <c r="Q677" s="1" t="s">
        <v>33</v>
      </c>
      <c r="R677" s="1" t="s">
        <v>54</v>
      </c>
      <c r="S677" s="1">
        <f t="shared" si="10"/>
        <v>34</v>
      </c>
      <c r="T677" s="7" t="str">
        <f>_xlfn.TEXTJOIN("_",TRUE,Finance_Data!A677,Finance_Data!B677,Finance_Data!C677,Finance_Data!D677,Finance_Data!E677,Finance_Data!G677,Finance_Data!H677)</f>
        <v>CMP_024_West_UK_Lipstick_Ecommerce_45517_45550</v>
      </c>
    </row>
    <row r="678" spans="1:20" x14ac:dyDescent="0.35">
      <c r="A678" s="6" t="s">
        <v>103</v>
      </c>
      <c r="B678" s="1" t="s">
        <v>28</v>
      </c>
      <c r="C678" s="1" t="s">
        <v>69</v>
      </c>
      <c r="D678" s="1" t="s">
        <v>59</v>
      </c>
      <c r="E678" s="1" t="s">
        <v>38</v>
      </c>
      <c r="F678" s="1" t="s">
        <v>23</v>
      </c>
      <c r="G678" s="2">
        <v>45517</v>
      </c>
      <c r="H678" s="2">
        <v>45523</v>
      </c>
      <c r="I678" s="1">
        <v>14966.81</v>
      </c>
      <c r="J678" s="1">
        <v>0.77600000000000002</v>
      </c>
      <c r="K678" s="1">
        <v>11614.24</v>
      </c>
      <c r="L678" s="1">
        <v>907689</v>
      </c>
      <c r="M678" s="1">
        <v>37832</v>
      </c>
      <c r="N678" s="1">
        <v>247048.92</v>
      </c>
      <c r="O678" s="1">
        <v>2024</v>
      </c>
      <c r="P678" s="1" t="s">
        <v>32</v>
      </c>
      <c r="Q678" s="1" t="s">
        <v>33</v>
      </c>
      <c r="R678" s="1" t="s">
        <v>26</v>
      </c>
      <c r="S678" s="1">
        <f t="shared" si="10"/>
        <v>7</v>
      </c>
      <c r="T678" s="7" t="str">
        <f>_xlfn.TEXTJOIN("_",TRUE,Finance_Data!A678,Finance_Data!B678,Finance_Data!C678,Finance_Data!D678,Finance_Data!E678,Finance_Data!G678,Finance_Data!H678)</f>
        <v>CMP_059_West_USA_Lipstick_Ecommerce_45517_45523</v>
      </c>
    </row>
    <row r="679" spans="1:20" x14ac:dyDescent="0.35">
      <c r="A679" s="6" t="s">
        <v>116</v>
      </c>
      <c r="B679" s="1" t="s">
        <v>28</v>
      </c>
      <c r="C679" s="1" t="s">
        <v>58</v>
      </c>
      <c r="D679" s="1" t="s">
        <v>63</v>
      </c>
      <c r="E679" s="1" t="s">
        <v>22</v>
      </c>
      <c r="F679" s="1" t="s">
        <v>49</v>
      </c>
      <c r="G679" s="2">
        <v>45518</v>
      </c>
      <c r="H679" s="2">
        <v>45558</v>
      </c>
      <c r="I679" s="1">
        <v>42895.199999999997</v>
      </c>
      <c r="J679" s="1">
        <v>0.1129</v>
      </c>
      <c r="K679" s="1">
        <v>4842.87</v>
      </c>
      <c r="L679" s="1">
        <v>908602</v>
      </c>
      <c r="M679" s="1">
        <v>34294</v>
      </c>
      <c r="N679" s="1">
        <v>124857.28</v>
      </c>
      <c r="O679" s="1">
        <v>2024</v>
      </c>
      <c r="P679" s="1" t="s">
        <v>32</v>
      </c>
      <c r="Q679" s="1" t="s">
        <v>33</v>
      </c>
      <c r="R679" s="1" t="s">
        <v>61</v>
      </c>
      <c r="S679" s="1">
        <f t="shared" si="10"/>
        <v>41</v>
      </c>
      <c r="T679" s="7" t="str">
        <f>_xlfn.TEXTJOIN("_",TRUE,Finance_Data!A679,Finance_Data!B679,Finance_Data!C679,Finance_Data!D679,Finance_Data!E679,Finance_Data!G679,Finance_Data!H679)</f>
        <v>CMP_014_West_UK_Skincare_Retail_45518_45558</v>
      </c>
    </row>
    <row r="680" spans="1:20" x14ac:dyDescent="0.35">
      <c r="A680" s="6" t="s">
        <v>47</v>
      </c>
      <c r="B680" s="1" t="s">
        <v>48</v>
      </c>
      <c r="C680" s="1" t="s">
        <v>36</v>
      </c>
      <c r="D680" s="1" t="s">
        <v>21</v>
      </c>
      <c r="E680" s="1" t="s">
        <v>38</v>
      </c>
      <c r="F680" s="1" t="s">
        <v>49</v>
      </c>
      <c r="G680" s="2">
        <v>45518</v>
      </c>
      <c r="H680" s="2">
        <v>45535</v>
      </c>
      <c r="I680" s="1">
        <v>35524.019999999997</v>
      </c>
      <c r="J680" s="1">
        <v>6.4500000000000002E-2</v>
      </c>
      <c r="K680" s="1">
        <v>2291.3000000000002</v>
      </c>
      <c r="L680" s="1">
        <v>248968</v>
      </c>
      <c r="M680" s="1">
        <v>19065</v>
      </c>
      <c r="N680" s="1">
        <v>246379.27</v>
      </c>
      <c r="O680" s="1">
        <v>2024</v>
      </c>
      <c r="P680" s="1" t="s">
        <v>32</v>
      </c>
      <c r="Q680" s="1" t="s">
        <v>33</v>
      </c>
      <c r="R680" s="1" t="s">
        <v>41</v>
      </c>
      <c r="S680" s="1">
        <f t="shared" si="10"/>
        <v>18</v>
      </c>
      <c r="T680" s="7" t="str">
        <f>_xlfn.TEXTJOIN("_",TRUE,Finance_Data!A680,Finance_Data!B680,Finance_Data!C680,Finance_Data!D680,Finance_Data!E680,Finance_Data!G680,Finance_Data!H680)</f>
        <v>CMP_055_South_India_Foundation_Ecommerce_45518_45535</v>
      </c>
    </row>
    <row r="681" spans="1:20" x14ac:dyDescent="0.35">
      <c r="A681" s="6" t="s">
        <v>78</v>
      </c>
      <c r="B681" s="1" t="s">
        <v>48</v>
      </c>
      <c r="C681" s="1" t="s">
        <v>69</v>
      </c>
      <c r="D681" s="1" t="s">
        <v>37</v>
      </c>
      <c r="E681" s="1" t="s">
        <v>22</v>
      </c>
      <c r="F681" s="1" t="s">
        <v>23</v>
      </c>
      <c r="G681" s="2">
        <v>45521</v>
      </c>
      <c r="H681" s="2">
        <v>45571</v>
      </c>
      <c r="I681" s="1">
        <v>21670.2</v>
      </c>
      <c r="J681" s="1">
        <v>0.69769999999999999</v>
      </c>
      <c r="K681" s="1">
        <v>15119.3</v>
      </c>
      <c r="L681" s="1">
        <v>737186</v>
      </c>
      <c r="M681" s="1">
        <v>49139</v>
      </c>
      <c r="N681" s="1">
        <v>58736.83</v>
      </c>
      <c r="O681" s="1">
        <v>2024</v>
      </c>
      <c r="P681" s="1" t="s">
        <v>32</v>
      </c>
      <c r="Q681" s="1" t="s">
        <v>33</v>
      </c>
      <c r="R681" s="1" t="s">
        <v>41</v>
      </c>
      <c r="S681" s="1">
        <f t="shared" si="10"/>
        <v>51</v>
      </c>
      <c r="T681" s="7" t="str">
        <f>_xlfn.TEXTJOIN("_",TRUE,Finance_Data!A681,Finance_Data!B681,Finance_Data!C681,Finance_Data!D681,Finance_Data!E681,Finance_Data!G681,Finance_Data!H681)</f>
        <v>CMP_006_South_USA_Perfume_Retail_45521_45571</v>
      </c>
    </row>
    <row r="682" spans="1:20" x14ac:dyDescent="0.35">
      <c r="A682" s="6" t="s">
        <v>96</v>
      </c>
      <c r="B682" s="1" t="s">
        <v>35</v>
      </c>
      <c r="C682" s="1" t="s">
        <v>29</v>
      </c>
      <c r="D682" s="1" t="s">
        <v>63</v>
      </c>
      <c r="E682" s="1" t="s">
        <v>22</v>
      </c>
      <c r="F682" s="1" t="s">
        <v>52</v>
      </c>
      <c r="G682" s="2">
        <v>45523</v>
      </c>
      <c r="H682" s="2">
        <v>45558</v>
      </c>
      <c r="I682" s="1">
        <v>46909.42</v>
      </c>
      <c r="J682" s="1">
        <v>1.1820999999999999</v>
      </c>
      <c r="K682" s="1">
        <v>55451.63</v>
      </c>
      <c r="L682" s="1">
        <v>694963</v>
      </c>
      <c r="M682" s="1">
        <v>2064</v>
      </c>
      <c r="N682" s="1">
        <v>12907.31</v>
      </c>
      <c r="O682" s="1">
        <v>2024</v>
      </c>
      <c r="P682" s="1" t="s">
        <v>32</v>
      </c>
      <c r="Q682" s="1" t="s">
        <v>33</v>
      </c>
      <c r="R682" s="1" t="s">
        <v>61</v>
      </c>
      <c r="S682" s="1">
        <f t="shared" si="10"/>
        <v>36</v>
      </c>
      <c r="T682" s="7" t="str">
        <f>_xlfn.TEXTJOIN("_",TRUE,Finance_Data!A682,Finance_Data!B682,Finance_Data!C682,Finance_Data!D682,Finance_Data!E682,Finance_Data!G682,Finance_Data!H682)</f>
        <v>CMP_027_East_Australia_Skincare_Retail_45523_45558</v>
      </c>
    </row>
    <row r="683" spans="1:20" x14ac:dyDescent="0.35">
      <c r="A683" s="6" t="s">
        <v>27</v>
      </c>
      <c r="B683" s="1" t="s">
        <v>28</v>
      </c>
      <c r="C683" s="1" t="s">
        <v>36</v>
      </c>
      <c r="D683" s="1" t="s">
        <v>43</v>
      </c>
      <c r="E683" s="1" t="s">
        <v>38</v>
      </c>
      <c r="F683" s="1" t="s">
        <v>52</v>
      </c>
      <c r="G683" s="2">
        <v>45524</v>
      </c>
      <c r="H683" s="2">
        <v>45562</v>
      </c>
      <c r="I683" s="1">
        <v>11885.05</v>
      </c>
      <c r="J683" s="1">
        <v>1.1234</v>
      </c>
      <c r="K683" s="1">
        <v>13351.67</v>
      </c>
      <c r="L683" s="1">
        <v>301427</v>
      </c>
      <c r="M683" s="1">
        <v>12926</v>
      </c>
      <c r="N683" s="1">
        <v>10524.42</v>
      </c>
      <c r="O683" s="1">
        <v>2024</v>
      </c>
      <c r="P683" s="1" t="s">
        <v>32</v>
      </c>
      <c r="Q683" s="1" t="s">
        <v>33</v>
      </c>
      <c r="R683" s="1" t="s">
        <v>54</v>
      </c>
      <c r="S683" s="1">
        <f t="shared" si="10"/>
        <v>39</v>
      </c>
      <c r="T683" s="7" t="str">
        <f>_xlfn.TEXTJOIN("_",TRUE,Finance_Data!A683,Finance_Data!B683,Finance_Data!C683,Finance_Data!D683,Finance_Data!E683,Finance_Data!G683,Finance_Data!H683)</f>
        <v>CMP_035_West_India_Luxury Bag_Ecommerce_45524_45562</v>
      </c>
    </row>
    <row r="684" spans="1:20" x14ac:dyDescent="0.35">
      <c r="A684" s="6" t="s">
        <v>94</v>
      </c>
      <c r="B684" s="1" t="s">
        <v>19</v>
      </c>
      <c r="C684" s="1" t="s">
        <v>58</v>
      </c>
      <c r="D684" s="1" t="s">
        <v>51</v>
      </c>
      <c r="E684" s="1" t="s">
        <v>38</v>
      </c>
      <c r="F684" s="1" t="s">
        <v>31</v>
      </c>
      <c r="G684" s="2">
        <v>45525</v>
      </c>
      <c r="H684" s="2">
        <v>45569</v>
      </c>
      <c r="I684" s="1">
        <v>41664.43</v>
      </c>
      <c r="J684" s="1">
        <v>9.0399999999999994E-2</v>
      </c>
      <c r="K684" s="1">
        <v>3766.46</v>
      </c>
      <c r="L684" s="1">
        <v>40955</v>
      </c>
      <c r="M684" s="1">
        <v>48129</v>
      </c>
      <c r="N684" s="1">
        <v>43999.02</v>
      </c>
      <c r="O684" s="1">
        <v>2024</v>
      </c>
      <c r="P684" s="1" t="s">
        <v>32</v>
      </c>
      <c r="Q684" s="1" t="s">
        <v>33</v>
      </c>
      <c r="R684" s="1" t="s">
        <v>61</v>
      </c>
      <c r="S684" s="1">
        <f t="shared" si="10"/>
        <v>45</v>
      </c>
      <c r="T684" s="7" t="str">
        <f>_xlfn.TEXTJOIN("_",TRUE,Finance_Data!A684,Finance_Data!B684,Finance_Data!C684,Finance_Data!D684,Finance_Data!E684,Finance_Data!G684,Finance_Data!H684)</f>
        <v>CMP_007_North_UK_Watch_Ecommerce_45525_45569</v>
      </c>
    </row>
    <row r="685" spans="1:20" x14ac:dyDescent="0.35">
      <c r="A685" s="6" t="s">
        <v>96</v>
      </c>
      <c r="B685" s="1" t="s">
        <v>48</v>
      </c>
      <c r="C685" s="1" t="s">
        <v>29</v>
      </c>
      <c r="D685" s="1" t="s">
        <v>43</v>
      </c>
      <c r="E685" s="1" t="s">
        <v>22</v>
      </c>
      <c r="F685" s="1" t="s">
        <v>49</v>
      </c>
      <c r="G685" s="2">
        <v>45525</v>
      </c>
      <c r="H685" s="2">
        <v>45561</v>
      </c>
      <c r="I685" s="1">
        <v>32186.6</v>
      </c>
      <c r="J685" s="1">
        <v>1.1958</v>
      </c>
      <c r="K685" s="1">
        <v>38488.74</v>
      </c>
      <c r="L685" s="1">
        <v>732487</v>
      </c>
      <c r="M685" s="1">
        <v>32182</v>
      </c>
      <c r="N685" s="1">
        <v>184270.66</v>
      </c>
      <c r="O685" s="1">
        <v>2024</v>
      </c>
      <c r="P685" s="1" t="s">
        <v>32</v>
      </c>
      <c r="Q685" s="1" t="s">
        <v>33</v>
      </c>
      <c r="R685" s="1" t="s">
        <v>54</v>
      </c>
      <c r="S685" s="1">
        <f t="shared" si="10"/>
        <v>37</v>
      </c>
      <c r="T685" s="7" t="str">
        <f>_xlfn.TEXTJOIN("_",TRUE,Finance_Data!A685,Finance_Data!B685,Finance_Data!C685,Finance_Data!D685,Finance_Data!E685,Finance_Data!G685,Finance_Data!H685)</f>
        <v>CMP_027_South_Australia_Luxury Bag_Retail_45525_45561</v>
      </c>
    </row>
    <row r="686" spans="1:20" x14ac:dyDescent="0.35">
      <c r="A686" s="6" t="s">
        <v>107</v>
      </c>
      <c r="B686" s="1" t="s">
        <v>28</v>
      </c>
      <c r="C686" s="1" t="s">
        <v>69</v>
      </c>
      <c r="D686" s="1" t="s">
        <v>37</v>
      </c>
      <c r="E686" s="1" t="s">
        <v>30</v>
      </c>
      <c r="F686" s="1" t="s">
        <v>31</v>
      </c>
      <c r="G686" s="2">
        <v>45528</v>
      </c>
      <c r="H686" s="2">
        <v>45580</v>
      </c>
      <c r="I686" s="1">
        <v>36603.360000000001</v>
      </c>
      <c r="J686" s="1">
        <v>1.0636000000000001</v>
      </c>
      <c r="K686" s="1">
        <v>38931.33</v>
      </c>
      <c r="L686" s="1">
        <v>696735</v>
      </c>
      <c r="M686" s="1">
        <v>6589</v>
      </c>
      <c r="N686" s="1">
        <v>209254.81</v>
      </c>
      <c r="O686" s="1">
        <v>2024</v>
      </c>
      <c r="P686" s="1" t="s">
        <v>32</v>
      </c>
      <c r="Q686" s="1" t="s">
        <v>33</v>
      </c>
      <c r="R686" s="1" t="s">
        <v>61</v>
      </c>
      <c r="S686" s="1">
        <f t="shared" si="10"/>
        <v>53</v>
      </c>
      <c r="T686" s="7" t="str">
        <f>_xlfn.TEXTJOIN("_",TRUE,Finance_Data!A686,Finance_Data!B686,Finance_Data!C686,Finance_Data!D686,Finance_Data!E686,Finance_Data!G686,Finance_Data!H686)</f>
        <v>CMP_040_West_USA_Perfume_Wholesale_45528_45580</v>
      </c>
    </row>
    <row r="687" spans="1:20" x14ac:dyDescent="0.35">
      <c r="A687" s="6" t="s">
        <v>97</v>
      </c>
      <c r="B687" s="1" t="s">
        <v>35</v>
      </c>
      <c r="C687" s="1" t="s">
        <v>20</v>
      </c>
      <c r="D687" s="1" t="s">
        <v>37</v>
      </c>
      <c r="E687" s="1" t="s">
        <v>22</v>
      </c>
      <c r="F687" s="1" t="s">
        <v>52</v>
      </c>
      <c r="G687" s="2">
        <v>45529</v>
      </c>
      <c r="H687" s="2">
        <v>45586</v>
      </c>
      <c r="I687" s="1">
        <v>40533.11</v>
      </c>
      <c r="J687" s="1">
        <v>0.1237</v>
      </c>
      <c r="K687" s="1">
        <v>5013.95</v>
      </c>
      <c r="L687" s="1">
        <v>375848</v>
      </c>
      <c r="M687" s="1">
        <v>46005</v>
      </c>
      <c r="N687" s="1">
        <v>145178.73000000001</v>
      </c>
      <c r="O687" s="1">
        <v>2024</v>
      </c>
      <c r="P687" s="1" t="s">
        <v>32</v>
      </c>
      <c r="Q687" s="1" t="s">
        <v>33</v>
      </c>
      <c r="R687" s="1" t="s">
        <v>41</v>
      </c>
      <c r="S687" s="1">
        <f t="shared" si="10"/>
        <v>58</v>
      </c>
      <c r="T687" s="7" t="str">
        <f>_xlfn.TEXTJOIN("_",TRUE,Finance_Data!A687,Finance_Data!B687,Finance_Data!C687,Finance_Data!D687,Finance_Data!E687,Finance_Data!G687,Finance_Data!H687)</f>
        <v>CMP_019_East_Singapore_Perfume_Retail_45529_45586</v>
      </c>
    </row>
    <row r="688" spans="1:20" x14ac:dyDescent="0.35">
      <c r="A688" s="6" t="s">
        <v>91</v>
      </c>
      <c r="B688" s="1" t="s">
        <v>28</v>
      </c>
      <c r="C688" s="1" t="s">
        <v>58</v>
      </c>
      <c r="D688" s="1" t="s">
        <v>59</v>
      </c>
      <c r="E688" s="1" t="s">
        <v>22</v>
      </c>
      <c r="F688" s="1" t="s">
        <v>31</v>
      </c>
      <c r="G688" s="2">
        <v>45529</v>
      </c>
      <c r="H688" s="2">
        <v>45565</v>
      </c>
      <c r="I688" s="1">
        <v>18999.63</v>
      </c>
      <c r="J688" s="1">
        <v>0.33750000000000002</v>
      </c>
      <c r="K688" s="1">
        <v>6412.38</v>
      </c>
      <c r="L688" s="1">
        <v>414562</v>
      </c>
      <c r="M688" s="1">
        <v>45821</v>
      </c>
      <c r="N688" s="1">
        <v>200964.52</v>
      </c>
      <c r="O688" s="1">
        <v>2024</v>
      </c>
      <c r="P688" s="1" t="s">
        <v>32</v>
      </c>
      <c r="Q688" s="1" t="s">
        <v>33</v>
      </c>
      <c r="R688" s="1" t="s">
        <v>54</v>
      </c>
      <c r="S688" s="1">
        <f t="shared" si="10"/>
        <v>37</v>
      </c>
      <c r="T688" s="7" t="str">
        <f>_xlfn.TEXTJOIN("_",TRUE,Finance_Data!A688,Finance_Data!B688,Finance_Data!C688,Finance_Data!D688,Finance_Data!E688,Finance_Data!G688,Finance_Data!H688)</f>
        <v>CMP_030_West_UK_Lipstick_Retail_45529_45565</v>
      </c>
    </row>
    <row r="689" spans="1:20" x14ac:dyDescent="0.35">
      <c r="A689" s="6" t="s">
        <v>70</v>
      </c>
      <c r="B689" s="1" t="s">
        <v>35</v>
      </c>
      <c r="C689" s="1" t="s">
        <v>36</v>
      </c>
      <c r="D689" s="1" t="s">
        <v>43</v>
      </c>
      <c r="E689" s="1" t="s">
        <v>22</v>
      </c>
      <c r="F689" s="1" t="s">
        <v>31</v>
      </c>
      <c r="G689" s="2">
        <v>45529</v>
      </c>
      <c r="H689" s="2">
        <v>45548</v>
      </c>
      <c r="I689" s="1">
        <v>1352.35</v>
      </c>
      <c r="J689" s="1">
        <v>0.85229999999999995</v>
      </c>
      <c r="K689" s="1">
        <v>1152.6099999999999</v>
      </c>
      <c r="L689" s="1">
        <v>71733</v>
      </c>
      <c r="M689" s="1">
        <v>15103</v>
      </c>
      <c r="N689" s="1">
        <v>21513.08</v>
      </c>
      <c r="O689" s="1">
        <v>2024</v>
      </c>
      <c r="P689" s="1" t="s">
        <v>32</v>
      </c>
      <c r="Q689" s="1" t="s">
        <v>33</v>
      </c>
      <c r="R689" s="1" t="s">
        <v>54</v>
      </c>
      <c r="S689" s="1">
        <f t="shared" si="10"/>
        <v>20</v>
      </c>
      <c r="T689" s="7" t="str">
        <f>_xlfn.TEXTJOIN("_",TRUE,Finance_Data!A689,Finance_Data!B689,Finance_Data!C689,Finance_Data!D689,Finance_Data!E689,Finance_Data!G689,Finance_Data!H689)</f>
        <v>CMP_003_East_India_Luxury Bag_Retail_45529_45548</v>
      </c>
    </row>
    <row r="690" spans="1:20" x14ac:dyDescent="0.35">
      <c r="A690" s="6" t="s">
        <v>86</v>
      </c>
      <c r="B690" s="1" t="s">
        <v>35</v>
      </c>
      <c r="C690" s="1" t="s">
        <v>58</v>
      </c>
      <c r="D690" s="1" t="s">
        <v>63</v>
      </c>
      <c r="E690" s="1" t="s">
        <v>22</v>
      </c>
      <c r="F690" s="1" t="s">
        <v>23</v>
      </c>
      <c r="G690" s="2">
        <v>45530</v>
      </c>
      <c r="H690" s="2">
        <v>45537</v>
      </c>
      <c r="I690" s="1">
        <v>25082.18</v>
      </c>
      <c r="J690" s="1">
        <v>1.1213</v>
      </c>
      <c r="K690" s="1">
        <v>28124.65</v>
      </c>
      <c r="L690" s="1">
        <v>366470</v>
      </c>
      <c r="M690" s="1">
        <v>28740</v>
      </c>
      <c r="N690" s="1">
        <v>49224.46</v>
      </c>
      <c r="O690" s="1">
        <v>2024</v>
      </c>
      <c r="P690" s="1" t="s">
        <v>32</v>
      </c>
      <c r="Q690" s="1" t="s">
        <v>33</v>
      </c>
      <c r="R690" s="1" t="s">
        <v>26</v>
      </c>
      <c r="S690" s="1">
        <f t="shared" si="10"/>
        <v>8</v>
      </c>
      <c r="T690" s="7" t="str">
        <f>_xlfn.TEXTJOIN("_",TRUE,Finance_Data!A690,Finance_Data!B690,Finance_Data!C690,Finance_Data!D690,Finance_Data!E690,Finance_Data!G690,Finance_Data!H690)</f>
        <v>CMP_002_East_UK_Skincare_Retail_45530_45537</v>
      </c>
    </row>
    <row r="691" spans="1:20" x14ac:dyDescent="0.35">
      <c r="A691" s="6" t="s">
        <v>42</v>
      </c>
      <c r="B691" s="1" t="s">
        <v>19</v>
      </c>
      <c r="C691" s="1" t="s">
        <v>36</v>
      </c>
      <c r="D691" s="1" t="s">
        <v>37</v>
      </c>
      <c r="E691" s="1" t="s">
        <v>22</v>
      </c>
      <c r="F691" s="1" t="s">
        <v>44</v>
      </c>
      <c r="G691" s="2">
        <v>45533</v>
      </c>
      <c r="H691" s="2">
        <v>45575</v>
      </c>
      <c r="I691" s="1">
        <v>8555.52</v>
      </c>
      <c r="J691" s="1">
        <v>0.79390000000000005</v>
      </c>
      <c r="K691" s="1">
        <v>6792.23</v>
      </c>
      <c r="L691" s="1">
        <v>765638</v>
      </c>
      <c r="M691" s="1">
        <v>39758</v>
      </c>
      <c r="N691" s="1">
        <v>87716.800000000003</v>
      </c>
      <c r="O691" s="1">
        <v>2024</v>
      </c>
      <c r="P691" s="1" t="s">
        <v>32</v>
      </c>
      <c r="Q691" s="1" t="s">
        <v>33</v>
      </c>
      <c r="R691" s="1" t="s">
        <v>41</v>
      </c>
      <c r="S691" s="1">
        <f t="shared" si="10"/>
        <v>43</v>
      </c>
      <c r="T691" s="7" t="str">
        <f>_xlfn.TEXTJOIN("_",TRUE,Finance_Data!A691,Finance_Data!B691,Finance_Data!C691,Finance_Data!D691,Finance_Data!E691,Finance_Data!G691,Finance_Data!H691)</f>
        <v>CMP_060_North_India_Perfume_Retail_45533_45575</v>
      </c>
    </row>
    <row r="692" spans="1:20" x14ac:dyDescent="0.35">
      <c r="A692" s="6" t="s">
        <v>72</v>
      </c>
      <c r="B692" s="1" t="s">
        <v>48</v>
      </c>
      <c r="C692" s="1" t="s">
        <v>36</v>
      </c>
      <c r="D692" s="1" t="s">
        <v>59</v>
      </c>
      <c r="E692" s="1" t="s">
        <v>22</v>
      </c>
      <c r="F692" s="1" t="s">
        <v>23</v>
      </c>
      <c r="G692" s="2">
        <v>45535</v>
      </c>
      <c r="H692" s="2">
        <v>45557</v>
      </c>
      <c r="I692" s="1">
        <v>26948.57</v>
      </c>
      <c r="J692" s="1">
        <v>0.59740000000000004</v>
      </c>
      <c r="K692" s="1">
        <v>16099.08</v>
      </c>
      <c r="L692" s="1">
        <v>464626</v>
      </c>
      <c r="M692" s="1">
        <v>7255</v>
      </c>
      <c r="N692" s="1">
        <v>171884.33</v>
      </c>
      <c r="O692" s="1">
        <v>2024</v>
      </c>
      <c r="P692" s="1" t="s">
        <v>32</v>
      </c>
      <c r="Q692" s="1" t="s">
        <v>33</v>
      </c>
      <c r="R692" s="1" t="s">
        <v>26</v>
      </c>
      <c r="S692" s="1">
        <f t="shared" si="10"/>
        <v>23</v>
      </c>
      <c r="T692" s="7" t="str">
        <f>_xlfn.TEXTJOIN("_",TRUE,Finance_Data!A692,Finance_Data!B692,Finance_Data!C692,Finance_Data!D692,Finance_Data!E692,Finance_Data!G692,Finance_Data!H692)</f>
        <v>CMP_042_South_India_Lipstick_Retail_45535_45557</v>
      </c>
    </row>
    <row r="693" spans="1:20" x14ac:dyDescent="0.35">
      <c r="A693" s="6" t="s">
        <v>96</v>
      </c>
      <c r="B693" s="1" t="s">
        <v>28</v>
      </c>
      <c r="C693" s="1" t="s">
        <v>58</v>
      </c>
      <c r="D693" s="1" t="s">
        <v>37</v>
      </c>
      <c r="E693" s="1" t="s">
        <v>30</v>
      </c>
      <c r="F693" s="1" t="s">
        <v>31</v>
      </c>
      <c r="G693" s="2">
        <v>45535</v>
      </c>
      <c r="H693" s="2">
        <v>45543</v>
      </c>
      <c r="I693" s="1">
        <v>33436.53</v>
      </c>
      <c r="J693" s="1">
        <v>0.78769999999999996</v>
      </c>
      <c r="K693" s="1">
        <v>26337.95</v>
      </c>
      <c r="L693" s="1">
        <v>30700</v>
      </c>
      <c r="M693" s="1">
        <v>3261</v>
      </c>
      <c r="N693" s="1">
        <v>173988.69</v>
      </c>
      <c r="O693" s="1">
        <v>2024</v>
      </c>
      <c r="P693" s="1" t="s">
        <v>32</v>
      </c>
      <c r="Q693" s="1" t="s">
        <v>33</v>
      </c>
      <c r="R693" s="1" t="s">
        <v>54</v>
      </c>
      <c r="S693" s="1">
        <f t="shared" si="10"/>
        <v>9</v>
      </c>
      <c r="T693" s="7" t="str">
        <f>_xlfn.TEXTJOIN("_",TRUE,Finance_Data!A693,Finance_Data!B693,Finance_Data!C693,Finance_Data!D693,Finance_Data!E693,Finance_Data!G693,Finance_Data!H693)</f>
        <v>CMP_027_West_UK_Perfume_Wholesale_45535_45543</v>
      </c>
    </row>
    <row r="694" spans="1:20" x14ac:dyDescent="0.35">
      <c r="A694" s="6" t="s">
        <v>95</v>
      </c>
      <c r="B694" s="1" t="s">
        <v>19</v>
      </c>
      <c r="C694" s="1" t="s">
        <v>20</v>
      </c>
      <c r="D694" s="1" t="s">
        <v>59</v>
      </c>
      <c r="E694" s="1" t="s">
        <v>30</v>
      </c>
      <c r="F694" s="1" t="s">
        <v>44</v>
      </c>
      <c r="G694" s="2">
        <v>45538</v>
      </c>
      <c r="H694" s="2">
        <v>45581</v>
      </c>
      <c r="I694" s="1">
        <v>39437.5</v>
      </c>
      <c r="J694" s="1">
        <v>1.0378000000000001</v>
      </c>
      <c r="K694" s="1">
        <v>40928.239999999998</v>
      </c>
      <c r="L694" s="1">
        <v>22940</v>
      </c>
      <c r="M694" s="1">
        <v>19226</v>
      </c>
      <c r="N694" s="1">
        <v>106383.47</v>
      </c>
      <c r="O694" s="1">
        <v>2024</v>
      </c>
      <c r="P694" s="1" t="s">
        <v>74</v>
      </c>
      <c r="Q694" s="1" t="s">
        <v>33</v>
      </c>
      <c r="R694" s="1" t="s">
        <v>61</v>
      </c>
      <c r="S694" s="1">
        <f t="shared" si="10"/>
        <v>44</v>
      </c>
      <c r="T694" s="7" t="str">
        <f>_xlfn.TEXTJOIN("_",TRUE,Finance_Data!A694,Finance_Data!B694,Finance_Data!C694,Finance_Data!D694,Finance_Data!E694,Finance_Data!G694,Finance_Data!H694)</f>
        <v>CMP_050_North_Singapore_Lipstick_Wholesale_45538_45581</v>
      </c>
    </row>
    <row r="695" spans="1:20" x14ac:dyDescent="0.35">
      <c r="A695" s="6" t="s">
        <v>106</v>
      </c>
      <c r="B695" s="1" t="s">
        <v>48</v>
      </c>
      <c r="C695" s="1" t="s">
        <v>69</v>
      </c>
      <c r="D695" s="1" t="s">
        <v>59</v>
      </c>
      <c r="E695" s="1" t="s">
        <v>38</v>
      </c>
      <c r="F695" s="1" t="s">
        <v>44</v>
      </c>
      <c r="G695" s="2">
        <v>45538</v>
      </c>
      <c r="H695" s="2">
        <v>45562</v>
      </c>
      <c r="I695" s="1">
        <v>9491.7999999999993</v>
      </c>
      <c r="J695" s="1">
        <v>0.52859999999999996</v>
      </c>
      <c r="K695" s="1">
        <v>5017.37</v>
      </c>
      <c r="L695" s="1">
        <v>928481</v>
      </c>
      <c r="M695" s="1">
        <v>21234</v>
      </c>
      <c r="N695" s="1">
        <v>202073.16</v>
      </c>
      <c r="O695" s="1">
        <v>2024</v>
      </c>
      <c r="P695" s="1" t="s">
        <v>74</v>
      </c>
      <c r="Q695" s="1" t="s">
        <v>33</v>
      </c>
      <c r="R695" s="1" t="s">
        <v>61</v>
      </c>
      <c r="S695" s="1">
        <f t="shared" si="10"/>
        <v>25</v>
      </c>
      <c r="T695" s="7" t="str">
        <f>_xlfn.TEXTJOIN("_",TRUE,Finance_Data!A695,Finance_Data!B695,Finance_Data!C695,Finance_Data!D695,Finance_Data!E695,Finance_Data!G695,Finance_Data!H695)</f>
        <v>CMP_009_South_USA_Lipstick_Ecommerce_45538_45562</v>
      </c>
    </row>
    <row r="696" spans="1:20" x14ac:dyDescent="0.35">
      <c r="A696" s="6" t="s">
        <v>117</v>
      </c>
      <c r="B696" s="1" t="s">
        <v>19</v>
      </c>
      <c r="C696" s="1" t="s">
        <v>69</v>
      </c>
      <c r="D696" s="1" t="s">
        <v>43</v>
      </c>
      <c r="E696" s="1" t="s">
        <v>30</v>
      </c>
      <c r="F696" s="1" t="s">
        <v>44</v>
      </c>
      <c r="G696" s="2">
        <v>45540</v>
      </c>
      <c r="H696" s="2">
        <v>45592</v>
      </c>
      <c r="I696" s="1">
        <v>18726.22</v>
      </c>
      <c r="J696" s="1">
        <v>0.58179999999999998</v>
      </c>
      <c r="K696" s="1">
        <v>10894.91</v>
      </c>
      <c r="L696" s="1">
        <v>467250</v>
      </c>
      <c r="M696" s="1">
        <v>17002</v>
      </c>
      <c r="N696" s="1">
        <v>158859.03</v>
      </c>
      <c r="O696" s="1">
        <v>2024</v>
      </c>
      <c r="P696" s="1" t="s">
        <v>74</v>
      </c>
      <c r="Q696" s="1" t="s">
        <v>33</v>
      </c>
      <c r="R696" s="1" t="s">
        <v>26</v>
      </c>
      <c r="S696" s="1">
        <f t="shared" si="10"/>
        <v>53</v>
      </c>
      <c r="T696" s="7" t="str">
        <f>_xlfn.TEXTJOIN("_",TRUE,Finance_Data!A696,Finance_Data!B696,Finance_Data!C696,Finance_Data!D696,Finance_Data!E696,Finance_Data!G696,Finance_Data!H696)</f>
        <v>CMP_031_North_USA_Luxury Bag_Wholesale_45540_45592</v>
      </c>
    </row>
    <row r="697" spans="1:20" x14ac:dyDescent="0.35">
      <c r="A697" s="6" t="s">
        <v>109</v>
      </c>
      <c r="B697" s="1" t="s">
        <v>28</v>
      </c>
      <c r="C697" s="1" t="s">
        <v>58</v>
      </c>
      <c r="D697" s="1" t="s">
        <v>51</v>
      </c>
      <c r="E697" s="1" t="s">
        <v>38</v>
      </c>
      <c r="F697" s="1" t="s">
        <v>23</v>
      </c>
      <c r="G697" s="2">
        <v>45541</v>
      </c>
      <c r="H697" s="2">
        <v>45562</v>
      </c>
      <c r="I697" s="1">
        <v>8313.31</v>
      </c>
      <c r="J697" s="1">
        <v>1.1500999999999999</v>
      </c>
      <c r="K697" s="1">
        <v>9561.14</v>
      </c>
      <c r="L697" s="1">
        <v>188386</v>
      </c>
      <c r="M697" s="1">
        <v>37274</v>
      </c>
      <c r="N697" s="1">
        <v>33750.879999999997</v>
      </c>
      <c r="O697" s="1">
        <v>2024</v>
      </c>
      <c r="P697" s="1" t="s">
        <v>74</v>
      </c>
      <c r="Q697" s="1" t="s">
        <v>33</v>
      </c>
      <c r="R697" s="1" t="s">
        <v>61</v>
      </c>
      <c r="S697" s="1">
        <f t="shared" si="10"/>
        <v>22</v>
      </c>
      <c r="T697" s="7" t="str">
        <f>_xlfn.TEXTJOIN("_",TRUE,Finance_Data!A697,Finance_Data!B697,Finance_Data!C697,Finance_Data!D697,Finance_Data!E697,Finance_Data!G697,Finance_Data!H697)</f>
        <v>CMP_046_West_UK_Watch_Ecommerce_45541_45562</v>
      </c>
    </row>
    <row r="698" spans="1:20" x14ac:dyDescent="0.35">
      <c r="A698" s="6" t="s">
        <v>67</v>
      </c>
      <c r="B698" s="1" t="s">
        <v>48</v>
      </c>
      <c r="C698" s="1" t="s">
        <v>69</v>
      </c>
      <c r="D698" s="1" t="s">
        <v>43</v>
      </c>
      <c r="E698" s="1" t="s">
        <v>38</v>
      </c>
      <c r="F698" s="1" t="s">
        <v>49</v>
      </c>
      <c r="G698" s="2">
        <v>45541</v>
      </c>
      <c r="H698" s="2">
        <v>45561</v>
      </c>
      <c r="I698" s="1">
        <v>18136.75</v>
      </c>
      <c r="J698" s="1">
        <v>0.1022</v>
      </c>
      <c r="K698" s="1">
        <v>1853.58</v>
      </c>
      <c r="L698" s="1">
        <v>475371</v>
      </c>
      <c r="M698" s="1">
        <v>7517</v>
      </c>
      <c r="N698" s="1">
        <v>130203.7</v>
      </c>
      <c r="O698" s="1">
        <v>2024</v>
      </c>
      <c r="P698" s="1" t="s">
        <v>74</v>
      </c>
      <c r="Q698" s="1" t="s">
        <v>33</v>
      </c>
      <c r="R698" s="1" t="s">
        <v>26</v>
      </c>
      <c r="S698" s="1">
        <f t="shared" si="10"/>
        <v>21</v>
      </c>
      <c r="T698" s="7" t="str">
        <f>_xlfn.TEXTJOIN("_",TRUE,Finance_Data!A698,Finance_Data!B698,Finance_Data!C698,Finance_Data!D698,Finance_Data!E698,Finance_Data!G698,Finance_Data!H698)</f>
        <v>CMP_016_South_USA_Luxury Bag_Ecommerce_45541_45561</v>
      </c>
    </row>
    <row r="699" spans="1:20" x14ac:dyDescent="0.35">
      <c r="A699" s="6" t="s">
        <v>72</v>
      </c>
      <c r="B699" s="1" t="s">
        <v>19</v>
      </c>
      <c r="C699" s="1" t="s">
        <v>29</v>
      </c>
      <c r="D699" s="1" t="s">
        <v>59</v>
      </c>
      <c r="E699" s="1" t="s">
        <v>22</v>
      </c>
      <c r="F699" s="1" t="s">
        <v>31</v>
      </c>
      <c r="G699" s="2">
        <v>45544</v>
      </c>
      <c r="H699" s="2">
        <v>45555</v>
      </c>
      <c r="I699" s="1">
        <v>19515.88</v>
      </c>
      <c r="J699" s="1">
        <v>3.4700000000000002E-2</v>
      </c>
      <c r="K699" s="1">
        <v>677.2</v>
      </c>
      <c r="L699" s="1">
        <v>876713</v>
      </c>
      <c r="M699" s="1">
        <v>988</v>
      </c>
      <c r="N699" s="1">
        <v>192044.21</v>
      </c>
      <c r="O699" s="1">
        <v>2024</v>
      </c>
      <c r="P699" s="1" t="s">
        <v>74</v>
      </c>
      <c r="Q699" s="1" t="s">
        <v>33</v>
      </c>
      <c r="R699" s="1" t="s">
        <v>61</v>
      </c>
      <c r="S699" s="1">
        <f t="shared" si="10"/>
        <v>12</v>
      </c>
      <c r="T699" s="7" t="str">
        <f>_xlfn.TEXTJOIN("_",TRUE,Finance_Data!A699,Finance_Data!B699,Finance_Data!C699,Finance_Data!D699,Finance_Data!E699,Finance_Data!G699,Finance_Data!H699)</f>
        <v>CMP_042_North_Australia_Lipstick_Retail_45544_45555</v>
      </c>
    </row>
    <row r="700" spans="1:20" x14ac:dyDescent="0.35">
      <c r="A700" s="6" t="s">
        <v>55</v>
      </c>
      <c r="B700" s="1" t="s">
        <v>28</v>
      </c>
      <c r="C700" s="1" t="s">
        <v>20</v>
      </c>
      <c r="D700" s="1" t="s">
        <v>21</v>
      </c>
      <c r="E700" s="1" t="s">
        <v>38</v>
      </c>
      <c r="F700" s="1" t="s">
        <v>31</v>
      </c>
      <c r="G700" s="2">
        <v>45546</v>
      </c>
      <c r="H700" s="2">
        <v>45604</v>
      </c>
      <c r="I700" s="1">
        <v>11481.07</v>
      </c>
      <c r="J700" s="1">
        <v>0.2077</v>
      </c>
      <c r="K700" s="1">
        <v>2384.62</v>
      </c>
      <c r="L700" s="1">
        <v>674555</v>
      </c>
      <c r="M700" s="1">
        <v>18301</v>
      </c>
      <c r="N700" s="1">
        <v>179280.18</v>
      </c>
      <c r="O700" s="1">
        <v>2024</v>
      </c>
      <c r="P700" s="1" t="s">
        <v>74</v>
      </c>
      <c r="Q700" s="1" t="s">
        <v>33</v>
      </c>
      <c r="R700" s="1" t="s">
        <v>26</v>
      </c>
      <c r="S700" s="1">
        <f t="shared" si="10"/>
        <v>59</v>
      </c>
      <c r="T700" s="7" t="str">
        <f>_xlfn.TEXTJOIN("_",TRUE,Finance_Data!A700,Finance_Data!B700,Finance_Data!C700,Finance_Data!D700,Finance_Data!E700,Finance_Data!G700,Finance_Data!H700)</f>
        <v>CMP_054_West_Singapore_Foundation_Ecommerce_45546_45604</v>
      </c>
    </row>
    <row r="701" spans="1:20" x14ac:dyDescent="0.35">
      <c r="A701" s="6" t="s">
        <v>55</v>
      </c>
      <c r="B701" s="1" t="s">
        <v>35</v>
      </c>
      <c r="C701" s="1" t="s">
        <v>36</v>
      </c>
      <c r="D701" s="1" t="s">
        <v>43</v>
      </c>
      <c r="E701" s="1" t="s">
        <v>30</v>
      </c>
      <c r="F701" s="1" t="s">
        <v>52</v>
      </c>
      <c r="G701" s="2">
        <v>45546</v>
      </c>
      <c r="H701" s="2">
        <v>45581</v>
      </c>
      <c r="I701" s="1">
        <v>25567</v>
      </c>
      <c r="J701" s="1">
        <v>1.1496999999999999</v>
      </c>
      <c r="K701" s="1">
        <v>29394.38</v>
      </c>
      <c r="L701" s="1">
        <v>482407</v>
      </c>
      <c r="M701" s="1">
        <v>6883</v>
      </c>
      <c r="N701" s="1">
        <v>203686.87</v>
      </c>
      <c r="O701" s="1">
        <v>2024</v>
      </c>
      <c r="P701" s="1" t="s">
        <v>74</v>
      </c>
      <c r="Q701" s="1" t="s">
        <v>33</v>
      </c>
      <c r="R701" s="1" t="s">
        <v>26</v>
      </c>
      <c r="S701" s="1">
        <f t="shared" si="10"/>
        <v>36</v>
      </c>
      <c r="T701" s="7" t="str">
        <f>_xlfn.TEXTJOIN("_",TRUE,Finance_Data!A701,Finance_Data!B701,Finance_Data!C701,Finance_Data!D701,Finance_Data!E701,Finance_Data!G701,Finance_Data!H701)</f>
        <v>CMP_054_East_India_Luxury Bag_Wholesale_45546_45581</v>
      </c>
    </row>
    <row r="702" spans="1:20" x14ac:dyDescent="0.35">
      <c r="A702" s="6" t="s">
        <v>94</v>
      </c>
      <c r="B702" s="1" t="s">
        <v>19</v>
      </c>
      <c r="C702" s="1" t="s">
        <v>69</v>
      </c>
      <c r="D702" s="1" t="s">
        <v>43</v>
      </c>
      <c r="E702" s="1" t="s">
        <v>30</v>
      </c>
      <c r="F702" s="1" t="s">
        <v>49</v>
      </c>
      <c r="G702" s="2">
        <v>45547</v>
      </c>
      <c r="H702" s="2">
        <v>45590</v>
      </c>
      <c r="I702" s="1">
        <v>48223</v>
      </c>
      <c r="J702" s="1">
        <v>0.86480000000000001</v>
      </c>
      <c r="K702" s="1">
        <v>41703.25</v>
      </c>
      <c r="L702" s="1">
        <v>825573</v>
      </c>
      <c r="M702" s="1">
        <v>10832</v>
      </c>
      <c r="N702" s="1">
        <v>241356.59</v>
      </c>
      <c r="O702" s="1">
        <v>2024</v>
      </c>
      <c r="P702" s="1" t="s">
        <v>74</v>
      </c>
      <c r="Q702" s="1" t="s">
        <v>33</v>
      </c>
      <c r="R702" s="1" t="s">
        <v>54</v>
      </c>
      <c r="S702" s="1">
        <f t="shared" si="10"/>
        <v>44</v>
      </c>
      <c r="T702" s="7" t="str">
        <f>_xlfn.TEXTJOIN("_",TRUE,Finance_Data!A702,Finance_Data!B702,Finance_Data!C702,Finance_Data!D702,Finance_Data!E702,Finance_Data!G702,Finance_Data!H702)</f>
        <v>CMP_007_North_USA_Luxury Bag_Wholesale_45547_45590</v>
      </c>
    </row>
    <row r="703" spans="1:20" x14ac:dyDescent="0.35">
      <c r="A703" s="6" t="s">
        <v>93</v>
      </c>
      <c r="B703" s="1" t="s">
        <v>35</v>
      </c>
      <c r="C703" s="1" t="s">
        <v>20</v>
      </c>
      <c r="D703" s="1" t="s">
        <v>21</v>
      </c>
      <c r="E703" s="1" t="s">
        <v>30</v>
      </c>
      <c r="F703" s="1" t="s">
        <v>31</v>
      </c>
      <c r="G703" s="2">
        <v>45548</v>
      </c>
      <c r="H703" s="2">
        <v>45581</v>
      </c>
      <c r="I703" s="1">
        <v>21295</v>
      </c>
      <c r="J703" s="1">
        <v>0.26650000000000001</v>
      </c>
      <c r="K703" s="1">
        <v>5675.12</v>
      </c>
      <c r="L703" s="1">
        <v>547234</v>
      </c>
      <c r="M703" s="1">
        <v>7559</v>
      </c>
      <c r="N703" s="1">
        <v>89567.35</v>
      </c>
      <c r="O703" s="1">
        <v>2024</v>
      </c>
      <c r="P703" s="1" t="s">
        <v>74</v>
      </c>
      <c r="Q703" s="1" t="s">
        <v>33</v>
      </c>
      <c r="R703" s="1" t="s">
        <v>26</v>
      </c>
      <c r="S703" s="1">
        <f t="shared" si="10"/>
        <v>34</v>
      </c>
      <c r="T703" s="7" t="str">
        <f>_xlfn.TEXTJOIN("_",TRUE,Finance_Data!A703,Finance_Data!B703,Finance_Data!C703,Finance_Data!D703,Finance_Data!E703,Finance_Data!G703,Finance_Data!H703)</f>
        <v>CMP_008_East_Singapore_Foundation_Wholesale_45548_45581</v>
      </c>
    </row>
    <row r="704" spans="1:20" x14ac:dyDescent="0.35">
      <c r="A704" s="6" t="s">
        <v>110</v>
      </c>
      <c r="B704" s="1" t="s">
        <v>19</v>
      </c>
      <c r="C704" s="1" t="s">
        <v>69</v>
      </c>
      <c r="D704" s="1" t="s">
        <v>59</v>
      </c>
      <c r="E704" s="1" t="s">
        <v>30</v>
      </c>
      <c r="F704" s="1" t="s">
        <v>31</v>
      </c>
      <c r="G704" s="2">
        <v>45548</v>
      </c>
      <c r="H704" s="2">
        <v>45581</v>
      </c>
      <c r="I704" s="1">
        <v>48267.72</v>
      </c>
      <c r="J704" s="1">
        <v>0.81269999999999998</v>
      </c>
      <c r="K704" s="1">
        <v>39227.18</v>
      </c>
      <c r="L704" s="1">
        <v>934771</v>
      </c>
      <c r="M704" s="1">
        <v>34409</v>
      </c>
      <c r="N704" s="1">
        <v>226430.66</v>
      </c>
      <c r="O704" s="1">
        <v>2024</v>
      </c>
      <c r="P704" s="1" t="s">
        <v>74</v>
      </c>
      <c r="Q704" s="1" t="s">
        <v>33</v>
      </c>
      <c r="R704" s="1" t="s">
        <v>26</v>
      </c>
      <c r="S704" s="1">
        <f t="shared" si="10"/>
        <v>34</v>
      </c>
      <c r="T704" s="7" t="str">
        <f>_xlfn.TEXTJOIN("_",TRUE,Finance_Data!A704,Finance_Data!B704,Finance_Data!C704,Finance_Data!D704,Finance_Data!E704,Finance_Data!G704,Finance_Data!H704)</f>
        <v>CMP_012_North_USA_Lipstick_Wholesale_45548_45581</v>
      </c>
    </row>
    <row r="705" spans="1:20" x14ac:dyDescent="0.35">
      <c r="A705" s="6" t="s">
        <v>86</v>
      </c>
      <c r="B705" s="1" t="s">
        <v>28</v>
      </c>
      <c r="C705" s="1" t="s">
        <v>29</v>
      </c>
      <c r="D705" s="1" t="s">
        <v>43</v>
      </c>
      <c r="E705" s="1" t="s">
        <v>22</v>
      </c>
      <c r="F705" s="1" t="s">
        <v>52</v>
      </c>
      <c r="G705" s="2">
        <v>45548</v>
      </c>
      <c r="H705" s="2">
        <v>45558</v>
      </c>
      <c r="I705" s="1">
        <v>14794.35</v>
      </c>
      <c r="J705" s="1">
        <v>1.1128</v>
      </c>
      <c r="K705" s="1">
        <v>16463.150000000001</v>
      </c>
      <c r="L705" s="1">
        <v>409941</v>
      </c>
      <c r="M705" s="1">
        <v>25994</v>
      </c>
      <c r="N705" s="1">
        <v>206419.98</v>
      </c>
      <c r="O705" s="1">
        <v>2024</v>
      </c>
      <c r="P705" s="1" t="s">
        <v>74</v>
      </c>
      <c r="Q705" s="1" t="s">
        <v>33</v>
      </c>
      <c r="R705" s="1" t="s">
        <v>54</v>
      </c>
      <c r="S705" s="1">
        <f t="shared" si="10"/>
        <v>11</v>
      </c>
      <c r="T705" s="7" t="str">
        <f>_xlfn.TEXTJOIN("_",TRUE,Finance_Data!A705,Finance_Data!B705,Finance_Data!C705,Finance_Data!D705,Finance_Data!E705,Finance_Data!G705,Finance_Data!H705)</f>
        <v>CMP_002_West_Australia_Luxury Bag_Retail_45548_45558</v>
      </c>
    </row>
    <row r="706" spans="1:20" x14ac:dyDescent="0.35">
      <c r="A706" s="6" t="s">
        <v>79</v>
      </c>
      <c r="B706" s="1" t="s">
        <v>35</v>
      </c>
      <c r="C706" s="1" t="s">
        <v>69</v>
      </c>
      <c r="D706" s="1" t="s">
        <v>37</v>
      </c>
      <c r="E706" s="1" t="s">
        <v>22</v>
      </c>
      <c r="F706" s="1" t="s">
        <v>52</v>
      </c>
      <c r="G706" s="2">
        <v>45550</v>
      </c>
      <c r="H706" s="2">
        <v>45597</v>
      </c>
      <c r="I706" s="1">
        <v>41643.58</v>
      </c>
      <c r="J706" s="1">
        <v>0.32829999999999998</v>
      </c>
      <c r="K706" s="1">
        <v>13671.59</v>
      </c>
      <c r="L706" s="1">
        <v>199179</v>
      </c>
      <c r="M706" s="1">
        <v>18009</v>
      </c>
      <c r="N706" s="1">
        <v>177161.2</v>
      </c>
      <c r="O706" s="1">
        <v>2024</v>
      </c>
      <c r="P706" s="1" t="s">
        <v>74</v>
      </c>
      <c r="Q706" s="1" t="s">
        <v>33</v>
      </c>
      <c r="R706" s="1" t="s">
        <v>54</v>
      </c>
      <c r="S706" s="1">
        <f t="shared" ref="S706:S769" si="11">H706-G706+1</f>
        <v>48</v>
      </c>
      <c r="T706" s="7" t="str">
        <f>_xlfn.TEXTJOIN("_",TRUE,Finance_Data!A706,Finance_Data!B706,Finance_Data!C706,Finance_Data!D706,Finance_Data!E706,Finance_Data!G706,Finance_Data!H706)</f>
        <v>CMP_020_East_USA_Perfume_Retail_45550_45597</v>
      </c>
    </row>
    <row r="707" spans="1:20" x14ac:dyDescent="0.35">
      <c r="A707" s="6" t="s">
        <v>83</v>
      </c>
      <c r="B707" s="1" t="s">
        <v>35</v>
      </c>
      <c r="C707" s="1" t="s">
        <v>58</v>
      </c>
      <c r="D707" s="1" t="s">
        <v>21</v>
      </c>
      <c r="E707" s="1" t="s">
        <v>38</v>
      </c>
      <c r="F707" s="1" t="s">
        <v>23</v>
      </c>
      <c r="G707" s="2">
        <v>45550</v>
      </c>
      <c r="H707" s="2">
        <v>45570</v>
      </c>
      <c r="I707" s="1">
        <v>28594.09</v>
      </c>
      <c r="J707" s="1">
        <v>0.2646</v>
      </c>
      <c r="K707" s="1">
        <v>7566</v>
      </c>
      <c r="L707" s="1">
        <v>812903</v>
      </c>
      <c r="M707" s="1">
        <v>36160</v>
      </c>
      <c r="N707" s="1">
        <v>231906</v>
      </c>
      <c r="O707" s="1">
        <v>2024</v>
      </c>
      <c r="P707" s="1" t="s">
        <v>74</v>
      </c>
      <c r="Q707" s="1" t="s">
        <v>33</v>
      </c>
      <c r="R707" s="1" t="s">
        <v>26</v>
      </c>
      <c r="S707" s="1">
        <f t="shared" si="11"/>
        <v>21</v>
      </c>
      <c r="T707" s="7" t="str">
        <f>_xlfn.TEXTJOIN("_",TRUE,Finance_Data!A707,Finance_Data!B707,Finance_Data!C707,Finance_Data!D707,Finance_Data!E707,Finance_Data!G707,Finance_Data!H707)</f>
        <v>CMP_017_East_UK_Foundation_Ecommerce_45550_45570</v>
      </c>
    </row>
    <row r="708" spans="1:20" x14ac:dyDescent="0.35">
      <c r="A708" s="6" t="s">
        <v>90</v>
      </c>
      <c r="B708" s="1" t="s">
        <v>28</v>
      </c>
      <c r="C708" s="1" t="s">
        <v>58</v>
      </c>
      <c r="D708" s="1" t="s">
        <v>51</v>
      </c>
      <c r="E708" s="1" t="s">
        <v>30</v>
      </c>
      <c r="F708" s="1" t="s">
        <v>52</v>
      </c>
      <c r="G708" s="2">
        <v>45552</v>
      </c>
      <c r="H708" s="2">
        <v>45598</v>
      </c>
      <c r="I708" s="1">
        <v>43059.43</v>
      </c>
      <c r="J708" s="1">
        <v>0.40860000000000002</v>
      </c>
      <c r="K708" s="1">
        <v>17594.080000000002</v>
      </c>
      <c r="L708" s="1">
        <v>290061</v>
      </c>
      <c r="M708" s="1">
        <v>6540</v>
      </c>
      <c r="N708" s="1">
        <v>67559.259999999995</v>
      </c>
      <c r="O708" s="1">
        <v>2024</v>
      </c>
      <c r="P708" s="1" t="s">
        <v>74</v>
      </c>
      <c r="Q708" s="1" t="s">
        <v>33</v>
      </c>
      <c r="R708" s="1" t="s">
        <v>61</v>
      </c>
      <c r="S708" s="1">
        <f t="shared" si="11"/>
        <v>47</v>
      </c>
      <c r="T708" s="7" t="str">
        <f>_xlfn.TEXTJOIN("_",TRUE,Finance_Data!A708,Finance_Data!B708,Finance_Data!C708,Finance_Data!D708,Finance_Data!E708,Finance_Data!G708,Finance_Data!H708)</f>
        <v>CMP_038_West_UK_Watch_Wholesale_45552_45598</v>
      </c>
    </row>
    <row r="709" spans="1:20" x14ac:dyDescent="0.35">
      <c r="A709" s="6" t="s">
        <v>113</v>
      </c>
      <c r="B709" s="1" t="s">
        <v>28</v>
      </c>
      <c r="C709" s="1" t="s">
        <v>29</v>
      </c>
      <c r="D709" s="1" t="s">
        <v>37</v>
      </c>
      <c r="E709" s="1" t="s">
        <v>30</v>
      </c>
      <c r="F709" s="1" t="s">
        <v>23</v>
      </c>
      <c r="G709" s="2">
        <v>45552</v>
      </c>
      <c r="H709" s="2">
        <v>45560</v>
      </c>
      <c r="I709" s="1">
        <v>48789.95</v>
      </c>
      <c r="J709" s="1">
        <v>1.0489999999999999</v>
      </c>
      <c r="K709" s="1">
        <v>51180.66</v>
      </c>
      <c r="L709" s="1">
        <v>855435</v>
      </c>
      <c r="M709" s="1">
        <v>6665</v>
      </c>
      <c r="N709" s="1">
        <v>5755.74</v>
      </c>
      <c r="O709" s="1">
        <v>2024</v>
      </c>
      <c r="P709" s="1" t="s">
        <v>74</v>
      </c>
      <c r="Q709" s="1" t="s">
        <v>33</v>
      </c>
      <c r="R709" s="1" t="s">
        <v>41</v>
      </c>
      <c r="S709" s="1">
        <f t="shared" si="11"/>
        <v>9</v>
      </c>
      <c r="T709" s="7" t="str">
        <f>_xlfn.TEXTJOIN("_",TRUE,Finance_Data!A709,Finance_Data!B709,Finance_Data!C709,Finance_Data!D709,Finance_Data!E709,Finance_Data!G709,Finance_Data!H709)</f>
        <v>CMP_056_West_Australia_Perfume_Wholesale_45552_45560</v>
      </c>
    </row>
    <row r="710" spans="1:20" x14ac:dyDescent="0.35">
      <c r="A710" s="6" t="s">
        <v>82</v>
      </c>
      <c r="B710" s="1" t="s">
        <v>19</v>
      </c>
      <c r="C710" s="1" t="s">
        <v>29</v>
      </c>
      <c r="D710" s="1" t="s">
        <v>63</v>
      </c>
      <c r="E710" s="1" t="s">
        <v>22</v>
      </c>
      <c r="F710" s="1" t="s">
        <v>23</v>
      </c>
      <c r="G710" s="2">
        <v>45553</v>
      </c>
      <c r="H710" s="2">
        <v>45609</v>
      </c>
      <c r="I710" s="1">
        <v>33044.839999999997</v>
      </c>
      <c r="J710" s="1">
        <v>1.9300000000000001E-2</v>
      </c>
      <c r="K710" s="1">
        <v>637.77</v>
      </c>
      <c r="L710" s="1">
        <v>866795</v>
      </c>
      <c r="M710" s="1">
        <v>36446</v>
      </c>
      <c r="N710" s="1">
        <v>78347.789999999994</v>
      </c>
      <c r="O710" s="1">
        <v>2024</v>
      </c>
      <c r="P710" s="1" t="s">
        <v>74</v>
      </c>
      <c r="Q710" s="1" t="s">
        <v>33</v>
      </c>
      <c r="R710" s="1" t="s">
        <v>61</v>
      </c>
      <c r="S710" s="1">
        <f t="shared" si="11"/>
        <v>57</v>
      </c>
      <c r="T710" s="7" t="str">
        <f>_xlfn.TEXTJOIN("_",TRUE,Finance_Data!A710,Finance_Data!B710,Finance_Data!C710,Finance_Data!D710,Finance_Data!E710,Finance_Data!G710,Finance_Data!H710)</f>
        <v>CMP_043_North_Australia_Skincare_Retail_45553_45609</v>
      </c>
    </row>
    <row r="711" spans="1:20" x14ac:dyDescent="0.35">
      <c r="A711" s="6" t="s">
        <v>84</v>
      </c>
      <c r="B711" s="1" t="s">
        <v>19</v>
      </c>
      <c r="C711" s="1" t="s">
        <v>36</v>
      </c>
      <c r="D711" s="1" t="s">
        <v>51</v>
      </c>
      <c r="E711" s="1" t="s">
        <v>30</v>
      </c>
      <c r="F711" s="1" t="s">
        <v>31</v>
      </c>
      <c r="G711" s="2">
        <v>45553</v>
      </c>
      <c r="H711" s="2">
        <v>45590</v>
      </c>
      <c r="I711" s="1">
        <v>20805.669999999998</v>
      </c>
      <c r="J711" s="1">
        <v>0.1618</v>
      </c>
      <c r="K711" s="1">
        <v>3366.36</v>
      </c>
      <c r="L711" s="1">
        <v>318474</v>
      </c>
      <c r="M711" s="1">
        <v>4190</v>
      </c>
      <c r="N711" s="1">
        <v>95459.61</v>
      </c>
      <c r="O711" s="1">
        <v>2024</v>
      </c>
      <c r="P711" s="1" t="s">
        <v>74</v>
      </c>
      <c r="Q711" s="1" t="s">
        <v>33</v>
      </c>
      <c r="R711" s="1" t="s">
        <v>26</v>
      </c>
      <c r="S711" s="1">
        <f t="shared" si="11"/>
        <v>38</v>
      </c>
      <c r="T711" s="7" t="str">
        <f>_xlfn.TEXTJOIN("_",TRUE,Finance_Data!A711,Finance_Data!B711,Finance_Data!C711,Finance_Data!D711,Finance_Data!E711,Finance_Data!G711,Finance_Data!H711)</f>
        <v>CMP_036_North_India_Watch_Wholesale_45553_45590</v>
      </c>
    </row>
    <row r="712" spans="1:20" x14ac:dyDescent="0.35">
      <c r="A712" s="6" t="s">
        <v>108</v>
      </c>
      <c r="B712" s="1" t="s">
        <v>28</v>
      </c>
      <c r="C712" s="1" t="s">
        <v>20</v>
      </c>
      <c r="D712" s="1" t="s">
        <v>51</v>
      </c>
      <c r="E712" s="1" t="s">
        <v>38</v>
      </c>
      <c r="F712" s="1" t="s">
        <v>49</v>
      </c>
      <c r="G712" s="2">
        <v>45554</v>
      </c>
      <c r="H712" s="2">
        <v>45562</v>
      </c>
      <c r="I712" s="1">
        <v>45275.68</v>
      </c>
      <c r="J712" s="1">
        <v>0.64670000000000005</v>
      </c>
      <c r="K712" s="1">
        <v>29279.78</v>
      </c>
      <c r="L712" s="1">
        <v>21307</v>
      </c>
      <c r="M712" s="1">
        <v>30827</v>
      </c>
      <c r="N712" s="1">
        <v>116238.52</v>
      </c>
      <c r="O712" s="1">
        <v>2024</v>
      </c>
      <c r="P712" s="1" t="s">
        <v>74</v>
      </c>
      <c r="Q712" s="1" t="s">
        <v>33</v>
      </c>
      <c r="R712" s="1" t="s">
        <v>41</v>
      </c>
      <c r="S712" s="1">
        <f t="shared" si="11"/>
        <v>9</v>
      </c>
      <c r="T712" s="7" t="str">
        <f>_xlfn.TEXTJOIN("_",TRUE,Finance_Data!A712,Finance_Data!B712,Finance_Data!C712,Finance_Data!D712,Finance_Data!E712,Finance_Data!G712,Finance_Data!H712)</f>
        <v>CMP_058_West_Singapore_Watch_Ecommerce_45554_45562</v>
      </c>
    </row>
    <row r="713" spans="1:20" x14ac:dyDescent="0.35">
      <c r="A713" s="6" t="s">
        <v>100</v>
      </c>
      <c r="B713" s="1" t="s">
        <v>48</v>
      </c>
      <c r="C713" s="1" t="s">
        <v>58</v>
      </c>
      <c r="D713" s="1" t="s">
        <v>21</v>
      </c>
      <c r="E713" s="1" t="s">
        <v>22</v>
      </c>
      <c r="F713" s="1" t="s">
        <v>52</v>
      </c>
      <c r="G713" s="2">
        <v>45555</v>
      </c>
      <c r="H713" s="2">
        <v>45601</v>
      </c>
      <c r="I713" s="1">
        <v>26529.27</v>
      </c>
      <c r="J713" s="1">
        <v>0.85680000000000001</v>
      </c>
      <c r="K713" s="1">
        <v>22730.28</v>
      </c>
      <c r="L713" s="1">
        <v>636495</v>
      </c>
      <c r="M713" s="1">
        <v>3865</v>
      </c>
      <c r="N713" s="1">
        <v>236700.39</v>
      </c>
      <c r="O713" s="1">
        <v>2024</v>
      </c>
      <c r="P713" s="1" t="s">
        <v>74</v>
      </c>
      <c r="Q713" s="1" t="s">
        <v>33</v>
      </c>
      <c r="R713" s="1" t="s">
        <v>41</v>
      </c>
      <c r="S713" s="1">
        <f t="shared" si="11"/>
        <v>47</v>
      </c>
      <c r="T713" s="7" t="str">
        <f>_xlfn.TEXTJOIN("_",TRUE,Finance_Data!A713,Finance_Data!B713,Finance_Data!C713,Finance_Data!D713,Finance_Data!E713,Finance_Data!G713,Finance_Data!H713)</f>
        <v>CMP_053_South_UK_Foundation_Retail_45555_45601</v>
      </c>
    </row>
    <row r="714" spans="1:20" x14ac:dyDescent="0.35">
      <c r="A714" s="6" t="s">
        <v>75</v>
      </c>
      <c r="B714" s="1" t="s">
        <v>35</v>
      </c>
      <c r="C714" s="1" t="s">
        <v>20</v>
      </c>
      <c r="D714" s="1" t="s">
        <v>51</v>
      </c>
      <c r="E714" s="1" t="s">
        <v>30</v>
      </c>
      <c r="F714" s="1" t="s">
        <v>52</v>
      </c>
      <c r="G714" s="2">
        <v>45556</v>
      </c>
      <c r="H714" s="2">
        <v>45588</v>
      </c>
      <c r="I714" s="1">
        <v>14453.21</v>
      </c>
      <c r="J714" s="1">
        <v>1.1761999999999999</v>
      </c>
      <c r="K714" s="1">
        <v>16999.87</v>
      </c>
      <c r="L714" s="1">
        <v>70144</v>
      </c>
      <c r="M714" s="1">
        <v>5017</v>
      </c>
      <c r="N714" s="1">
        <v>169440.05</v>
      </c>
      <c r="O714" s="1">
        <v>2024</v>
      </c>
      <c r="P714" s="1" t="s">
        <v>74</v>
      </c>
      <c r="Q714" s="1" t="s">
        <v>33</v>
      </c>
      <c r="R714" s="1" t="s">
        <v>26</v>
      </c>
      <c r="S714" s="1">
        <f t="shared" si="11"/>
        <v>33</v>
      </c>
      <c r="T714" s="7" t="str">
        <f>_xlfn.TEXTJOIN("_",TRUE,Finance_Data!A714,Finance_Data!B714,Finance_Data!C714,Finance_Data!D714,Finance_Data!E714,Finance_Data!G714,Finance_Data!H714)</f>
        <v>CMP_026_East_Singapore_Watch_Wholesale_45556_45588</v>
      </c>
    </row>
    <row r="715" spans="1:20" x14ac:dyDescent="0.35">
      <c r="A715" s="6" t="s">
        <v>72</v>
      </c>
      <c r="B715" s="1" t="s">
        <v>19</v>
      </c>
      <c r="C715" s="1" t="s">
        <v>36</v>
      </c>
      <c r="D715" s="1" t="s">
        <v>21</v>
      </c>
      <c r="E715" s="1" t="s">
        <v>38</v>
      </c>
      <c r="F715" s="1" t="s">
        <v>49</v>
      </c>
      <c r="G715" s="2">
        <v>45556</v>
      </c>
      <c r="H715" s="2">
        <v>45563</v>
      </c>
      <c r="I715" s="1">
        <v>36634.910000000003</v>
      </c>
      <c r="J715" s="1">
        <v>1.0913999999999999</v>
      </c>
      <c r="K715" s="1">
        <v>39983.339999999997</v>
      </c>
      <c r="L715" s="1">
        <v>700909</v>
      </c>
      <c r="M715" s="1">
        <v>34273</v>
      </c>
      <c r="N715" s="1">
        <v>78899.429999999993</v>
      </c>
      <c r="O715" s="1">
        <v>2024</v>
      </c>
      <c r="P715" s="1" t="s">
        <v>74</v>
      </c>
      <c r="Q715" s="1" t="s">
        <v>33</v>
      </c>
      <c r="R715" s="1" t="s">
        <v>26</v>
      </c>
      <c r="S715" s="1">
        <f t="shared" si="11"/>
        <v>8</v>
      </c>
      <c r="T715" s="7" t="str">
        <f>_xlfn.TEXTJOIN("_",TRUE,Finance_Data!A715,Finance_Data!B715,Finance_Data!C715,Finance_Data!D715,Finance_Data!E715,Finance_Data!G715,Finance_Data!H715)</f>
        <v>CMP_042_North_India_Foundation_Ecommerce_45556_45563</v>
      </c>
    </row>
    <row r="716" spans="1:20" x14ac:dyDescent="0.35">
      <c r="A716" s="6" t="s">
        <v>71</v>
      </c>
      <c r="B716" s="1" t="s">
        <v>35</v>
      </c>
      <c r="C716" s="1" t="s">
        <v>58</v>
      </c>
      <c r="D716" s="1" t="s">
        <v>51</v>
      </c>
      <c r="E716" s="1" t="s">
        <v>38</v>
      </c>
      <c r="F716" s="1" t="s">
        <v>23</v>
      </c>
      <c r="G716" s="2">
        <v>45557</v>
      </c>
      <c r="H716" s="2">
        <v>45598</v>
      </c>
      <c r="I716" s="1">
        <v>22910.83</v>
      </c>
      <c r="J716" s="1">
        <v>0.25469999999999998</v>
      </c>
      <c r="K716" s="1">
        <v>5835.39</v>
      </c>
      <c r="L716" s="1">
        <v>930047</v>
      </c>
      <c r="M716" s="1">
        <v>20848</v>
      </c>
      <c r="N716" s="1">
        <v>78435.16</v>
      </c>
      <c r="O716" s="1">
        <v>2024</v>
      </c>
      <c r="P716" s="1" t="s">
        <v>74</v>
      </c>
      <c r="Q716" s="1" t="s">
        <v>33</v>
      </c>
      <c r="R716" s="1" t="s">
        <v>26</v>
      </c>
      <c r="S716" s="1">
        <f t="shared" si="11"/>
        <v>42</v>
      </c>
      <c r="T716" s="7" t="str">
        <f>_xlfn.TEXTJOIN("_",TRUE,Finance_Data!A716,Finance_Data!B716,Finance_Data!C716,Finance_Data!D716,Finance_Data!E716,Finance_Data!G716,Finance_Data!H716)</f>
        <v>CMP_051_East_UK_Watch_Ecommerce_45557_45598</v>
      </c>
    </row>
    <row r="717" spans="1:20" x14ac:dyDescent="0.35">
      <c r="A717" s="6" t="s">
        <v>109</v>
      </c>
      <c r="B717" s="1" t="s">
        <v>35</v>
      </c>
      <c r="C717" s="1" t="s">
        <v>58</v>
      </c>
      <c r="D717" s="1" t="s">
        <v>37</v>
      </c>
      <c r="E717" s="1" t="s">
        <v>38</v>
      </c>
      <c r="F717" s="1" t="s">
        <v>31</v>
      </c>
      <c r="G717" s="2">
        <v>45558</v>
      </c>
      <c r="H717" s="2">
        <v>45610</v>
      </c>
      <c r="I717" s="1">
        <v>42287.49</v>
      </c>
      <c r="J717" s="1">
        <v>0.71650000000000003</v>
      </c>
      <c r="K717" s="1">
        <v>30298.99</v>
      </c>
      <c r="L717" s="1">
        <v>541958</v>
      </c>
      <c r="M717" s="1">
        <v>33504</v>
      </c>
      <c r="N717" s="1">
        <v>135423.26</v>
      </c>
      <c r="O717" s="1">
        <v>2024</v>
      </c>
      <c r="P717" s="1" t="s">
        <v>74</v>
      </c>
      <c r="Q717" s="1" t="s">
        <v>33</v>
      </c>
      <c r="R717" s="1" t="s">
        <v>26</v>
      </c>
      <c r="S717" s="1">
        <f t="shared" si="11"/>
        <v>53</v>
      </c>
      <c r="T717" s="7" t="str">
        <f>_xlfn.TEXTJOIN("_",TRUE,Finance_Data!A717,Finance_Data!B717,Finance_Data!C717,Finance_Data!D717,Finance_Data!E717,Finance_Data!G717,Finance_Data!H717)</f>
        <v>CMP_046_East_UK_Perfume_Ecommerce_45558_45610</v>
      </c>
    </row>
    <row r="718" spans="1:20" x14ac:dyDescent="0.35">
      <c r="A718" s="6" t="s">
        <v>27</v>
      </c>
      <c r="B718" s="1" t="s">
        <v>19</v>
      </c>
      <c r="C718" s="1" t="s">
        <v>58</v>
      </c>
      <c r="D718" s="1" t="s">
        <v>43</v>
      </c>
      <c r="E718" s="1" t="s">
        <v>22</v>
      </c>
      <c r="F718" s="1" t="s">
        <v>23</v>
      </c>
      <c r="G718" s="2">
        <v>45558</v>
      </c>
      <c r="H718" s="2">
        <v>45585</v>
      </c>
      <c r="I718" s="1">
        <v>16309.59</v>
      </c>
      <c r="J718" s="1">
        <v>0.98280000000000001</v>
      </c>
      <c r="K718" s="1">
        <v>16029.07</v>
      </c>
      <c r="L718" s="1">
        <v>757528</v>
      </c>
      <c r="M718" s="1">
        <v>49802</v>
      </c>
      <c r="N718" s="1">
        <v>169363.22</v>
      </c>
      <c r="O718" s="1">
        <v>2024</v>
      </c>
      <c r="P718" s="1" t="s">
        <v>74</v>
      </c>
      <c r="Q718" s="1" t="s">
        <v>33</v>
      </c>
      <c r="R718" s="1" t="s">
        <v>54</v>
      </c>
      <c r="S718" s="1">
        <f t="shared" si="11"/>
        <v>28</v>
      </c>
      <c r="T718" s="7" t="str">
        <f>_xlfn.TEXTJOIN("_",TRUE,Finance_Data!A718,Finance_Data!B718,Finance_Data!C718,Finance_Data!D718,Finance_Data!E718,Finance_Data!G718,Finance_Data!H718)</f>
        <v>CMP_035_North_UK_Luxury Bag_Retail_45558_45585</v>
      </c>
    </row>
    <row r="719" spans="1:20" x14ac:dyDescent="0.35">
      <c r="A719" s="6" t="s">
        <v>18</v>
      </c>
      <c r="B719" s="1" t="s">
        <v>48</v>
      </c>
      <c r="C719" s="1" t="s">
        <v>69</v>
      </c>
      <c r="D719" s="1" t="s">
        <v>37</v>
      </c>
      <c r="E719" s="1" t="s">
        <v>22</v>
      </c>
      <c r="F719" s="1" t="s">
        <v>31</v>
      </c>
      <c r="G719" s="2">
        <v>45559</v>
      </c>
      <c r="H719" s="2">
        <v>45575</v>
      </c>
      <c r="I719" s="1">
        <v>40873.17</v>
      </c>
      <c r="J719" s="1">
        <v>0.85009999999999997</v>
      </c>
      <c r="K719" s="1">
        <v>34746.28</v>
      </c>
      <c r="L719" s="1">
        <v>321893</v>
      </c>
      <c r="M719" s="1">
        <v>40370</v>
      </c>
      <c r="N719" s="1">
        <v>149591.25</v>
      </c>
      <c r="O719" s="1">
        <v>2024</v>
      </c>
      <c r="P719" s="1" t="s">
        <v>74</v>
      </c>
      <c r="Q719" s="1" t="s">
        <v>33</v>
      </c>
      <c r="R719" s="1" t="s">
        <v>26</v>
      </c>
      <c r="S719" s="1">
        <f t="shared" si="11"/>
        <v>17</v>
      </c>
      <c r="T719" s="7" t="str">
        <f>_xlfn.TEXTJOIN("_",TRUE,Finance_Data!A719,Finance_Data!B719,Finance_Data!C719,Finance_Data!D719,Finance_Data!E719,Finance_Data!G719,Finance_Data!H719)</f>
        <v>CMP_044_South_USA_Perfume_Retail_45559_45575</v>
      </c>
    </row>
    <row r="720" spans="1:20" x14ac:dyDescent="0.35">
      <c r="A720" s="6" t="s">
        <v>113</v>
      </c>
      <c r="B720" s="1" t="s">
        <v>19</v>
      </c>
      <c r="C720" s="1" t="s">
        <v>20</v>
      </c>
      <c r="D720" s="1" t="s">
        <v>37</v>
      </c>
      <c r="E720" s="1" t="s">
        <v>22</v>
      </c>
      <c r="F720" s="1" t="s">
        <v>44</v>
      </c>
      <c r="G720" s="2">
        <v>45560</v>
      </c>
      <c r="H720" s="2">
        <v>45600</v>
      </c>
      <c r="I720" s="1">
        <v>42817.66</v>
      </c>
      <c r="J720" s="1">
        <v>0.96389999999999998</v>
      </c>
      <c r="K720" s="1">
        <v>41271.94</v>
      </c>
      <c r="L720" s="1">
        <v>470197</v>
      </c>
      <c r="M720" s="1">
        <v>28117</v>
      </c>
      <c r="N720" s="1">
        <v>158240.32000000001</v>
      </c>
      <c r="O720" s="1">
        <v>2024</v>
      </c>
      <c r="P720" s="1" t="s">
        <v>74</v>
      </c>
      <c r="Q720" s="1" t="s">
        <v>33</v>
      </c>
      <c r="R720" s="1" t="s">
        <v>41</v>
      </c>
      <c r="S720" s="1">
        <f t="shared" si="11"/>
        <v>41</v>
      </c>
      <c r="T720" s="7" t="str">
        <f>_xlfn.TEXTJOIN("_",TRUE,Finance_Data!A720,Finance_Data!B720,Finance_Data!C720,Finance_Data!D720,Finance_Data!E720,Finance_Data!G720,Finance_Data!H720)</f>
        <v>CMP_056_North_Singapore_Perfume_Retail_45560_45600</v>
      </c>
    </row>
    <row r="721" spans="1:20" x14ac:dyDescent="0.35">
      <c r="A721" s="6" t="s">
        <v>81</v>
      </c>
      <c r="B721" s="1" t="s">
        <v>28</v>
      </c>
      <c r="C721" s="1" t="s">
        <v>36</v>
      </c>
      <c r="D721" s="1" t="s">
        <v>37</v>
      </c>
      <c r="E721" s="1" t="s">
        <v>38</v>
      </c>
      <c r="F721" s="1" t="s">
        <v>52</v>
      </c>
      <c r="G721" s="2">
        <v>45562</v>
      </c>
      <c r="H721" s="2">
        <v>45590</v>
      </c>
      <c r="I721" s="1">
        <v>40195.29</v>
      </c>
      <c r="J721" s="1">
        <v>1.135</v>
      </c>
      <c r="K721" s="1">
        <v>45621.65</v>
      </c>
      <c r="L721" s="1">
        <v>858083</v>
      </c>
      <c r="M721" s="1">
        <v>4400</v>
      </c>
      <c r="N721" s="1">
        <v>51146.63</v>
      </c>
      <c r="O721" s="1">
        <v>2024</v>
      </c>
      <c r="P721" s="1" t="s">
        <v>74</v>
      </c>
      <c r="Q721" s="1" t="s">
        <v>33</v>
      </c>
      <c r="R721" s="1" t="s">
        <v>41</v>
      </c>
      <c r="S721" s="1">
        <f t="shared" si="11"/>
        <v>29</v>
      </c>
      <c r="T721" s="7" t="str">
        <f>_xlfn.TEXTJOIN("_",TRUE,Finance_Data!A721,Finance_Data!B721,Finance_Data!C721,Finance_Data!D721,Finance_Data!E721,Finance_Data!G721,Finance_Data!H721)</f>
        <v>CMP_057_West_India_Perfume_Ecommerce_45562_45590</v>
      </c>
    </row>
    <row r="722" spans="1:20" x14ac:dyDescent="0.35">
      <c r="A722" s="6" t="s">
        <v>78</v>
      </c>
      <c r="B722" s="1" t="s">
        <v>35</v>
      </c>
      <c r="C722" s="1" t="s">
        <v>36</v>
      </c>
      <c r="D722" s="1" t="s">
        <v>21</v>
      </c>
      <c r="E722" s="1" t="s">
        <v>30</v>
      </c>
      <c r="F722" s="1" t="s">
        <v>23</v>
      </c>
      <c r="G722" s="2">
        <v>45565</v>
      </c>
      <c r="H722" s="2">
        <v>45621</v>
      </c>
      <c r="I722" s="1">
        <v>13988.65</v>
      </c>
      <c r="J722" s="1">
        <v>1.1604000000000001</v>
      </c>
      <c r="K722" s="1">
        <v>16232.43</v>
      </c>
      <c r="L722" s="1">
        <v>923671</v>
      </c>
      <c r="M722" s="1">
        <v>12367</v>
      </c>
      <c r="N722" s="1">
        <v>56711.75</v>
      </c>
      <c r="O722" s="1">
        <v>2024</v>
      </c>
      <c r="P722" s="1" t="s">
        <v>74</v>
      </c>
      <c r="Q722" s="1" t="s">
        <v>33</v>
      </c>
      <c r="R722" s="1" t="s">
        <v>26</v>
      </c>
      <c r="S722" s="1">
        <f t="shared" si="11"/>
        <v>57</v>
      </c>
      <c r="T722" s="7" t="str">
        <f>_xlfn.TEXTJOIN("_",TRUE,Finance_Data!A722,Finance_Data!B722,Finance_Data!C722,Finance_Data!D722,Finance_Data!E722,Finance_Data!G722,Finance_Data!H722)</f>
        <v>CMP_006_East_India_Foundation_Wholesale_45565_45621</v>
      </c>
    </row>
    <row r="723" spans="1:20" x14ac:dyDescent="0.35">
      <c r="A723" s="6" t="s">
        <v>72</v>
      </c>
      <c r="B723" s="1" t="s">
        <v>48</v>
      </c>
      <c r="C723" s="1" t="s">
        <v>20</v>
      </c>
      <c r="D723" s="1" t="s">
        <v>43</v>
      </c>
      <c r="E723" s="1" t="s">
        <v>30</v>
      </c>
      <c r="F723" s="1" t="s">
        <v>31</v>
      </c>
      <c r="G723" s="2">
        <v>45566</v>
      </c>
      <c r="H723" s="2">
        <v>45616</v>
      </c>
      <c r="I723" s="1">
        <v>15238.4</v>
      </c>
      <c r="J723" s="1">
        <v>0.4209</v>
      </c>
      <c r="K723" s="1">
        <v>6413.84</v>
      </c>
      <c r="L723" s="1">
        <v>715034</v>
      </c>
      <c r="M723" s="1">
        <v>8794</v>
      </c>
      <c r="N723" s="1">
        <v>245427.20000000001</v>
      </c>
      <c r="O723" s="1">
        <v>2024</v>
      </c>
      <c r="P723" s="1" t="s">
        <v>24</v>
      </c>
      <c r="Q723" s="1" t="s">
        <v>25</v>
      </c>
      <c r="R723" s="1" t="s">
        <v>26</v>
      </c>
      <c r="S723" s="1">
        <f t="shared" si="11"/>
        <v>51</v>
      </c>
      <c r="T723" s="7" t="str">
        <f>_xlfn.TEXTJOIN("_",TRUE,Finance_Data!A723,Finance_Data!B723,Finance_Data!C723,Finance_Data!D723,Finance_Data!E723,Finance_Data!G723,Finance_Data!H723)</f>
        <v>CMP_042_South_Singapore_Luxury Bag_Wholesale_45566_45616</v>
      </c>
    </row>
    <row r="724" spans="1:20" x14ac:dyDescent="0.35">
      <c r="A724" s="6" t="s">
        <v>50</v>
      </c>
      <c r="B724" s="1" t="s">
        <v>28</v>
      </c>
      <c r="C724" s="1" t="s">
        <v>58</v>
      </c>
      <c r="D724" s="1" t="s">
        <v>59</v>
      </c>
      <c r="E724" s="1" t="s">
        <v>38</v>
      </c>
      <c r="F724" s="1" t="s">
        <v>44</v>
      </c>
      <c r="G724" s="2">
        <v>45567</v>
      </c>
      <c r="H724" s="2">
        <v>45575</v>
      </c>
      <c r="I724" s="1">
        <v>48585.89</v>
      </c>
      <c r="J724" s="1">
        <v>0.98980000000000001</v>
      </c>
      <c r="K724" s="1">
        <v>48090.31</v>
      </c>
      <c r="L724" s="1">
        <v>915115</v>
      </c>
      <c r="M724" s="1">
        <v>47156</v>
      </c>
      <c r="N724" s="1">
        <v>232255.84</v>
      </c>
      <c r="O724" s="1">
        <v>2024</v>
      </c>
      <c r="P724" s="1" t="s">
        <v>24</v>
      </c>
      <c r="Q724" s="1" t="s">
        <v>25</v>
      </c>
      <c r="R724" s="1" t="s">
        <v>26</v>
      </c>
      <c r="S724" s="1">
        <f t="shared" si="11"/>
        <v>9</v>
      </c>
      <c r="T724" s="7" t="str">
        <f>_xlfn.TEXTJOIN("_",TRUE,Finance_Data!A724,Finance_Data!B724,Finance_Data!C724,Finance_Data!D724,Finance_Data!E724,Finance_Data!G724,Finance_Data!H724)</f>
        <v>CMP_039_West_UK_Lipstick_Ecommerce_45567_45575</v>
      </c>
    </row>
    <row r="725" spans="1:20" x14ac:dyDescent="0.35">
      <c r="A725" s="6" t="s">
        <v>99</v>
      </c>
      <c r="B725" s="1" t="s">
        <v>35</v>
      </c>
      <c r="C725" s="1" t="s">
        <v>69</v>
      </c>
      <c r="D725" s="1" t="s">
        <v>59</v>
      </c>
      <c r="E725" s="1" t="s">
        <v>22</v>
      </c>
      <c r="F725" s="1" t="s">
        <v>49</v>
      </c>
      <c r="G725" s="2">
        <v>45568</v>
      </c>
      <c r="H725" s="2">
        <v>45613</v>
      </c>
      <c r="I725" s="1">
        <v>5739.58</v>
      </c>
      <c r="J725" s="1">
        <v>0.58120000000000005</v>
      </c>
      <c r="K725" s="1">
        <v>3335.84</v>
      </c>
      <c r="L725" s="1">
        <v>857311</v>
      </c>
      <c r="M725" s="1">
        <v>1674</v>
      </c>
      <c r="N725" s="1">
        <v>150170.04</v>
      </c>
      <c r="O725" s="1">
        <v>2024</v>
      </c>
      <c r="P725" s="1" t="s">
        <v>24</v>
      </c>
      <c r="Q725" s="1" t="s">
        <v>25</v>
      </c>
      <c r="R725" s="1" t="s">
        <v>61</v>
      </c>
      <c r="S725" s="1">
        <f t="shared" si="11"/>
        <v>46</v>
      </c>
      <c r="T725" s="7" t="str">
        <f>_xlfn.TEXTJOIN("_",TRUE,Finance_Data!A725,Finance_Data!B725,Finance_Data!C725,Finance_Data!D725,Finance_Data!E725,Finance_Data!G725,Finance_Data!H725)</f>
        <v>CMP_041_East_USA_Lipstick_Retail_45568_45613</v>
      </c>
    </row>
    <row r="726" spans="1:20" x14ac:dyDescent="0.35">
      <c r="A726" s="6" t="s">
        <v>100</v>
      </c>
      <c r="B726" s="1" t="s">
        <v>35</v>
      </c>
      <c r="C726" s="1" t="s">
        <v>36</v>
      </c>
      <c r="D726" s="1" t="s">
        <v>59</v>
      </c>
      <c r="E726" s="1" t="s">
        <v>22</v>
      </c>
      <c r="F726" s="1" t="s">
        <v>49</v>
      </c>
      <c r="G726" s="2">
        <v>45569</v>
      </c>
      <c r="H726" s="2">
        <v>45612</v>
      </c>
      <c r="I726" s="1">
        <v>1661.35</v>
      </c>
      <c r="J726" s="1">
        <v>1.1599999999999999</v>
      </c>
      <c r="K726" s="1">
        <v>1927.17</v>
      </c>
      <c r="L726" s="1">
        <v>840116</v>
      </c>
      <c r="M726" s="1">
        <v>7069</v>
      </c>
      <c r="N726" s="1">
        <v>137880.69</v>
      </c>
      <c r="O726" s="1">
        <v>2024</v>
      </c>
      <c r="P726" s="1" t="s">
        <v>24</v>
      </c>
      <c r="Q726" s="1" t="s">
        <v>25</v>
      </c>
      <c r="R726" s="1" t="s">
        <v>54</v>
      </c>
      <c r="S726" s="1">
        <f t="shared" si="11"/>
        <v>44</v>
      </c>
      <c r="T726" s="7" t="str">
        <f>_xlfn.TEXTJOIN("_",TRUE,Finance_Data!A726,Finance_Data!B726,Finance_Data!C726,Finance_Data!D726,Finance_Data!E726,Finance_Data!G726,Finance_Data!H726)</f>
        <v>CMP_053_East_India_Lipstick_Retail_45569_45612</v>
      </c>
    </row>
    <row r="727" spans="1:20" x14ac:dyDescent="0.35">
      <c r="A727" s="6" t="s">
        <v>79</v>
      </c>
      <c r="B727" s="1" t="s">
        <v>35</v>
      </c>
      <c r="C727" s="1" t="s">
        <v>20</v>
      </c>
      <c r="D727" s="1" t="s">
        <v>21</v>
      </c>
      <c r="E727" s="1" t="s">
        <v>38</v>
      </c>
      <c r="F727" s="1" t="s">
        <v>44</v>
      </c>
      <c r="G727" s="2">
        <v>45570</v>
      </c>
      <c r="H727" s="2">
        <v>45575</v>
      </c>
      <c r="I727" s="1">
        <v>46466.1</v>
      </c>
      <c r="J727" s="1">
        <v>0.33679999999999999</v>
      </c>
      <c r="K727" s="1">
        <v>15649.78</v>
      </c>
      <c r="L727" s="1">
        <v>870623</v>
      </c>
      <c r="M727" s="1">
        <v>28029</v>
      </c>
      <c r="N727" s="1">
        <v>148194.75</v>
      </c>
      <c r="O727" s="1">
        <v>2024</v>
      </c>
      <c r="P727" s="1" t="s">
        <v>24</v>
      </c>
      <c r="Q727" s="1" t="s">
        <v>25</v>
      </c>
      <c r="R727" s="1" t="s">
        <v>61</v>
      </c>
      <c r="S727" s="1">
        <f t="shared" si="11"/>
        <v>6</v>
      </c>
      <c r="T727" s="7" t="str">
        <f>_xlfn.TEXTJOIN("_",TRUE,Finance_Data!A727,Finance_Data!B727,Finance_Data!C727,Finance_Data!D727,Finance_Data!E727,Finance_Data!G727,Finance_Data!H727)</f>
        <v>CMP_020_East_Singapore_Foundation_Ecommerce_45570_45575</v>
      </c>
    </row>
    <row r="728" spans="1:20" x14ac:dyDescent="0.35">
      <c r="A728" s="6" t="s">
        <v>119</v>
      </c>
      <c r="B728" s="1" t="s">
        <v>28</v>
      </c>
      <c r="C728" s="1" t="s">
        <v>36</v>
      </c>
      <c r="D728" s="1" t="s">
        <v>59</v>
      </c>
      <c r="E728" s="1" t="s">
        <v>30</v>
      </c>
      <c r="F728" s="1" t="s">
        <v>31</v>
      </c>
      <c r="G728" s="2">
        <v>45572</v>
      </c>
      <c r="H728" s="2">
        <v>45584</v>
      </c>
      <c r="I728" s="1">
        <v>43672.6</v>
      </c>
      <c r="J728" s="1">
        <v>1.0941000000000001</v>
      </c>
      <c r="K728" s="1">
        <v>47782.19</v>
      </c>
      <c r="L728" s="1">
        <v>174660</v>
      </c>
      <c r="M728" s="1">
        <v>47833</v>
      </c>
      <c r="N728" s="1">
        <v>76570.13</v>
      </c>
      <c r="O728" s="1">
        <v>2024</v>
      </c>
      <c r="P728" s="1" t="s">
        <v>24</v>
      </c>
      <c r="Q728" s="1" t="s">
        <v>25</v>
      </c>
      <c r="R728" s="1" t="s">
        <v>41</v>
      </c>
      <c r="S728" s="1">
        <f t="shared" si="11"/>
        <v>13</v>
      </c>
      <c r="T728" s="7" t="str">
        <f>_xlfn.TEXTJOIN("_",TRUE,Finance_Data!A728,Finance_Data!B728,Finance_Data!C728,Finance_Data!D728,Finance_Data!E728,Finance_Data!G728,Finance_Data!H728)</f>
        <v>CMP_029_West_India_Lipstick_Wholesale_45572_45584</v>
      </c>
    </row>
    <row r="729" spans="1:20" x14ac:dyDescent="0.35">
      <c r="A729" s="6" t="s">
        <v>94</v>
      </c>
      <c r="B729" s="1" t="s">
        <v>19</v>
      </c>
      <c r="C729" s="1" t="s">
        <v>58</v>
      </c>
      <c r="D729" s="1" t="s">
        <v>59</v>
      </c>
      <c r="E729" s="1" t="s">
        <v>30</v>
      </c>
      <c r="F729" s="1" t="s">
        <v>31</v>
      </c>
      <c r="G729" s="2">
        <v>45573</v>
      </c>
      <c r="H729" s="2">
        <v>45621</v>
      </c>
      <c r="I729" s="1">
        <v>46125.53</v>
      </c>
      <c r="J729" s="1">
        <v>1.1969000000000001</v>
      </c>
      <c r="K729" s="1">
        <v>55207.65</v>
      </c>
      <c r="L729" s="1">
        <v>793041</v>
      </c>
      <c r="M729" s="1">
        <v>6023</v>
      </c>
      <c r="N729" s="1">
        <v>111323.01</v>
      </c>
      <c r="O729" s="1">
        <v>2024</v>
      </c>
      <c r="P729" s="1" t="s">
        <v>24</v>
      </c>
      <c r="Q729" s="1" t="s">
        <v>25</v>
      </c>
      <c r="R729" s="1" t="s">
        <v>26</v>
      </c>
      <c r="S729" s="1">
        <f t="shared" si="11"/>
        <v>49</v>
      </c>
      <c r="T729" s="7" t="str">
        <f>_xlfn.TEXTJOIN("_",TRUE,Finance_Data!A729,Finance_Data!B729,Finance_Data!C729,Finance_Data!D729,Finance_Data!E729,Finance_Data!G729,Finance_Data!H729)</f>
        <v>CMP_007_North_UK_Lipstick_Wholesale_45573_45621</v>
      </c>
    </row>
    <row r="730" spans="1:20" x14ac:dyDescent="0.35">
      <c r="A730" s="6" t="s">
        <v>72</v>
      </c>
      <c r="B730" s="1" t="s">
        <v>48</v>
      </c>
      <c r="C730" s="1" t="s">
        <v>36</v>
      </c>
      <c r="D730" s="1" t="s">
        <v>43</v>
      </c>
      <c r="E730" s="1" t="s">
        <v>30</v>
      </c>
      <c r="F730" s="1" t="s">
        <v>44</v>
      </c>
      <c r="G730" s="2">
        <v>45574</v>
      </c>
      <c r="H730" s="2">
        <v>45620</v>
      </c>
      <c r="I730" s="1">
        <v>22810.799999999999</v>
      </c>
      <c r="J730" s="1">
        <v>2.3800000000000002E-2</v>
      </c>
      <c r="K730" s="1">
        <v>542.9</v>
      </c>
      <c r="L730" s="1">
        <v>132292</v>
      </c>
      <c r="M730" s="1">
        <v>5515</v>
      </c>
      <c r="N730" s="1">
        <v>34902.629999999997</v>
      </c>
      <c r="O730" s="1">
        <v>2024</v>
      </c>
      <c r="P730" s="1" t="s">
        <v>24</v>
      </c>
      <c r="Q730" s="1" t="s">
        <v>25</v>
      </c>
      <c r="R730" s="1" t="s">
        <v>54</v>
      </c>
      <c r="S730" s="1">
        <f t="shared" si="11"/>
        <v>47</v>
      </c>
      <c r="T730" s="7" t="str">
        <f>_xlfn.TEXTJOIN("_",TRUE,Finance_Data!A730,Finance_Data!B730,Finance_Data!C730,Finance_Data!D730,Finance_Data!E730,Finance_Data!G730,Finance_Data!H730)</f>
        <v>CMP_042_South_India_Luxury Bag_Wholesale_45574_45620</v>
      </c>
    </row>
    <row r="731" spans="1:20" x14ac:dyDescent="0.35">
      <c r="A731" s="6" t="s">
        <v>112</v>
      </c>
      <c r="B731" s="1" t="s">
        <v>48</v>
      </c>
      <c r="C731" s="1" t="s">
        <v>20</v>
      </c>
      <c r="D731" s="1" t="s">
        <v>21</v>
      </c>
      <c r="E731" s="1" t="s">
        <v>22</v>
      </c>
      <c r="F731" s="1" t="s">
        <v>23</v>
      </c>
      <c r="G731" s="2">
        <v>45574</v>
      </c>
      <c r="H731" s="2">
        <v>45611</v>
      </c>
      <c r="I731" s="1">
        <v>29177.33</v>
      </c>
      <c r="J731" s="1">
        <v>0.86509999999999998</v>
      </c>
      <c r="K731" s="1">
        <v>25241.31</v>
      </c>
      <c r="L731" s="1">
        <v>315420</v>
      </c>
      <c r="M731" s="1">
        <v>28230</v>
      </c>
      <c r="N731" s="1">
        <v>5383.26</v>
      </c>
      <c r="O731" s="1">
        <v>2024</v>
      </c>
      <c r="P731" s="1" t="s">
        <v>24</v>
      </c>
      <c r="Q731" s="1" t="s">
        <v>25</v>
      </c>
      <c r="R731" s="1" t="s">
        <v>41</v>
      </c>
      <c r="S731" s="1">
        <f t="shared" si="11"/>
        <v>38</v>
      </c>
      <c r="T731" s="7" t="str">
        <f>_xlfn.TEXTJOIN("_",TRUE,Finance_Data!A731,Finance_Data!B731,Finance_Data!C731,Finance_Data!D731,Finance_Data!E731,Finance_Data!G731,Finance_Data!H731)</f>
        <v>CMP_023_South_Singapore_Foundation_Retail_45574_45611</v>
      </c>
    </row>
    <row r="732" spans="1:20" x14ac:dyDescent="0.35">
      <c r="A732" s="6" t="s">
        <v>62</v>
      </c>
      <c r="B732" s="1" t="s">
        <v>28</v>
      </c>
      <c r="C732" s="1" t="s">
        <v>58</v>
      </c>
      <c r="D732" s="1" t="s">
        <v>51</v>
      </c>
      <c r="E732" s="1" t="s">
        <v>30</v>
      </c>
      <c r="F732" s="1" t="s">
        <v>23</v>
      </c>
      <c r="G732" s="2">
        <v>45575</v>
      </c>
      <c r="H732" s="2">
        <v>45603</v>
      </c>
      <c r="I732" s="1">
        <v>43798.29</v>
      </c>
      <c r="J732" s="1">
        <v>1.1637999999999999</v>
      </c>
      <c r="K732" s="1">
        <v>50972.45</v>
      </c>
      <c r="L732" s="1">
        <v>781555</v>
      </c>
      <c r="M732" s="1">
        <v>21433</v>
      </c>
      <c r="N732" s="1">
        <v>171092.71</v>
      </c>
      <c r="O732" s="1">
        <v>2024</v>
      </c>
      <c r="P732" s="1" t="s">
        <v>24</v>
      </c>
      <c r="Q732" s="1" t="s">
        <v>25</v>
      </c>
      <c r="R732" s="1" t="s">
        <v>41</v>
      </c>
      <c r="S732" s="1">
        <f t="shared" si="11"/>
        <v>29</v>
      </c>
      <c r="T732" s="7" t="str">
        <f>_xlfn.TEXTJOIN("_",TRUE,Finance_Data!A732,Finance_Data!B732,Finance_Data!C732,Finance_Data!D732,Finance_Data!E732,Finance_Data!G732,Finance_Data!H732)</f>
        <v>CMP_015_West_UK_Watch_Wholesale_45575_45603</v>
      </c>
    </row>
    <row r="733" spans="1:20" x14ac:dyDescent="0.35">
      <c r="A733" s="6" t="s">
        <v>101</v>
      </c>
      <c r="B733" s="1" t="s">
        <v>48</v>
      </c>
      <c r="C733" s="1" t="s">
        <v>69</v>
      </c>
      <c r="D733" s="1" t="s">
        <v>43</v>
      </c>
      <c r="E733" s="1" t="s">
        <v>30</v>
      </c>
      <c r="F733" s="1" t="s">
        <v>52</v>
      </c>
      <c r="G733" s="2">
        <v>45576</v>
      </c>
      <c r="H733" s="2">
        <v>45630</v>
      </c>
      <c r="I733" s="1">
        <v>31977.49</v>
      </c>
      <c r="J733" s="1">
        <v>7.4399999999999994E-2</v>
      </c>
      <c r="K733" s="1">
        <v>2379.13</v>
      </c>
      <c r="L733" s="1">
        <v>559855</v>
      </c>
      <c r="M733" s="1">
        <v>2798</v>
      </c>
      <c r="N733" s="1">
        <v>83232.55</v>
      </c>
      <c r="O733" s="1">
        <v>2024</v>
      </c>
      <c r="P733" s="1" t="s">
        <v>24</v>
      </c>
      <c r="Q733" s="1" t="s">
        <v>25</v>
      </c>
      <c r="R733" s="1" t="s">
        <v>61</v>
      </c>
      <c r="S733" s="1">
        <f t="shared" si="11"/>
        <v>55</v>
      </c>
      <c r="T733" s="7" t="str">
        <f>_xlfn.TEXTJOIN("_",TRUE,Finance_Data!A733,Finance_Data!B733,Finance_Data!C733,Finance_Data!D733,Finance_Data!E733,Finance_Data!G733,Finance_Data!H733)</f>
        <v>CMP_037_South_USA_Luxury Bag_Wholesale_45576_45630</v>
      </c>
    </row>
    <row r="734" spans="1:20" x14ac:dyDescent="0.35">
      <c r="A734" s="6" t="s">
        <v>27</v>
      </c>
      <c r="B734" s="1" t="s">
        <v>48</v>
      </c>
      <c r="C734" s="1" t="s">
        <v>58</v>
      </c>
      <c r="D734" s="1" t="s">
        <v>63</v>
      </c>
      <c r="E734" s="1" t="s">
        <v>30</v>
      </c>
      <c r="F734" s="1" t="s">
        <v>23</v>
      </c>
      <c r="G734" s="2">
        <v>45576</v>
      </c>
      <c r="H734" s="2">
        <v>45621</v>
      </c>
      <c r="I734" s="1">
        <v>39101.9</v>
      </c>
      <c r="J734" s="1">
        <v>0.23200000000000001</v>
      </c>
      <c r="K734" s="1">
        <v>9071.64</v>
      </c>
      <c r="L734" s="1">
        <v>694219</v>
      </c>
      <c r="M734" s="1">
        <v>14632</v>
      </c>
      <c r="N734" s="1">
        <v>77746.009999999995</v>
      </c>
      <c r="O734" s="1">
        <v>2024</v>
      </c>
      <c r="P734" s="1" t="s">
        <v>24</v>
      </c>
      <c r="Q734" s="1" t="s">
        <v>25</v>
      </c>
      <c r="R734" s="1" t="s">
        <v>41</v>
      </c>
      <c r="S734" s="1">
        <f t="shared" si="11"/>
        <v>46</v>
      </c>
      <c r="T734" s="7" t="str">
        <f>_xlfn.TEXTJOIN("_",TRUE,Finance_Data!A734,Finance_Data!B734,Finance_Data!C734,Finance_Data!D734,Finance_Data!E734,Finance_Data!G734,Finance_Data!H734)</f>
        <v>CMP_035_South_UK_Skincare_Wholesale_45576_45621</v>
      </c>
    </row>
    <row r="735" spans="1:20" x14ac:dyDescent="0.35">
      <c r="A735" s="6" t="s">
        <v>68</v>
      </c>
      <c r="B735" s="1" t="s">
        <v>48</v>
      </c>
      <c r="C735" s="1" t="s">
        <v>58</v>
      </c>
      <c r="D735" s="1" t="s">
        <v>63</v>
      </c>
      <c r="E735" s="1" t="s">
        <v>38</v>
      </c>
      <c r="F735" s="1" t="s">
        <v>31</v>
      </c>
      <c r="G735" s="2">
        <v>45577</v>
      </c>
      <c r="H735" s="2">
        <v>45624</v>
      </c>
      <c r="I735" s="1">
        <v>35167.160000000003</v>
      </c>
      <c r="J735" s="1">
        <v>1.0216000000000001</v>
      </c>
      <c r="K735" s="1">
        <v>35926.769999999997</v>
      </c>
      <c r="L735" s="1">
        <v>844328</v>
      </c>
      <c r="M735" s="1">
        <v>35124</v>
      </c>
      <c r="N735" s="1">
        <v>102440.39</v>
      </c>
      <c r="O735" s="1">
        <v>2024</v>
      </c>
      <c r="P735" s="1" t="s">
        <v>24</v>
      </c>
      <c r="Q735" s="1" t="s">
        <v>25</v>
      </c>
      <c r="R735" s="1" t="s">
        <v>41</v>
      </c>
      <c r="S735" s="1">
        <f t="shared" si="11"/>
        <v>48</v>
      </c>
      <c r="T735" s="7" t="str">
        <f>_xlfn.TEXTJOIN("_",TRUE,Finance_Data!A735,Finance_Data!B735,Finance_Data!C735,Finance_Data!D735,Finance_Data!E735,Finance_Data!G735,Finance_Data!H735)</f>
        <v>CMP_028_South_UK_Skincare_Ecommerce_45577_45624</v>
      </c>
    </row>
    <row r="736" spans="1:20" x14ac:dyDescent="0.35">
      <c r="A736" s="6" t="s">
        <v>95</v>
      </c>
      <c r="B736" s="1" t="s">
        <v>48</v>
      </c>
      <c r="C736" s="1" t="s">
        <v>36</v>
      </c>
      <c r="D736" s="1" t="s">
        <v>43</v>
      </c>
      <c r="E736" s="1" t="s">
        <v>22</v>
      </c>
      <c r="F736" s="1" t="s">
        <v>44</v>
      </c>
      <c r="G736" s="2">
        <v>45578</v>
      </c>
      <c r="H736" s="2">
        <v>45605</v>
      </c>
      <c r="I736" s="1">
        <v>3387.03</v>
      </c>
      <c r="J736" s="1">
        <v>0.35709999999999997</v>
      </c>
      <c r="K736" s="1">
        <v>1209.51</v>
      </c>
      <c r="L736" s="1">
        <v>679983</v>
      </c>
      <c r="M736" s="1">
        <v>5134</v>
      </c>
      <c r="N736" s="1">
        <v>130897.29</v>
      </c>
      <c r="O736" s="1">
        <v>2024</v>
      </c>
      <c r="P736" s="1" t="s">
        <v>24</v>
      </c>
      <c r="Q736" s="1" t="s">
        <v>25</v>
      </c>
      <c r="R736" s="1" t="s">
        <v>41</v>
      </c>
      <c r="S736" s="1">
        <f t="shared" si="11"/>
        <v>28</v>
      </c>
      <c r="T736" s="7" t="str">
        <f>_xlfn.TEXTJOIN("_",TRUE,Finance_Data!A736,Finance_Data!B736,Finance_Data!C736,Finance_Data!D736,Finance_Data!E736,Finance_Data!G736,Finance_Data!H736)</f>
        <v>CMP_050_South_India_Luxury Bag_Retail_45578_45605</v>
      </c>
    </row>
    <row r="737" spans="1:20" x14ac:dyDescent="0.35">
      <c r="A737" s="6" t="s">
        <v>106</v>
      </c>
      <c r="B737" s="1" t="s">
        <v>19</v>
      </c>
      <c r="C737" s="1" t="s">
        <v>36</v>
      </c>
      <c r="D737" s="1" t="s">
        <v>63</v>
      </c>
      <c r="E737" s="1" t="s">
        <v>38</v>
      </c>
      <c r="F737" s="1" t="s">
        <v>23</v>
      </c>
      <c r="G737" s="2">
        <v>45578</v>
      </c>
      <c r="H737" s="2">
        <v>45595</v>
      </c>
      <c r="I737" s="1">
        <v>31423.67</v>
      </c>
      <c r="J737" s="1">
        <v>0.8165</v>
      </c>
      <c r="K737" s="1">
        <v>25657.43</v>
      </c>
      <c r="L737" s="1">
        <v>765948</v>
      </c>
      <c r="M737" s="1">
        <v>43300</v>
      </c>
      <c r="N737" s="1">
        <v>171809.5</v>
      </c>
      <c r="O737" s="1">
        <v>2024</v>
      </c>
      <c r="P737" s="1" t="s">
        <v>24</v>
      </c>
      <c r="Q737" s="1" t="s">
        <v>25</v>
      </c>
      <c r="R737" s="1" t="s">
        <v>41</v>
      </c>
      <c r="S737" s="1">
        <f t="shared" si="11"/>
        <v>18</v>
      </c>
      <c r="T737" s="7" t="str">
        <f>_xlfn.TEXTJOIN("_",TRUE,Finance_Data!A737,Finance_Data!B737,Finance_Data!C737,Finance_Data!D737,Finance_Data!E737,Finance_Data!G737,Finance_Data!H737)</f>
        <v>CMP_009_North_India_Skincare_Ecommerce_45578_45595</v>
      </c>
    </row>
    <row r="738" spans="1:20" x14ac:dyDescent="0.35">
      <c r="A738" s="6" t="s">
        <v>107</v>
      </c>
      <c r="B738" s="1" t="s">
        <v>35</v>
      </c>
      <c r="C738" s="1" t="s">
        <v>36</v>
      </c>
      <c r="D738" s="1" t="s">
        <v>21</v>
      </c>
      <c r="E738" s="1" t="s">
        <v>22</v>
      </c>
      <c r="F738" s="1" t="s">
        <v>31</v>
      </c>
      <c r="G738" s="2">
        <v>45580</v>
      </c>
      <c r="H738" s="2">
        <v>45639</v>
      </c>
      <c r="I738" s="1">
        <v>28273.81</v>
      </c>
      <c r="J738" s="1">
        <v>0.49619999999999997</v>
      </c>
      <c r="K738" s="1">
        <v>14029.46</v>
      </c>
      <c r="L738" s="1">
        <v>617723</v>
      </c>
      <c r="M738" s="1">
        <v>5313</v>
      </c>
      <c r="N738" s="1">
        <v>72729.19</v>
      </c>
      <c r="O738" s="1">
        <v>2024</v>
      </c>
      <c r="P738" s="1" t="s">
        <v>24</v>
      </c>
      <c r="Q738" s="1" t="s">
        <v>25</v>
      </c>
      <c r="R738" s="1" t="s">
        <v>41</v>
      </c>
      <c r="S738" s="1">
        <f t="shared" si="11"/>
        <v>60</v>
      </c>
      <c r="T738" s="7" t="str">
        <f>_xlfn.TEXTJOIN("_",TRUE,Finance_Data!A738,Finance_Data!B738,Finance_Data!C738,Finance_Data!D738,Finance_Data!E738,Finance_Data!G738,Finance_Data!H738)</f>
        <v>CMP_040_East_India_Foundation_Retail_45580_45639</v>
      </c>
    </row>
    <row r="739" spans="1:20" x14ac:dyDescent="0.35">
      <c r="A739" s="6" t="s">
        <v>81</v>
      </c>
      <c r="B739" s="1" t="s">
        <v>35</v>
      </c>
      <c r="C739" s="1" t="s">
        <v>58</v>
      </c>
      <c r="D739" s="1" t="s">
        <v>21</v>
      </c>
      <c r="E739" s="1" t="s">
        <v>30</v>
      </c>
      <c r="F739" s="1" t="s">
        <v>49</v>
      </c>
      <c r="G739" s="2">
        <v>45580</v>
      </c>
      <c r="H739" s="2">
        <v>45607</v>
      </c>
      <c r="I739" s="1">
        <v>24727.42</v>
      </c>
      <c r="J739" s="1">
        <v>0.79179999999999995</v>
      </c>
      <c r="K739" s="1">
        <v>19579.169999999998</v>
      </c>
      <c r="L739" s="1">
        <v>198811</v>
      </c>
      <c r="M739" s="1">
        <v>19767</v>
      </c>
      <c r="N739" s="1">
        <v>210969.5</v>
      </c>
      <c r="O739" s="1">
        <v>2024</v>
      </c>
      <c r="P739" s="1" t="s">
        <v>24</v>
      </c>
      <c r="Q739" s="1" t="s">
        <v>25</v>
      </c>
      <c r="R739" s="1" t="s">
        <v>41</v>
      </c>
      <c r="S739" s="1">
        <f t="shared" si="11"/>
        <v>28</v>
      </c>
      <c r="T739" s="7" t="str">
        <f>_xlfn.TEXTJOIN("_",TRUE,Finance_Data!A739,Finance_Data!B739,Finance_Data!C739,Finance_Data!D739,Finance_Data!E739,Finance_Data!G739,Finance_Data!H739)</f>
        <v>CMP_057_East_UK_Foundation_Wholesale_45580_45607</v>
      </c>
    </row>
    <row r="740" spans="1:20" x14ac:dyDescent="0.35">
      <c r="A740" s="6" t="s">
        <v>114</v>
      </c>
      <c r="B740" s="1" t="s">
        <v>28</v>
      </c>
      <c r="C740" s="1" t="s">
        <v>36</v>
      </c>
      <c r="D740" s="1" t="s">
        <v>37</v>
      </c>
      <c r="E740" s="1" t="s">
        <v>38</v>
      </c>
      <c r="F740" s="1" t="s">
        <v>23</v>
      </c>
      <c r="G740" s="2">
        <v>45581</v>
      </c>
      <c r="H740" s="2">
        <v>45630</v>
      </c>
      <c r="I740" s="1">
        <v>34105.480000000003</v>
      </c>
      <c r="J740" s="1">
        <v>0.55969999999999998</v>
      </c>
      <c r="K740" s="1">
        <v>19088.84</v>
      </c>
      <c r="L740" s="1">
        <v>370351</v>
      </c>
      <c r="M740" s="1">
        <v>48987</v>
      </c>
      <c r="N740" s="1">
        <v>102838.75</v>
      </c>
      <c r="O740" s="1">
        <v>2024</v>
      </c>
      <c r="P740" s="1" t="s">
        <v>24</v>
      </c>
      <c r="Q740" s="1" t="s">
        <v>25</v>
      </c>
      <c r="R740" s="1" t="s">
        <v>61</v>
      </c>
      <c r="S740" s="1">
        <f t="shared" si="11"/>
        <v>50</v>
      </c>
      <c r="T740" s="7" t="str">
        <f>_xlfn.TEXTJOIN("_",TRUE,Finance_Data!A740,Finance_Data!B740,Finance_Data!C740,Finance_Data!D740,Finance_Data!E740,Finance_Data!G740,Finance_Data!H740)</f>
        <v>CMP_013_West_India_Perfume_Ecommerce_45581_45630</v>
      </c>
    </row>
    <row r="741" spans="1:20" x14ac:dyDescent="0.35">
      <c r="A741" s="6" t="s">
        <v>18</v>
      </c>
      <c r="B741" s="1" t="s">
        <v>19</v>
      </c>
      <c r="C741" s="1" t="s">
        <v>20</v>
      </c>
      <c r="D741" s="1" t="s">
        <v>21</v>
      </c>
      <c r="E741" s="1" t="s">
        <v>22</v>
      </c>
      <c r="F741" s="1" t="s">
        <v>23</v>
      </c>
      <c r="G741" s="2">
        <v>45581</v>
      </c>
      <c r="H741" s="2">
        <v>45593</v>
      </c>
      <c r="I741" s="1">
        <v>2225.5300000000002</v>
      </c>
      <c r="J741" s="1">
        <v>0.33729999999999999</v>
      </c>
      <c r="K741" s="1">
        <v>750.67</v>
      </c>
      <c r="L741" s="1">
        <v>244053</v>
      </c>
      <c r="M741" s="1">
        <v>9244</v>
      </c>
      <c r="N741" s="1">
        <v>185435.45</v>
      </c>
      <c r="O741" s="1">
        <v>2024</v>
      </c>
      <c r="P741" s="1" t="s">
        <v>24</v>
      </c>
      <c r="Q741" s="1" t="s">
        <v>25</v>
      </c>
      <c r="R741" s="1" t="s">
        <v>26</v>
      </c>
      <c r="S741" s="1">
        <f t="shared" si="11"/>
        <v>13</v>
      </c>
      <c r="T741" s="7" t="str">
        <f>_xlfn.TEXTJOIN("_",TRUE,Finance_Data!A741,Finance_Data!B741,Finance_Data!C741,Finance_Data!D741,Finance_Data!E741,Finance_Data!G741,Finance_Data!H741)</f>
        <v>CMP_044_North_Singapore_Foundation_Retail_45581_45593</v>
      </c>
    </row>
    <row r="742" spans="1:20" x14ac:dyDescent="0.35">
      <c r="A742" s="6" t="s">
        <v>57</v>
      </c>
      <c r="B742" s="1" t="s">
        <v>48</v>
      </c>
      <c r="C742" s="1" t="s">
        <v>36</v>
      </c>
      <c r="D742" s="1" t="s">
        <v>37</v>
      </c>
      <c r="E742" s="1" t="s">
        <v>38</v>
      </c>
      <c r="F742" s="1" t="s">
        <v>49</v>
      </c>
      <c r="G742" s="2">
        <v>45582</v>
      </c>
      <c r="H742" s="2">
        <v>45640</v>
      </c>
      <c r="I742" s="1">
        <v>32191.48</v>
      </c>
      <c r="J742" s="1">
        <v>0.1578</v>
      </c>
      <c r="K742" s="1">
        <v>5079.82</v>
      </c>
      <c r="L742" s="1">
        <v>708260</v>
      </c>
      <c r="M742" s="1">
        <v>18953</v>
      </c>
      <c r="N742" s="1">
        <v>107203.41</v>
      </c>
      <c r="O742" s="1">
        <v>2024</v>
      </c>
      <c r="P742" s="1" t="s">
        <v>24</v>
      </c>
      <c r="Q742" s="1" t="s">
        <v>25</v>
      </c>
      <c r="R742" s="1" t="s">
        <v>26</v>
      </c>
      <c r="S742" s="1">
        <f t="shared" si="11"/>
        <v>59</v>
      </c>
      <c r="T742" s="7" t="str">
        <f>_xlfn.TEXTJOIN("_",TRUE,Finance_Data!A742,Finance_Data!B742,Finance_Data!C742,Finance_Data!D742,Finance_Data!E742,Finance_Data!G742,Finance_Data!H742)</f>
        <v>CMP_032_South_India_Perfume_Ecommerce_45582_45640</v>
      </c>
    </row>
    <row r="743" spans="1:20" x14ac:dyDescent="0.35">
      <c r="A743" s="6" t="s">
        <v>103</v>
      </c>
      <c r="B743" s="1" t="s">
        <v>19</v>
      </c>
      <c r="C743" s="1" t="s">
        <v>36</v>
      </c>
      <c r="D743" s="1" t="s">
        <v>59</v>
      </c>
      <c r="E743" s="1" t="s">
        <v>38</v>
      </c>
      <c r="F743" s="1" t="s">
        <v>52</v>
      </c>
      <c r="G743" s="2">
        <v>45582</v>
      </c>
      <c r="H743" s="2">
        <v>45638</v>
      </c>
      <c r="I743" s="1">
        <v>46499.77</v>
      </c>
      <c r="J743" s="1">
        <v>0.51200000000000001</v>
      </c>
      <c r="K743" s="1">
        <v>23807.88</v>
      </c>
      <c r="L743" s="1">
        <v>652053</v>
      </c>
      <c r="M743" s="1">
        <v>37562</v>
      </c>
      <c r="N743" s="1">
        <v>104169.32</v>
      </c>
      <c r="O743" s="1">
        <v>2024</v>
      </c>
      <c r="P743" s="1" t="s">
        <v>24</v>
      </c>
      <c r="Q743" s="1" t="s">
        <v>25</v>
      </c>
      <c r="R743" s="1" t="s">
        <v>41</v>
      </c>
      <c r="S743" s="1">
        <f t="shared" si="11"/>
        <v>57</v>
      </c>
      <c r="T743" s="7" t="str">
        <f>_xlfn.TEXTJOIN("_",TRUE,Finance_Data!A743,Finance_Data!B743,Finance_Data!C743,Finance_Data!D743,Finance_Data!E743,Finance_Data!G743,Finance_Data!H743)</f>
        <v>CMP_059_North_India_Lipstick_Ecommerce_45582_45638</v>
      </c>
    </row>
    <row r="744" spans="1:20" x14ac:dyDescent="0.35">
      <c r="A744" s="6" t="s">
        <v>102</v>
      </c>
      <c r="B744" s="1" t="s">
        <v>28</v>
      </c>
      <c r="C744" s="1" t="s">
        <v>69</v>
      </c>
      <c r="D744" s="1" t="s">
        <v>21</v>
      </c>
      <c r="E744" s="1" t="s">
        <v>38</v>
      </c>
      <c r="F744" s="1" t="s">
        <v>44</v>
      </c>
      <c r="G744" s="2">
        <v>45584</v>
      </c>
      <c r="H744" s="2">
        <v>45616</v>
      </c>
      <c r="I744" s="1">
        <v>43916.800000000003</v>
      </c>
      <c r="J744" s="1">
        <v>0.18029999999999999</v>
      </c>
      <c r="K744" s="1">
        <v>7918.2</v>
      </c>
      <c r="L744" s="1">
        <v>352402</v>
      </c>
      <c r="M744" s="1">
        <v>39878</v>
      </c>
      <c r="N744" s="1">
        <v>198100.29</v>
      </c>
      <c r="O744" s="1">
        <v>2024</v>
      </c>
      <c r="P744" s="1" t="s">
        <v>24</v>
      </c>
      <c r="Q744" s="1" t="s">
        <v>25</v>
      </c>
      <c r="R744" s="1" t="s">
        <v>26</v>
      </c>
      <c r="S744" s="1">
        <f t="shared" si="11"/>
        <v>33</v>
      </c>
      <c r="T744" s="7" t="str">
        <f>_xlfn.TEXTJOIN("_",TRUE,Finance_Data!A744,Finance_Data!B744,Finance_Data!C744,Finance_Data!D744,Finance_Data!E744,Finance_Data!G744,Finance_Data!H744)</f>
        <v>CMP_022_West_USA_Foundation_Ecommerce_45584_45616</v>
      </c>
    </row>
    <row r="745" spans="1:20" x14ac:dyDescent="0.35">
      <c r="A745" s="6" t="s">
        <v>108</v>
      </c>
      <c r="B745" s="1" t="s">
        <v>19</v>
      </c>
      <c r="C745" s="1" t="s">
        <v>69</v>
      </c>
      <c r="D745" s="1" t="s">
        <v>43</v>
      </c>
      <c r="E745" s="1" t="s">
        <v>38</v>
      </c>
      <c r="F745" s="1" t="s">
        <v>23</v>
      </c>
      <c r="G745" s="2">
        <v>45586</v>
      </c>
      <c r="H745" s="2">
        <v>45645</v>
      </c>
      <c r="I745" s="1">
        <v>3069.39</v>
      </c>
      <c r="J745" s="1">
        <v>0.86970000000000003</v>
      </c>
      <c r="K745" s="1">
        <v>2669.45</v>
      </c>
      <c r="L745" s="1">
        <v>830231</v>
      </c>
      <c r="M745" s="1">
        <v>1404</v>
      </c>
      <c r="N745" s="1">
        <v>18555.18</v>
      </c>
      <c r="O745" s="1">
        <v>2024</v>
      </c>
      <c r="P745" s="1" t="s">
        <v>24</v>
      </c>
      <c r="Q745" s="1" t="s">
        <v>25</v>
      </c>
      <c r="R745" s="1" t="s">
        <v>54</v>
      </c>
      <c r="S745" s="1">
        <f t="shared" si="11"/>
        <v>60</v>
      </c>
      <c r="T745" s="7" t="str">
        <f>_xlfn.TEXTJOIN("_",TRUE,Finance_Data!A745,Finance_Data!B745,Finance_Data!C745,Finance_Data!D745,Finance_Data!E745,Finance_Data!G745,Finance_Data!H745)</f>
        <v>CMP_058_North_USA_Luxury Bag_Ecommerce_45586_45645</v>
      </c>
    </row>
    <row r="746" spans="1:20" x14ac:dyDescent="0.35">
      <c r="A746" s="6" t="s">
        <v>72</v>
      </c>
      <c r="B746" s="1" t="s">
        <v>28</v>
      </c>
      <c r="C746" s="1" t="s">
        <v>29</v>
      </c>
      <c r="D746" s="1" t="s">
        <v>59</v>
      </c>
      <c r="E746" s="1" t="s">
        <v>38</v>
      </c>
      <c r="F746" s="1" t="s">
        <v>23</v>
      </c>
      <c r="G746" s="2">
        <v>45586</v>
      </c>
      <c r="H746" s="2">
        <v>45612</v>
      </c>
      <c r="I746" s="1">
        <v>19473.509999999998</v>
      </c>
      <c r="J746" s="1">
        <v>0.86380000000000001</v>
      </c>
      <c r="K746" s="1">
        <v>16821.22</v>
      </c>
      <c r="L746" s="1">
        <v>781754</v>
      </c>
      <c r="M746" s="1">
        <v>47615</v>
      </c>
      <c r="N746" s="1">
        <v>98504.37</v>
      </c>
      <c r="O746" s="1">
        <v>2024</v>
      </c>
      <c r="P746" s="1" t="s">
        <v>24</v>
      </c>
      <c r="Q746" s="1" t="s">
        <v>25</v>
      </c>
      <c r="R746" s="1" t="s">
        <v>41</v>
      </c>
      <c r="S746" s="1">
        <f t="shared" si="11"/>
        <v>27</v>
      </c>
      <c r="T746" s="7" t="str">
        <f>_xlfn.TEXTJOIN("_",TRUE,Finance_Data!A746,Finance_Data!B746,Finance_Data!C746,Finance_Data!D746,Finance_Data!E746,Finance_Data!G746,Finance_Data!H746)</f>
        <v>CMP_042_West_Australia_Lipstick_Ecommerce_45586_45612</v>
      </c>
    </row>
    <row r="747" spans="1:20" x14ac:dyDescent="0.35">
      <c r="A747" s="6" t="s">
        <v>102</v>
      </c>
      <c r="B747" s="1" t="s">
        <v>19</v>
      </c>
      <c r="C747" s="1" t="s">
        <v>36</v>
      </c>
      <c r="D747" s="1" t="s">
        <v>37</v>
      </c>
      <c r="E747" s="1" t="s">
        <v>22</v>
      </c>
      <c r="F747" s="1" t="s">
        <v>52</v>
      </c>
      <c r="G747" s="2">
        <v>45589</v>
      </c>
      <c r="H747" s="2">
        <v>45646</v>
      </c>
      <c r="I747" s="1">
        <v>47047.8</v>
      </c>
      <c r="J747" s="1">
        <v>0.89880000000000004</v>
      </c>
      <c r="K747" s="1">
        <v>42286.559999999998</v>
      </c>
      <c r="L747" s="1">
        <v>171223</v>
      </c>
      <c r="M747" s="1">
        <v>1656</v>
      </c>
      <c r="N747" s="1">
        <v>117510.18</v>
      </c>
      <c r="O747" s="1">
        <v>2024</v>
      </c>
      <c r="P747" s="1" t="s">
        <v>24</v>
      </c>
      <c r="Q747" s="1" t="s">
        <v>25</v>
      </c>
      <c r="R747" s="1" t="s">
        <v>41</v>
      </c>
      <c r="S747" s="1">
        <f t="shared" si="11"/>
        <v>58</v>
      </c>
      <c r="T747" s="7" t="str">
        <f>_xlfn.TEXTJOIN("_",TRUE,Finance_Data!A747,Finance_Data!B747,Finance_Data!C747,Finance_Data!D747,Finance_Data!E747,Finance_Data!G747,Finance_Data!H747)</f>
        <v>CMP_022_North_India_Perfume_Retail_45589_45646</v>
      </c>
    </row>
    <row r="748" spans="1:20" x14ac:dyDescent="0.35">
      <c r="A748" s="6" t="s">
        <v>34</v>
      </c>
      <c r="B748" s="1" t="s">
        <v>35</v>
      </c>
      <c r="C748" s="1" t="s">
        <v>58</v>
      </c>
      <c r="D748" s="1" t="s">
        <v>37</v>
      </c>
      <c r="E748" s="1" t="s">
        <v>22</v>
      </c>
      <c r="F748" s="1" t="s">
        <v>23</v>
      </c>
      <c r="G748" s="2">
        <v>45589</v>
      </c>
      <c r="H748" s="2">
        <v>45633</v>
      </c>
      <c r="I748" s="1">
        <v>3170.54</v>
      </c>
      <c r="J748" s="1">
        <v>1.1805000000000001</v>
      </c>
      <c r="K748" s="1">
        <v>3742.82</v>
      </c>
      <c r="L748" s="1">
        <v>720380</v>
      </c>
      <c r="M748" s="1">
        <v>42484</v>
      </c>
      <c r="N748" s="1">
        <v>102906.35</v>
      </c>
      <c r="O748" s="1">
        <v>2024</v>
      </c>
      <c r="P748" s="1" t="s">
        <v>24</v>
      </c>
      <c r="Q748" s="1" t="s">
        <v>25</v>
      </c>
      <c r="R748" s="1" t="s">
        <v>41</v>
      </c>
      <c r="S748" s="1">
        <f t="shared" si="11"/>
        <v>45</v>
      </c>
      <c r="T748" s="7" t="str">
        <f>_xlfn.TEXTJOIN("_",TRUE,Finance_Data!A748,Finance_Data!B748,Finance_Data!C748,Finance_Data!D748,Finance_Data!E748,Finance_Data!G748,Finance_Data!H748)</f>
        <v>CMP_049_East_UK_Perfume_Retail_45589_45633</v>
      </c>
    </row>
    <row r="749" spans="1:20" x14ac:dyDescent="0.35">
      <c r="A749" s="6" t="s">
        <v>84</v>
      </c>
      <c r="B749" s="1" t="s">
        <v>48</v>
      </c>
      <c r="C749" s="1" t="s">
        <v>69</v>
      </c>
      <c r="D749" s="1" t="s">
        <v>43</v>
      </c>
      <c r="E749" s="1" t="s">
        <v>38</v>
      </c>
      <c r="F749" s="1" t="s">
        <v>49</v>
      </c>
      <c r="G749" s="2">
        <v>45590</v>
      </c>
      <c r="H749" s="2">
        <v>45601</v>
      </c>
      <c r="I749" s="1">
        <v>34179.83</v>
      </c>
      <c r="J749" s="1">
        <v>0.2056</v>
      </c>
      <c r="K749" s="1">
        <v>7027.37</v>
      </c>
      <c r="L749" s="1">
        <v>786459</v>
      </c>
      <c r="M749" s="1">
        <v>16085</v>
      </c>
      <c r="N749" s="1">
        <v>131418.51</v>
      </c>
      <c r="O749" s="1">
        <v>2024</v>
      </c>
      <c r="P749" s="1" t="s">
        <v>24</v>
      </c>
      <c r="Q749" s="1" t="s">
        <v>25</v>
      </c>
      <c r="R749" s="1" t="s">
        <v>61</v>
      </c>
      <c r="S749" s="1">
        <f t="shared" si="11"/>
        <v>12</v>
      </c>
      <c r="T749" s="7" t="str">
        <f>_xlfn.TEXTJOIN("_",TRUE,Finance_Data!A749,Finance_Data!B749,Finance_Data!C749,Finance_Data!D749,Finance_Data!E749,Finance_Data!G749,Finance_Data!H749)</f>
        <v>CMP_036_South_USA_Luxury Bag_Ecommerce_45590_45601</v>
      </c>
    </row>
    <row r="750" spans="1:20" x14ac:dyDescent="0.35">
      <c r="A750" s="6" t="s">
        <v>88</v>
      </c>
      <c r="B750" s="1" t="s">
        <v>28</v>
      </c>
      <c r="C750" s="1" t="s">
        <v>20</v>
      </c>
      <c r="D750" s="1" t="s">
        <v>37</v>
      </c>
      <c r="E750" s="1" t="s">
        <v>30</v>
      </c>
      <c r="F750" s="1" t="s">
        <v>23</v>
      </c>
      <c r="G750" s="2">
        <v>45592</v>
      </c>
      <c r="H750" s="2">
        <v>45602</v>
      </c>
      <c r="I750" s="1">
        <v>42736.5</v>
      </c>
      <c r="J750" s="1">
        <v>1.0243</v>
      </c>
      <c r="K750" s="1">
        <v>43775</v>
      </c>
      <c r="L750" s="1">
        <v>911085</v>
      </c>
      <c r="M750" s="1">
        <v>35071</v>
      </c>
      <c r="N750" s="1">
        <v>98102.3</v>
      </c>
      <c r="O750" s="1">
        <v>2024</v>
      </c>
      <c r="P750" s="1" t="s">
        <v>24</v>
      </c>
      <c r="Q750" s="1" t="s">
        <v>25</v>
      </c>
      <c r="R750" s="1" t="s">
        <v>61</v>
      </c>
      <c r="S750" s="1">
        <f t="shared" si="11"/>
        <v>11</v>
      </c>
      <c r="T750" s="7" t="str">
        <f>_xlfn.TEXTJOIN("_",TRUE,Finance_Data!A750,Finance_Data!B750,Finance_Data!C750,Finance_Data!D750,Finance_Data!E750,Finance_Data!G750,Finance_Data!H750)</f>
        <v>CMP_021_West_Singapore_Perfume_Wholesale_45592_45602</v>
      </c>
    </row>
    <row r="751" spans="1:20" x14ac:dyDescent="0.35">
      <c r="A751" s="6" t="s">
        <v>99</v>
      </c>
      <c r="B751" s="1" t="s">
        <v>35</v>
      </c>
      <c r="C751" s="1" t="s">
        <v>69</v>
      </c>
      <c r="D751" s="1" t="s">
        <v>21</v>
      </c>
      <c r="E751" s="1" t="s">
        <v>22</v>
      </c>
      <c r="F751" s="1" t="s">
        <v>49</v>
      </c>
      <c r="G751" s="2">
        <v>45593</v>
      </c>
      <c r="H751" s="2">
        <v>45611</v>
      </c>
      <c r="I751" s="1">
        <v>38580.99</v>
      </c>
      <c r="J751" s="1">
        <v>0.50570000000000004</v>
      </c>
      <c r="K751" s="1">
        <v>19510.41</v>
      </c>
      <c r="L751" s="1">
        <v>680030</v>
      </c>
      <c r="M751" s="1">
        <v>2084</v>
      </c>
      <c r="N751" s="1">
        <v>127019.32</v>
      </c>
      <c r="O751" s="1">
        <v>2024</v>
      </c>
      <c r="P751" s="1" t="s">
        <v>24</v>
      </c>
      <c r="Q751" s="1" t="s">
        <v>25</v>
      </c>
      <c r="R751" s="1" t="s">
        <v>41</v>
      </c>
      <c r="S751" s="1">
        <f t="shared" si="11"/>
        <v>19</v>
      </c>
      <c r="T751" s="7" t="str">
        <f>_xlfn.TEXTJOIN("_",TRUE,Finance_Data!A751,Finance_Data!B751,Finance_Data!C751,Finance_Data!D751,Finance_Data!E751,Finance_Data!G751,Finance_Data!H751)</f>
        <v>CMP_041_East_USA_Foundation_Retail_45593_45611</v>
      </c>
    </row>
    <row r="752" spans="1:20" x14ac:dyDescent="0.35">
      <c r="A752" s="6" t="s">
        <v>110</v>
      </c>
      <c r="B752" s="1" t="s">
        <v>28</v>
      </c>
      <c r="C752" s="1" t="s">
        <v>29</v>
      </c>
      <c r="D752" s="1" t="s">
        <v>37</v>
      </c>
      <c r="E752" s="1" t="s">
        <v>38</v>
      </c>
      <c r="F752" s="1" t="s">
        <v>49</v>
      </c>
      <c r="G752" s="2">
        <v>45594</v>
      </c>
      <c r="H752" s="2">
        <v>45635</v>
      </c>
      <c r="I752" s="1">
        <v>12378.79</v>
      </c>
      <c r="J752" s="1">
        <v>0.88900000000000001</v>
      </c>
      <c r="K752" s="1">
        <v>11004.74</v>
      </c>
      <c r="L752" s="1">
        <v>901638</v>
      </c>
      <c r="M752" s="1">
        <v>2544</v>
      </c>
      <c r="N752" s="1">
        <v>228741.28</v>
      </c>
      <c r="O752" s="1">
        <v>2024</v>
      </c>
      <c r="P752" s="1" t="s">
        <v>24</v>
      </c>
      <c r="Q752" s="1" t="s">
        <v>25</v>
      </c>
      <c r="R752" s="1" t="s">
        <v>61</v>
      </c>
      <c r="S752" s="1">
        <f t="shared" si="11"/>
        <v>42</v>
      </c>
      <c r="T752" s="7" t="str">
        <f>_xlfn.TEXTJOIN("_",TRUE,Finance_Data!A752,Finance_Data!B752,Finance_Data!C752,Finance_Data!D752,Finance_Data!E752,Finance_Data!G752,Finance_Data!H752)</f>
        <v>CMP_012_West_Australia_Perfume_Ecommerce_45594_45635</v>
      </c>
    </row>
    <row r="753" spans="1:20" x14ac:dyDescent="0.35">
      <c r="A753" s="6" t="s">
        <v>34</v>
      </c>
      <c r="B753" s="1" t="s">
        <v>35</v>
      </c>
      <c r="C753" s="1" t="s">
        <v>58</v>
      </c>
      <c r="D753" s="1" t="s">
        <v>37</v>
      </c>
      <c r="E753" s="1" t="s">
        <v>30</v>
      </c>
      <c r="F753" s="1" t="s">
        <v>49</v>
      </c>
      <c r="G753" s="2">
        <v>45598</v>
      </c>
      <c r="H753" s="2">
        <v>45649</v>
      </c>
      <c r="I753" s="1">
        <v>28594.240000000002</v>
      </c>
      <c r="J753" s="1">
        <v>0.55679999999999996</v>
      </c>
      <c r="K753" s="1">
        <v>15921.27</v>
      </c>
      <c r="L753" s="1">
        <v>910374</v>
      </c>
      <c r="M753" s="1">
        <v>9277</v>
      </c>
      <c r="N753" s="1">
        <v>73193.34</v>
      </c>
      <c r="O753" s="1">
        <v>2024</v>
      </c>
      <c r="P753" s="1" t="s">
        <v>65</v>
      </c>
      <c r="Q753" s="1" t="s">
        <v>25</v>
      </c>
      <c r="R753" s="1" t="s">
        <v>54</v>
      </c>
      <c r="S753" s="1">
        <f t="shared" si="11"/>
        <v>52</v>
      </c>
      <c r="T753" s="7" t="str">
        <f>_xlfn.TEXTJOIN("_",TRUE,Finance_Data!A753,Finance_Data!B753,Finance_Data!C753,Finance_Data!D753,Finance_Data!E753,Finance_Data!G753,Finance_Data!H753)</f>
        <v>CMP_049_East_UK_Perfume_Wholesale_45598_45649</v>
      </c>
    </row>
    <row r="754" spans="1:20" x14ac:dyDescent="0.35">
      <c r="A754" s="6" t="s">
        <v>84</v>
      </c>
      <c r="B754" s="1" t="s">
        <v>28</v>
      </c>
      <c r="C754" s="1" t="s">
        <v>58</v>
      </c>
      <c r="D754" s="1" t="s">
        <v>63</v>
      </c>
      <c r="E754" s="1" t="s">
        <v>30</v>
      </c>
      <c r="F754" s="1" t="s">
        <v>52</v>
      </c>
      <c r="G754" s="2">
        <v>45598</v>
      </c>
      <c r="H754" s="2">
        <v>45644</v>
      </c>
      <c r="I754" s="1">
        <v>39554.39</v>
      </c>
      <c r="J754" s="1">
        <v>0.58850000000000002</v>
      </c>
      <c r="K754" s="1">
        <v>23277.759999999998</v>
      </c>
      <c r="L754" s="1">
        <v>708199</v>
      </c>
      <c r="M754" s="1">
        <v>45769</v>
      </c>
      <c r="N754" s="1">
        <v>134890.73000000001</v>
      </c>
      <c r="O754" s="1">
        <v>2024</v>
      </c>
      <c r="P754" s="1" t="s">
        <v>65</v>
      </c>
      <c r="Q754" s="1" t="s">
        <v>25</v>
      </c>
      <c r="R754" s="1" t="s">
        <v>41</v>
      </c>
      <c r="S754" s="1">
        <f t="shared" si="11"/>
        <v>47</v>
      </c>
      <c r="T754" s="7" t="str">
        <f>_xlfn.TEXTJOIN("_",TRUE,Finance_Data!A754,Finance_Data!B754,Finance_Data!C754,Finance_Data!D754,Finance_Data!E754,Finance_Data!G754,Finance_Data!H754)</f>
        <v>CMP_036_West_UK_Skincare_Wholesale_45598_45644</v>
      </c>
    </row>
    <row r="755" spans="1:20" x14ac:dyDescent="0.35">
      <c r="A755" s="6" t="s">
        <v>77</v>
      </c>
      <c r="B755" s="1" t="s">
        <v>28</v>
      </c>
      <c r="C755" s="1" t="s">
        <v>36</v>
      </c>
      <c r="D755" s="1" t="s">
        <v>37</v>
      </c>
      <c r="E755" s="1" t="s">
        <v>30</v>
      </c>
      <c r="F755" s="1" t="s">
        <v>44</v>
      </c>
      <c r="G755" s="2">
        <v>45598</v>
      </c>
      <c r="H755" s="2">
        <v>45628</v>
      </c>
      <c r="I755" s="1">
        <v>7428.47</v>
      </c>
      <c r="J755" s="1">
        <v>0.89119999999999999</v>
      </c>
      <c r="K755" s="1">
        <v>6620.25</v>
      </c>
      <c r="L755" s="1">
        <v>293114</v>
      </c>
      <c r="M755" s="1">
        <v>5665</v>
      </c>
      <c r="N755" s="1">
        <v>23749.14</v>
      </c>
      <c r="O755" s="1">
        <v>2024</v>
      </c>
      <c r="P755" s="1" t="s">
        <v>65</v>
      </c>
      <c r="Q755" s="1" t="s">
        <v>25</v>
      </c>
      <c r="R755" s="1" t="s">
        <v>61</v>
      </c>
      <c r="S755" s="1">
        <f t="shared" si="11"/>
        <v>31</v>
      </c>
      <c r="T755" s="7" t="str">
        <f>_xlfn.TEXTJOIN("_",TRUE,Finance_Data!A755,Finance_Data!B755,Finance_Data!C755,Finance_Data!D755,Finance_Data!E755,Finance_Data!G755,Finance_Data!H755)</f>
        <v>CMP_033_West_India_Perfume_Wholesale_45598_45628</v>
      </c>
    </row>
    <row r="756" spans="1:20" x14ac:dyDescent="0.35">
      <c r="A756" s="6" t="s">
        <v>34</v>
      </c>
      <c r="B756" s="1" t="s">
        <v>28</v>
      </c>
      <c r="C756" s="1" t="s">
        <v>58</v>
      </c>
      <c r="D756" s="1" t="s">
        <v>37</v>
      </c>
      <c r="E756" s="1" t="s">
        <v>22</v>
      </c>
      <c r="F756" s="1" t="s">
        <v>31</v>
      </c>
      <c r="G756" s="2">
        <v>45600</v>
      </c>
      <c r="H756" s="2">
        <v>45660</v>
      </c>
      <c r="I756" s="1">
        <v>27587.09</v>
      </c>
      <c r="J756" s="1">
        <v>0.50180000000000002</v>
      </c>
      <c r="K756" s="1">
        <v>13843.2</v>
      </c>
      <c r="L756" s="1">
        <v>206694</v>
      </c>
      <c r="M756" s="1">
        <v>34076</v>
      </c>
      <c r="N756" s="1">
        <v>93635.94</v>
      </c>
      <c r="O756" s="1">
        <v>2024</v>
      </c>
      <c r="P756" s="1" t="s">
        <v>65</v>
      </c>
      <c r="Q756" s="1" t="s">
        <v>25</v>
      </c>
      <c r="R756" s="1" t="s">
        <v>61</v>
      </c>
      <c r="S756" s="1">
        <f t="shared" si="11"/>
        <v>61</v>
      </c>
      <c r="T756" s="7" t="str">
        <f>_xlfn.TEXTJOIN("_",TRUE,Finance_Data!A756,Finance_Data!B756,Finance_Data!C756,Finance_Data!D756,Finance_Data!E756,Finance_Data!G756,Finance_Data!H756)</f>
        <v>CMP_049_West_UK_Perfume_Retail_45600_45660</v>
      </c>
    </row>
    <row r="757" spans="1:20" x14ac:dyDescent="0.35">
      <c r="A757" s="6" t="s">
        <v>84</v>
      </c>
      <c r="B757" s="1" t="s">
        <v>35</v>
      </c>
      <c r="C757" s="1" t="s">
        <v>69</v>
      </c>
      <c r="D757" s="1" t="s">
        <v>21</v>
      </c>
      <c r="E757" s="1" t="s">
        <v>30</v>
      </c>
      <c r="F757" s="1" t="s">
        <v>49</v>
      </c>
      <c r="G757" s="2">
        <v>45600</v>
      </c>
      <c r="H757" s="2">
        <v>45615</v>
      </c>
      <c r="I757" s="1">
        <v>27161.119999999999</v>
      </c>
      <c r="J757" s="1">
        <v>0.72389999999999999</v>
      </c>
      <c r="K757" s="1">
        <v>19661.93</v>
      </c>
      <c r="L757" s="1">
        <v>988866</v>
      </c>
      <c r="M757" s="1">
        <v>23189</v>
      </c>
      <c r="N757" s="1">
        <v>226108.82</v>
      </c>
      <c r="O757" s="1">
        <v>2024</v>
      </c>
      <c r="P757" s="1" t="s">
        <v>65</v>
      </c>
      <c r="Q757" s="1" t="s">
        <v>25</v>
      </c>
      <c r="R757" s="1" t="s">
        <v>41</v>
      </c>
      <c r="S757" s="1">
        <f t="shared" si="11"/>
        <v>16</v>
      </c>
      <c r="T757" s="7" t="str">
        <f>_xlfn.TEXTJOIN("_",TRUE,Finance_Data!A757,Finance_Data!B757,Finance_Data!C757,Finance_Data!D757,Finance_Data!E757,Finance_Data!G757,Finance_Data!H757)</f>
        <v>CMP_036_East_USA_Foundation_Wholesale_45600_45615</v>
      </c>
    </row>
    <row r="758" spans="1:20" x14ac:dyDescent="0.35">
      <c r="A758" s="6" t="s">
        <v>109</v>
      </c>
      <c r="B758" s="1" t="s">
        <v>35</v>
      </c>
      <c r="C758" s="1" t="s">
        <v>29</v>
      </c>
      <c r="D758" s="1" t="s">
        <v>21</v>
      </c>
      <c r="E758" s="1" t="s">
        <v>30</v>
      </c>
      <c r="F758" s="1" t="s">
        <v>31</v>
      </c>
      <c r="G758" s="2">
        <v>45600</v>
      </c>
      <c r="H758" s="2">
        <v>45612</v>
      </c>
      <c r="I758" s="1">
        <v>33172.92</v>
      </c>
      <c r="J758" s="1">
        <v>0.1009</v>
      </c>
      <c r="K758" s="1">
        <v>3347.15</v>
      </c>
      <c r="L758" s="1">
        <v>993952</v>
      </c>
      <c r="M758" s="1">
        <v>35728</v>
      </c>
      <c r="N758" s="1">
        <v>55435.94</v>
      </c>
      <c r="O758" s="1">
        <v>2024</v>
      </c>
      <c r="P758" s="1" t="s">
        <v>65</v>
      </c>
      <c r="Q758" s="1" t="s">
        <v>25</v>
      </c>
      <c r="R758" s="1" t="s">
        <v>41</v>
      </c>
      <c r="S758" s="1">
        <f t="shared" si="11"/>
        <v>13</v>
      </c>
      <c r="T758" s="7" t="str">
        <f>_xlfn.TEXTJOIN("_",TRUE,Finance_Data!A758,Finance_Data!B758,Finance_Data!C758,Finance_Data!D758,Finance_Data!E758,Finance_Data!G758,Finance_Data!H758)</f>
        <v>CMP_046_East_Australia_Foundation_Wholesale_45600_45612</v>
      </c>
    </row>
    <row r="759" spans="1:20" x14ac:dyDescent="0.35">
      <c r="A759" s="6" t="s">
        <v>115</v>
      </c>
      <c r="B759" s="1" t="s">
        <v>35</v>
      </c>
      <c r="C759" s="1" t="s">
        <v>20</v>
      </c>
      <c r="D759" s="1" t="s">
        <v>63</v>
      </c>
      <c r="E759" s="1" t="s">
        <v>22</v>
      </c>
      <c r="F759" s="1" t="s">
        <v>44</v>
      </c>
      <c r="G759" s="2">
        <v>45602</v>
      </c>
      <c r="H759" s="2">
        <v>45638</v>
      </c>
      <c r="I759" s="1">
        <v>1770.86</v>
      </c>
      <c r="J759" s="1">
        <v>0.64329999999999998</v>
      </c>
      <c r="K759" s="1">
        <v>1139.19</v>
      </c>
      <c r="L759" s="1">
        <v>441319</v>
      </c>
      <c r="M759" s="1">
        <v>876</v>
      </c>
      <c r="N759" s="1">
        <v>9097.91</v>
      </c>
      <c r="O759" s="1">
        <v>2024</v>
      </c>
      <c r="P759" s="1" t="s">
        <v>65</v>
      </c>
      <c r="Q759" s="1" t="s">
        <v>25</v>
      </c>
      <c r="R759" s="1" t="s">
        <v>54</v>
      </c>
      <c r="S759" s="1">
        <f t="shared" si="11"/>
        <v>37</v>
      </c>
      <c r="T759" s="7" t="str">
        <f>_xlfn.TEXTJOIN("_",TRUE,Finance_Data!A759,Finance_Data!B759,Finance_Data!C759,Finance_Data!D759,Finance_Data!E759,Finance_Data!G759,Finance_Data!H759)</f>
        <v>CMP_047_East_Singapore_Skincare_Retail_45602_45638</v>
      </c>
    </row>
    <row r="760" spans="1:20" x14ac:dyDescent="0.35">
      <c r="A760" s="6" t="s">
        <v>34</v>
      </c>
      <c r="B760" s="1" t="s">
        <v>35</v>
      </c>
      <c r="C760" s="1" t="s">
        <v>69</v>
      </c>
      <c r="D760" s="1" t="s">
        <v>43</v>
      </c>
      <c r="E760" s="1" t="s">
        <v>22</v>
      </c>
      <c r="F760" s="1" t="s">
        <v>23</v>
      </c>
      <c r="G760" s="2">
        <v>45603</v>
      </c>
      <c r="H760" s="2">
        <v>45627</v>
      </c>
      <c r="I760" s="1">
        <v>2534</v>
      </c>
      <c r="J760" s="1">
        <v>0.91800000000000004</v>
      </c>
      <c r="K760" s="1">
        <v>2326.21</v>
      </c>
      <c r="L760" s="1">
        <v>992750</v>
      </c>
      <c r="M760" s="1">
        <v>1803</v>
      </c>
      <c r="N760" s="1">
        <v>227963.23</v>
      </c>
      <c r="O760" s="1">
        <v>2024</v>
      </c>
      <c r="P760" s="1" t="s">
        <v>65</v>
      </c>
      <c r="Q760" s="1" t="s">
        <v>25</v>
      </c>
      <c r="R760" s="1" t="s">
        <v>41</v>
      </c>
      <c r="S760" s="1">
        <f t="shared" si="11"/>
        <v>25</v>
      </c>
      <c r="T760" s="7" t="str">
        <f>_xlfn.TEXTJOIN("_",TRUE,Finance_Data!A760,Finance_Data!B760,Finance_Data!C760,Finance_Data!D760,Finance_Data!E760,Finance_Data!G760,Finance_Data!H760)</f>
        <v>CMP_049_East_USA_Luxury Bag_Retail_45603_45627</v>
      </c>
    </row>
    <row r="761" spans="1:20" x14ac:dyDescent="0.35">
      <c r="A761" s="6" t="s">
        <v>110</v>
      </c>
      <c r="B761" s="1" t="s">
        <v>48</v>
      </c>
      <c r="C761" s="1" t="s">
        <v>58</v>
      </c>
      <c r="D761" s="1" t="s">
        <v>37</v>
      </c>
      <c r="E761" s="1" t="s">
        <v>38</v>
      </c>
      <c r="F761" s="1" t="s">
        <v>31</v>
      </c>
      <c r="G761" s="2">
        <v>45604</v>
      </c>
      <c r="H761" s="2">
        <v>45630</v>
      </c>
      <c r="I761" s="1">
        <v>43943.25</v>
      </c>
      <c r="J761" s="1">
        <v>0.74550000000000005</v>
      </c>
      <c r="K761" s="1">
        <v>32759.69</v>
      </c>
      <c r="L761" s="1">
        <v>636258</v>
      </c>
      <c r="M761" s="1">
        <v>24788</v>
      </c>
      <c r="N761" s="1">
        <v>42791.93</v>
      </c>
      <c r="O761" s="1">
        <v>2024</v>
      </c>
      <c r="P761" s="1" t="s">
        <v>65</v>
      </c>
      <c r="Q761" s="1" t="s">
        <v>25</v>
      </c>
      <c r="R761" s="1" t="s">
        <v>61</v>
      </c>
      <c r="S761" s="1">
        <f t="shared" si="11"/>
        <v>27</v>
      </c>
      <c r="T761" s="7" t="str">
        <f>_xlfn.TEXTJOIN("_",TRUE,Finance_Data!A761,Finance_Data!B761,Finance_Data!C761,Finance_Data!D761,Finance_Data!E761,Finance_Data!G761,Finance_Data!H761)</f>
        <v>CMP_012_South_UK_Perfume_Ecommerce_45604_45630</v>
      </c>
    </row>
    <row r="762" spans="1:20" x14ac:dyDescent="0.35">
      <c r="A762" s="6" t="s">
        <v>98</v>
      </c>
      <c r="B762" s="1" t="s">
        <v>35</v>
      </c>
      <c r="C762" s="1" t="s">
        <v>36</v>
      </c>
      <c r="D762" s="1" t="s">
        <v>63</v>
      </c>
      <c r="E762" s="1" t="s">
        <v>22</v>
      </c>
      <c r="F762" s="1" t="s">
        <v>23</v>
      </c>
      <c r="G762" s="2">
        <v>45604</v>
      </c>
      <c r="H762" s="2">
        <v>45624</v>
      </c>
      <c r="I762" s="1">
        <v>13133.08</v>
      </c>
      <c r="J762" s="1">
        <v>0.78120000000000001</v>
      </c>
      <c r="K762" s="1">
        <v>10259.56</v>
      </c>
      <c r="L762" s="1">
        <v>631314</v>
      </c>
      <c r="M762" s="1">
        <v>5666</v>
      </c>
      <c r="N762" s="1">
        <v>228045.31</v>
      </c>
      <c r="O762" s="1">
        <v>2024</v>
      </c>
      <c r="P762" s="1" t="s">
        <v>65</v>
      </c>
      <c r="Q762" s="1" t="s">
        <v>25</v>
      </c>
      <c r="R762" s="1" t="s">
        <v>41</v>
      </c>
      <c r="S762" s="1">
        <f t="shared" si="11"/>
        <v>21</v>
      </c>
      <c r="T762" s="7" t="str">
        <f>_xlfn.TEXTJOIN("_",TRUE,Finance_Data!A762,Finance_Data!B762,Finance_Data!C762,Finance_Data!D762,Finance_Data!E762,Finance_Data!G762,Finance_Data!H762)</f>
        <v>CMP_005_East_India_Skincare_Retail_45604_45624</v>
      </c>
    </row>
    <row r="763" spans="1:20" x14ac:dyDescent="0.35">
      <c r="A763" s="6" t="s">
        <v>66</v>
      </c>
      <c r="B763" s="1" t="s">
        <v>35</v>
      </c>
      <c r="C763" s="1" t="s">
        <v>29</v>
      </c>
      <c r="D763" s="1" t="s">
        <v>59</v>
      </c>
      <c r="E763" s="1" t="s">
        <v>22</v>
      </c>
      <c r="F763" s="1" t="s">
        <v>23</v>
      </c>
      <c r="G763" s="2">
        <v>45605</v>
      </c>
      <c r="H763" s="2">
        <v>45621</v>
      </c>
      <c r="I763" s="1">
        <v>24268.7</v>
      </c>
      <c r="J763" s="1">
        <v>0.23400000000000001</v>
      </c>
      <c r="K763" s="1">
        <v>5678.88</v>
      </c>
      <c r="L763" s="1">
        <v>413277</v>
      </c>
      <c r="M763" s="1">
        <v>23711</v>
      </c>
      <c r="N763" s="1">
        <v>210790.86</v>
      </c>
      <c r="O763" s="1">
        <v>2024</v>
      </c>
      <c r="P763" s="1" t="s">
        <v>65</v>
      </c>
      <c r="Q763" s="1" t="s">
        <v>25</v>
      </c>
      <c r="R763" s="1" t="s">
        <v>26</v>
      </c>
      <c r="S763" s="1">
        <f t="shared" si="11"/>
        <v>17</v>
      </c>
      <c r="T763" s="7" t="str">
        <f>_xlfn.TEXTJOIN("_",TRUE,Finance_Data!A763,Finance_Data!B763,Finance_Data!C763,Finance_Data!D763,Finance_Data!E763,Finance_Data!G763,Finance_Data!H763)</f>
        <v>CMP_010_East_Australia_Lipstick_Retail_45605_45621</v>
      </c>
    </row>
    <row r="764" spans="1:20" x14ac:dyDescent="0.35">
      <c r="A764" s="6" t="s">
        <v>88</v>
      </c>
      <c r="B764" s="1" t="s">
        <v>28</v>
      </c>
      <c r="C764" s="1" t="s">
        <v>69</v>
      </c>
      <c r="D764" s="1" t="s">
        <v>43</v>
      </c>
      <c r="E764" s="1" t="s">
        <v>22</v>
      </c>
      <c r="F764" s="1" t="s">
        <v>52</v>
      </c>
      <c r="G764" s="2">
        <v>45606</v>
      </c>
      <c r="H764" s="2">
        <v>45665</v>
      </c>
      <c r="I764" s="1">
        <v>7106.64</v>
      </c>
      <c r="J764" s="1">
        <v>1.0810999999999999</v>
      </c>
      <c r="K764" s="1">
        <v>7682.99</v>
      </c>
      <c r="L764" s="1">
        <v>541756</v>
      </c>
      <c r="M764" s="1">
        <v>20369</v>
      </c>
      <c r="N764" s="1">
        <v>168388.76</v>
      </c>
      <c r="O764" s="1">
        <v>2024</v>
      </c>
      <c r="P764" s="1" t="s">
        <v>65</v>
      </c>
      <c r="Q764" s="1" t="s">
        <v>25</v>
      </c>
      <c r="R764" s="1" t="s">
        <v>54</v>
      </c>
      <c r="S764" s="1">
        <f t="shared" si="11"/>
        <v>60</v>
      </c>
      <c r="T764" s="7" t="str">
        <f>_xlfn.TEXTJOIN("_",TRUE,Finance_Data!A764,Finance_Data!B764,Finance_Data!C764,Finance_Data!D764,Finance_Data!E764,Finance_Data!G764,Finance_Data!H764)</f>
        <v>CMP_021_West_USA_Luxury Bag_Retail_45606_45665</v>
      </c>
    </row>
    <row r="765" spans="1:20" x14ac:dyDescent="0.35">
      <c r="A765" s="6" t="s">
        <v>84</v>
      </c>
      <c r="B765" s="1" t="s">
        <v>19</v>
      </c>
      <c r="C765" s="1" t="s">
        <v>69</v>
      </c>
      <c r="D765" s="1" t="s">
        <v>63</v>
      </c>
      <c r="E765" s="1" t="s">
        <v>22</v>
      </c>
      <c r="F765" s="1" t="s">
        <v>49</v>
      </c>
      <c r="G765" s="2">
        <v>45607</v>
      </c>
      <c r="H765" s="2">
        <v>45636</v>
      </c>
      <c r="I765" s="1">
        <v>34188.58</v>
      </c>
      <c r="J765" s="1">
        <v>1.0843</v>
      </c>
      <c r="K765" s="1">
        <v>37070.68</v>
      </c>
      <c r="L765" s="1">
        <v>655414</v>
      </c>
      <c r="M765" s="1">
        <v>37396</v>
      </c>
      <c r="N765" s="1">
        <v>78732.72</v>
      </c>
      <c r="O765" s="1">
        <v>2024</v>
      </c>
      <c r="P765" s="1" t="s">
        <v>65</v>
      </c>
      <c r="Q765" s="1" t="s">
        <v>25</v>
      </c>
      <c r="R765" s="1" t="s">
        <v>41</v>
      </c>
      <c r="S765" s="1">
        <f t="shared" si="11"/>
        <v>30</v>
      </c>
      <c r="T765" s="7" t="str">
        <f>_xlfn.TEXTJOIN("_",TRUE,Finance_Data!A765,Finance_Data!B765,Finance_Data!C765,Finance_Data!D765,Finance_Data!E765,Finance_Data!G765,Finance_Data!H765)</f>
        <v>CMP_036_North_USA_Skincare_Retail_45607_45636</v>
      </c>
    </row>
    <row r="766" spans="1:20" x14ac:dyDescent="0.35">
      <c r="A766" s="6" t="s">
        <v>77</v>
      </c>
      <c r="B766" s="1" t="s">
        <v>48</v>
      </c>
      <c r="C766" s="1" t="s">
        <v>29</v>
      </c>
      <c r="D766" s="1" t="s">
        <v>43</v>
      </c>
      <c r="E766" s="1" t="s">
        <v>30</v>
      </c>
      <c r="F766" s="1" t="s">
        <v>52</v>
      </c>
      <c r="G766" s="2">
        <v>45609</v>
      </c>
      <c r="H766" s="2">
        <v>45666</v>
      </c>
      <c r="I766" s="1">
        <v>22028.79</v>
      </c>
      <c r="J766" s="1">
        <v>0.57389999999999997</v>
      </c>
      <c r="K766" s="1">
        <v>12642.32</v>
      </c>
      <c r="L766" s="1">
        <v>830738</v>
      </c>
      <c r="M766" s="1">
        <v>6854</v>
      </c>
      <c r="N766" s="1">
        <v>176780.51</v>
      </c>
      <c r="O766" s="1">
        <v>2024</v>
      </c>
      <c r="P766" s="1" t="s">
        <v>65</v>
      </c>
      <c r="Q766" s="1" t="s">
        <v>25</v>
      </c>
      <c r="R766" s="1" t="s">
        <v>61</v>
      </c>
      <c r="S766" s="1">
        <f t="shared" si="11"/>
        <v>58</v>
      </c>
      <c r="T766" s="7" t="str">
        <f>_xlfn.TEXTJOIN("_",TRUE,Finance_Data!A766,Finance_Data!B766,Finance_Data!C766,Finance_Data!D766,Finance_Data!E766,Finance_Data!G766,Finance_Data!H766)</f>
        <v>CMP_033_South_Australia_Luxury Bag_Wholesale_45609_45666</v>
      </c>
    </row>
    <row r="767" spans="1:20" x14ac:dyDescent="0.35">
      <c r="A767" s="6" t="s">
        <v>86</v>
      </c>
      <c r="B767" s="1" t="s">
        <v>19</v>
      </c>
      <c r="C767" s="1" t="s">
        <v>20</v>
      </c>
      <c r="D767" s="1" t="s">
        <v>43</v>
      </c>
      <c r="E767" s="1" t="s">
        <v>22</v>
      </c>
      <c r="F767" s="1" t="s">
        <v>23</v>
      </c>
      <c r="G767" s="2">
        <v>45609</v>
      </c>
      <c r="H767" s="2">
        <v>45631</v>
      </c>
      <c r="I767" s="1">
        <v>7909.15</v>
      </c>
      <c r="J767" s="1">
        <v>0.25609999999999999</v>
      </c>
      <c r="K767" s="1">
        <v>2025.53</v>
      </c>
      <c r="L767" s="1">
        <v>889535</v>
      </c>
      <c r="M767" s="1">
        <v>33438</v>
      </c>
      <c r="N767" s="1">
        <v>189941.86</v>
      </c>
      <c r="O767" s="1">
        <v>2024</v>
      </c>
      <c r="P767" s="1" t="s">
        <v>65</v>
      </c>
      <c r="Q767" s="1" t="s">
        <v>25</v>
      </c>
      <c r="R767" s="1" t="s">
        <v>54</v>
      </c>
      <c r="S767" s="1">
        <f t="shared" si="11"/>
        <v>23</v>
      </c>
      <c r="T767" s="7" t="str">
        <f>_xlfn.TEXTJOIN("_",TRUE,Finance_Data!A767,Finance_Data!B767,Finance_Data!C767,Finance_Data!D767,Finance_Data!E767,Finance_Data!G767,Finance_Data!H767)</f>
        <v>CMP_002_North_Singapore_Luxury Bag_Retail_45609_45631</v>
      </c>
    </row>
    <row r="768" spans="1:20" x14ac:dyDescent="0.35">
      <c r="A768" s="6" t="s">
        <v>84</v>
      </c>
      <c r="B768" s="1" t="s">
        <v>28</v>
      </c>
      <c r="C768" s="1" t="s">
        <v>29</v>
      </c>
      <c r="D768" s="1" t="s">
        <v>63</v>
      </c>
      <c r="E768" s="1" t="s">
        <v>38</v>
      </c>
      <c r="F768" s="1" t="s">
        <v>44</v>
      </c>
      <c r="G768" s="2">
        <v>45609</v>
      </c>
      <c r="H768" s="2">
        <v>45626</v>
      </c>
      <c r="I768" s="1">
        <v>47470.42</v>
      </c>
      <c r="J768" s="1">
        <v>1.1519999999999999</v>
      </c>
      <c r="K768" s="1">
        <v>54685.919999999998</v>
      </c>
      <c r="L768" s="1">
        <v>288711</v>
      </c>
      <c r="M768" s="1">
        <v>7885</v>
      </c>
      <c r="N768" s="1">
        <v>108168.35</v>
      </c>
      <c r="O768" s="1">
        <v>2024</v>
      </c>
      <c r="P768" s="1" t="s">
        <v>65</v>
      </c>
      <c r="Q768" s="1" t="s">
        <v>25</v>
      </c>
      <c r="R768" s="1" t="s">
        <v>54</v>
      </c>
      <c r="S768" s="1">
        <f t="shared" si="11"/>
        <v>18</v>
      </c>
      <c r="T768" s="7" t="str">
        <f>_xlfn.TEXTJOIN("_",TRUE,Finance_Data!A768,Finance_Data!B768,Finance_Data!C768,Finance_Data!D768,Finance_Data!E768,Finance_Data!G768,Finance_Data!H768)</f>
        <v>CMP_036_West_Australia_Skincare_Ecommerce_45609_45626</v>
      </c>
    </row>
    <row r="769" spans="1:20" x14ac:dyDescent="0.35">
      <c r="A769" s="6" t="s">
        <v>98</v>
      </c>
      <c r="B769" s="1" t="s">
        <v>28</v>
      </c>
      <c r="C769" s="1" t="s">
        <v>69</v>
      </c>
      <c r="D769" s="1" t="s">
        <v>43</v>
      </c>
      <c r="E769" s="1" t="s">
        <v>38</v>
      </c>
      <c r="F769" s="1" t="s">
        <v>49</v>
      </c>
      <c r="G769" s="2">
        <v>45609</v>
      </c>
      <c r="H769" s="2">
        <v>45614</v>
      </c>
      <c r="I769" s="1">
        <v>45046.52</v>
      </c>
      <c r="J769" s="1">
        <v>0.56369999999999998</v>
      </c>
      <c r="K769" s="1">
        <v>25392.720000000001</v>
      </c>
      <c r="L769" s="1">
        <v>311603</v>
      </c>
      <c r="M769" s="1">
        <v>44507</v>
      </c>
      <c r="N769" s="1">
        <v>138916.54</v>
      </c>
      <c r="O769" s="1">
        <v>2024</v>
      </c>
      <c r="P769" s="1" t="s">
        <v>65</v>
      </c>
      <c r="Q769" s="1" t="s">
        <v>25</v>
      </c>
      <c r="R769" s="1" t="s">
        <v>41</v>
      </c>
      <c r="S769" s="1">
        <f t="shared" si="11"/>
        <v>6</v>
      </c>
      <c r="T769" s="7" t="str">
        <f>_xlfn.TEXTJOIN("_",TRUE,Finance_Data!A769,Finance_Data!B769,Finance_Data!C769,Finance_Data!D769,Finance_Data!E769,Finance_Data!G769,Finance_Data!H769)</f>
        <v>CMP_005_West_USA_Luxury Bag_Ecommerce_45609_45614</v>
      </c>
    </row>
    <row r="770" spans="1:20" x14ac:dyDescent="0.35">
      <c r="A770" s="6" t="s">
        <v>96</v>
      </c>
      <c r="B770" s="1" t="s">
        <v>28</v>
      </c>
      <c r="C770" s="1" t="s">
        <v>69</v>
      </c>
      <c r="D770" s="1" t="s">
        <v>59</v>
      </c>
      <c r="E770" s="1" t="s">
        <v>22</v>
      </c>
      <c r="F770" s="1" t="s">
        <v>44</v>
      </c>
      <c r="G770" s="2">
        <v>45610</v>
      </c>
      <c r="H770" s="2">
        <v>45645</v>
      </c>
      <c r="I770" s="1">
        <v>7325.73</v>
      </c>
      <c r="J770" s="1">
        <v>0.24740000000000001</v>
      </c>
      <c r="K770" s="1">
        <v>1812.39</v>
      </c>
      <c r="L770" s="1">
        <v>645173</v>
      </c>
      <c r="M770" s="1">
        <v>32355</v>
      </c>
      <c r="N770" s="1">
        <v>29721.41</v>
      </c>
      <c r="O770" s="1">
        <v>2024</v>
      </c>
      <c r="P770" s="1" t="s">
        <v>65</v>
      </c>
      <c r="Q770" s="1" t="s">
        <v>25</v>
      </c>
      <c r="R770" s="1" t="s">
        <v>26</v>
      </c>
      <c r="S770" s="1">
        <f t="shared" ref="S770:S833" si="12">H770-G770+1</f>
        <v>36</v>
      </c>
      <c r="T770" s="7" t="str">
        <f>_xlfn.TEXTJOIN("_",TRUE,Finance_Data!A770,Finance_Data!B770,Finance_Data!C770,Finance_Data!D770,Finance_Data!E770,Finance_Data!G770,Finance_Data!H770)</f>
        <v>CMP_027_West_USA_Lipstick_Retail_45610_45645</v>
      </c>
    </row>
    <row r="771" spans="1:20" x14ac:dyDescent="0.35">
      <c r="A771" s="6" t="s">
        <v>105</v>
      </c>
      <c r="B771" s="1" t="s">
        <v>48</v>
      </c>
      <c r="C771" s="1" t="s">
        <v>58</v>
      </c>
      <c r="D771" s="1" t="s">
        <v>63</v>
      </c>
      <c r="E771" s="1" t="s">
        <v>38</v>
      </c>
      <c r="F771" s="1" t="s">
        <v>31</v>
      </c>
      <c r="G771" s="2">
        <v>45612</v>
      </c>
      <c r="H771" s="2">
        <v>45623</v>
      </c>
      <c r="I771" s="1">
        <v>10054.280000000001</v>
      </c>
      <c r="J771" s="1">
        <v>0.17730000000000001</v>
      </c>
      <c r="K771" s="1">
        <v>1782.62</v>
      </c>
      <c r="L771" s="1">
        <v>349320</v>
      </c>
      <c r="M771" s="1">
        <v>16356</v>
      </c>
      <c r="N771" s="1">
        <v>6673.38</v>
      </c>
      <c r="O771" s="1">
        <v>2024</v>
      </c>
      <c r="P771" s="1" t="s">
        <v>65</v>
      </c>
      <c r="Q771" s="1" t="s">
        <v>25</v>
      </c>
      <c r="R771" s="1" t="s">
        <v>26</v>
      </c>
      <c r="S771" s="1">
        <f t="shared" si="12"/>
        <v>12</v>
      </c>
      <c r="T771" s="7" t="str">
        <f>_xlfn.TEXTJOIN("_",TRUE,Finance_Data!A771,Finance_Data!B771,Finance_Data!C771,Finance_Data!D771,Finance_Data!E771,Finance_Data!G771,Finance_Data!H771)</f>
        <v>CMP_025_South_UK_Skincare_Ecommerce_45612_45623</v>
      </c>
    </row>
    <row r="772" spans="1:20" x14ac:dyDescent="0.35">
      <c r="A772" s="6" t="s">
        <v>82</v>
      </c>
      <c r="B772" s="1" t="s">
        <v>28</v>
      </c>
      <c r="C772" s="1" t="s">
        <v>20</v>
      </c>
      <c r="D772" s="1" t="s">
        <v>63</v>
      </c>
      <c r="E772" s="1" t="s">
        <v>22</v>
      </c>
      <c r="F772" s="1" t="s">
        <v>31</v>
      </c>
      <c r="G772" s="2">
        <v>45613</v>
      </c>
      <c r="H772" s="2">
        <v>45662</v>
      </c>
      <c r="I772" s="1">
        <v>41618.99</v>
      </c>
      <c r="J772" s="1">
        <v>0.8891</v>
      </c>
      <c r="K772" s="1">
        <v>37003.440000000002</v>
      </c>
      <c r="L772" s="1">
        <v>728709</v>
      </c>
      <c r="M772" s="1">
        <v>34597</v>
      </c>
      <c r="N772" s="1">
        <v>27895.98</v>
      </c>
      <c r="O772" s="1">
        <v>2024</v>
      </c>
      <c r="P772" s="1" t="s">
        <v>65</v>
      </c>
      <c r="Q772" s="1" t="s">
        <v>25</v>
      </c>
      <c r="R772" s="1" t="s">
        <v>41</v>
      </c>
      <c r="S772" s="1">
        <f t="shared" si="12"/>
        <v>50</v>
      </c>
      <c r="T772" s="7" t="str">
        <f>_xlfn.TEXTJOIN("_",TRUE,Finance_Data!A772,Finance_Data!B772,Finance_Data!C772,Finance_Data!D772,Finance_Data!E772,Finance_Data!G772,Finance_Data!H772)</f>
        <v>CMP_043_West_Singapore_Skincare_Retail_45613_45662</v>
      </c>
    </row>
    <row r="773" spans="1:20" x14ac:dyDescent="0.35">
      <c r="A773" s="6" t="s">
        <v>100</v>
      </c>
      <c r="B773" s="1" t="s">
        <v>35</v>
      </c>
      <c r="C773" s="1" t="s">
        <v>69</v>
      </c>
      <c r="D773" s="1" t="s">
        <v>51</v>
      </c>
      <c r="E773" s="1" t="s">
        <v>38</v>
      </c>
      <c r="F773" s="1" t="s">
        <v>52</v>
      </c>
      <c r="G773" s="2">
        <v>45613</v>
      </c>
      <c r="H773" s="2">
        <v>45631</v>
      </c>
      <c r="I773" s="1">
        <v>23939.37</v>
      </c>
      <c r="J773" s="1">
        <v>0.46820000000000001</v>
      </c>
      <c r="K773" s="1">
        <v>11208.41</v>
      </c>
      <c r="L773" s="1">
        <v>521333</v>
      </c>
      <c r="M773" s="1">
        <v>6950</v>
      </c>
      <c r="N773" s="1">
        <v>88410.28</v>
      </c>
      <c r="O773" s="1">
        <v>2024</v>
      </c>
      <c r="P773" s="1" t="s">
        <v>65</v>
      </c>
      <c r="Q773" s="1" t="s">
        <v>25</v>
      </c>
      <c r="R773" s="1" t="s">
        <v>26</v>
      </c>
      <c r="S773" s="1">
        <f t="shared" si="12"/>
        <v>19</v>
      </c>
      <c r="T773" s="7" t="str">
        <f>_xlfn.TEXTJOIN("_",TRUE,Finance_Data!A773,Finance_Data!B773,Finance_Data!C773,Finance_Data!D773,Finance_Data!E773,Finance_Data!G773,Finance_Data!H773)</f>
        <v>CMP_053_East_USA_Watch_Ecommerce_45613_45631</v>
      </c>
    </row>
    <row r="774" spans="1:20" x14ac:dyDescent="0.35">
      <c r="A774" s="6" t="s">
        <v>110</v>
      </c>
      <c r="B774" s="1" t="s">
        <v>28</v>
      </c>
      <c r="C774" s="1" t="s">
        <v>20</v>
      </c>
      <c r="D774" s="1" t="s">
        <v>63</v>
      </c>
      <c r="E774" s="1" t="s">
        <v>22</v>
      </c>
      <c r="F774" s="1" t="s">
        <v>23</v>
      </c>
      <c r="G774" s="2">
        <v>45615</v>
      </c>
      <c r="H774" s="2">
        <v>45638</v>
      </c>
      <c r="I774" s="1">
        <v>30943.4</v>
      </c>
      <c r="J774" s="1">
        <v>0.83289999999999997</v>
      </c>
      <c r="K774" s="1">
        <v>25772.76</v>
      </c>
      <c r="L774" s="1">
        <v>633870</v>
      </c>
      <c r="M774" s="1">
        <v>37605</v>
      </c>
      <c r="N774" s="1">
        <v>197890.36</v>
      </c>
      <c r="O774" s="1">
        <v>2024</v>
      </c>
      <c r="P774" s="1" t="s">
        <v>65</v>
      </c>
      <c r="Q774" s="1" t="s">
        <v>25</v>
      </c>
      <c r="R774" s="1" t="s">
        <v>41</v>
      </c>
      <c r="S774" s="1">
        <f t="shared" si="12"/>
        <v>24</v>
      </c>
      <c r="T774" s="7" t="str">
        <f>_xlfn.TEXTJOIN("_",TRUE,Finance_Data!A774,Finance_Data!B774,Finance_Data!C774,Finance_Data!D774,Finance_Data!E774,Finance_Data!G774,Finance_Data!H774)</f>
        <v>CMP_012_West_Singapore_Skincare_Retail_45615_45638</v>
      </c>
    </row>
    <row r="775" spans="1:20" x14ac:dyDescent="0.35">
      <c r="A775" s="6" t="s">
        <v>27</v>
      </c>
      <c r="B775" s="1" t="s">
        <v>19</v>
      </c>
      <c r="C775" s="1" t="s">
        <v>36</v>
      </c>
      <c r="D775" s="1" t="s">
        <v>43</v>
      </c>
      <c r="E775" s="1" t="s">
        <v>22</v>
      </c>
      <c r="F775" s="1" t="s">
        <v>49</v>
      </c>
      <c r="G775" s="2">
        <v>45615</v>
      </c>
      <c r="H775" s="2">
        <v>45631</v>
      </c>
      <c r="I775" s="1">
        <v>21244.99</v>
      </c>
      <c r="J775" s="1">
        <v>1.0753999999999999</v>
      </c>
      <c r="K775" s="1">
        <v>22846.86</v>
      </c>
      <c r="L775" s="1">
        <v>747463</v>
      </c>
      <c r="M775" s="1">
        <v>32145</v>
      </c>
      <c r="N775" s="1">
        <v>191803.98</v>
      </c>
      <c r="O775" s="1">
        <v>2024</v>
      </c>
      <c r="P775" s="1" t="s">
        <v>65</v>
      </c>
      <c r="Q775" s="1" t="s">
        <v>25</v>
      </c>
      <c r="R775" s="1" t="s">
        <v>26</v>
      </c>
      <c r="S775" s="1">
        <f t="shared" si="12"/>
        <v>17</v>
      </c>
      <c r="T775" s="7" t="str">
        <f>_xlfn.TEXTJOIN("_",TRUE,Finance_Data!A775,Finance_Data!B775,Finance_Data!C775,Finance_Data!D775,Finance_Data!E775,Finance_Data!G775,Finance_Data!H775)</f>
        <v>CMP_035_North_India_Luxury Bag_Retail_45615_45631</v>
      </c>
    </row>
    <row r="776" spans="1:20" x14ac:dyDescent="0.35">
      <c r="A776" s="6" t="s">
        <v>68</v>
      </c>
      <c r="B776" s="1" t="s">
        <v>28</v>
      </c>
      <c r="C776" s="1" t="s">
        <v>36</v>
      </c>
      <c r="D776" s="1" t="s">
        <v>21</v>
      </c>
      <c r="E776" s="1" t="s">
        <v>30</v>
      </c>
      <c r="F776" s="1" t="s">
        <v>49</v>
      </c>
      <c r="G776" s="2">
        <v>45616</v>
      </c>
      <c r="H776" s="2">
        <v>45652</v>
      </c>
      <c r="I776" s="1">
        <v>7819.78</v>
      </c>
      <c r="J776" s="1">
        <v>0.37040000000000001</v>
      </c>
      <c r="K776" s="1">
        <v>2896.45</v>
      </c>
      <c r="L776" s="1">
        <v>274955</v>
      </c>
      <c r="M776" s="1">
        <v>43266</v>
      </c>
      <c r="N776" s="1">
        <v>42765.09</v>
      </c>
      <c r="O776" s="1">
        <v>2024</v>
      </c>
      <c r="P776" s="1" t="s">
        <v>65</v>
      </c>
      <c r="Q776" s="1" t="s">
        <v>25</v>
      </c>
      <c r="R776" s="1" t="s">
        <v>54</v>
      </c>
      <c r="S776" s="1">
        <f t="shared" si="12"/>
        <v>37</v>
      </c>
      <c r="T776" s="7" t="str">
        <f>_xlfn.TEXTJOIN("_",TRUE,Finance_Data!A776,Finance_Data!B776,Finance_Data!C776,Finance_Data!D776,Finance_Data!E776,Finance_Data!G776,Finance_Data!H776)</f>
        <v>CMP_028_West_India_Foundation_Wholesale_45616_45652</v>
      </c>
    </row>
    <row r="777" spans="1:20" x14ac:dyDescent="0.35">
      <c r="A777" s="6" t="s">
        <v>97</v>
      </c>
      <c r="B777" s="1" t="s">
        <v>48</v>
      </c>
      <c r="C777" s="1" t="s">
        <v>29</v>
      </c>
      <c r="D777" s="1" t="s">
        <v>51</v>
      </c>
      <c r="E777" s="1" t="s">
        <v>22</v>
      </c>
      <c r="F777" s="1" t="s">
        <v>44</v>
      </c>
      <c r="G777" s="2">
        <v>45616</v>
      </c>
      <c r="H777" s="2">
        <v>45633</v>
      </c>
      <c r="I777" s="1">
        <v>13999.02</v>
      </c>
      <c r="J777" s="1">
        <v>0.19020000000000001</v>
      </c>
      <c r="K777" s="1">
        <v>2662.61</v>
      </c>
      <c r="L777" s="1">
        <v>863403</v>
      </c>
      <c r="M777" s="1">
        <v>12362</v>
      </c>
      <c r="N777" s="1">
        <v>184722.37</v>
      </c>
      <c r="O777" s="1">
        <v>2024</v>
      </c>
      <c r="P777" s="1" t="s">
        <v>65</v>
      </c>
      <c r="Q777" s="1" t="s">
        <v>25</v>
      </c>
      <c r="R777" s="1" t="s">
        <v>61</v>
      </c>
      <c r="S777" s="1">
        <f t="shared" si="12"/>
        <v>18</v>
      </c>
      <c r="T777" s="7" t="str">
        <f>_xlfn.TEXTJOIN("_",TRUE,Finance_Data!A777,Finance_Data!B777,Finance_Data!C777,Finance_Data!D777,Finance_Data!E777,Finance_Data!G777,Finance_Data!H777)</f>
        <v>CMP_019_South_Australia_Watch_Retail_45616_45633</v>
      </c>
    </row>
    <row r="778" spans="1:20" x14ac:dyDescent="0.35">
      <c r="A778" s="6" t="s">
        <v>101</v>
      </c>
      <c r="B778" s="1" t="s">
        <v>19</v>
      </c>
      <c r="C778" s="1" t="s">
        <v>29</v>
      </c>
      <c r="D778" s="1" t="s">
        <v>21</v>
      </c>
      <c r="E778" s="1" t="s">
        <v>30</v>
      </c>
      <c r="F778" s="1" t="s">
        <v>49</v>
      </c>
      <c r="G778" s="2">
        <v>45617</v>
      </c>
      <c r="H778" s="2">
        <v>45675</v>
      </c>
      <c r="I778" s="1">
        <v>43165.33</v>
      </c>
      <c r="J778" s="1">
        <v>0.7087</v>
      </c>
      <c r="K778" s="1">
        <v>30591.27</v>
      </c>
      <c r="L778" s="1">
        <v>31753</v>
      </c>
      <c r="M778" s="1">
        <v>44158</v>
      </c>
      <c r="N778" s="1">
        <v>206248.21</v>
      </c>
      <c r="O778" s="1">
        <v>2024</v>
      </c>
      <c r="P778" s="1" t="s">
        <v>65</v>
      </c>
      <c r="Q778" s="1" t="s">
        <v>25</v>
      </c>
      <c r="R778" s="1" t="s">
        <v>41</v>
      </c>
      <c r="S778" s="1">
        <f t="shared" si="12"/>
        <v>59</v>
      </c>
      <c r="T778" s="7" t="str">
        <f>_xlfn.TEXTJOIN("_",TRUE,Finance_Data!A778,Finance_Data!B778,Finance_Data!C778,Finance_Data!D778,Finance_Data!E778,Finance_Data!G778,Finance_Data!H778)</f>
        <v>CMP_037_North_Australia_Foundation_Wholesale_45617_45675</v>
      </c>
    </row>
    <row r="779" spans="1:20" x14ac:dyDescent="0.35">
      <c r="A779" s="6" t="s">
        <v>107</v>
      </c>
      <c r="B779" s="1" t="s">
        <v>48</v>
      </c>
      <c r="C779" s="1" t="s">
        <v>36</v>
      </c>
      <c r="D779" s="1" t="s">
        <v>51</v>
      </c>
      <c r="E779" s="1" t="s">
        <v>38</v>
      </c>
      <c r="F779" s="1" t="s">
        <v>31</v>
      </c>
      <c r="G779" s="2">
        <v>45618</v>
      </c>
      <c r="H779" s="2">
        <v>45637</v>
      </c>
      <c r="I779" s="1">
        <v>24102.37</v>
      </c>
      <c r="J779" s="1">
        <v>0.74729999999999996</v>
      </c>
      <c r="K779" s="1">
        <v>18011.7</v>
      </c>
      <c r="L779" s="1">
        <v>998984</v>
      </c>
      <c r="M779" s="1">
        <v>36892</v>
      </c>
      <c r="N779" s="1">
        <v>85361.54</v>
      </c>
      <c r="O779" s="1">
        <v>2024</v>
      </c>
      <c r="P779" s="1" t="s">
        <v>65</v>
      </c>
      <c r="Q779" s="1" t="s">
        <v>25</v>
      </c>
      <c r="R779" s="1" t="s">
        <v>54</v>
      </c>
      <c r="S779" s="1">
        <f t="shared" si="12"/>
        <v>20</v>
      </c>
      <c r="T779" s="7" t="str">
        <f>_xlfn.TEXTJOIN("_",TRUE,Finance_Data!A779,Finance_Data!B779,Finance_Data!C779,Finance_Data!D779,Finance_Data!E779,Finance_Data!G779,Finance_Data!H779)</f>
        <v>CMP_040_South_India_Watch_Ecommerce_45618_45637</v>
      </c>
    </row>
    <row r="780" spans="1:20" x14ac:dyDescent="0.35">
      <c r="A780" s="6" t="s">
        <v>70</v>
      </c>
      <c r="B780" s="1" t="s">
        <v>48</v>
      </c>
      <c r="C780" s="1" t="s">
        <v>58</v>
      </c>
      <c r="D780" s="1" t="s">
        <v>51</v>
      </c>
      <c r="E780" s="1" t="s">
        <v>22</v>
      </c>
      <c r="F780" s="1" t="s">
        <v>49</v>
      </c>
      <c r="G780" s="2">
        <v>45621</v>
      </c>
      <c r="H780" s="2">
        <v>45681</v>
      </c>
      <c r="I780" s="1">
        <v>43838.51</v>
      </c>
      <c r="J780" s="1">
        <v>0.18729999999999999</v>
      </c>
      <c r="K780" s="1">
        <v>8210.9500000000007</v>
      </c>
      <c r="L780" s="1">
        <v>617488</v>
      </c>
      <c r="M780" s="1">
        <v>15368</v>
      </c>
      <c r="N780" s="1">
        <v>231579.87</v>
      </c>
      <c r="O780" s="1">
        <v>2024</v>
      </c>
      <c r="P780" s="1" t="s">
        <v>65</v>
      </c>
      <c r="Q780" s="1" t="s">
        <v>25</v>
      </c>
      <c r="R780" s="1" t="s">
        <v>26</v>
      </c>
      <c r="S780" s="1">
        <f t="shared" si="12"/>
        <v>61</v>
      </c>
      <c r="T780" s="7" t="str">
        <f>_xlfn.TEXTJOIN("_",TRUE,Finance_Data!A780,Finance_Data!B780,Finance_Data!C780,Finance_Data!D780,Finance_Data!E780,Finance_Data!G780,Finance_Data!H780)</f>
        <v>CMP_003_South_UK_Watch_Retail_45621_45681</v>
      </c>
    </row>
    <row r="781" spans="1:20" x14ac:dyDescent="0.35">
      <c r="A781" s="6" t="s">
        <v>47</v>
      </c>
      <c r="B781" s="1" t="s">
        <v>28</v>
      </c>
      <c r="C781" s="1" t="s">
        <v>36</v>
      </c>
      <c r="D781" s="1" t="s">
        <v>63</v>
      </c>
      <c r="E781" s="1" t="s">
        <v>22</v>
      </c>
      <c r="F781" s="1" t="s">
        <v>44</v>
      </c>
      <c r="G781" s="2">
        <v>45621</v>
      </c>
      <c r="H781" s="2">
        <v>45675</v>
      </c>
      <c r="I781" s="1">
        <v>34992.32</v>
      </c>
      <c r="J781" s="1">
        <v>0.40510000000000002</v>
      </c>
      <c r="K781" s="1">
        <v>14175.39</v>
      </c>
      <c r="L781" s="1">
        <v>676216</v>
      </c>
      <c r="M781" s="1">
        <v>45164</v>
      </c>
      <c r="N781" s="1">
        <v>82901.91</v>
      </c>
      <c r="O781" s="1">
        <v>2024</v>
      </c>
      <c r="P781" s="1" t="s">
        <v>65</v>
      </c>
      <c r="Q781" s="1" t="s">
        <v>25</v>
      </c>
      <c r="R781" s="1" t="s">
        <v>54</v>
      </c>
      <c r="S781" s="1">
        <f t="shared" si="12"/>
        <v>55</v>
      </c>
      <c r="T781" s="7" t="str">
        <f>_xlfn.TEXTJOIN("_",TRUE,Finance_Data!A781,Finance_Data!B781,Finance_Data!C781,Finance_Data!D781,Finance_Data!E781,Finance_Data!G781,Finance_Data!H781)</f>
        <v>CMP_055_West_India_Skincare_Retail_45621_45675</v>
      </c>
    </row>
    <row r="782" spans="1:20" x14ac:dyDescent="0.35">
      <c r="A782" s="6" t="s">
        <v>104</v>
      </c>
      <c r="B782" s="1" t="s">
        <v>35</v>
      </c>
      <c r="C782" s="1" t="s">
        <v>58</v>
      </c>
      <c r="D782" s="1" t="s">
        <v>63</v>
      </c>
      <c r="E782" s="1" t="s">
        <v>30</v>
      </c>
      <c r="F782" s="1" t="s">
        <v>31</v>
      </c>
      <c r="G782" s="2">
        <v>45622</v>
      </c>
      <c r="H782" s="2">
        <v>45655</v>
      </c>
      <c r="I782" s="1">
        <v>47492.35</v>
      </c>
      <c r="J782" s="1">
        <v>0.45269999999999999</v>
      </c>
      <c r="K782" s="1">
        <v>21499.79</v>
      </c>
      <c r="L782" s="1">
        <v>810152</v>
      </c>
      <c r="M782" s="1">
        <v>5138</v>
      </c>
      <c r="N782" s="1">
        <v>145610.84</v>
      </c>
      <c r="O782" s="1">
        <v>2024</v>
      </c>
      <c r="P782" s="1" t="s">
        <v>65</v>
      </c>
      <c r="Q782" s="1" t="s">
        <v>25</v>
      </c>
      <c r="R782" s="1" t="s">
        <v>61</v>
      </c>
      <c r="S782" s="1">
        <f t="shared" si="12"/>
        <v>34</v>
      </c>
      <c r="T782" s="7" t="str">
        <f>_xlfn.TEXTJOIN("_",TRUE,Finance_Data!A782,Finance_Data!B782,Finance_Data!C782,Finance_Data!D782,Finance_Data!E782,Finance_Data!G782,Finance_Data!H782)</f>
        <v>CMP_034_East_UK_Skincare_Wholesale_45622_45655</v>
      </c>
    </row>
    <row r="783" spans="1:20" x14ac:dyDescent="0.35">
      <c r="A783" s="6" t="s">
        <v>109</v>
      </c>
      <c r="B783" s="1" t="s">
        <v>48</v>
      </c>
      <c r="C783" s="1" t="s">
        <v>58</v>
      </c>
      <c r="D783" s="1" t="s">
        <v>59</v>
      </c>
      <c r="E783" s="1" t="s">
        <v>38</v>
      </c>
      <c r="F783" s="1" t="s">
        <v>23</v>
      </c>
      <c r="G783" s="2">
        <v>45623</v>
      </c>
      <c r="H783" s="2">
        <v>45657</v>
      </c>
      <c r="I783" s="1">
        <v>28153.64</v>
      </c>
      <c r="J783" s="1">
        <v>0.99709999999999999</v>
      </c>
      <c r="K783" s="1">
        <v>28071.99</v>
      </c>
      <c r="L783" s="1">
        <v>973798</v>
      </c>
      <c r="M783" s="1">
        <v>37590</v>
      </c>
      <c r="N783" s="1">
        <v>127958.75</v>
      </c>
      <c r="O783" s="1">
        <v>2024</v>
      </c>
      <c r="P783" s="1" t="s">
        <v>65</v>
      </c>
      <c r="Q783" s="1" t="s">
        <v>25</v>
      </c>
      <c r="R783" s="1" t="s">
        <v>54</v>
      </c>
      <c r="S783" s="1">
        <f t="shared" si="12"/>
        <v>35</v>
      </c>
      <c r="T783" s="7" t="str">
        <f>_xlfn.TEXTJOIN("_",TRUE,Finance_Data!A783,Finance_Data!B783,Finance_Data!C783,Finance_Data!D783,Finance_Data!E783,Finance_Data!G783,Finance_Data!H783)</f>
        <v>CMP_046_South_UK_Lipstick_Ecommerce_45623_45657</v>
      </c>
    </row>
    <row r="784" spans="1:20" x14ac:dyDescent="0.35">
      <c r="A784" s="6" t="s">
        <v>64</v>
      </c>
      <c r="B784" s="1" t="s">
        <v>28</v>
      </c>
      <c r="C784" s="1" t="s">
        <v>36</v>
      </c>
      <c r="D784" s="1" t="s">
        <v>51</v>
      </c>
      <c r="E784" s="1" t="s">
        <v>30</v>
      </c>
      <c r="F784" s="1" t="s">
        <v>31</v>
      </c>
      <c r="G784" s="2">
        <v>45625</v>
      </c>
      <c r="H784" s="2">
        <v>45664</v>
      </c>
      <c r="I784" s="1">
        <v>37793.01</v>
      </c>
      <c r="J784" s="1">
        <v>0.92459999999999998</v>
      </c>
      <c r="K784" s="1">
        <v>34943.42</v>
      </c>
      <c r="L784" s="1">
        <v>366699</v>
      </c>
      <c r="M784" s="1">
        <v>7410</v>
      </c>
      <c r="N784" s="1">
        <v>76907.53</v>
      </c>
      <c r="O784" s="1">
        <v>2024</v>
      </c>
      <c r="P784" s="1" t="s">
        <v>65</v>
      </c>
      <c r="Q784" s="1" t="s">
        <v>25</v>
      </c>
      <c r="R784" s="1" t="s">
        <v>61</v>
      </c>
      <c r="S784" s="1">
        <f t="shared" si="12"/>
        <v>40</v>
      </c>
      <c r="T784" s="7" t="str">
        <f>_xlfn.TEXTJOIN("_",TRUE,Finance_Data!A784,Finance_Data!B784,Finance_Data!C784,Finance_Data!D784,Finance_Data!E784,Finance_Data!G784,Finance_Data!H784)</f>
        <v>CMP_011_West_India_Watch_Wholesale_45625_45664</v>
      </c>
    </row>
    <row r="785" spans="1:20" x14ac:dyDescent="0.35">
      <c r="A785" s="6" t="s">
        <v>109</v>
      </c>
      <c r="B785" s="1" t="s">
        <v>35</v>
      </c>
      <c r="C785" s="1" t="s">
        <v>69</v>
      </c>
      <c r="D785" s="1" t="s">
        <v>37</v>
      </c>
      <c r="E785" s="1" t="s">
        <v>30</v>
      </c>
      <c r="F785" s="1" t="s">
        <v>44</v>
      </c>
      <c r="G785" s="2">
        <v>45626</v>
      </c>
      <c r="H785" s="2">
        <v>45646</v>
      </c>
      <c r="I785" s="1">
        <v>48202.45</v>
      </c>
      <c r="J785" s="1">
        <v>1.0565</v>
      </c>
      <c r="K785" s="1">
        <v>50925.89</v>
      </c>
      <c r="L785" s="1">
        <v>992486</v>
      </c>
      <c r="M785" s="1">
        <v>9596</v>
      </c>
      <c r="N785" s="1">
        <v>93934.51</v>
      </c>
      <c r="O785" s="1">
        <v>2024</v>
      </c>
      <c r="P785" s="1" t="s">
        <v>65</v>
      </c>
      <c r="Q785" s="1" t="s">
        <v>25</v>
      </c>
      <c r="R785" s="1" t="s">
        <v>26</v>
      </c>
      <c r="S785" s="1">
        <f t="shared" si="12"/>
        <v>21</v>
      </c>
      <c r="T785" s="7" t="str">
        <f>_xlfn.TEXTJOIN("_",TRUE,Finance_Data!A785,Finance_Data!B785,Finance_Data!C785,Finance_Data!D785,Finance_Data!E785,Finance_Data!G785,Finance_Data!H785)</f>
        <v>CMP_046_East_USA_Perfume_Wholesale_45626_45646</v>
      </c>
    </row>
    <row r="786" spans="1:20" x14ac:dyDescent="0.35">
      <c r="A786" s="6" t="s">
        <v>92</v>
      </c>
      <c r="B786" s="1" t="s">
        <v>35</v>
      </c>
      <c r="C786" s="1" t="s">
        <v>69</v>
      </c>
      <c r="D786" s="1" t="s">
        <v>37</v>
      </c>
      <c r="E786" s="1" t="s">
        <v>30</v>
      </c>
      <c r="F786" s="1" t="s">
        <v>31</v>
      </c>
      <c r="G786" s="2">
        <v>45627</v>
      </c>
      <c r="H786" s="2">
        <v>45664</v>
      </c>
      <c r="I786" s="1">
        <v>43167.94</v>
      </c>
      <c r="J786" s="1">
        <v>0.70009999999999994</v>
      </c>
      <c r="K786" s="1">
        <v>30221.87</v>
      </c>
      <c r="L786" s="1">
        <v>53993</v>
      </c>
      <c r="M786" s="1">
        <v>36368</v>
      </c>
      <c r="N786" s="1">
        <v>180752.64000000001</v>
      </c>
      <c r="O786" s="1">
        <v>2024</v>
      </c>
      <c r="P786" s="1" t="s">
        <v>73</v>
      </c>
      <c r="Q786" s="1" t="s">
        <v>25</v>
      </c>
      <c r="R786" s="1" t="s">
        <v>26</v>
      </c>
      <c r="S786" s="1">
        <f t="shared" si="12"/>
        <v>38</v>
      </c>
      <c r="T786" s="7" t="str">
        <f>_xlfn.TEXTJOIN("_",TRUE,Finance_Data!A786,Finance_Data!B786,Finance_Data!C786,Finance_Data!D786,Finance_Data!E786,Finance_Data!G786,Finance_Data!H786)</f>
        <v>CMP_004_East_USA_Perfume_Wholesale_45627_45664</v>
      </c>
    </row>
    <row r="787" spans="1:20" x14ac:dyDescent="0.35">
      <c r="A787" s="6" t="s">
        <v>88</v>
      </c>
      <c r="B787" s="1" t="s">
        <v>35</v>
      </c>
      <c r="C787" s="1" t="s">
        <v>20</v>
      </c>
      <c r="D787" s="1" t="s">
        <v>51</v>
      </c>
      <c r="E787" s="1" t="s">
        <v>22</v>
      </c>
      <c r="F787" s="1" t="s">
        <v>31</v>
      </c>
      <c r="G787" s="2">
        <v>45628</v>
      </c>
      <c r="H787" s="2">
        <v>45669</v>
      </c>
      <c r="I787" s="1">
        <v>5390.14</v>
      </c>
      <c r="J787" s="1">
        <v>0.80940000000000001</v>
      </c>
      <c r="K787" s="1">
        <v>4362.78</v>
      </c>
      <c r="L787" s="1">
        <v>454114</v>
      </c>
      <c r="M787" s="1">
        <v>24038</v>
      </c>
      <c r="N787" s="1">
        <v>90335.42</v>
      </c>
      <c r="O787" s="1">
        <v>2024</v>
      </c>
      <c r="P787" s="1" t="s">
        <v>73</v>
      </c>
      <c r="Q787" s="1" t="s">
        <v>25</v>
      </c>
      <c r="R787" s="1" t="s">
        <v>61</v>
      </c>
      <c r="S787" s="1">
        <f t="shared" si="12"/>
        <v>42</v>
      </c>
      <c r="T787" s="7" t="str">
        <f>_xlfn.TEXTJOIN("_",TRUE,Finance_Data!A787,Finance_Data!B787,Finance_Data!C787,Finance_Data!D787,Finance_Data!E787,Finance_Data!G787,Finance_Data!H787)</f>
        <v>CMP_021_East_Singapore_Watch_Retail_45628_45669</v>
      </c>
    </row>
    <row r="788" spans="1:20" x14ac:dyDescent="0.35">
      <c r="A788" s="6" t="s">
        <v>107</v>
      </c>
      <c r="B788" s="1" t="s">
        <v>19</v>
      </c>
      <c r="C788" s="1" t="s">
        <v>36</v>
      </c>
      <c r="D788" s="1" t="s">
        <v>43</v>
      </c>
      <c r="E788" s="1" t="s">
        <v>30</v>
      </c>
      <c r="F788" s="1" t="s">
        <v>52</v>
      </c>
      <c r="G788" s="2">
        <v>45628</v>
      </c>
      <c r="H788" s="2">
        <v>45661</v>
      </c>
      <c r="I788" s="1">
        <v>18224.3</v>
      </c>
      <c r="J788" s="1">
        <v>0.873</v>
      </c>
      <c r="K788" s="1">
        <v>15909.81</v>
      </c>
      <c r="L788" s="1">
        <v>274132</v>
      </c>
      <c r="M788" s="1">
        <v>12753</v>
      </c>
      <c r="N788" s="1">
        <v>13340.23</v>
      </c>
      <c r="O788" s="1">
        <v>2024</v>
      </c>
      <c r="P788" s="1" t="s">
        <v>73</v>
      </c>
      <c r="Q788" s="1" t="s">
        <v>25</v>
      </c>
      <c r="R788" s="1" t="s">
        <v>26</v>
      </c>
      <c r="S788" s="1">
        <f t="shared" si="12"/>
        <v>34</v>
      </c>
      <c r="T788" s="7" t="str">
        <f>_xlfn.TEXTJOIN("_",TRUE,Finance_Data!A788,Finance_Data!B788,Finance_Data!C788,Finance_Data!D788,Finance_Data!E788,Finance_Data!G788,Finance_Data!H788)</f>
        <v>CMP_040_North_India_Luxury Bag_Wholesale_45628_45661</v>
      </c>
    </row>
    <row r="789" spans="1:20" x14ac:dyDescent="0.35">
      <c r="A789" s="6" t="s">
        <v>64</v>
      </c>
      <c r="B789" s="1" t="s">
        <v>28</v>
      </c>
      <c r="C789" s="1" t="s">
        <v>69</v>
      </c>
      <c r="D789" s="1" t="s">
        <v>21</v>
      </c>
      <c r="E789" s="1" t="s">
        <v>38</v>
      </c>
      <c r="F789" s="1" t="s">
        <v>49</v>
      </c>
      <c r="G789" s="2">
        <v>45628</v>
      </c>
      <c r="H789" s="2">
        <v>45657</v>
      </c>
      <c r="I789" s="1">
        <v>9305.59</v>
      </c>
      <c r="J789" s="1">
        <v>0.33</v>
      </c>
      <c r="K789" s="1">
        <v>3070.84</v>
      </c>
      <c r="L789" s="1">
        <v>291444</v>
      </c>
      <c r="M789" s="1">
        <v>32417</v>
      </c>
      <c r="N789" s="1">
        <v>40754.03</v>
      </c>
      <c r="O789" s="1">
        <v>2024</v>
      </c>
      <c r="P789" s="1" t="s">
        <v>73</v>
      </c>
      <c r="Q789" s="1" t="s">
        <v>25</v>
      </c>
      <c r="R789" s="1" t="s">
        <v>26</v>
      </c>
      <c r="S789" s="1">
        <f t="shared" si="12"/>
        <v>30</v>
      </c>
      <c r="T789" s="7" t="str">
        <f>_xlfn.TEXTJOIN("_",TRUE,Finance_Data!A789,Finance_Data!B789,Finance_Data!C789,Finance_Data!D789,Finance_Data!E789,Finance_Data!G789,Finance_Data!H789)</f>
        <v>CMP_011_West_USA_Foundation_Ecommerce_45628_45657</v>
      </c>
    </row>
    <row r="790" spans="1:20" x14ac:dyDescent="0.35">
      <c r="A790" s="6" t="s">
        <v>94</v>
      </c>
      <c r="B790" s="1" t="s">
        <v>19</v>
      </c>
      <c r="C790" s="1" t="s">
        <v>29</v>
      </c>
      <c r="D790" s="1" t="s">
        <v>37</v>
      </c>
      <c r="E790" s="1" t="s">
        <v>38</v>
      </c>
      <c r="F790" s="1" t="s">
        <v>52</v>
      </c>
      <c r="G790" s="2">
        <v>45629</v>
      </c>
      <c r="H790" s="2">
        <v>45653</v>
      </c>
      <c r="I790" s="1">
        <v>47623.24</v>
      </c>
      <c r="J790" s="1">
        <v>0.69689999999999996</v>
      </c>
      <c r="K790" s="1">
        <v>33188.639999999999</v>
      </c>
      <c r="L790" s="1">
        <v>117022</v>
      </c>
      <c r="M790" s="1">
        <v>9752</v>
      </c>
      <c r="N790" s="1">
        <v>117933.75999999999</v>
      </c>
      <c r="O790" s="1">
        <v>2024</v>
      </c>
      <c r="P790" s="1" t="s">
        <v>73</v>
      </c>
      <c r="Q790" s="1" t="s">
        <v>25</v>
      </c>
      <c r="R790" s="1" t="s">
        <v>41</v>
      </c>
      <c r="S790" s="1">
        <f t="shared" si="12"/>
        <v>25</v>
      </c>
      <c r="T790" s="7" t="str">
        <f>_xlfn.TEXTJOIN("_",TRUE,Finance_Data!A790,Finance_Data!B790,Finance_Data!C790,Finance_Data!D790,Finance_Data!E790,Finance_Data!G790,Finance_Data!H790)</f>
        <v>CMP_007_North_Australia_Perfume_Ecommerce_45629_45653</v>
      </c>
    </row>
    <row r="791" spans="1:20" x14ac:dyDescent="0.35">
      <c r="A791" s="6" t="s">
        <v>85</v>
      </c>
      <c r="B791" s="1" t="s">
        <v>19</v>
      </c>
      <c r="C791" s="1" t="s">
        <v>69</v>
      </c>
      <c r="D791" s="1" t="s">
        <v>51</v>
      </c>
      <c r="E791" s="1" t="s">
        <v>22</v>
      </c>
      <c r="F791" s="1" t="s">
        <v>44</v>
      </c>
      <c r="G791" s="2">
        <v>45630</v>
      </c>
      <c r="H791" s="2">
        <v>45667</v>
      </c>
      <c r="I791" s="1">
        <v>35947.910000000003</v>
      </c>
      <c r="J791" s="1">
        <v>0.79249999999999998</v>
      </c>
      <c r="K791" s="1">
        <v>28488.720000000001</v>
      </c>
      <c r="L791" s="1">
        <v>159600</v>
      </c>
      <c r="M791" s="1">
        <v>24925</v>
      </c>
      <c r="N791" s="1">
        <v>144052.39000000001</v>
      </c>
      <c r="O791" s="1">
        <v>2024</v>
      </c>
      <c r="P791" s="1" t="s">
        <v>73</v>
      </c>
      <c r="Q791" s="1" t="s">
        <v>25</v>
      </c>
      <c r="R791" s="1" t="s">
        <v>54</v>
      </c>
      <c r="S791" s="1">
        <f t="shared" si="12"/>
        <v>38</v>
      </c>
      <c r="T791" s="7" t="str">
        <f>_xlfn.TEXTJOIN("_",TRUE,Finance_Data!A791,Finance_Data!B791,Finance_Data!C791,Finance_Data!D791,Finance_Data!E791,Finance_Data!G791,Finance_Data!H791)</f>
        <v>CMP_018_North_USA_Watch_Retail_45630_45667</v>
      </c>
    </row>
    <row r="792" spans="1:20" x14ac:dyDescent="0.35">
      <c r="A792" s="6" t="s">
        <v>110</v>
      </c>
      <c r="B792" s="1" t="s">
        <v>35</v>
      </c>
      <c r="C792" s="1" t="s">
        <v>36</v>
      </c>
      <c r="D792" s="1" t="s">
        <v>59</v>
      </c>
      <c r="E792" s="1" t="s">
        <v>30</v>
      </c>
      <c r="F792" s="1" t="s">
        <v>44</v>
      </c>
      <c r="G792" s="2">
        <v>45630</v>
      </c>
      <c r="H792" s="2">
        <v>45661</v>
      </c>
      <c r="I792" s="1">
        <v>19387.46</v>
      </c>
      <c r="J792" s="1">
        <v>0.38319999999999999</v>
      </c>
      <c r="K792" s="1">
        <v>7429.27</v>
      </c>
      <c r="L792" s="1">
        <v>962424</v>
      </c>
      <c r="M792" s="1">
        <v>29648</v>
      </c>
      <c r="N792" s="1">
        <v>203094.52</v>
      </c>
      <c r="O792" s="1">
        <v>2024</v>
      </c>
      <c r="P792" s="1" t="s">
        <v>73</v>
      </c>
      <c r="Q792" s="1" t="s">
        <v>25</v>
      </c>
      <c r="R792" s="1" t="s">
        <v>26</v>
      </c>
      <c r="S792" s="1">
        <f t="shared" si="12"/>
        <v>32</v>
      </c>
      <c r="T792" s="7" t="str">
        <f>_xlfn.TEXTJOIN("_",TRUE,Finance_Data!A792,Finance_Data!B792,Finance_Data!C792,Finance_Data!D792,Finance_Data!E792,Finance_Data!G792,Finance_Data!H792)</f>
        <v>CMP_012_East_India_Lipstick_Wholesale_45630_45661</v>
      </c>
    </row>
    <row r="793" spans="1:20" x14ac:dyDescent="0.35">
      <c r="A793" s="6" t="s">
        <v>79</v>
      </c>
      <c r="B793" s="1" t="s">
        <v>19</v>
      </c>
      <c r="C793" s="1" t="s">
        <v>69</v>
      </c>
      <c r="D793" s="1" t="s">
        <v>63</v>
      </c>
      <c r="E793" s="1" t="s">
        <v>30</v>
      </c>
      <c r="F793" s="1" t="s">
        <v>44</v>
      </c>
      <c r="G793" s="2">
        <v>45631</v>
      </c>
      <c r="H793" s="2">
        <v>45691</v>
      </c>
      <c r="I793" s="1">
        <v>3572.06</v>
      </c>
      <c r="J793" s="1">
        <v>1.0611999999999999</v>
      </c>
      <c r="K793" s="1">
        <v>3790.67</v>
      </c>
      <c r="L793" s="1">
        <v>55168</v>
      </c>
      <c r="M793" s="1">
        <v>7361</v>
      </c>
      <c r="N793" s="1">
        <v>16760.830000000002</v>
      </c>
      <c r="O793" s="1">
        <v>2024</v>
      </c>
      <c r="P793" s="1" t="s">
        <v>73</v>
      </c>
      <c r="Q793" s="1" t="s">
        <v>25</v>
      </c>
      <c r="R793" s="1" t="s">
        <v>54</v>
      </c>
      <c r="S793" s="1">
        <f t="shared" si="12"/>
        <v>61</v>
      </c>
      <c r="T793" s="7" t="str">
        <f>_xlfn.TEXTJOIN("_",TRUE,Finance_Data!A793,Finance_Data!B793,Finance_Data!C793,Finance_Data!D793,Finance_Data!E793,Finance_Data!G793,Finance_Data!H793)</f>
        <v>CMP_020_North_USA_Skincare_Wholesale_45631_45691</v>
      </c>
    </row>
    <row r="794" spans="1:20" x14ac:dyDescent="0.35">
      <c r="A794" s="6" t="s">
        <v>50</v>
      </c>
      <c r="B794" s="1" t="s">
        <v>28</v>
      </c>
      <c r="C794" s="1" t="s">
        <v>69</v>
      </c>
      <c r="D794" s="1" t="s">
        <v>21</v>
      </c>
      <c r="E794" s="1" t="s">
        <v>30</v>
      </c>
      <c r="F794" s="1" t="s">
        <v>44</v>
      </c>
      <c r="G794" s="2">
        <v>45631</v>
      </c>
      <c r="H794" s="2">
        <v>45656</v>
      </c>
      <c r="I794" s="1">
        <v>43471.97</v>
      </c>
      <c r="J794" s="1">
        <v>1.0662</v>
      </c>
      <c r="K794" s="1">
        <v>46349.81</v>
      </c>
      <c r="L794" s="1">
        <v>458324</v>
      </c>
      <c r="M794" s="1">
        <v>26633</v>
      </c>
      <c r="N794" s="1">
        <v>195172.61</v>
      </c>
      <c r="O794" s="1">
        <v>2024</v>
      </c>
      <c r="P794" s="1" t="s">
        <v>73</v>
      </c>
      <c r="Q794" s="1" t="s">
        <v>25</v>
      </c>
      <c r="R794" s="1" t="s">
        <v>26</v>
      </c>
      <c r="S794" s="1">
        <f t="shared" si="12"/>
        <v>26</v>
      </c>
      <c r="T794" s="7" t="str">
        <f>_xlfn.TEXTJOIN("_",TRUE,Finance_Data!A794,Finance_Data!B794,Finance_Data!C794,Finance_Data!D794,Finance_Data!E794,Finance_Data!G794,Finance_Data!H794)</f>
        <v>CMP_039_West_USA_Foundation_Wholesale_45631_45656</v>
      </c>
    </row>
    <row r="795" spans="1:20" x14ac:dyDescent="0.35">
      <c r="A795" s="6" t="s">
        <v>42</v>
      </c>
      <c r="B795" s="1" t="s">
        <v>48</v>
      </c>
      <c r="C795" s="1" t="s">
        <v>69</v>
      </c>
      <c r="D795" s="1" t="s">
        <v>59</v>
      </c>
      <c r="E795" s="1" t="s">
        <v>22</v>
      </c>
      <c r="F795" s="1" t="s">
        <v>23</v>
      </c>
      <c r="G795" s="2">
        <v>45633</v>
      </c>
      <c r="H795" s="2">
        <v>45657</v>
      </c>
      <c r="I795" s="1">
        <v>22755.35</v>
      </c>
      <c r="J795" s="1">
        <v>0.72189999999999999</v>
      </c>
      <c r="K795" s="1">
        <v>16427.09</v>
      </c>
      <c r="L795" s="1">
        <v>61028</v>
      </c>
      <c r="M795" s="1">
        <v>24832</v>
      </c>
      <c r="N795" s="1">
        <v>192942.99</v>
      </c>
      <c r="O795" s="1">
        <v>2024</v>
      </c>
      <c r="P795" s="1" t="s">
        <v>73</v>
      </c>
      <c r="Q795" s="1" t="s">
        <v>25</v>
      </c>
      <c r="R795" s="1" t="s">
        <v>26</v>
      </c>
      <c r="S795" s="1">
        <f t="shared" si="12"/>
        <v>25</v>
      </c>
      <c r="T795" s="7" t="str">
        <f>_xlfn.TEXTJOIN("_",TRUE,Finance_Data!A795,Finance_Data!B795,Finance_Data!C795,Finance_Data!D795,Finance_Data!E795,Finance_Data!G795,Finance_Data!H795)</f>
        <v>CMP_060_South_USA_Lipstick_Retail_45633_45657</v>
      </c>
    </row>
    <row r="796" spans="1:20" x14ac:dyDescent="0.35">
      <c r="A796" s="6" t="s">
        <v>109</v>
      </c>
      <c r="B796" s="1" t="s">
        <v>19</v>
      </c>
      <c r="C796" s="1" t="s">
        <v>29</v>
      </c>
      <c r="D796" s="1" t="s">
        <v>43</v>
      </c>
      <c r="E796" s="1" t="s">
        <v>22</v>
      </c>
      <c r="F796" s="1" t="s">
        <v>44</v>
      </c>
      <c r="G796" s="2">
        <v>45634</v>
      </c>
      <c r="H796" s="2">
        <v>45660</v>
      </c>
      <c r="I796" s="1">
        <v>43351.39</v>
      </c>
      <c r="J796" s="1">
        <v>0.1545</v>
      </c>
      <c r="K796" s="1">
        <v>6697.79</v>
      </c>
      <c r="L796" s="1">
        <v>623015</v>
      </c>
      <c r="M796" s="1">
        <v>44298</v>
      </c>
      <c r="N796" s="1">
        <v>130151.11</v>
      </c>
      <c r="O796" s="1">
        <v>2024</v>
      </c>
      <c r="P796" s="1" t="s">
        <v>73</v>
      </c>
      <c r="Q796" s="1" t="s">
        <v>25</v>
      </c>
      <c r="R796" s="1" t="s">
        <v>54</v>
      </c>
      <c r="S796" s="1">
        <f t="shared" si="12"/>
        <v>27</v>
      </c>
      <c r="T796" s="7" t="str">
        <f>_xlfn.TEXTJOIN("_",TRUE,Finance_Data!A796,Finance_Data!B796,Finance_Data!C796,Finance_Data!D796,Finance_Data!E796,Finance_Data!G796,Finance_Data!H796)</f>
        <v>CMP_046_North_Australia_Luxury Bag_Retail_45634_45660</v>
      </c>
    </row>
    <row r="797" spans="1:20" x14ac:dyDescent="0.35">
      <c r="A797" s="6" t="s">
        <v>84</v>
      </c>
      <c r="B797" s="1" t="s">
        <v>19</v>
      </c>
      <c r="C797" s="1" t="s">
        <v>36</v>
      </c>
      <c r="D797" s="1" t="s">
        <v>51</v>
      </c>
      <c r="E797" s="1" t="s">
        <v>38</v>
      </c>
      <c r="F797" s="1" t="s">
        <v>52</v>
      </c>
      <c r="G797" s="2">
        <v>45636</v>
      </c>
      <c r="H797" s="2">
        <v>45683</v>
      </c>
      <c r="I797" s="1">
        <v>3302.01</v>
      </c>
      <c r="J797" s="1">
        <v>0.46410000000000001</v>
      </c>
      <c r="K797" s="1">
        <v>1532.46</v>
      </c>
      <c r="L797" s="1">
        <v>446801</v>
      </c>
      <c r="M797" s="1">
        <v>45001</v>
      </c>
      <c r="N797" s="1">
        <v>81600.23</v>
      </c>
      <c r="O797" s="1">
        <v>2024</v>
      </c>
      <c r="P797" s="1" t="s">
        <v>73</v>
      </c>
      <c r="Q797" s="1" t="s">
        <v>25</v>
      </c>
      <c r="R797" s="1" t="s">
        <v>54</v>
      </c>
      <c r="S797" s="1">
        <f t="shared" si="12"/>
        <v>48</v>
      </c>
      <c r="T797" s="7" t="str">
        <f>_xlfn.TEXTJOIN("_",TRUE,Finance_Data!A797,Finance_Data!B797,Finance_Data!C797,Finance_Data!D797,Finance_Data!E797,Finance_Data!G797,Finance_Data!H797)</f>
        <v>CMP_036_North_India_Watch_Ecommerce_45636_45683</v>
      </c>
    </row>
    <row r="798" spans="1:20" x14ac:dyDescent="0.35">
      <c r="A798" s="6" t="s">
        <v>100</v>
      </c>
      <c r="B798" s="1" t="s">
        <v>35</v>
      </c>
      <c r="C798" s="1" t="s">
        <v>58</v>
      </c>
      <c r="D798" s="1" t="s">
        <v>59</v>
      </c>
      <c r="E798" s="1" t="s">
        <v>38</v>
      </c>
      <c r="F798" s="1" t="s">
        <v>52</v>
      </c>
      <c r="G798" s="2">
        <v>45636</v>
      </c>
      <c r="H798" s="2">
        <v>45655</v>
      </c>
      <c r="I798" s="1">
        <v>23860.3</v>
      </c>
      <c r="J798" s="1">
        <v>0.2636</v>
      </c>
      <c r="K798" s="1">
        <v>6289.58</v>
      </c>
      <c r="L798" s="1">
        <v>514098</v>
      </c>
      <c r="M798" s="1">
        <v>48241</v>
      </c>
      <c r="N798" s="1">
        <v>193245.36</v>
      </c>
      <c r="O798" s="1">
        <v>2024</v>
      </c>
      <c r="P798" s="1" t="s">
        <v>73</v>
      </c>
      <c r="Q798" s="1" t="s">
        <v>25</v>
      </c>
      <c r="R798" s="1" t="s">
        <v>26</v>
      </c>
      <c r="S798" s="1">
        <f t="shared" si="12"/>
        <v>20</v>
      </c>
      <c r="T798" s="7" t="str">
        <f>_xlfn.TEXTJOIN("_",TRUE,Finance_Data!A798,Finance_Data!B798,Finance_Data!C798,Finance_Data!D798,Finance_Data!E798,Finance_Data!G798,Finance_Data!H798)</f>
        <v>CMP_053_East_UK_Lipstick_Ecommerce_45636_45655</v>
      </c>
    </row>
    <row r="799" spans="1:20" x14ac:dyDescent="0.35">
      <c r="A799" s="6" t="s">
        <v>98</v>
      </c>
      <c r="B799" s="1" t="s">
        <v>19</v>
      </c>
      <c r="C799" s="1" t="s">
        <v>69</v>
      </c>
      <c r="D799" s="1" t="s">
        <v>63</v>
      </c>
      <c r="E799" s="1" t="s">
        <v>38</v>
      </c>
      <c r="F799" s="1" t="s">
        <v>44</v>
      </c>
      <c r="G799" s="2">
        <v>45637</v>
      </c>
      <c r="H799" s="2">
        <v>45664</v>
      </c>
      <c r="I799" s="1">
        <v>16292.52</v>
      </c>
      <c r="J799" s="1">
        <v>0.13220000000000001</v>
      </c>
      <c r="K799" s="1">
        <v>2153.87</v>
      </c>
      <c r="L799" s="1">
        <v>537786</v>
      </c>
      <c r="M799" s="1">
        <v>38679</v>
      </c>
      <c r="N799" s="1">
        <v>79998.2</v>
      </c>
      <c r="O799" s="1">
        <v>2024</v>
      </c>
      <c r="P799" s="1" t="s">
        <v>73</v>
      </c>
      <c r="Q799" s="1" t="s">
        <v>25</v>
      </c>
      <c r="R799" s="1" t="s">
        <v>41</v>
      </c>
      <c r="S799" s="1">
        <f t="shared" si="12"/>
        <v>28</v>
      </c>
      <c r="T799" s="7" t="str">
        <f>_xlfn.TEXTJOIN("_",TRUE,Finance_Data!A799,Finance_Data!B799,Finance_Data!C799,Finance_Data!D799,Finance_Data!E799,Finance_Data!G799,Finance_Data!H799)</f>
        <v>CMP_005_North_USA_Skincare_Ecommerce_45637_45664</v>
      </c>
    </row>
    <row r="800" spans="1:20" x14ac:dyDescent="0.35">
      <c r="A800" s="6" t="s">
        <v>64</v>
      </c>
      <c r="B800" s="1" t="s">
        <v>19</v>
      </c>
      <c r="C800" s="1" t="s">
        <v>69</v>
      </c>
      <c r="D800" s="1" t="s">
        <v>51</v>
      </c>
      <c r="E800" s="1" t="s">
        <v>30</v>
      </c>
      <c r="F800" s="1" t="s">
        <v>52</v>
      </c>
      <c r="G800" s="2">
        <v>45637</v>
      </c>
      <c r="H800" s="2">
        <v>45648</v>
      </c>
      <c r="I800" s="1">
        <v>27348.84</v>
      </c>
      <c r="J800" s="1">
        <v>0.40389999999999998</v>
      </c>
      <c r="K800" s="1">
        <v>11046.2</v>
      </c>
      <c r="L800" s="1">
        <v>74076</v>
      </c>
      <c r="M800" s="1">
        <v>41058</v>
      </c>
      <c r="N800" s="1">
        <v>119830.06</v>
      </c>
      <c r="O800" s="1">
        <v>2024</v>
      </c>
      <c r="P800" s="1" t="s">
        <v>73</v>
      </c>
      <c r="Q800" s="1" t="s">
        <v>25</v>
      </c>
      <c r="R800" s="1" t="s">
        <v>41</v>
      </c>
      <c r="S800" s="1">
        <f t="shared" si="12"/>
        <v>12</v>
      </c>
      <c r="T800" s="7" t="str">
        <f>_xlfn.TEXTJOIN("_",TRUE,Finance_Data!A800,Finance_Data!B800,Finance_Data!C800,Finance_Data!D800,Finance_Data!E800,Finance_Data!G800,Finance_Data!H800)</f>
        <v>CMP_011_North_USA_Watch_Wholesale_45637_45648</v>
      </c>
    </row>
    <row r="801" spans="1:20" x14ac:dyDescent="0.35">
      <c r="A801" s="6" t="s">
        <v>78</v>
      </c>
      <c r="B801" s="1" t="s">
        <v>19</v>
      </c>
      <c r="C801" s="1" t="s">
        <v>69</v>
      </c>
      <c r="D801" s="1" t="s">
        <v>59</v>
      </c>
      <c r="E801" s="1" t="s">
        <v>22</v>
      </c>
      <c r="F801" s="1" t="s">
        <v>44</v>
      </c>
      <c r="G801" s="2">
        <v>45639</v>
      </c>
      <c r="H801" s="2">
        <v>45697</v>
      </c>
      <c r="I801" s="1">
        <v>7800.84</v>
      </c>
      <c r="J801" s="1">
        <v>0.84960000000000002</v>
      </c>
      <c r="K801" s="1">
        <v>6627.59</v>
      </c>
      <c r="L801" s="1">
        <v>480392</v>
      </c>
      <c r="M801" s="1">
        <v>40427</v>
      </c>
      <c r="N801" s="1">
        <v>6286.54</v>
      </c>
      <c r="O801" s="1">
        <v>2024</v>
      </c>
      <c r="P801" s="1" t="s">
        <v>73</v>
      </c>
      <c r="Q801" s="1" t="s">
        <v>25</v>
      </c>
      <c r="R801" s="1" t="s">
        <v>54</v>
      </c>
      <c r="S801" s="1">
        <f t="shared" si="12"/>
        <v>59</v>
      </c>
      <c r="T801" s="7" t="str">
        <f>_xlfn.TEXTJOIN("_",TRUE,Finance_Data!A801,Finance_Data!B801,Finance_Data!C801,Finance_Data!D801,Finance_Data!E801,Finance_Data!G801,Finance_Data!H801)</f>
        <v>CMP_006_North_USA_Lipstick_Retail_45639_45697</v>
      </c>
    </row>
    <row r="802" spans="1:20" x14ac:dyDescent="0.35">
      <c r="A802" s="6" t="s">
        <v>108</v>
      </c>
      <c r="B802" s="1" t="s">
        <v>35</v>
      </c>
      <c r="C802" s="1" t="s">
        <v>69</v>
      </c>
      <c r="D802" s="1" t="s">
        <v>59</v>
      </c>
      <c r="E802" s="1" t="s">
        <v>38</v>
      </c>
      <c r="F802" s="1" t="s">
        <v>49</v>
      </c>
      <c r="G802" s="2">
        <v>45639</v>
      </c>
      <c r="H802" s="2">
        <v>45652</v>
      </c>
      <c r="I802" s="1">
        <v>22056.21</v>
      </c>
      <c r="J802" s="1">
        <v>0.51790000000000003</v>
      </c>
      <c r="K802" s="1">
        <v>11422.91</v>
      </c>
      <c r="L802" s="1">
        <v>154462</v>
      </c>
      <c r="M802" s="1">
        <v>7674</v>
      </c>
      <c r="N802" s="1">
        <v>112298.45</v>
      </c>
      <c r="O802" s="1">
        <v>2024</v>
      </c>
      <c r="P802" s="1" t="s">
        <v>73</v>
      </c>
      <c r="Q802" s="1" t="s">
        <v>25</v>
      </c>
      <c r="R802" s="1" t="s">
        <v>26</v>
      </c>
      <c r="S802" s="1">
        <f t="shared" si="12"/>
        <v>14</v>
      </c>
      <c r="T802" s="7" t="str">
        <f>_xlfn.TEXTJOIN("_",TRUE,Finance_Data!A802,Finance_Data!B802,Finance_Data!C802,Finance_Data!D802,Finance_Data!E802,Finance_Data!G802,Finance_Data!H802)</f>
        <v>CMP_058_East_USA_Lipstick_Ecommerce_45639_45652</v>
      </c>
    </row>
    <row r="803" spans="1:20" x14ac:dyDescent="0.35">
      <c r="A803" s="6" t="s">
        <v>105</v>
      </c>
      <c r="B803" s="1" t="s">
        <v>28</v>
      </c>
      <c r="C803" s="1" t="s">
        <v>29</v>
      </c>
      <c r="D803" s="1" t="s">
        <v>43</v>
      </c>
      <c r="E803" s="1" t="s">
        <v>22</v>
      </c>
      <c r="F803" s="1" t="s">
        <v>49</v>
      </c>
      <c r="G803" s="2">
        <v>45641</v>
      </c>
      <c r="H803" s="2">
        <v>45683</v>
      </c>
      <c r="I803" s="1">
        <v>10071.16</v>
      </c>
      <c r="J803" s="1">
        <v>0.8115</v>
      </c>
      <c r="K803" s="1">
        <v>8172.75</v>
      </c>
      <c r="L803" s="1">
        <v>122537</v>
      </c>
      <c r="M803" s="1">
        <v>11952</v>
      </c>
      <c r="N803" s="1">
        <v>209511.83</v>
      </c>
      <c r="O803" s="1">
        <v>2024</v>
      </c>
      <c r="P803" s="1" t="s">
        <v>73</v>
      </c>
      <c r="Q803" s="1" t="s">
        <v>25</v>
      </c>
      <c r="R803" s="1" t="s">
        <v>26</v>
      </c>
      <c r="S803" s="1">
        <f t="shared" si="12"/>
        <v>43</v>
      </c>
      <c r="T803" s="7" t="str">
        <f>_xlfn.TEXTJOIN("_",TRUE,Finance_Data!A803,Finance_Data!B803,Finance_Data!C803,Finance_Data!D803,Finance_Data!E803,Finance_Data!G803,Finance_Data!H803)</f>
        <v>CMP_025_West_Australia_Luxury Bag_Retail_45641_45683</v>
      </c>
    </row>
    <row r="804" spans="1:20" x14ac:dyDescent="0.35">
      <c r="A804" s="6" t="s">
        <v>117</v>
      </c>
      <c r="B804" s="1" t="s">
        <v>28</v>
      </c>
      <c r="C804" s="1" t="s">
        <v>29</v>
      </c>
      <c r="D804" s="1" t="s">
        <v>37</v>
      </c>
      <c r="E804" s="1" t="s">
        <v>30</v>
      </c>
      <c r="F804" s="1" t="s">
        <v>31</v>
      </c>
      <c r="G804" s="2">
        <v>45643</v>
      </c>
      <c r="H804" s="2">
        <v>45696</v>
      </c>
      <c r="I804" s="1">
        <v>40937.54</v>
      </c>
      <c r="J804" s="1">
        <v>0.44840000000000002</v>
      </c>
      <c r="K804" s="1">
        <v>18356.39</v>
      </c>
      <c r="L804" s="1">
        <v>658388</v>
      </c>
      <c r="M804" s="1">
        <v>45069</v>
      </c>
      <c r="N804" s="1">
        <v>166424.65</v>
      </c>
      <c r="O804" s="1">
        <v>2024</v>
      </c>
      <c r="P804" s="1" t="s">
        <v>73</v>
      </c>
      <c r="Q804" s="1" t="s">
        <v>25</v>
      </c>
      <c r="R804" s="1" t="s">
        <v>26</v>
      </c>
      <c r="S804" s="1">
        <f t="shared" si="12"/>
        <v>54</v>
      </c>
      <c r="T804" s="7" t="str">
        <f>_xlfn.TEXTJOIN("_",TRUE,Finance_Data!A804,Finance_Data!B804,Finance_Data!C804,Finance_Data!D804,Finance_Data!E804,Finance_Data!G804,Finance_Data!H804)</f>
        <v>CMP_031_West_Australia_Perfume_Wholesale_45643_45696</v>
      </c>
    </row>
    <row r="805" spans="1:20" x14ac:dyDescent="0.35">
      <c r="A805" s="6" t="s">
        <v>98</v>
      </c>
      <c r="B805" s="1" t="s">
        <v>28</v>
      </c>
      <c r="C805" s="1" t="s">
        <v>36</v>
      </c>
      <c r="D805" s="1" t="s">
        <v>63</v>
      </c>
      <c r="E805" s="1" t="s">
        <v>38</v>
      </c>
      <c r="F805" s="1" t="s">
        <v>49</v>
      </c>
      <c r="G805" s="2">
        <v>45643</v>
      </c>
      <c r="H805" s="2">
        <v>45690</v>
      </c>
      <c r="I805" s="1">
        <v>17186.07</v>
      </c>
      <c r="J805" s="1">
        <v>1.0343</v>
      </c>
      <c r="K805" s="1">
        <v>17775.55</v>
      </c>
      <c r="L805" s="1">
        <v>350536</v>
      </c>
      <c r="M805" s="1">
        <v>29806</v>
      </c>
      <c r="N805" s="1">
        <v>124439.15</v>
      </c>
      <c r="O805" s="1">
        <v>2024</v>
      </c>
      <c r="P805" s="1" t="s">
        <v>73</v>
      </c>
      <c r="Q805" s="1" t="s">
        <v>25</v>
      </c>
      <c r="R805" s="1" t="s">
        <v>61</v>
      </c>
      <c r="S805" s="1">
        <f t="shared" si="12"/>
        <v>48</v>
      </c>
      <c r="T805" s="7" t="str">
        <f>_xlfn.TEXTJOIN("_",TRUE,Finance_Data!A805,Finance_Data!B805,Finance_Data!C805,Finance_Data!D805,Finance_Data!E805,Finance_Data!G805,Finance_Data!H805)</f>
        <v>CMP_005_West_India_Skincare_Ecommerce_45643_45690</v>
      </c>
    </row>
    <row r="806" spans="1:20" x14ac:dyDescent="0.35">
      <c r="A806" s="6" t="s">
        <v>68</v>
      </c>
      <c r="B806" s="1" t="s">
        <v>19</v>
      </c>
      <c r="C806" s="1" t="s">
        <v>69</v>
      </c>
      <c r="D806" s="1" t="s">
        <v>37</v>
      </c>
      <c r="E806" s="1" t="s">
        <v>38</v>
      </c>
      <c r="F806" s="1" t="s">
        <v>31</v>
      </c>
      <c r="G806" s="2">
        <v>45643</v>
      </c>
      <c r="H806" s="2">
        <v>45688</v>
      </c>
      <c r="I806" s="1">
        <v>49026.09</v>
      </c>
      <c r="J806" s="1">
        <v>0.27389999999999998</v>
      </c>
      <c r="K806" s="1">
        <v>13428.25</v>
      </c>
      <c r="L806" s="1">
        <v>456772</v>
      </c>
      <c r="M806" s="1">
        <v>31504</v>
      </c>
      <c r="N806" s="1">
        <v>20030.68</v>
      </c>
      <c r="O806" s="1">
        <v>2024</v>
      </c>
      <c r="P806" s="1" t="s">
        <v>73</v>
      </c>
      <c r="Q806" s="1" t="s">
        <v>25</v>
      </c>
      <c r="R806" s="1" t="s">
        <v>41</v>
      </c>
      <c r="S806" s="1">
        <f t="shared" si="12"/>
        <v>46</v>
      </c>
      <c r="T806" s="7" t="str">
        <f>_xlfn.TEXTJOIN("_",TRUE,Finance_Data!A806,Finance_Data!B806,Finance_Data!C806,Finance_Data!D806,Finance_Data!E806,Finance_Data!G806,Finance_Data!H806)</f>
        <v>CMP_028_North_USA_Perfume_Ecommerce_45643_45688</v>
      </c>
    </row>
    <row r="807" spans="1:20" x14ac:dyDescent="0.35">
      <c r="A807" s="6" t="s">
        <v>27</v>
      </c>
      <c r="B807" s="1" t="s">
        <v>28</v>
      </c>
      <c r="C807" s="1" t="s">
        <v>20</v>
      </c>
      <c r="D807" s="1" t="s">
        <v>63</v>
      </c>
      <c r="E807" s="1" t="s">
        <v>22</v>
      </c>
      <c r="F807" s="1" t="s">
        <v>52</v>
      </c>
      <c r="G807" s="2">
        <v>45643</v>
      </c>
      <c r="H807" s="2">
        <v>45679</v>
      </c>
      <c r="I807" s="1">
        <v>32796.67</v>
      </c>
      <c r="J807" s="1">
        <v>0.55259999999999998</v>
      </c>
      <c r="K807" s="1">
        <v>18123.439999999999</v>
      </c>
      <c r="L807" s="1">
        <v>440321</v>
      </c>
      <c r="M807" s="1">
        <v>23150</v>
      </c>
      <c r="N807" s="1">
        <v>91291.75</v>
      </c>
      <c r="O807" s="1">
        <v>2024</v>
      </c>
      <c r="P807" s="1" t="s">
        <v>73</v>
      </c>
      <c r="Q807" s="1" t="s">
        <v>25</v>
      </c>
      <c r="R807" s="1" t="s">
        <v>54</v>
      </c>
      <c r="S807" s="1">
        <f t="shared" si="12"/>
        <v>37</v>
      </c>
      <c r="T807" s="7" t="str">
        <f>_xlfn.TEXTJOIN("_",TRUE,Finance_Data!A807,Finance_Data!B807,Finance_Data!C807,Finance_Data!D807,Finance_Data!E807,Finance_Data!G807,Finance_Data!H807)</f>
        <v>CMP_035_West_Singapore_Skincare_Retail_45643_45679</v>
      </c>
    </row>
    <row r="808" spans="1:20" x14ac:dyDescent="0.35">
      <c r="A808" s="6" t="s">
        <v>72</v>
      </c>
      <c r="B808" s="1" t="s">
        <v>28</v>
      </c>
      <c r="C808" s="1" t="s">
        <v>69</v>
      </c>
      <c r="D808" s="1" t="s">
        <v>51</v>
      </c>
      <c r="E808" s="1" t="s">
        <v>38</v>
      </c>
      <c r="F808" s="1" t="s">
        <v>52</v>
      </c>
      <c r="G808" s="2">
        <v>45644</v>
      </c>
      <c r="H808" s="2">
        <v>45674</v>
      </c>
      <c r="I808" s="1">
        <v>22863.26</v>
      </c>
      <c r="J808" s="1">
        <v>0.25409999999999999</v>
      </c>
      <c r="K808" s="1">
        <v>5809.55</v>
      </c>
      <c r="L808" s="1">
        <v>580871</v>
      </c>
      <c r="M808" s="1">
        <v>41018</v>
      </c>
      <c r="N808" s="1">
        <v>198143.69</v>
      </c>
      <c r="O808" s="1">
        <v>2024</v>
      </c>
      <c r="P808" s="1" t="s">
        <v>73</v>
      </c>
      <c r="Q808" s="1" t="s">
        <v>25</v>
      </c>
      <c r="R808" s="1" t="s">
        <v>41</v>
      </c>
      <c r="S808" s="1">
        <f t="shared" si="12"/>
        <v>31</v>
      </c>
      <c r="T808" s="7" t="str">
        <f>_xlfn.TEXTJOIN("_",TRUE,Finance_Data!A808,Finance_Data!B808,Finance_Data!C808,Finance_Data!D808,Finance_Data!E808,Finance_Data!G808,Finance_Data!H808)</f>
        <v>CMP_042_West_USA_Watch_Ecommerce_45644_45674</v>
      </c>
    </row>
    <row r="809" spans="1:20" x14ac:dyDescent="0.35">
      <c r="A809" s="6" t="s">
        <v>94</v>
      </c>
      <c r="B809" s="1" t="s">
        <v>35</v>
      </c>
      <c r="C809" s="1" t="s">
        <v>20</v>
      </c>
      <c r="D809" s="1" t="s">
        <v>43</v>
      </c>
      <c r="E809" s="1" t="s">
        <v>30</v>
      </c>
      <c r="F809" s="1" t="s">
        <v>52</v>
      </c>
      <c r="G809" s="2">
        <v>45645</v>
      </c>
      <c r="H809" s="2">
        <v>45659</v>
      </c>
      <c r="I809" s="1">
        <v>11069.25</v>
      </c>
      <c r="J809" s="1">
        <v>0.82599999999999996</v>
      </c>
      <c r="K809" s="1">
        <v>9143.2000000000007</v>
      </c>
      <c r="L809" s="1">
        <v>19756</v>
      </c>
      <c r="M809" s="1">
        <v>19833</v>
      </c>
      <c r="N809" s="1">
        <v>108113.51</v>
      </c>
      <c r="O809" s="1">
        <v>2024</v>
      </c>
      <c r="P809" s="1" t="s">
        <v>73</v>
      </c>
      <c r="Q809" s="1" t="s">
        <v>25</v>
      </c>
      <c r="R809" s="1" t="s">
        <v>54</v>
      </c>
      <c r="S809" s="1">
        <f t="shared" si="12"/>
        <v>15</v>
      </c>
      <c r="T809" s="7" t="str">
        <f>_xlfn.TEXTJOIN("_",TRUE,Finance_Data!A809,Finance_Data!B809,Finance_Data!C809,Finance_Data!D809,Finance_Data!E809,Finance_Data!G809,Finance_Data!H809)</f>
        <v>CMP_007_East_Singapore_Luxury Bag_Wholesale_45645_45659</v>
      </c>
    </row>
    <row r="810" spans="1:20" x14ac:dyDescent="0.35">
      <c r="A810" s="6" t="s">
        <v>99</v>
      </c>
      <c r="B810" s="1" t="s">
        <v>48</v>
      </c>
      <c r="C810" s="1" t="s">
        <v>58</v>
      </c>
      <c r="D810" s="1" t="s">
        <v>37</v>
      </c>
      <c r="E810" s="1" t="s">
        <v>30</v>
      </c>
      <c r="F810" s="1" t="s">
        <v>52</v>
      </c>
      <c r="G810" s="2">
        <v>45646</v>
      </c>
      <c r="H810" s="2">
        <v>45706</v>
      </c>
      <c r="I810" s="1">
        <v>23247.53</v>
      </c>
      <c r="J810" s="1">
        <v>0.82799999999999996</v>
      </c>
      <c r="K810" s="1">
        <v>19248.95</v>
      </c>
      <c r="L810" s="1">
        <v>978790</v>
      </c>
      <c r="M810" s="1">
        <v>17437</v>
      </c>
      <c r="N810" s="1">
        <v>198017.87</v>
      </c>
      <c r="O810" s="1">
        <v>2024</v>
      </c>
      <c r="P810" s="1" t="s">
        <v>73</v>
      </c>
      <c r="Q810" s="1" t="s">
        <v>25</v>
      </c>
      <c r="R810" s="1" t="s">
        <v>61</v>
      </c>
      <c r="S810" s="1">
        <f t="shared" si="12"/>
        <v>61</v>
      </c>
      <c r="T810" s="7" t="str">
        <f>_xlfn.TEXTJOIN("_",TRUE,Finance_Data!A810,Finance_Data!B810,Finance_Data!C810,Finance_Data!D810,Finance_Data!E810,Finance_Data!G810,Finance_Data!H810)</f>
        <v>CMP_041_South_UK_Perfume_Wholesale_45646_45706</v>
      </c>
    </row>
    <row r="811" spans="1:20" x14ac:dyDescent="0.35">
      <c r="A811" s="6" t="s">
        <v>118</v>
      </c>
      <c r="B811" s="1" t="s">
        <v>48</v>
      </c>
      <c r="C811" s="1" t="s">
        <v>69</v>
      </c>
      <c r="D811" s="1" t="s">
        <v>63</v>
      </c>
      <c r="E811" s="1" t="s">
        <v>22</v>
      </c>
      <c r="F811" s="1" t="s">
        <v>49</v>
      </c>
      <c r="G811" s="2">
        <v>45648</v>
      </c>
      <c r="H811" s="2">
        <v>45666</v>
      </c>
      <c r="I811" s="1">
        <v>11083.44</v>
      </c>
      <c r="J811" s="1">
        <v>0.90529999999999999</v>
      </c>
      <c r="K811" s="1">
        <v>10033.84</v>
      </c>
      <c r="L811" s="1">
        <v>858014</v>
      </c>
      <c r="M811" s="1">
        <v>4200</v>
      </c>
      <c r="N811" s="1">
        <v>146450.23999999999</v>
      </c>
      <c r="O811" s="1">
        <v>2024</v>
      </c>
      <c r="P811" s="1" t="s">
        <v>73</v>
      </c>
      <c r="Q811" s="1" t="s">
        <v>25</v>
      </c>
      <c r="R811" s="1" t="s">
        <v>26</v>
      </c>
      <c r="S811" s="1">
        <f t="shared" si="12"/>
        <v>19</v>
      </c>
      <c r="T811" s="7" t="str">
        <f>_xlfn.TEXTJOIN("_",TRUE,Finance_Data!A811,Finance_Data!B811,Finance_Data!C811,Finance_Data!D811,Finance_Data!E811,Finance_Data!G811,Finance_Data!H811)</f>
        <v>CMP_052_South_USA_Skincare_Retail_45648_45666</v>
      </c>
    </row>
    <row r="812" spans="1:20" x14ac:dyDescent="0.35">
      <c r="A812" s="6" t="s">
        <v>57</v>
      </c>
      <c r="B812" s="1" t="s">
        <v>19</v>
      </c>
      <c r="C812" s="1" t="s">
        <v>29</v>
      </c>
      <c r="D812" s="1" t="s">
        <v>43</v>
      </c>
      <c r="E812" s="1" t="s">
        <v>30</v>
      </c>
      <c r="F812" s="1" t="s">
        <v>31</v>
      </c>
      <c r="G812" s="2">
        <v>45649</v>
      </c>
      <c r="H812" s="2">
        <v>45705</v>
      </c>
      <c r="I812" s="1">
        <v>19680.330000000002</v>
      </c>
      <c r="J812" s="1">
        <v>1.1861999999999999</v>
      </c>
      <c r="K812" s="1">
        <v>23344.81</v>
      </c>
      <c r="L812" s="1">
        <v>840884</v>
      </c>
      <c r="M812" s="1">
        <v>42830</v>
      </c>
      <c r="N812" s="1">
        <v>245300.44</v>
      </c>
      <c r="O812" s="1">
        <v>2024</v>
      </c>
      <c r="P812" s="1" t="s">
        <v>73</v>
      </c>
      <c r="Q812" s="1" t="s">
        <v>25</v>
      </c>
      <c r="R812" s="1" t="s">
        <v>26</v>
      </c>
      <c r="S812" s="1">
        <f t="shared" si="12"/>
        <v>57</v>
      </c>
      <c r="T812" s="7" t="str">
        <f>_xlfn.TEXTJOIN("_",TRUE,Finance_Data!A812,Finance_Data!B812,Finance_Data!C812,Finance_Data!D812,Finance_Data!E812,Finance_Data!G812,Finance_Data!H812)</f>
        <v>CMP_032_North_Australia_Luxury Bag_Wholesale_45649_45705</v>
      </c>
    </row>
    <row r="813" spans="1:20" x14ac:dyDescent="0.35">
      <c r="A813" s="6" t="s">
        <v>85</v>
      </c>
      <c r="B813" s="1" t="s">
        <v>28</v>
      </c>
      <c r="C813" s="1" t="s">
        <v>20</v>
      </c>
      <c r="D813" s="1" t="s">
        <v>51</v>
      </c>
      <c r="E813" s="1" t="s">
        <v>22</v>
      </c>
      <c r="F813" s="1" t="s">
        <v>31</v>
      </c>
      <c r="G813" s="2">
        <v>45650</v>
      </c>
      <c r="H813" s="2">
        <v>45684</v>
      </c>
      <c r="I813" s="1">
        <v>9972.1200000000008</v>
      </c>
      <c r="J813" s="1">
        <v>1.1836</v>
      </c>
      <c r="K813" s="1">
        <v>11803</v>
      </c>
      <c r="L813" s="1">
        <v>847255</v>
      </c>
      <c r="M813" s="1">
        <v>30814</v>
      </c>
      <c r="N813" s="1">
        <v>128046.17</v>
      </c>
      <c r="O813" s="1">
        <v>2024</v>
      </c>
      <c r="P813" s="1" t="s">
        <v>73</v>
      </c>
      <c r="Q813" s="1" t="s">
        <v>25</v>
      </c>
      <c r="R813" s="1" t="s">
        <v>26</v>
      </c>
      <c r="S813" s="1">
        <f t="shared" si="12"/>
        <v>35</v>
      </c>
      <c r="T813" s="7" t="str">
        <f>_xlfn.TEXTJOIN("_",TRUE,Finance_Data!A813,Finance_Data!B813,Finance_Data!C813,Finance_Data!D813,Finance_Data!E813,Finance_Data!G813,Finance_Data!H813)</f>
        <v>CMP_018_West_Singapore_Watch_Retail_45650_45684</v>
      </c>
    </row>
    <row r="814" spans="1:20" x14ac:dyDescent="0.35">
      <c r="A814" s="6" t="s">
        <v>94</v>
      </c>
      <c r="B814" s="1" t="s">
        <v>19</v>
      </c>
      <c r="C814" s="1" t="s">
        <v>20</v>
      </c>
      <c r="D814" s="1" t="s">
        <v>37</v>
      </c>
      <c r="E814" s="1" t="s">
        <v>30</v>
      </c>
      <c r="F814" s="1" t="s">
        <v>23</v>
      </c>
      <c r="G814" s="2">
        <v>45650</v>
      </c>
      <c r="H814" s="2">
        <v>45658</v>
      </c>
      <c r="I814" s="1">
        <v>46404.97</v>
      </c>
      <c r="J814" s="1">
        <v>0.53100000000000003</v>
      </c>
      <c r="K814" s="1">
        <v>24641.040000000001</v>
      </c>
      <c r="L814" s="1">
        <v>489341</v>
      </c>
      <c r="M814" s="1">
        <v>49629</v>
      </c>
      <c r="N814" s="1">
        <v>32178.06</v>
      </c>
      <c r="O814" s="1">
        <v>2024</v>
      </c>
      <c r="P814" s="1" t="s">
        <v>73</v>
      </c>
      <c r="Q814" s="1" t="s">
        <v>25</v>
      </c>
      <c r="R814" s="1" t="s">
        <v>61</v>
      </c>
      <c r="S814" s="1">
        <f t="shared" si="12"/>
        <v>9</v>
      </c>
      <c r="T814" s="7" t="str">
        <f>_xlfn.TEXTJOIN("_",TRUE,Finance_Data!A814,Finance_Data!B814,Finance_Data!C814,Finance_Data!D814,Finance_Data!E814,Finance_Data!G814,Finance_Data!H814)</f>
        <v>CMP_007_North_Singapore_Perfume_Wholesale_45650_45658</v>
      </c>
    </row>
    <row r="815" spans="1:20" x14ac:dyDescent="0.35">
      <c r="A815" s="6" t="s">
        <v>87</v>
      </c>
      <c r="B815" s="1" t="s">
        <v>48</v>
      </c>
      <c r="C815" s="1" t="s">
        <v>69</v>
      </c>
      <c r="D815" s="1" t="s">
        <v>21</v>
      </c>
      <c r="E815" s="1" t="s">
        <v>22</v>
      </c>
      <c r="F815" s="1" t="s">
        <v>31</v>
      </c>
      <c r="G815" s="2">
        <v>45652</v>
      </c>
      <c r="H815" s="2">
        <v>45684</v>
      </c>
      <c r="I815" s="1">
        <v>1082.8699999999999</v>
      </c>
      <c r="J815" s="1">
        <v>1.1113999999999999</v>
      </c>
      <c r="K815" s="1">
        <v>1203.5</v>
      </c>
      <c r="L815" s="1">
        <v>574607</v>
      </c>
      <c r="M815" s="1">
        <v>45113</v>
      </c>
      <c r="N815" s="1">
        <v>181260.35</v>
      </c>
      <c r="O815" s="1">
        <v>2024</v>
      </c>
      <c r="P815" s="1" t="s">
        <v>73</v>
      </c>
      <c r="Q815" s="1" t="s">
        <v>25</v>
      </c>
      <c r="R815" s="1" t="s">
        <v>41</v>
      </c>
      <c r="S815" s="1">
        <f t="shared" si="12"/>
        <v>33</v>
      </c>
      <c r="T815" s="7" t="str">
        <f>_xlfn.TEXTJOIN("_",TRUE,Finance_Data!A815,Finance_Data!B815,Finance_Data!C815,Finance_Data!D815,Finance_Data!E815,Finance_Data!G815,Finance_Data!H815)</f>
        <v>CMP_048_South_USA_Foundation_Retail_45652_45684</v>
      </c>
    </row>
    <row r="816" spans="1:20" x14ac:dyDescent="0.35">
      <c r="A816" s="6" t="s">
        <v>72</v>
      </c>
      <c r="B816" s="1" t="s">
        <v>48</v>
      </c>
      <c r="C816" s="1" t="s">
        <v>36</v>
      </c>
      <c r="D816" s="1" t="s">
        <v>51</v>
      </c>
      <c r="E816" s="1" t="s">
        <v>22</v>
      </c>
      <c r="F816" s="1" t="s">
        <v>31</v>
      </c>
      <c r="G816" s="2">
        <v>45652</v>
      </c>
      <c r="H816" s="2">
        <v>45664</v>
      </c>
      <c r="I816" s="1">
        <v>5232.93</v>
      </c>
      <c r="J816" s="1">
        <v>0.72960000000000003</v>
      </c>
      <c r="K816" s="1">
        <v>3817.95</v>
      </c>
      <c r="L816" s="1">
        <v>404220</v>
      </c>
      <c r="M816" s="1">
        <v>43117</v>
      </c>
      <c r="N816" s="1">
        <v>192145.15</v>
      </c>
      <c r="O816" s="1">
        <v>2024</v>
      </c>
      <c r="P816" s="1" t="s">
        <v>73</v>
      </c>
      <c r="Q816" s="1" t="s">
        <v>25</v>
      </c>
      <c r="R816" s="1" t="s">
        <v>41</v>
      </c>
      <c r="S816" s="1">
        <f t="shared" si="12"/>
        <v>13</v>
      </c>
      <c r="T816" s="7" t="str">
        <f>_xlfn.TEXTJOIN("_",TRUE,Finance_Data!A816,Finance_Data!B816,Finance_Data!C816,Finance_Data!D816,Finance_Data!E816,Finance_Data!G816,Finance_Data!H816)</f>
        <v>CMP_042_South_India_Watch_Retail_45652_45664</v>
      </c>
    </row>
    <row r="817" spans="1:20" x14ac:dyDescent="0.35">
      <c r="A817" s="6" t="s">
        <v>66</v>
      </c>
      <c r="B817" s="1" t="s">
        <v>28</v>
      </c>
      <c r="C817" s="1" t="s">
        <v>36</v>
      </c>
      <c r="D817" s="1" t="s">
        <v>37</v>
      </c>
      <c r="E817" s="1" t="s">
        <v>22</v>
      </c>
      <c r="F817" s="1" t="s">
        <v>31</v>
      </c>
      <c r="G817" s="2">
        <v>45656</v>
      </c>
      <c r="H817" s="2">
        <v>45710</v>
      </c>
      <c r="I817" s="1">
        <v>34460.800000000003</v>
      </c>
      <c r="J817" s="1">
        <v>0.29449999999999998</v>
      </c>
      <c r="K817" s="1">
        <v>10148.709999999999</v>
      </c>
      <c r="L817" s="1">
        <v>650037</v>
      </c>
      <c r="M817" s="1">
        <v>39872</v>
      </c>
      <c r="N817" s="1">
        <v>23374.58</v>
      </c>
      <c r="O817" s="1">
        <v>2024</v>
      </c>
      <c r="P817" s="1" t="s">
        <v>73</v>
      </c>
      <c r="Q817" s="1" t="s">
        <v>25</v>
      </c>
      <c r="R817" s="1" t="s">
        <v>26</v>
      </c>
      <c r="S817" s="1">
        <f t="shared" si="12"/>
        <v>55</v>
      </c>
      <c r="T817" s="7" t="str">
        <f>_xlfn.TEXTJOIN("_",TRUE,Finance_Data!A817,Finance_Data!B817,Finance_Data!C817,Finance_Data!D817,Finance_Data!E817,Finance_Data!G817,Finance_Data!H817)</f>
        <v>CMP_010_West_India_Perfume_Retail_45656_45710</v>
      </c>
    </row>
    <row r="818" spans="1:20" x14ac:dyDescent="0.35">
      <c r="A818" s="6" t="s">
        <v>57</v>
      </c>
      <c r="B818" s="1" t="s">
        <v>28</v>
      </c>
      <c r="C818" s="1" t="s">
        <v>29</v>
      </c>
      <c r="D818" s="1" t="s">
        <v>21</v>
      </c>
      <c r="E818" s="1" t="s">
        <v>22</v>
      </c>
      <c r="F818" s="1" t="s">
        <v>44</v>
      </c>
      <c r="G818" s="2">
        <v>45657</v>
      </c>
      <c r="H818" s="2">
        <v>45675</v>
      </c>
      <c r="I818" s="1">
        <v>10336.66</v>
      </c>
      <c r="J818" s="1">
        <v>1.0357000000000001</v>
      </c>
      <c r="K818" s="1">
        <v>10705.68</v>
      </c>
      <c r="L818" s="1">
        <v>830114</v>
      </c>
      <c r="M818" s="1">
        <v>17545</v>
      </c>
      <c r="N818" s="1">
        <v>75550.679999999993</v>
      </c>
      <c r="O818" s="1">
        <v>2024</v>
      </c>
      <c r="P818" s="1" t="s">
        <v>73</v>
      </c>
      <c r="Q818" s="1" t="s">
        <v>25</v>
      </c>
      <c r="R818" s="1" t="s">
        <v>61</v>
      </c>
      <c r="S818" s="1">
        <f t="shared" si="12"/>
        <v>19</v>
      </c>
      <c r="T818" s="7" t="str">
        <f>_xlfn.TEXTJOIN("_",TRUE,Finance_Data!A818,Finance_Data!B818,Finance_Data!C818,Finance_Data!D818,Finance_Data!E818,Finance_Data!G818,Finance_Data!H818)</f>
        <v>CMP_032_West_Australia_Foundation_Retail_45657_45675</v>
      </c>
    </row>
    <row r="819" spans="1:20" x14ac:dyDescent="0.35">
      <c r="A819" s="6" t="s">
        <v>83</v>
      </c>
      <c r="B819" s="1" t="s">
        <v>28</v>
      </c>
      <c r="C819" s="1" t="s">
        <v>36</v>
      </c>
      <c r="D819" s="1" t="s">
        <v>37</v>
      </c>
      <c r="E819" s="1" t="s">
        <v>22</v>
      </c>
      <c r="F819" s="1" t="s">
        <v>52</v>
      </c>
      <c r="G819" s="2">
        <v>45657</v>
      </c>
      <c r="H819" s="2">
        <v>45665</v>
      </c>
      <c r="I819" s="1">
        <v>15603.19</v>
      </c>
      <c r="J819" s="1">
        <v>0.1275</v>
      </c>
      <c r="K819" s="1">
        <v>1989.41</v>
      </c>
      <c r="L819" s="1">
        <v>159380</v>
      </c>
      <c r="M819" s="1">
        <v>27154</v>
      </c>
      <c r="N819" s="1">
        <v>223787.7</v>
      </c>
      <c r="O819" s="1">
        <v>2024</v>
      </c>
      <c r="P819" s="1" t="s">
        <v>73</v>
      </c>
      <c r="Q819" s="1" t="s">
        <v>25</v>
      </c>
      <c r="R819" s="1" t="s">
        <v>61</v>
      </c>
      <c r="S819" s="1">
        <f t="shared" si="12"/>
        <v>9</v>
      </c>
      <c r="T819" s="7" t="str">
        <f>_xlfn.TEXTJOIN("_",TRUE,Finance_Data!A819,Finance_Data!B819,Finance_Data!C819,Finance_Data!D819,Finance_Data!E819,Finance_Data!G819,Finance_Data!H819)</f>
        <v>CMP_017_West_India_Perfume_Retail_45657_45665</v>
      </c>
    </row>
    <row r="820" spans="1:20" x14ac:dyDescent="0.35">
      <c r="A820" s="6" t="s">
        <v>100</v>
      </c>
      <c r="B820" s="1" t="s">
        <v>35</v>
      </c>
      <c r="C820" s="1" t="s">
        <v>58</v>
      </c>
      <c r="D820" s="1" t="s">
        <v>37</v>
      </c>
      <c r="E820" s="1" t="s">
        <v>22</v>
      </c>
      <c r="F820" s="1" t="s">
        <v>49</v>
      </c>
      <c r="G820" s="2">
        <v>45658</v>
      </c>
      <c r="H820" s="2">
        <v>45687</v>
      </c>
      <c r="I820" s="1">
        <v>26463.67</v>
      </c>
      <c r="J820" s="1">
        <v>0.30470000000000003</v>
      </c>
      <c r="K820" s="1">
        <v>8063.48</v>
      </c>
      <c r="L820" s="1">
        <v>353772</v>
      </c>
      <c r="M820" s="1">
        <v>33946</v>
      </c>
      <c r="N820" s="1">
        <v>147680.42000000001</v>
      </c>
      <c r="O820" s="1">
        <v>2025</v>
      </c>
      <c r="P820" s="1" t="s">
        <v>56</v>
      </c>
      <c r="Q820" s="1" t="s">
        <v>40</v>
      </c>
      <c r="R820" s="1" t="s">
        <v>54</v>
      </c>
      <c r="S820" s="1">
        <f t="shared" si="12"/>
        <v>30</v>
      </c>
      <c r="T820" s="7" t="str">
        <f>_xlfn.TEXTJOIN("_",TRUE,Finance_Data!A820,Finance_Data!B820,Finance_Data!C820,Finance_Data!D820,Finance_Data!E820,Finance_Data!G820,Finance_Data!H820)</f>
        <v>CMP_053_East_UK_Perfume_Retail_45658_45687</v>
      </c>
    </row>
    <row r="821" spans="1:20" x14ac:dyDescent="0.35">
      <c r="A821" s="6" t="s">
        <v>18</v>
      </c>
      <c r="B821" s="1" t="s">
        <v>28</v>
      </c>
      <c r="C821" s="1" t="s">
        <v>58</v>
      </c>
      <c r="D821" s="1" t="s">
        <v>43</v>
      </c>
      <c r="E821" s="1" t="s">
        <v>22</v>
      </c>
      <c r="F821" s="1" t="s">
        <v>44</v>
      </c>
      <c r="G821" s="2">
        <v>45659</v>
      </c>
      <c r="H821" s="2">
        <v>45688</v>
      </c>
      <c r="I821" s="1">
        <v>24885.29</v>
      </c>
      <c r="J821" s="1">
        <v>0.14019999999999999</v>
      </c>
      <c r="K821" s="1">
        <v>3488.92</v>
      </c>
      <c r="L821" s="1">
        <v>717814</v>
      </c>
      <c r="M821" s="1">
        <v>32248</v>
      </c>
      <c r="N821" s="1">
        <v>166719.25</v>
      </c>
      <c r="O821" s="1">
        <v>2025</v>
      </c>
      <c r="P821" s="1" t="s">
        <v>56</v>
      </c>
      <c r="Q821" s="1" t="s">
        <v>40</v>
      </c>
      <c r="R821" s="1" t="s">
        <v>26</v>
      </c>
      <c r="S821" s="1">
        <f t="shared" si="12"/>
        <v>30</v>
      </c>
      <c r="T821" s="7" t="str">
        <f>_xlfn.TEXTJOIN("_",TRUE,Finance_Data!A821,Finance_Data!B821,Finance_Data!C821,Finance_Data!D821,Finance_Data!E821,Finance_Data!G821,Finance_Data!H821)</f>
        <v>CMP_044_West_UK_Luxury Bag_Retail_45659_45688</v>
      </c>
    </row>
    <row r="822" spans="1:20" x14ac:dyDescent="0.35">
      <c r="A822" s="6" t="s">
        <v>95</v>
      </c>
      <c r="B822" s="1" t="s">
        <v>35</v>
      </c>
      <c r="C822" s="1" t="s">
        <v>20</v>
      </c>
      <c r="D822" s="1" t="s">
        <v>37</v>
      </c>
      <c r="E822" s="1" t="s">
        <v>30</v>
      </c>
      <c r="F822" s="1" t="s">
        <v>23</v>
      </c>
      <c r="G822" s="2">
        <v>45659</v>
      </c>
      <c r="H822" s="2">
        <v>45676</v>
      </c>
      <c r="I822" s="1">
        <v>4723.83</v>
      </c>
      <c r="J822" s="1">
        <v>0.83179999999999998</v>
      </c>
      <c r="K822" s="1">
        <v>3929.28</v>
      </c>
      <c r="L822" s="1">
        <v>667711</v>
      </c>
      <c r="M822" s="1">
        <v>16015</v>
      </c>
      <c r="N822" s="1">
        <v>29965.82</v>
      </c>
      <c r="O822" s="1">
        <v>2025</v>
      </c>
      <c r="P822" s="1" t="s">
        <v>56</v>
      </c>
      <c r="Q822" s="1" t="s">
        <v>40</v>
      </c>
      <c r="R822" s="1" t="s">
        <v>41</v>
      </c>
      <c r="S822" s="1">
        <f t="shared" si="12"/>
        <v>18</v>
      </c>
      <c r="T822" s="7" t="str">
        <f>_xlfn.TEXTJOIN("_",TRUE,Finance_Data!A822,Finance_Data!B822,Finance_Data!C822,Finance_Data!D822,Finance_Data!E822,Finance_Data!G822,Finance_Data!H822)</f>
        <v>CMP_050_East_Singapore_Perfume_Wholesale_45659_45676</v>
      </c>
    </row>
    <row r="823" spans="1:20" x14ac:dyDescent="0.35">
      <c r="A823" s="6" t="s">
        <v>72</v>
      </c>
      <c r="B823" s="1" t="s">
        <v>28</v>
      </c>
      <c r="C823" s="1" t="s">
        <v>58</v>
      </c>
      <c r="D823" s="1" t="s">
        <v>63</v>
      </c>
      <c r="E823" s="1" t="s">
        <v>38</v>
      </c>
      <c r="F823" s="1" t="s">
        <v>52</v>
      </c>
      <c r="G823" s="2">
        <v>45660</v>
      </c>
      <c r="H823" s="2">
        <v>45703</v>
      </c>
      <c r="I823" s="1">
        <v>47367.28</v>
      </c>
      <c r="J823" s="1">
        <v>0.9708</v>
      </c>
      <c r="K823" s="1">
        <v>45984.160000000003</v>
      </c>
      <c r="L823" s="1">
        <v>713956</v>
      </c>
      <c r="M823" s="1">
        <v>5003</v>
      </c>
      <c r="N823" s="1">
        <v>145617.35999999999</v>
      </c>
      <c r="O823" s="1">
        <v>2025</v>
      </c>
      <c r="P823" s="1" t="s">
        <v>56</v>
      </c>
      <c r="Q823" s="1" t="s">
        <v>40</v>
      </c>
      <c r="R823" s="1" t="s">
        <v>61</v>
      </c>
      <c r="S823" s="1">
        <f t="shared" si="12"/>
        <v>44</v>
      </c>
      <c r="T823" s="7" t="str">
        <f>_xlfn.TEXTJOIN("_",TRUE,Finance_Data!A823,Finance_Data!B823,Finance_Data!C823,Finance_Data!D823,Finance_Data!E823,Finance_Data!G823,Finance_Data!H823)</f>
        <v>CMP_042_West_UK_Skincare_Ecommerce_45660_45703</v>
      </c>
    </row>
    <row r="824" spans="1:20" x14ac:dyDescent="0.35">
      <c r="A824" s="6" t="s">
        <v>104</v>
      </c>
      <c r="B824" s="1" t="s">
        <v>28</v>
      </c>
      <c r="C824" s="1" t="s">
        <v>58</v>
      </c>
      <c r="D824" s="1" t="s">
        <v>59</v>
      </c>
      <c r="E824" s="1" t="s">
        <v>38</v>
      </c>
      <c r="F824" s="1" t="s">
        <v>23</v>
      </c>
      <c r="G824" s="2">
        <v>45661</v>
      </c>
      <c r="H824" s="2">
        <v>45720</v>
      </c>
      <c r="I824" s="1">
        <v>29331.47</v>
      </c>
      <c r="J824" s="1">
        <v>0.71430000000000005</v>
      </c>
      <c r="K824" s="1">
        <v>20951.47</v>
      </c>
      <c r="L824" s="1">
        <v>296643</v>
      </c>
      <c r="M824" s="1">
        <v>4508</v>
      </c>
      <c r="N824" s="1">
        <v>143774.93</v>
      </c>
      <c r="O824" s="1">
        <v>2025</v>
      </c>
      <c r="P824" s="1" t="s">
        <v>56</v>
      </c>
      <c r="Q824" s="1" t="s">
        <v>40</v>
      </c>
      <c r="R824" s="1" t="s">
        <v>41</v>
      </c>
      <c r="S824" s="1">
        <f t="shared" si="12"/>
        <v>60</v>
      </c>
      <c r="T824" s="7" t="str">
        <f>_xlfn.TEXTJOIN("_",TRUE,Finance_Data!A824,Finance_Data!B824,Finance_Data!C824,Finance_Data!D824,Finance_Data!E824,Finance_Data!G824,Finance_Data!H824)</f>
        <v>CMP_034_West_UK_Lipstick_Ecommerce_45661_45720</v>
      </c>
    </row>
    <row r="825" spans="1:20" x14ac:dyDescent="0.35">
      <c r="A825" s="6" t="s">
        <v>77</v>
      </c>
      <c r="B825" s="1" t="s">
        <v>19</v>
      </c>
      <c r="C825" s="1" t="s">
        <v>69</v>
      </c>
      <c r="D825" s="1" t="s">
        <v>21</v>
      </c>
      <c r="E825" s="1" t="s">
        <v>30</v>
      </c>
      <c r="F825" s="1" t="s">
        <v>44</v>
      </c>
      <c r="G825" s="2">
        <v>45661</v>
      </c>
      <c r="H825" s="2">
        <v>45693</v>
      </c>
      <c r="I825" s="1">
        <v>43961.3</v>
      </c>
      <c r="J825" s="1">
        <v>0.98609999999999998</v>
      </c>
      <c r="K825" s="1">
        <v>43350.239999999998</v>
      </c>
      <c r="L825" s="1">
        <v>874446</v>
      </c>
      <c r="M825" s="1">
        <v>10608</v>
      </c>
      <c r="N825" s="1">
        <v>176128.14</v>
      </c>
      <c r="O825" s="1">
        <v>2025</v>
      </c>
      <c r="P825" s="1" t="s">
        <v>56</v>
      </c>
      <c r="Q825" s="1" t="s">
        <v>40</v>
      </c>
      <c r="R825" s="1" t="s">
        <v>41</v>
      </c>
      <c r="S825" s="1">
        <f t="shared" si="12"/>
        <v>33</v>
      </c>
      <c r="T825" s="7" t="str">
        <f>_xlfn.TEXTJOIN("_",TRUE,Finance_Data!A825,Finance_Data!B825,Finance_Data!C825,Finance_Data!D825,Finance_Data!E825,Finance_Data!G825,Finance_Data!H825)</f>
        <v>CMP_033_North_USA_Foundation_Wholesale_45661_45693</v>
      </c>
    </row>
    <row r="826" spans="1:20" x14ac:dyDescent="0.35">
      <c r="A826" s="6" t="s">
        <v>42</v>
      </c>
      <c r="B826" s="1" t="s">
        <v>28</v>
      </c>
      <c r="C826" s="1" t="s">
        <v>36</v>
      </c>
      <c r="D826" s="1" t="s">
        <v>51</v>
      </c>
      <c r="E826" s="1" t="s">
        <v>38</v>
      </c>
      <c r="F826" s="1" t="s">
        <v>52</v>
      </c>
      <c r="G826" s="2">
        <v>45663</v>
      </c>
      <c r="H826" s="2">
        <v>45684</v>
      </c>
      <c r="I826" s="1">
        <v>33630.699999999997</v>
      </c>
      <c r="J826" s="1">
        <v>1.1423000000000001</v>
      </c>
      <c r="K826" s="1">
        <v>38416.35</v>
      </c>
      <c r="L826" s="1">
        <v>713176</v>
      </c>
      <c r="M826" s="1">
        <v>8167</v>
      </c>
      <c r="N826" s="1">
        <v>168041.71</v>
      </c>
      <c r="O826" s="1">
        <v>2025</v>
      </c>
      <c r="P826" s="1" t="s">
        <v>56</v>
      </c>
      <c r="Q826" s="1" t="s">
        <v>40</v>
      </c>
      <c r="R826" s="1" t="s">
        <v>26</v>
      </c>
      <c r="S826" s="1">
        <f t="shared" si="12"/>
        <v>22</v>
      </c>
      <c r="T826" s="7" t="str">
        <f>_xlfn.TEXTJOIN("_",TRUE,Finance_Data!A826,Finance_Data!B826,Finance_Data!C826,Finance_Data!D826,Finance_Data!E826,Finance_Data!G826,Finance_Data!H826)</f>
        <v>CMP_060_West_India_Watch_Ecommerce_45663_45684</v>
      </c>
    </row>
    <row r="827" spans="1:20" x14ac:dyDescent="0.35">
      <c r="A827" s="6" t="s">
        <v>34</v>
      </c>
      <c r="B827" s="1" t="s">
        <v>19</v>
      </c>
      <c r="C827" s="1" t="s">
        <v>36</v>
      </c>
      <c r="D827" s="1" t="s">
        <v>63</v>
      </c>
      <c r="E827" s="1" t="s">
        <v>38</v>
      </c>
      <c r="F827" s="1" t="s">
        <v>49</v>
      </c>
      <c r="G827" s="2">
        <v>45665</v>
      </c>
      <c r="H827" s="2">
        <v>45690</v>
      </c>
      <c r="I827" s="1">
        <v>39064.949999999997</v>
      </c>
      <c r="J827" s="1">
        <v>0.68540000000000001</v>
      </c>
      <c r="K827" s="1">
        <v>26775.119999999999</v>
      </c>
      <c r="L827" s="1">
        <v>99083</v>
      </c>
      <c r="M827" s="1">
        <v>3547</v>
      </c>
      <c r="N827" s="1">
        <v>43117.08</v>
      </c>
      <c r="O827" s="1">
        <v>2025</v>
      </c>
      <c r="P827" s="1" t="s">
        <v>56</v>
      </c>
      <c r="Q827" s="1" t="s">
        <v>40</v>
      </c>
      <c r="R827" s="1" t="s">
        <v>54</v>
      </c>
      <c r="S827" s="1">
        <f t="shared" si="12"/>
        <v>26</v>
      </c>
      <c r="T827" s="7" t="str">
        <f>_xlfn.TEXTJOIN("_",TRUE,Finance_Data!A827,Finance_Data!B827,Finance_Data!C827,Finance_Data!D827,Finance_Data!E827,Finance_Data!G827,Finance_Data!H827)</f>
        <v>CMP_049_North_India_Skincare_Ecommerce_45665_45690</v>
      </c>
    </row>
    <row r="828" spans="1:20" x14ac:dyDescent="0.35">
      <c r="A828" s="6" t="s">
        <v>55</v>
      </c>
      <c r="B828" s="1" t="s">
        <v>28</v>
      </c>
      <c r="C828" s="1" t="s">
        <v>29</v>
      </c>
      <c r="D828" s="1" t="s">
        <v>51</v>
      </c>
      <c r="E828" s="1" t="s">
        <v>22</v>
      </c>
      <c r="F828" s="1" t="s">
        <v>23</v>
      </c>
      <c r="G828" s="2">
        <v>45665</v>
      </c>
      <c r="H828" s="2">
        <v>45673</v>
      </c>
      <c r="I828" s="1">
        <v>29592.639999999999</v>
      </c>
      <c r="J828" s="1">
        <v>0.21290000000000001</v>
      </c>
      <c r="K828" s="1">
        <v>6300.27</v>
      </c>
      <c r="L828" s="1">
        <v>669580</v>
      </c>
      <c r="M828" s="1">
        <v>47363</v>
      </c>
      <c r="N828" s="1">
        <v>156835.26999999999</v>
      </c>
      <c r="O828" s="1">
        <v>2025</v>
      </c>
      <c r="P828" s="1" t="s">
        <v>56</v>
      </c>
      <c r="Q828" s="1" t="s">
        <v>40</v>
      </c>
      <c r="R828" s="1" t="s">
        <v>26</v>
      </c>
      <c r="S828" s="1">
        <f t="shared" si="12"/>
        <v>9</v>
      </c>
      <c r="T828" s="7" t="str">
        <f>_xlfn.TEXTJOIN("_",TRUE,Finance_Data!A828,Finance_Data!B828,Finance_Data!C828,Finance_Data!D828,Finance_Data!E828,Finance_Data!G828,Finance_Data!H828)</f>
        <v>CMP_054_West_Australia_Watch_Retail_45665_45673</v>
      </c>
    </row>
    <row r="829" spans="1:20" x14ac:dyDescent="0.35">
      <c r="A829" s="6" t="s">
        <v>120</v>
      </c>
      <c r="B829" s="1" t="s">
        <v>35</v>
      </c>
      <c r="C829" s="1" t="s">
        <v>29</v>
      </c>
      <c r="D829" s="1" t="s">
        <v>51</v>
      </c>
      <c r="E829" s="1" t="s">
        <v>38</v>
      </c>
      <c r="F829" s="1" t="s">
        <v>52</v>
      </c>
      <c r="G829" s="2">
        <v>45666</v>
      </c>
      <c r="H829" s="2">
        <v>45679</v>
      </c>
      <c r="I829" s="1">
        <v>21008.799999999999</v>
      </c>
      <c r="J829" s="1">
        <v>0.73770000000000002</v>
      </c>
      <c r="K829" s="1">
        <v>15498.19</v>
      </c>
      <c r="L829" s="1">
        <v>350404</v>
      </c>
      <c r="M829" s="1">
        <v>3852</v>
      </c>
      <c r="N829" s="1">
        <v>158359.04999999999</v>
      </c>
      <c r="O829" s="1">
        <v>2025</v>
      </c>
      <c r="P829" s="1" t="s">
        <v>56</v>
      </c>
      <c r="Q829" s="1" t="s">
        <v>40</v>
      </c>
      <c r="R829" s="1" t="s">
        <v>41</v>
      </c>
      <c r="S829" s="1">
        <f t="shared" si="12"/>
        <v>14</v>
      </c>
      <c r="T829" s="7" t="str">
        <f>_xlfn.TEXTJOIN("_",TRUE,Finance_Data!A829,Finance_Data!B829,Finance_Data!C829,Finance_Data!D829,Finance_Data!E829,Finance_Data!G829,Finance_Data!H829)</f>
        <v>CMP_001_East_Australia_Watch_Ecommerce_45666_45679</v>
      </c>
    </row>
    <row r="830" spans="1:20" x14ac:dyDescent="0.35">
      <c r="A830" s="6" t="s">
        <v>120</v>
      </c>
      <c r="B830" s="1" t="s">
        <v>35</v>
      </c>
      <c r="C830" s="1" t="s">
        <v>58</v>
      </c>
      <c r="D830" s="1" t="s">
        <v>21</v>
      </c>
      <c r="E830" s="1" t="s">
        <v>38</v>
      </c>
      <c r="F830" s="1" t="s">
        <v>49</v>
      </c>
      <c r="G830" s="2">
        <v>45668</v>
      </c>
      <c r="H830" s="2">
        <v>45722</v>
      </c>
      <c r="I830" s="1">
        <v>29888.35</v>
      </c>
      <c r="J830" s="1">
        <v>0.9859</v>
      </c>
      <c r="K830" s="1">
        <v>29466.92</v>
      </c>
      <c r="L830" s="1">
        <v>544117</v>
      </c>
      <c r="M830" s="1">
        <v>5591</v>
      </c>
      <c r="N830" s="1">
        <v>42302.82</v>
      </c>
      <c r="O830" s="1">
        <v>2025</v>
      </c>
      <c r="P830" s="1" t="s">
        <v>56</v>
      </c>
      <c r="Q830" s="1" t="s">
        <v>40</v>
      </c>
      <c r="R830" s="1" t="s">
        <v>61</v>
      </c>
      <c r="S830" s="1">
        <f t="shared" si="12"/>
        <v>55</v>
      </c>
      <c r="T830" s="7" t="str">
        <f>_xlfn.TEXTJOIN("_",TRUE,Finance_Data!A830,Finance_Data!B830,Finance_Data!C830,Finance_Data!D830,Finance_Data!E830,Finance_Data!G830,Finance_Data!H830)</f>
        <v>CMP_001_East_UK_Foundation_Ecommerce_45668_45722</v>
      </c>
    </row>
    <row r="831" spans="1:20" x14ac:dyDescent="0.35">
      <c r="A831" s="6" t="s">
        <v>105</v>
      </c>
      <c r="B831" s="1" t="s">
        <v>48</v>
      </c>
      <c r="C831" s="1" t="s">
        <v>36</v>
      </c>
      <c r="D831" s="1" t="s">
        <v>37</v>
      </c>
      <c r="E831" s="1" t="s">
        <v>22</v>
      </c>
      <c r="F831" s="1" t="s">
        <v>44</v>
      </c>
      <c r="G831" s="2">
        <v>45668</v>
      </c>
      <c r="H831" s="2">
        <v>45716</v>
      </c>
      <c r="I831" s="1">
        <v>17790.89</v>
      </c>
      <c r="J831" s="1">
        <v>0.54959999999999998</v>
      </c>
      <c r="K831" s="1">
        <v>9777.8700000000008</v>
      </c>
      <c r="L831" s="1">
        <v>629284</v>
      </c>
      <c r="M831" s="1">
        <v>4611</v>
      </c>
      <c r="N831" s="1">
        <v>61304.38</v>
      </c>
      <c r="O831" s="1">
        <v>2025</v>
      </c>
      <c r="P831" s="1" t="s">
        <v>56</v>
      </c>
      <c r="Q831" s="1" t="s">
        <v>40</v>
      </c>
      <c r="R831" s="1" t="s">
        <v>54</v>
      </c>
      <c r="S831" s="1">
        <f t="shared" si="12"/>
        <v>49</v>
      </c>
      <c r="T831" s="7" t="str">
        <f>_xlfn.TEXTJOIN("_",TRUE,Finance_Data!A831,Finance_Data!B831,Finance_Data!C831,Finance_Data!D831,Finance_Data!E831,Finance_Data!G831,Finance_Data!H831)</f>
        <v>CMP_025_South_India_Perfume_Retail_45668_45716</v>
      </c>
    </row>
    <row r="832" spans="1:20" x14ac:dyDescent="0.35">
      <c r="A832" s="6" t="s">
        <v>97</v>
      </c>
      <c r="B832" s="1" t="s">
        <v>48</v>
      </c>
      <c r="C832" s="1" t="s">
        <v>69</v>
      </c>
      <c r="D832" s="1" t="s">
        <v>59</v>
      </c>
      <c r="E832" s="1" t="s">
        <v>38</v>
      </c>
      <c r="F832" s="1" t="s">
        <v>23</v>
      </c>
      <c r="G832" s="2">
        <v>45668</v>
      </c>
      <c r="H832" s="2">
        <v>45710</v>
      </c>
      <c r="I832" s="1">
        <v>48853.74</v>
      </c>
      <c r="J832" s="1">
        <v>0.63429999999999997</v>
      </c>
      <c r="K832" s="1">
        <v>30987.93</v>
      </c>
      <c r="L832" s="1">
        <v>306745</v>
      </c>
      <c r="M832" s="1">
        <v>6688</v>
      </c>
      <c r="N832" s="1">
        <v>208993.95</v>
      </c>
      <c r="O832" s="1">
        <v>2025</v>
      </c>
      <c r="P832" s="1" t="s">
        <v>56</v>
      </c>
      <c r="Q832" s="1" t="s">
        <v>40</v>
      </c>
      <c r="R832" s="1" t="s">
        <v>61</v>
      </c>
      <c r="S832" s="1">
        <f t="shared" si="12"/>
        <v>43</v>
      </c>
      <c r="T832" s="7" t="str">
        <f>_xlfn.TEXTJOIN("_",TRUE,Finance_Data!A832,Finance_Data!B832,Finance_Data!C832,Finance_Data!D832,Finance_Data!E832,Finance_Data!G832,Finance_Data!H832)</f>
        <v>CMP_019_South_USA_Lipstick_Ecommerce_45668_45710</v>
      </c>
    </row>
    <row r="833" spans="1:20" x14ac:dyDescent="0.35">
      <c r="A833" s="6" t="s">
        <v>118</v>
      </c>
      <c r="B833" s="1" t="s">
        <v>35</v>
      </c>
      <c r="C833" s="1" t="s">
        <v>69</v>
      </c>
      <c r="D833" s="1" t="s">
        <v>51</v>
      </c>
      <c r="E833" s="1" t="s">
        <v>38</v>
      </c>
      <c r="F833" s="1" t="s">
        <v>49</v>
      </c>
      <c r="G833" s="2">
        <v>45669</v>
      </c>
      <c r="H833" s="2">
        <v>45709</v>
      </c>
      <c r="I833" s="1">
        <v>49942.239999999998</v>
      </c>
      <c r="J833" s="1">
        <v>1.0551999999999999</v>
      </c>
      <c r="K833" s="1">
        <v>52699.05</v>
      </c>
      <c r="L833" s="1">
        <v>231092</v>
      </c>
      <c r="M833" s="1">
        <v>40106</v>
      </c>
      <c r="N833" s="1">
        <v>128680.96000000001</v>
      </c>
      <c r="O833" s="1">
        <v>2025</v>
      </c>
      <c r="P833" s="1" t="s">
        <v>56</v>
      </c>
      <c r="Q833" s="1" t="s">
        <v>40</v>
      </c>
      <c r="R833" s="1" t="s">
        <v>41</v>
      </c>
      <c r="S833" s="1">
        <f t="shared" si="12"/>
        <v>41</v>
      </c>
      <c r="T833" s="7" t="str">
        <f>_xlfn.TEXTJOIN("_",TRUE,Finance_Data!A833,Finance_Data!B833,Finance_Data!C833,Finance_Data!D833,Finance_Data!E833,Finance_Data!G833,Finance_Data!H833)</f>
        <v>CMP_052_East_USA_Watch_Ecommerce_45669_45709</v>
      </c>
    </row>
    <row r="834" spans="1:20" x14ac:dyDescent="0.35">
      <c r="A834" s="6" t="s">
        <v>114</v>
      </c>
      <c r="B834" s="1" t="s">
        <v>28</v>
      </c>
      <c r="C834" s="1" t="s">
        <v>20</v>
      </c>
      <c r="D834" s="1" t="s">
        <v>51</v>
      </c>
      <c r="E834" s="1" t="s">
        <v>38</v>
      </c>
      <c r="F834" s="1" t="s">
        <v>44</v>
      </c>
      <c r="G834" s="2">
        <v>45669</v>
      </c>
      <c r="H834" s="2">
        <v>45704</v>
      </c>
      <c r="I834" s="1">
        <v>49492.59</v>
      </c>
      <c r="J834" s="1">
        <v>0.25040000000000001</v>
      </c>
      <c r="K834" s="1">
        <v>12392.94</v>
      </c>
      <c r="L834" s="1">
        <v>765781</v>
      </c>
      <c r="M834" s="1">
        <v>10171</v>
      </c>
      <c r="N834" s="1">
        <v>15733.72</v>
      </c>
      <c r="O834" s="1">
        <v>2025</v>
      </c>
      <c r="P834" s="1" t="s">
        <v>56</v>
      </c>
      <c r="Q834" s="1" t="s">
        <v>40</v>
      </c>
      <c r="R834" s="1" t="s">
        <v>41</v>
      </c>
      <c r="S834" s="1">
        <f t="shared" ref="S834:S897" si="13">H834-G834+1</f>
        <v>36</v>
      </c>
      <c r="T834" s="7" t="str">
        <f>_xlfn.TEXTJOIN("_",TRUE,Finance_Data!A834,Finance_Data!B834,Finance_Data!C834,Finance_Data!D834,Finance_Data!E834,Finance_Data!G834,Finance_Data!H834)</f>
        <v>CMP_013_West_Singapore_Watch_Ecommerce_45669_45704</v>
      </c>
    </row>
    <row r="835" spans="1:20" x14ac:dyDescent="0.35">
      <c r="A835" s="6" t="s">
        <v>99</v>
      </c>
      <c r="B835" s="1" t="s">
        <v>48</v>
      </c>
      <c r="C835" s="1" t="s">
        <v>20</v>
      </c>
      <c r="D835" s="1" t="s">
        <v>51</v>
      </c>
      <c r="E835" s="1" t="s">
        <v>30</v>
      </c>
      <c r="F835" s="1" t="s">
        <v>49</v>
      </c>
      <c r="G835" s="2">
        <v>45669</v>
      </c>
      <c r="H835" s="2">
        <v>45688</v>
      </c>
      <c r="I835" s="1">
        <v>27051.39</v>
      </c>
      <c r="J835" s="1">
        <v>0.23549999999999999</v>
      </c>
      <c r="K835" s="1">
        <v>6370.6</v>
      </c>
      <c r="L835" s="1">
        <v>561752</v>
      </c>
      <c r="M835" s="1">
        <v>43149</v>
      </c>
      <c r="N835" s="1">
        <v>65946.94</v>
      </c>
      <c r="O835" s="1">
        <v>2025</v>
      </c>
      <c r="P835" s="1" t="s">
        <v>56</v>
      </c>
      <c r="Q835" s="1" t="s">
        <v>40</v>
      </c>
      <c r="R835" s="1" t="s">
        <v>26</v>
      </c>
      <c r="S835" s="1">
        <f t="shared" si="13"/>
        <v>20</v>
      </c>
      <c r="T835" s="7" t="str">
        <f>_xlfn.TEXTJOIN("_",TRUE,Finance_Data!A835,Finance_Data!B835,Finance_Data!C835,Finance_Data!D835,Finance_Data!E835,Finance_Data!G835,Finance_Data!H835)</f>
        <v>CMP_041_South_Singapore_Watch_Wholesale_45669_45688</v>
      </c>
    </row>
    <row r="836" spans="1:20" x14ac:dyDescent="0.35">
      <c r="A836" s="6" t="s">
        <v>34</v>
      </c>
      <c r="B836" s="1" t="s">
        <v>19</v>
      </c>
      <c r="C836" s="1" t="s">
        <v>36</v>
      </c>
      <c r="D836" s="1" t="s">
        <v>43</v>
      </c>
      <c r="E836" s="1" t="s">
        <v>38</v>
      </c>
      <c r="F836" s="1" t="s">
        <v>31</v>
      </c>
      <c r="G836" s="2">
        <v>45670</v>
      </c>
      <c r="H836" s="2">
        <v>45728</v>
      </c>
      <c r="I836" s="1">
        <v>31455</v>
      </c>
      <c r="J836" s="1">
        <v>1.0402</v>
      </c>
      <c r="K836" s="1">
        <v>32719.49</v>
      </c>
      <c r="L836" s="1">
        <v>830628</v>
      </c>
      <c r="M836" s="1">
        <v>47890</v>
      </c>
      <c r="N836" s="1">
        <v>232498.79</v>
      </c>
      <c r="O836" s="1">
        <v>2025</v>
      </c>
      <c r="P836" s="1" t="s">
        <v>56</v>
      </c>
      <c r="Q836" s="1" t="s">
        <v>40</v>
      </c>
      <c r="R836" s="1" t="s">
        <v>54</v>
      </c>
      <c r="S836" s="1">
        <f t="shared" si="13"/>
        <v>59</v>
      </c>
      <c r="T836" s="7" t="str">
        <f>_xlfn.TEXTJOIN("_",TRUE,Finance_Data!A836,Finance_Data!B836,Finance_Data!C836,Finance_Data!D836,Finance_Data!E836,Finance_Data!G836,Finance_Data!H836)</f>
        <v>CMP_049_North_India_Luxury Bag_Ecommerce_45670_45728</v>
      </c>
    </row>
    <row r="837" spans="1:20" x14ac:dyDescent="0.35">
      <c r="A837" s="6" t="s">
        <v>83</v>
      </c>
      <c r="B837" s="1" t="s">
        <v>19</v>
      </c>
      <c r="C837" s="1" t="s">
        <v>36</v>
      </c>
      <c r="D837" s="1" t="s">
        <v>59</v>
      </c>
      <c r="E837" s="1" t="s">
        <v>38</v>
      </c>
      <c r="F837" s="1" t="s">
        <v>49</v>
      </c>
      <c r="G837" s="2">
        <v>45670</v>
      </c>
      <c r="H837" s="2">
        <v>45715</v>
      </c>
      <c r="I837" s="1">
        <v>9196.8799999999992</v>
      </c>
      <c r="J837" s="1">
        <v>0.69750000000000001</v>
      </c>
      <c r="K837" s="1">
        <v>6414.82</v>
      </c>
      <c r="L837" s="1">
        <v>892725</v>
      </c>
      <c r="M837" s="1">
        <v>22714</v>
      </c>
      <c r="N837" s="1">
        <v>18309.82</v>
      </c>
      <c r="O837" s="1">
        <v>2025</v>
      </c>
      <c r="P837" s="1" t="s">
        <v>56</v>
      </c>
      <c r="Q837" s="1" t="s">
        <v>40</v>
      </c>
      <c r="R837" s="1" t="s">
        <v>54</v>
      </c>
      <c r="S837" s="1">
        <f t="shared" si="13"/>
        <v>46</v>
      </c>
      <c r="T837" s="7" t="str">
        <f>_xlfn.TEXTJOIN("_",TRUE,Finance_Data!A837,Finance_Data!B837,Finance_Data!C837,Finance_Data!D837,Finance_Data!E837,Finance_Data!G837,Finance_Data!H837)</f>
        <v>CMP_017_North_India_Lipstick_Ecommerce_45670_45715</v>
      </c>
    </row>
    <row r="838" spans="1:20" x14ac:dyDescent="0.35">
      <c r="A838" s="6" t="s">
        <v>87</v>
      </c>
      <c r="B838" s="1" t="s">
        <v>19</v>
      </c>
      <c r="C838" s="1" t="s">
        <v>20</v>
      </c>
      <c r="D838" s="1" t="s">
        <v>59</v>
      </c>
      <c r="E838" s="1" t="s">
        <v>22</v>
      </c>
      <c r="F838" s="1" t="s">
        <v>44</v>
      </c>
      <c r="G838" s="2">
        <v>45670</v>
      </c>
      <c r="H838" s="2">
        <v>45697</v>
      </c>
      <c r="I838" s="1">
        <v>48718.69</v>
      </c>
      <c r="J838" s="1">
        <v>0.84619999999999995</v>
      </c>
      <c r="K838" s="1">
        <v>41225.760000000002</v>
      </c>
      <c r="L838" s="1">
        <v>112110</v>
      </c>
      <c r="M838" s="1">
        <v>21813</v>
      </c>
      <c r="N838" s="1">
        <v>104785.21</v>
      </c>
      <c r="O838" s="1">
        <v>2025</v>
      </c>
      <c r="P838" s="1" t="s">
        <v>56</v>
      </c>
      <c r="Q838" s="1" t="s">
        <v>40</v>
      </c>
      <c r="R838" s="1" t="s">
        <v>54</v>
      </c>
      <c r="S838" s="1">
        <f t="shared" si="13"/>
        <v>28</v>
      </c>
      <c r="T838" s="7" t="str">
        <f>_xlfn.TEXTJOIN("_",TRUE,Finance_Data!A838,Finance_Data!B838,Finance_Data!C838,Finance_Data!D838,Finance_Data!E838,Finance_Data!G838,Finance_Data!H838)</f>
        <v>CMP_048_North_Singapore_Lipstick_Retail_45670_45697</v>
      </c>
    </row>
    <row r="839" spans="1:20" x14ac:dyDescent="0.35">
      <c r="A839" s="6" t="s">
        <v>110</v>
      </c>
      <c r="B839" s="1" t="s">
        <v>48</v>
      </c>
      <c r="C839" s="1" t="s">
        <v>36</v>
      </c>
      <c r="D839" s="1" t="s">
        <v>59</v>
      </c>
      <c r="E839" s="1" t="s">
        <v>30</v>
      </c>
      <c r="F839" s="1" t="s">
        <v>49</v>
      </c>
      <c r="G839" s="2">
        <v>45671</v>
      </c>
      <c r="H839" s="2">
        <v>45728</v>
      </c>
      <c r="I839" s="1">
        <v>32626.71</v>
      </c>
      <c r="J839" s="1">
        <v>0.18579999999999999</v>
      </c>
      <c r="K839" s="1">
        <v>6062.04</v>
      </c>
      <c r="L839" s="1">
        <v>117798</v>
      </c>
      <c r="M839" s="1">
        <v>9697</v>
      </c>
      <c r="N839" s="1">
        <v>67712.210000000006</v>
      </c>
      <c r="O839" s="1">
        <v>2025</v>
      </c>
      <c r="P839" s="1" t="s">
        <v>56</v>
      </c>
      <c r="Q839" s="1" t="s">
        <v>40</v>
      </c>
      <c r="R839" s="1" t="s">
        <v>54</v>
      </c>
      <c r="S839" s="1">
        <f t="shared" si="13"/>
        <v>58</v>
      </c>
      <c r="T839" s="7" t="str">
        <f>_xlfn.TEXTJOIN("_",TRUE,Finance_Data!A839,Finance_Data!B839,Finance_Data!C839,Finance_Data!D839,Finance_Data!E839,Finance_Data!G839,Finance_Data!H839)</f>
        <v>CMP_012_South_India_Lipstick_Wholesale_45671_45728</v>
      </c>
    </row>
    <row r="840" spans="1:20" x14ac:dyDescent="0.35">
      <c r="A840" s="6" t="s">
        <v>117</v>
      </c>
      <c r="B840" s="1" t="s">
        <v>35</v>
      </c>
      <c r="C840" s="1" t="s">
        <v>36</v>
      </c>
      <c r="D840" s="1" t="s">
        <v>43</v>
      </c>
      <c r="E840" s="1" t="s">
        <v>38</v>
      </c>
      <c r="F840" s="1" t="s">
        <v>23</v>
      </c>
      <c r="G840" s="2">
        <v>45673</v>
      </c>
      <c r="H840" s="2">
        <v>45704</v>
      </c>
      <c r="I840" s="1">
        <v>7838.82</v>
      </c>
      <c r="J840" s="1">
        <v>0.7087</v>
      </c>
      <c r="K840" s="1">
        <v>5555.37</v>
      </c>
      <c r="L840" s="1">
        <v>100259</v>
      </c>
      <c r="M840" s="1">
        <v>9513</v>
      </c>
      <c r="N840" s="1">
        <v>55907.03</v>
      </c>
      <c r="O840" s="1">
        <v>2025</v>
      </c>
      <c r="P840" s="1" t="s">
        <v>56</v>
      </c>
      <c r="Q840" s="1" t="s">
        <v>40</v>
      </c>
      <c r="R840" s="1" t="s">
        <v>26</v>
      </c>
      <c r="S840" s="1">
        <f t="shared" si="13"/>
        <v>32</v>
      </c>
      <c r="T840" s="7" t="str">
        <f>_xlfn.TEXTJOIN("_",TRUE,Finance_Data!A840,Finance_Data!B840,Finance_Data!C840,Finance_Data!D840,Finance_Data!E840,Finance_Data!G840,Finance_Data!H840)</f>
        <v>CMP_031_East_India_Luxury Bag_Ecommerce_45673_45704</v>
      </c>
    </row>
    <row r="841" spans="1:20" x14ac:dyDescent="0.35">
      <c r="A841" s="6" t="s">
        <v>78</v>
      </c>
      <c r="B841" s="1" t="s">
        <v>19</v>
      </c>
      <c r="C841" s="1" t="s">
        <v>29</v>
      </c>
      <c r="D841" s="1" t="s">
        <v>21</v>
      </c>
      <c r="E841" s="1" t="s">
        <v>30</v>
      </c>
      <c r="F841" s="1" t="s">
        <v>23</v>
      </c>
      <c r="G841" s="2">
        <v>45674</v>
      </c>
      <c r="H841" s="2">
        <v>45725</v>
      </c>
      <c r="I841" s="1">
        <v>26793.99</v>
      </c>
      <c r="J841" s="1">
        <v>1.0326</v>
      </c>
      <c r="K841" s="1">
        <v>27667.47</v>
      </c>
      <c r="L841" s="1">
        <v>797042</v>
      </c>
      <c r="M841" s="1">
        <v>18412</v>
      </c>
      <c r="N841" s="1">
        <v>118909.4</v>
      </c>
      <c r="O841" s="1">
        <v>2025</v>
      </c>
      <c r="P841" s="1" t="s">
        <v>56</v>
      </c>
      <c r="Q841" s="1" t="s">
        <v>40</v>
      </c>
      <c r="R841" s="1" t="s">
        <v>41</v>
      </c>
      <c r="S841" s="1">
        <f t="shared" si="13"/>
        <v>52</v>
      </c>
      <c r="T841" s="7" t="str">
        <f>_xlfn.TEXTJOIN("_",TRUE,Finance_Data!A841,Finance_Data!B841,Finance_Data!C841,Finance_Data!D841,Finance_Data!E841,Finance_Data!G841,Finance_Data!H841)</f>
        <v>CMP_006_North_Australia_Foundation_Wholesale_45674_45725</v>
      </c>
    </row>
    <row r="842" spans="1:20" x14ac:dyDescent="0.35">
      <c r="A842" s="6" t="s">
        <v>106</v>
      </c>
      <c r="B842" s="1" t="s">
        <v>35</v>
      </c>
      <c r="C842" s="1" t="s">
        <v>20</v>
      </c>
      <c r="D842" s="1" t="s">
        <v>43</v>
      </c>
      <c r="E842" s="1" t="s">
        <v>38</v>
      </c>
      <c r="F842" s="1" t="s">
        <v>52</v>
      </c>
      <c r="G842" s="2">
        <v>45676</v>
      </c>
      <c r="H842" s="2">
        <v>45689</v>
      </c>
      <c r="I842" s="1">
        <v>5416.54</v>
      </c>
      <c r="J842" s="1">
        <v>0.36120000000000002</v>
      </c>
      <c r="K842" s="1">
        <v>1956.45</v>
      </c>
      <c r="L842" s="1">
        <v>793790</v>
      </c>
      <c r="M842" s="1">
        <v>27330</v>
      </c>
      <c r="N842" s="1">
        <v>48031.82</v>
      </c>
      <c r="O842" s="1">
        <v>2025</v>
      </c>
      <c r="P842" s="1" t="s">
        <v>56</v>
      </c>
      <c r="Q842" s="1" t="s">
        <v>40</v>
      </c>
      <c r="R842" s="1" t="s">
        <v>41</v>
      </c>
      <c r="S842" s="1">
        <f t="shared" si="13"/>
        <v>14</v>
      </c>
      <c r="T842" s="7" t="str">
        <f>_xlfn.TEXTJOIN("_",TRUE,Finance_Data!A842,Finance_Data!B842,Finance_Data!C842,Finance_Data!D842,Finance_Data!E842,Finance_Data!G842,Finance_Data!H842)</f>
        <v>CMP_009_East_Singapore_Luxury Bag_Ecommerce_45676_45689</v>
      </c>
    </row>
    <row r="843" spans="1:20" x14ac:dyDescent="0.35">
      <c r="A843" s="6" t="s">
        <v>100</v>
      </c>
      <c r="B843" s="1" t="s">
        <v>28</v>
      </c>
      <c r="C843" s="1" t="s">
        <v>20</v>
      </c>
      <c r="D843" s="1" t="s">
        <v>59</v>
      </c>
      <c r="E843" s="1" t="s">
        <v>22</v>
      </c>
      <c r="F843" s="1" t="s">
        <v>44</v>
      </c>
      <c r="G843" s="2">
        <v>45678</v>
      </c>
      <c r="H843" s="2">
        <v>45723</v>
      </c>
      <c r="I843" s="1">
        <v>4746.66</v>
      </c>
      <c r="J843" s="1">
        <v>9.9699999999999997E-2</v>
      </c>
      <c r="K843" s="1">
        <v>473.24</v>
      </c>
      <c r="L843" s="1">
        <v>29535</v>
      </c>
      <c r="M843" s="1">
        <v>33338</v>
      </c>
      <c r="N843" s="1">
        <v>159748.49</v>
      </c>
      <c r="O843" s="1">
        <v>2025</v>
      </c>
      <c r="P843" s="1" t="s">
        <v>56</v>
      </c>
      <c r="Q843" s="1" t="s">
        <v>40</v>
      </c>
      <c r="R843" s="1" t="s">
        <v>41</v>
      </c>
      <c r="S843" s="1">
        <f t="shared" si="13"/>
        <v>46</v>
      </c>
      <c r="T843" s="7" t="str">
        <f>_xlfn.TEXTJOIN("_",TRUE,Finance_Data!A843,Finance_Data!B843,Finance_Data!C843,Finance_Data!D843,Finance_Data!E843,Finance_Data!G843,Finance_Data!H843)</f>
        <v>CMP_053_West_Singapore_Lipstick_Retail_45678_45723</v>
      </c>
    </row>
    <row r="844" spans="1:20" x14ac:dyDescent="0.35">
      <c r="A844" s="6" t="s">
        <v>94</v>
      </c>
      <c r="B844" s="1" t="s">
        <v>35</v>
      </c>
      <c r="C844" s="1" t="s">
        <v>20</v>
      </c>
      <c r="D844" s="1" t="s">
        <v>59</v>
      </c>
      <c r="E844" s="1" t="s">
        <v>38</v>
      </c>
      <c r="F844" s="1" t="s">
        <v>49</v>
      </c>
      <c r="G844" s="2">
        <v>45680</v>
      </c>
      <c r="H844" s="2">
        <v>45736</v>
      </c>
      <c r="I844" s="1">
        <v>46163.29</v>
      </c>
      <c r="J844" s="1">
        <v>1.0853999999999999</v>
      </c>
      <c r="K844" s="1">
        <v>50105.63</v>
      </c>
      <c r="L844" s="1">
        <v>642829</v>
      </c>
      <c r="M844" s="1">
        <v>8704</v>
      </c>
      <c r="N844" s="1">
        <v>92965.84</v>
      </c>
      <c r="O844" s="1">
        <v>2025</v>
      </c>
      <c r="P844" s="1" t="s">
        <v>56</v>
      </c>
      <c r="Q844" s="1" t="s">
        <v>40</v>
      </c>
      <c r="R844" s="1" t="s">
        <v>54</v>
      </c>
      <c r="S844" s="1">
        <f t="shared" si="13"/>
        <v>57</v>
      </c>
      <c r="T844" s="7" t="str">
        <f>_xlfn.TEXTJOIN("_",TRUE,Finance_Data!A844,Finance_Data!B844,Finance_Data!C844,Finance_Data!D844,Finance_Data!E844,Finance_Data!G844,Finance_Data!H844)</f>
        <v>CMP_007_East_Singapore_Lipstick_Ecommerce_45680_45736</v>
      </c>
    </row>
    <row r="845" spans="1:20" x14ac:dyDescent="0.35">
      <c r="A845" s="6" t="s">
        <v>83</v>
      </c>
      <c r="B845" s="1" t="s">
        <v>35</v>
      </c>
      <c r="C845" s="1" t="s">
        <v>29</v>
      </c>
      <c r="D845" s="1" t="s">
        <v>37</v>
      </c>
      <c r="E845" s="1" t="s">
        <v>30</v>
      </c>
      <c r="F845" s="1" t="s">
        <v>52</v>
      </c>
      <c r="G845" s="2">
        <v>45680</v>
      </c>
      <c r="H845" s="2">
        <v>45731</v>
      </c>
      <c r="I845" s="1">
        <v>24691.67</v>
      </c>
      <c r="J845" s="1">
        <v>0.437</v>
      </c>
      <c r="K845" s="1">
        <v>10790.26</v>
      </c>
      <c r="L845" s="1">
        <v>239448</v>
      </c>
      <c r="M845" s="1">
        <v>32058</v>
      </c>
      <c r="N845" s="1">
        <v>61778.73</v>
      </c>
      <c r="O845" s="1">
        <v>2025</v>
      </c>
      <c r="P845" s="1" t="s">
        <v>56</v>
      </c>
      <c r="Q845" s="1" t="s">
        <v>40</v>
      </c>
      <c r="R845" s="1" t="s">
        <v>41</v>
      </c>
      <c r="S845" s="1">
        <f t="shared" si="13"/>
        <v>52</v>
      </c>
      <c r="T845" s="7" t="str">
        <f>_xlfn.TEXTJOIN("_",TRUE,Finance_Data!A845,Finance_Data!B845,Finance_Data!C845,Finance_Data!D845,Finance_Data!E845,Finance_Data!G845,Finance_Data!H845)</f>
        <v>CMP_017_East_Australia_Perfume_Wholesale_45680_45731</v>
      </c>
    </row>
    <row r="846" spans="1:20" x14ac:dyDescent="0.35">
      <c r="A846" s="6" t="s">
        <v>85</v>
      </c>
      <c r="B846" s="1" t="s">
        <v>48</v>
      </c>
      <c r="C846" s="1" t="s">
        <v>36</v>
      </c>
      <c r="D846" s="1" t="s">
        <v>21</v>
      </c>
      <c r="E846" s="1" t="s">
        <v>22</v>
      </c>
      <c r="F846" s="1" t="s">
        <v>49</v>
      </c>
      <c r="G846" s="2">
        <v>45681</v>
      </c>
      <c r="H846" s="2">
        <v>45707</v>
      </c>
      <c r="I846" s="1">
        <v>39336.94</v>
      </c>
      <c r="J846" s="1">
        <v>0.49990000000000001</v>
      </c>
      <c r="K846" s="1">
        <v>19664.54</v>
      </c>
      <c r="L846" s="1">
        <v>712448</v>
      </c>
      <c r="M846" s="1">
        <v>48272</v>
      </c>
      <c r="N846" s="1">
        <v>203633.58</v>
      </c>
      <c r="O846" s="1">
        <v>2025</v>
      </c>
      <c r="P846" s="1" t="s">
        <v>56</v>
      </c>
      <c r="Q846" s="1" t="s">
        <v>40</v>
      </c>
      <c r="R846" s="1" t="s">
        <v>61</v>
      </c>
      <c r="S846" s="1">
        <f t="shared" si="13"/>
        <v>27</v>
      </c>
      <c r="T846" s="7" t="str">
        <f>_xlfn.TEXTJOIN("_",TRUE,Finance_Data!A846,Finance_Data!B846,Finance_Data!C846,Finance_Data!D846,Finance_Data!E846,Finance_Data!G846,Finance_Data!H846)</f>
        <v>CMP_018_South_India_Foundation_Retail_45681_45707</v>
      </c>
    </row>
    <row r="847" spans="1:20" x14ac:dyDescent="0.35">
      <c r="A847" s="6" t="s">
        <v>109</v>
      </c>
      <c r="B847" s="1" t="s">
        <v>35</v>
      </c>
      <c r="C847" s="1" t="s">
        <v>58</v>
      </c>
      <c r="D847" s="1" t="s">
        <v>43</v>
      </c>
      <c r="E847" s="1" t="s">
        <v>22</v>
      </c>
      <c r="F847" s="1" t="s">
        <v>49</v>
      </c>
      <c r="G847" s="2">
        <v>45681</v>
      </c>
      <c r="H847" s="2">
        <v>45691</v>
      </c>
      <c r="I847" s="1">
        <v>15107.68</v>
      </c>
      <c r="J847" s="1">
        <v>1.0584</v>
      </c>
      <c r="K847" s="1">
        <v>15989.97</v>
      </c>
      <c r="L847" s="1">
        <v>488472</v>
      </c>
      <c r="M847" s="1">
        <v>22826</v>
      </c>
      <c r="N847" s="1">
        <v>176577.55</v>
      </c>
      <c r="O847" s="1">
        <v>2025</v>
      </c>
      <c r="P847" s="1" t="s">
        <v>56</v>
      </c>
      <c r="Q847" s="1" t="s">
        <v>40</v>
      </c>
      <c r="R847" s="1" t="s">
        <v>61</v>
      </c>
      <c r="S847" s="1">
        <f t="shared" si="13"/>
        <v>11</v>
      </c>
      <c r="T847" s="7" t="str">
        <f>_xlfn.TEXTJOIN("_",TRUE,Finance_Data!A847,Finance_Data!B847,Finance_Data!C847,Finance_Data!D847,Finance_Data!E847,Finance_Data!G847,Finance_Data!H847)</f>
        <v>CMP_046_East_UK_Luxury Bag_Retail_45681_45691</v>
      </c>
    </row>
    <row r="848" spans="1:20" x14ac:dyDescent="0.35">
      <c r="A848" s="6" t="s">
        <v>71</v>
      </c>
      <c r="B848" s="1" t="s">
        <v>28</v>
      </c>
      <c r="C848" s="1" t="s">
        <v>69</v>
      </c>
      <c r="D848" s="1" t="s">
        <v>37</v>
      </c>
      <c r="E848" s="1" t="s">
        <v>22</v>
      </c>
      <c r="F848" s="1" t="s">
        <v>31</v>
      </c>
      <c r="G848" s="2">
        <v>45683</v>
      </c>
      <c r="H848" s="2">
        <v>45709</v>
      </c>
      <c r="I848" s="1">
        <v>7579.08</v>
      </c>
      <c r="J848" s="1">
        <v>0.38790000000000002</v>
      </c>
      <c r="K848" s="1">
        <v>2939.93</v>
      </c>
      <c r="L848" s="1">
        <v>835198</v>
      </c>
      <c r="M848" s="1">
        <v>49939</v>
      </c>
      <c r="N848" s="1">
        <v>14703.83</v>
      </c>
      <c r="O848" s="1">
        <v>2025</v>
      </c>
      <c r="P848" s="1" t="s">
        <v>56</v>
      </c>
      <c r="Q848" s="1" t="s">
        <v>40</v>
      </c>
      <c r="R848" s="1" t="s">
        <v>41</v>
      </c>
      <c r="S848" s="1">
        <f t="shared" si="13"/>
        <v>27</v>
      </c>
      <c r="T848" s="7" t="str">
        <f>_xlfn.TEXTJOIN("_",TRUE,Finance_Data!A848,Finance_Data!B848,Finance_Data!C848,Finance_Data!D848,Finance_Data!E848,Finance_Data!G848,Finance_Data!H848)</f>
        <v>CMP_051_West_USA_Perfume_Retail_45683_45709</v>
      </c>
    </row>
    <row r="849" spans="1:20" x14ac:dyDescent="0.35">
      <c r="A849" s="6" t="s">
        <v>64</v>
      </c>
      <c r="B849" s="1" t="s">
        <v>48</v>
      </c>
      <c r="C849" s="1" t="s">
        <v>69</v>
      </c>
      <c r="D849" s="1" t="s">
        <v>21</v>
      </c>
      <c r="E849" s="1" t="s">
        <v>22</v>
      </c>
      <c r="F849" s="1" t="s">
        <v>23</v>
      </c>
      <c r="G849" s="2">
        <v>45683</v>
      </c>
      <c r="H849" s="2">
        <v>45707</v>
      </c>
      <c r="I849" s="1">
        <v>42775.63</v>
      </c>
      <c r="J849" s="1">
        <v>0.8286</v>
      </c>
      <c r="K849" s="1">
        <v>35443.89</v>
      </c>
      <c r="L849" s="1">
        <v>188501</v>
      </c>
      <c r="M849" s="1">
        <v>20751</v>
      </c>
      <c r="N849" s="1">
        <v>171953.41</v>
      </c>
      <c r="O849" s="1">
        <v>2025</v>
      </c>
      <c r="P849" s="1" t="s">
        <v>56</v>
      </c>
      <c r="Q849" s="1" t="s">
        <v>40</v>
      </c>
      <c r="R849" s="1" t="s">
        <v>54</v>
      </c>
      <c r="S849" s="1">
        <f t="shared" si="13"/>
        <v>25</v>
      </c>
      <c r="T849" s="7" t="str">
        <f>_xlfn.TEXTJOIN("_",TRUE,Finance_Data!A849,Finance_Data!B849,Finance_Data!C849,Finance_Data!D849,Finance_Data!E849,Finance_Data!G849,Finance_Data!H849)</f>
        <v>CMP_011_South_USA_Foundation_Retail_45683_45707</v>
      </c>
    </row>
    <row r="850" spans="1:20" x14ac:dyDescent="0.35">
      <c r="A850" s="6" t="s">
        <v>90</v>
      </c>
      <c r="B850" s="1" t="s">
        <v>28</v>
      </c>
      <c r="C850" s="1" t="s">
        <v>36</v>
      </c>
      <c r="D850" s="1" t="s">
        <v>37</v>
      </c>
      <c r="E850" s="1" t="s">
        <v>22</v>
      </c>
      <c r="F850" s="1" t="s">
        <v>44</v>
      </c>
      <c r="G850" s="2">
        <v>45687</v>
      </c>
      <c r="H850" s="2">
        <v>45741</v>
      </c>
      <c r="I850" s="1">
        <v>29856.639999999999</v>
      </c>
      <c r="J850" s="1">
        <v>0.72960000000000003</v>
      </c>
      <c r="K850" s="1">
        <v>21783.4</v>
      </c>
      <c r="L850" s="1">
        <v>259825</v>
      </c>
      <c r="M850" s="1">
        <v>42714</v>
      </c>
      <c r="N850" s="1">
        <v>72607</v>
      </c>
      <c r="O850" s="1">
        <v>2025</v>
      </c>
      <c r="P850" s="1" t="s">
        <v>56</v>
      </c>
      <c r="Q850" s="1" t="s">
        <v>40</v>
      </c>
      <c r="R850" s="1" t="s">
        <v>26</v>
      </c>
      <c r="S850" s="1">
        <f t="shared" si="13"/>
        <v>55</v>
      </c>
      <c r="T850" s="7" t="str">
        <f>_xlfn.TEXTJOIN("_",TRUE,Finance_Data!A850,Finance_Data!B850,Finance_Data!C850,Finance_Data!D850,Finance_Data!E850,Finance_Data!G850,Finance_Data!H850)</f>
        <v>CMP_038_West_India_Perfume_Retail_45687_45741</v>
      </c>
    </row>
    <row r="851" spans="1:20" x14ac:dyDescent="0.35">
      <c r="A851" s="6" t="s">
        <v>98</v>
      </c>
      <c r="B851" s="1" t="s">
        <v>48</v>
      </c>
      <c r="C851" s="1" t="s">
        <v>20</v>
      </c>
      <c r="D851" s="1" t="s">
        <v>43</v>
      </c>
      <c r="E851" s="1" t="s">
        <v>38</v>
      </c>
      <c r="F851" s="1" t="s">
        <v>49</v>
      </c>
      <c r="G851" s="2">
        <v>45687</v>
      </c>
      <c r="H851" s="2">
        <v>45698</v>
      </c>
      <c r="I851" s="1">
        <v>7193.5</v>
      </c>
      <c r="J851" s="1">
        <v>5.0599999999999999E-2</v>
      </c>
      <c r="K851" s="1">
        <v>363.99</v>
      </c>
      <c r="L851" s="1">
        <v>462376</v>
      </c>
      <c r="M851" s="1">
        <v>1668</v>
      </c>
      <c r="N851" s="1">
        <v>174061.41</v>
      </c>
      <c r="O851" s="1">
        <v>2025</v>
      </c>
      <c r="P851" s="1" t="s">
        <v>56</v>
      </c>
      <c r="Q851" s="1" t="s">
        <v>40</v>
      </c>
      <c r="R851" s="1" t="s">
        <v>41</v>
      </c>
      <c r="S851" s="1">
        <f t="shared" si="13"/>
        <v>12</v>
      </c>
      <c r="T851" s="7" t="str">
        <f>_xlfn.TEXTJOIN("_",TRUE,Finance_Data!A851,Finance_Data!B851,Finance_Data!C851,Finance_Data!D851,Finance_Data!E851,Finance_Data!G851,Finance_Data!H851)</f>
        <v>CMP_005_South_Singapore_Luxury Bag_Ecommerce_45687_45698</v>
      </c>
    </row>
    <row r="852" spans="1:20" x14ac:dyDescent="0.35">
      <c r="A852" s="6" t="s">
        <v>62</v>
      </c>
      <c r="B852" s="1" t="s">
        <v>48</v>
      </c>
      <c r="C852" s="1" t="s">
        <v>20</v>
      </c>
      <c r="D852" s="1" t="s">
        <v>21</v>
      </c>
      <c r="E852" s="1" t="s">
        <v>22</v>
      </c>
      <c r="F852" s="1" t="s">
        <v>23</v>
      </c>
      <c r="G852" s="2">
        <v>45689</v>
      </c>
      <c r="H852" s="2">
        <v>45729</v>
      </c>
      <c r="I852" s="1">
        <v>27409.89</v>
      </c>
      <c r="J852" s="1">
        <v>0.89890000000000003</v>
      </c>
      <c r="K852" s="1">
        <v>24638.75</v>
      </c>
      <c r="L852" s="1">
        <v>459245</v>
      </c>
      <c r="M852" s="1">
        <v>38342</v>
      </c>
      <c r="N852" s="1">
        <v>102853.12</v>
      </c>
      <c r="O852" s="1">
        <v>2025</v>
      </c>
      <c r="P852" s="1" t="s">
        <v>39</v>
      </c>
      <c r="Q852" s="1" t="s">
        <v>40</v>
      </c>
      <c r="R852" s="1" t="s">
        <v>26</v>
      </c>
      <c r="S852" s="1">
        <f t="shared" si="13"/>
        <v>41</v>
      </c>
      <c r="T852" s="7" t="str">
        <f>_xlfn.TEXTJOIN("_",TRUE,Finance_Data!A852,Finance_Data!B852,Finance_Data!C852,Finance_Data!D852,Finance_Data!E852,Finance_Data!G852,Finance_Data!H852)</f>
        <v>CMP_015_South_Singapore_Foundation_Retail_45689_45729</v>
      </c>
    </row>
    <row r="853" spans="1:20" x14ac:dyDescent="0.35">
      <c r="A853" s="6" t="s">
        <v>96</v>
      </c>
      <c r="B853" s="1" t="s">
        <v>19</v>
      </c>
      <c r="C853" s="1" t="s">
        <v>69</v>
      </c>
      <c r="D853" s="1" t="s">
        <v>51</v>
      </c>
      <c r="E853" s="1" t="s">
        <v>30</v>
      </c>
      <c r="F853" s="1" t="s">
        <v>52</v>
      </c>
      <c r="G853" s="2">
        <v>45689</v>
      </c>
      <c r="H853" s="2">
        <v>45715</v>
      </c>
      <c r="I853" s="1">
        <v>13728.69</v>
      </c>
      <c r="J853" s="1">
        <v>0.43880000000000002</v>
      </c>
      <c r="K853" s="1">
        <v>6024.15</v>
      </c>
      <c r="L853" s="1">
        <v>594572</v>
      </c>
      <c r="M853" s="1">
        <v>16989</v>
      </c>
      <c r="N853" s="1">
        <v>89314.37</v>
      </c>
      <c r="O853" s="1">
        <v>2025</v>
      </c>
      <c r="P853" s="1" t="s">
        <v>39</v>
      </c>
      <c r="Q853" s="1" t="s">
        <v>40</v>
      </c>
      <c r="R853" s="1" t="s">
        <v>61</v>
      </c>
      <c r="S853" s="1">
        <f t="shared" si="13"/>
        <v>27</v>
      </c>
      <c r="T853" s="7" t="str">
        <f>_xlfn.TEXTJOIN("_",TRUE,Finance_Data!A853,Finance_Data!B853,Finance_Data!C853,Finance_Data!D853,Finance_Data!E853,Finance_Data!G853,Finance_Data!H853)</f>
        <v>CMP_027_North_USA_Watch_Wholesale_45689_45715</v>
      </c>
    </row>
    <row r="854" spans="1:20" x14ac:dyDescent="0.35">
      <c r="A854" s="6" t="s">
        <v>106</v>
      </c>
      <c r="B854" s="1" t="s">
        <v>35</v>
      </c>
      <c r="C854" s="1" t="s">
        <v>36</v>
      </c>
      <c r="D854" s="1" t="s">
        <v>63</v>
      </c>
      <c r="E854" s="1" t="s">
        <v>38</v>
      </c>
      <c r="F854" s="1" t="s">
        <v>31</v>
      </c>
      <c r="G854" s="2">
        <v>45690</v>
      </c>
      <c r="H854" s="2">
        <v>45747</v>
      </c>
      <c r="I854" s="1">
        <v>38655.660000000003</v>
      </c>
      <c r="J854" s="1">
        <v>1.0161</v>
      </c>
      <c r="K854" s="1">
        <v>39278.019999999997</v>
      </c>
      <c r="L854" s="1">
        <v>209903</v>
      </c>
      <c r="M854" s="1">
        <v>46344</v>
      </c>
      <c r="N854" s="1">
        <v>152988.34</v>
      </c>
      <c r="O854" s="1">
        <v>2025</v>
      </c>
      <c r="P854" s="1" t="s">
        <v>39</v>
      </c>
      <c r="Q854" s="1" t="s">
        <v>40</v>
      </c>
      <c r="R854" s="1" t="s">
        <v>54</v>
      </c>
      <c r="S854" s="1">
        <f t="shared" si="13"/>
        <v>58</v>
      </c>
      <c r="T854" s="7" t="str">
        <f>_xlfn.TEXTJOIN("_",TRUE,Finance_Data!A854,Finance_Data!B854,Finance_Data!C854,Finance_Data!D854,Finance_Data!E854,Finance_Data!G854,Finance_Data!H854)</f>
        <v>CMP_009_East_India_Skincare_Ecommerce_45690_45747</v>
      </c>
    </row>
    <row r="855" spans="1:20" x14ac:dyDescent="0.35">
      <c r="A855" s="6" t="s">
        <v>93</v>
      </c>
      <c r="B855" s="1" t="s">
        <v>48</v>
      </c>
      <c r="C855" s="1" t="s">
        <v>58</v>
      </c>
      <c r="D855" s="1" t="s">
        <v>51</v>
      </c>
      <c r="E855" s="1" t="s">
        <v>30</v>
      </c>
      <c r="F855" s="1" t="s">
        <v>23</v>
      </c>
      <c r="G855" s="2">
        <v>45692</v>
      </c>
      <c r="H855" s="2">
        <v>45722</v>
      </c>
      <c r="I855" s="1">
        <v>15481.56</v>
      </c>
      <c r="J855" s="1">
        <v>7.4899999999999994E-2</v>
      </c>
      <c r="K855" s="1">
        <v>1159.57</v>
      </c>
      <c r="L855" s="1">
        <v>951529</v>
      </c>
      <c r="M855" s="1">
        <v>15785</v>
      </c>
      <c r="N855" s="1">
        <v>126247.49</v>
      </c>
      <c r="O855" s="1">
        <v>2025</v>
      </c>
      <c r="P855" s="1" t="s">
        <v>39</v>
      </c>
      <c r="Q855" s="1" t="s">
        <v>40</v>
      </c>
      <c r="R855" s="1" t="s">
        <v>26</v>
      </c>
      <c r="S855" s="1">
        <f t="shared" si="13"/>
        <v>31</v>
      </c>
      <c r="T855" s="7" t="str">
        <f>_xlfn.TEXTJOIN("_",TRUE,Finance_Data!A855,Finance_Data!B855,Finance_Data!C855,Finance_Data!D855,Finance_Data!E855,Finance_Data!G855,Finance_Data!H855)</f>
        <v>CMP_008_South_UK_Watch_Wholesale_45692_45722</v>
      </c>
    </row>
    <row r="856" spans="1:20" x14ac:dyDescent="0.35">
      <c r="A856" s="6" t="s">
        <v>77</v>
      </c>
      <c r="B856" s="1" t="s">
        <v>19</v>
      </c>
      <c r="C856" s="1" t="s">
        <v>29</v>
      </c>
      <c r="D856" s="1" t="s">
        <v>37</v>
      </c>
      <c r="E856" s="1" t="s">
        <v>30</v>
      </c>
      <c r="F856" s="1" t="s">
        <v>23</v>
      </c>
      <c r="G856" s="2">
        <v>45692</v>
      </c>
      <c r="H856" s="2">
        <v>45717</v>
      </c>
      <c r="I856" s="1">
        <v>3801.1</v>
      </c>
      <c r="J856" s="1">
        <v>0.70520000000000005</v>
      </c>
      <c r="K856" s="1">
        <v>2680.54</v>
      </c>
      <c r="L856" s="1">
        <v>537276</v>
      </c>
      <c r="M856" s="1">
        <v>34907</v>
      </c>
      <c r="N856" s="1">
        <v>43571.02</v>
      </c>
      <c r="O856" s="1">
        <v>2025</v>
      </c>
      <c r="P856" s="1" t="s">
        <v>39</v>
      </c>
      <c r="Q856" s="1" t="s">
        <v>40</v>
      </c>
      <c r="R856" s="1" t="s">
        <v>61</v>
      </c>
      <c r="S856" s="1">
        <f t="shared" si="13"/>
        <v>26</v>
      </c>
      <c r="T856" s="7" t="str">
        <f>_xlfn.TEXTJOIN("_",TRUE,Finance_Data!A856,Finance_Data!B856,Finance_Data!C856,Finance_Data!D856,Finance_Data!E856,Finance_Data!G856,Finance_Data!H856)</f>
        <v>CMP_033_North_Australia_Perfume_Wholesale_45692_45717</v>
      </c>
    </row>
    <row r="857" spans="1:20" x14ac:dyDescent="0.35">
      <c r="A857" s="6" t="s">
        <v>101</v>
      </c>
      <c r="B857" s="1" t="s">
        <v>19</v>
      </c>
      <c r="C857" s="1" t="s">
        <v>58</v>
      </c>
      <c r="D857" s="1" t="s">
        <v>51</v>
      </c>
      <c r="E857" s="1" t="s">
        <v>22</v>
      </c>
      <c r="F857" s="1" t="s">
        <v>52</v>
      </c>
      <c r="G857" s="2">
        <v>45692</v>
      </c>
      <c r="H857" s="2">
        <v>45702</v>
      </c>
      <c r="I857" s="1">
        <v>29457.759999999998</v>
      </c>
      <c r="J857" s="1">
        <v>0.61150000000000004</v>
      </c>
      <c r="K857" s="1">
        <v>18013.419999999998</v>
      </c>
      <c r="L857" s="1">
        <v>678169</v>
      </c>
      <c r="M857" s="1">
        <v>25944</v>
      </c>
      <c r="N857" s="1">
        <v>23333.47</v>
      </c>
      <c r="O857" s="1">
        <v>2025</v>
      </c>
      <c r="P857" s="1" t="s">
        <v>39</v>
      </c>
      <c r="Q857" s="1" t="s">
        <v>40</v>
      </c>
      <c r="R857" s="1" t="s">
        <v>41</v>
      </c>
      <c r="S857" s="1">
        <f t="shared" si="13"/>
        <v>11</v>
      </c>
      <c r="T857" s="7" t="str">
        <f>_xlfn.TEXTJOIN("_",TRUE,Finance_Data!A857,Finance_Data!B857,Finance_Data!C857,Finance_Data!D857,Finance_Data!E857,Finance_Data!G857,Finance_Data!H857)</f>
        <v>CMP_037_North_UK_Watch_Retail_45692_45702</v>
      </c>
    </row>
    <row r="858" spans="1:20" x14ac:dyDescent="0.35">
      <c r="A858" s="6" t="s">
        <v>94</v>
      </c>
      <c r="B858" s="1" t="s">
        <v>35</v>
      </c>
      <c r="C858" s="1" t="s">
        <v>29</v>
      </c>
      <c r="D858" s="1" t="s">
        <v>37</v>
      </c>
      <c r="E858" s="1" t="s">
        <v>38</v>
      </c>
      <c r="F858" s="1" t="s">
        <v>44</v>
      </c>
      <c r="G858" s="2">
        <v>45692</v>
      </c>
      <c r="H858" s="2">
        <v>45698</v>
      </c>
      <c r="I858" s="1">
        <v>18497.599999999999</v>
      </c>
      <c r="J858" s="1">
        <v>9.0399999999999994E-2</v>
      </c>
      <c r="K858" s="1">
        <v>1672.18</v>
      </c>
      <c r="L858" s="1">
        <v>262838</v>
      </c>
      <c r="M858" s="1">
        <v>48134</v>
      </c>
      <c r="N858" s="1">
        <v>165990.57999999999</v>
      </c>
      <c r="O858" s="1">
        <v>2025</v>
      </c>
      <c r="P858" s="1" t="s">
        <v>39</v>
      </c>
      <c r="Q858" s="1" t="s">
        <v>40</v>
      </c>
      <c r="R858" s="1" t="s">
        <v>41</v>
      </c>
      <c r="S858" s="1">
        <f t="shared" si="13"/>
        <v>7</v>
      </c>
      <c r="T858" s="7" t="str">
        <f>_xlfn.TEXTJOIN("_",TRUE,Finance_Data!A858,Finance_Data!B858,Finance_Data!C858,Finance_Data!D858,Finance_Data!E858,Finance_Data!G858,Finance_Data!H858)</f>
        <v>CMP_007_East_Australia_Perfume_Ecommerce_45692_45698</v>
      </c>
    </row>
    <row r="859" spans="1:20" x14ac:dyDescent="0.35">
      <c r="A859" s="6" t="s">
        <v>94</v>
      </c>
      <c r="B859" s="1" t="s">
        <v>35</v>
      </c>
      <c r="C859" s="1" t="s">
        <v>69</v>
      </c>
      <c r="D859" s="1" t="s">
        <v>21</v>
      </c>
      <c r="E859" s="1" t="s">
        <v>30</v>
      </c>
      <c r="F859" s="1" t="s">
        <v>44</v>
      </c>
      <c r="G859" s="2">
        <v>45693</v>
      </c>
      <c r="H859" s="2">
        <v>45753</v>
      </c>
      <c r="I859" s="1">
        <v>46375.95</v>
      </c>
      <c r="J859" s="1">
        <v>1.0532999999999999</v>
      </c>
      <c r="K859" s="1">
        <v>48847.79</v>
      </c>
      <c r="L859" s="1">
        <v>19717</v>
      </c>
      <c r="M859" s="1">
        <v>19655</v>
      </c>
      <c r="N859" s="1">
        <v>144150.66</v>
      </c>
      <c r="O859" s="1">
        <v>2025</v>
      </c>
      <c r="P859" s="1" t="s">
        <v>39</v>
      </c>
      <c r="Q859" s="1" t="s">
        <v>40</v>
      </c>
      <c r="R859" s="1" t="s">
        <v>54</v>
      </c>
      <c r="S859" s="1">
        <f t="shared" si="13"/>
        <v>61</v>
      </c>
      <c r="T859" s="7" t="str">
        <f>_xlfn.TEXTJOIN("_",TRUE,Finance_Data!A859,Finance_Data!B859,Finance_Data!C859,Finance_Data!D859,Finance_Data!E859,Finance_Data!G859,Finance_Data!H859)</f>
        <v>CMP_007_East_USA_Foundation_Wholesale_45693_45753</v>
      </c>
    </row>
    <row r="860" spans="1:20" x14ac:dyDescent="0.35">
      <c r="A860" s="6" t="s">
        <v>120</v>
      </c>
      <c r="B860" s="1" t="s">
        <v>48</v>
      </c>
      <c r="C860" s="1" t="s">
        <v>58</v>
      </c>
      <c r="D860" s="1" t="s">
        <v>37</v>
      </c>
      <c r="E860" s="1" t="s">
        <v>22</v>
      </c>
      <c r="F860" s="1" t="s">
        <v>49</v>
      </c>
      <c r="G860" s="2">
        <v>45694</v>
      </c>
      <c r="H860" s="2">
        <v>45731</v>
      </c>
      <c r="I860" s="1">
        <v>41306.019999999997</v>
      </c>
      <c r="J860" s="1">
        <v>0.68030000000000002</v>
      </c>
      <c r="K860" s="1">
        <v>28100.49</v>
      </c>
      <c r="L860" s="1">
        <v>705350</v>
      </c>
      <c r="M860" s="1">
        <v>38482</v>
      </c>
      <c r="N860" s="1">
        <v>57037.06</v>
      </c>
      <c r="O860" s="1">
        <v>2025</v>
      </c>
      <c r="P860" s="1" t="s">
        <v>39</v>
      </c>
      <c r="Q860" s="1" t="s">
        <v>40</v>
      </c>
      <c r="R860" s="1" t="s">
        <v>26</v>
      </c>
      <c r="S860" s="1">
        <f t="shared" si="13"/>
        <v>38</v>
      </c>
      <c r="T860" s="7" t="str">
        <f>_xlfn.TEXTJOIN("_",TRUE,Finance_Data!A860,Finance_Data!B860,Finance_Data!C860,Finance_Data!D860,Finance_Data!E860,Finance_Data!G860,Finance_Data!H860)</f>
        <v>CMP_001_South_UK_Perfume_Retail_45694_45731</v>
      </c>
    </row>
    <row r="861" spans="1:20" x14ac:dyDescent="0.35">
      <c r="A861" s="6" t="s">
        <v>81</v>
      </c>
      <c r="B861" s="1" t="s">
        <v>28</v>
      </c>
      <c r="C861" s="1" t="s">
        <v>58</v>
      </c>
      <c r="D861" s="1" t="s">
        <v>43</v>
      </c>
      <c r="E861" s="1" t="s">
        <v>22</v>
      </c>
      <c r="F861" s="1" t="s">
        <v>31</v>
      </c>
      <c r="G861" s="2">
        <v>45696</v>
      </c>
      <c r="H861" s="2">
        <v>45725</v>
      </c>
      <c r="I861" s="1">
        <v>9852.9500000000007</v>
      </c>
      <c r="J861" s="1">
        <v>0.96919999999999995</v>
      </c>
      <c r="K861" s="1">
        <v>9549.48</v>
      </c>
      <c r="L861" s="1">
        <v>720737</v>
      </c>
      <c r="M861" s="1">
        <v>34944</v>
      </c>
      <c r="N861" s="1">
        <v>140159.57</v>
      </c>
      <c r="O861" s="1">
        <v>2025</v>
      </c>
      <c r="P861" s="1" t="s">
        <v>39</v>
      </c>
      <c r="Q861" s="1" t="s">
        <v>40</v>
      </c>
      <c r="R861" s="1" t="s">
        <v>26</v>
      </c>
      <c r="S861" s="1">
        <f t="shared" si="13"/>
        <v>30</v>
      </c>
      <c r="T861" s="7" t="str">
        <f>_xlfn.TEXTJOIN("_",TRUE,Finance_Data!A861,Finance_Data!B861,Finance_Data!C861,Finance_Data!D861,Finance_Data!E861,Finance_Data!G861,Finance_Data!H861)</f>
        <v>CMP_057_West_UK_Luxury Bag_Retail_45696_45725</v>
      </c>
    </row>
    <row r="862" spans="1:20" x14ac:dyDescent="0.35">
      <c r="A862" s="6" t="s">
        <v>67</v>
      </c>
      <c r="B862" s="1" t="s">
        <v>35</v>
      </c>
      <c r="C862" s="1" t="s">
        <v>58</v>
      </c>
      <c r="D862" s="1" t="s">
        <v>37</v>
      </c>
      <c r="E862" s="1" t="s">
        <v>30</v>
      </c>
      <c r="F862" s="1" t="s">
        <v>31</v>
      </c>
      <c r="G862" s="2">
        <v>45696</v>
      </c>
      <c r="H862" s="2">
        <v>45716</v>
      </c>
      <c r="I862" s="1">
        <v>42153.279999999999</v>
      </c>
      <c r="J862" s="1">
        <v>0.34</v>
      </c>
      <c r="K862" s="1">
        <v>14332.12</v>
      </c>
      <c r="L862" s="1">
        <v>825451</v>
      </c>
      <c r="M862" s="1">
        <v>34263</v>
      </c>
      <c r="N862" s="1">
        <v>123726.27</v>
      </c>
      <c r="O862" s="1">
        <v>2025</v>
      </c>
      <c r="P862" s="1" t="s">
        <v>39</v>
      </c>
      <c r="Q862" s="1" t="s">
        <v>40</v>
      </c>
      <c r="R862" s="1" t="s">
        <v>61</v>
      </c>
      <c r="S862" s="1">
        <f t="shared" si="13"/>
        <v>21</v>
      </c>
      <c r="T862" s="7" t="str">
        <f>_xlfn.TEXTJOIN("_",TRUE,Finance_Data!A862,Finance_Data!B862,Finance_Data!C862,Finance_Data!D862,Finance_Data!E862,Finance_Data!G862,Finance_Data!H862)</f>
        <v>CMP_016_East_UK_Perfume_Wholesale_45696_45716</v>
      </c>
    </row>
    <row r="863" spans="1:20" x14ac:dyDescent="0.35">
      <c r="A863" s="6" t="s">
        <v>92</v>
      </c>
      <c r="B863" s="1" t="s">
        <v>35</v>
      </c>
      <c r="C863" s="1" t="s">
        <v>29</v>
      </c>
      <c r="D863" s="1" t="s">
        <v>51</v>
      </c>
      <c r="E863" s="1" t="s">
        <v>22</v>
      </c>
      <c r="F863" s="1" t="s">
        <v>23</v>
      </c>
      <c r="G863" s="2">
        <v>45697</v>
      </c>
      <c r="H863" s="2">
        <v>45755</v>
      </c>
      <c r="I863" s="1">
        <v>21656.68</v>
      </c>
      <c r="J863" s="1">
        <v>1.0035000000000001</v>
      </c>
      <c r="K863" s="1">
        <v>21732.48</v>
      </c>
      <c r="L863" s="1">
        <v>503152</v>
      </c>
      <c r="M863" s="1">
        <v>1370</v>
      </c>
      <c r="N863" s="1">
        <v>188510.94</v>
      </c>
      <c r="O863" s="1">
        <v>2025</v>
      </c>
      <c r="P863" s="1" t="s">
        <v>39</v>
      </c>
      <c r="Q863" s="1" t="s">
        <v>40</v>
      </c>
      <c r="R863" s="1" t="s">
        <v>26</v>
      </c>
      <c r="S863" s="1">
        <f t="shared" si="13"/>
        <v>59</v>
      </c>
      <c r="T863" s="7" t="str">
        <f>_xlfn.TEXTJOIN("_",TRUE,Finance_Data!A863,Finance_Data!B863,Finance_Data!C863,Finance_Data!D863,Finance_Data!E863,Finance_Data!G863,Finance_Data!H863)</f>
        <v>CMP_004_East_Australia_Watch_Retail_45697_45755</v>
      </c>
    </row>
    <row r="864" spans="1:20" x14ac:dyDescent="0.35">
      <c r="A864" s="6" t="s">
        <v>72</v>
      </c>
      <c r="B864" s="1" t="s">
        <v>48</v>
      </c>
      <c r="C864" s="1" t="s">
        <v>20</v>
      </c>
      <c r="D864" s="1" t="s">
        <v>59</v>
      </c>
      <c r="E864" s="1" t="s">
        <v>38</v>
      </c>
      <c r="F864" s="1" t="s">
        <v>49</v>
      </c>
      <c r="G864" s="2">
        <v>45697</v>
      </c>
      <c r="H864" s="2">
        <v>45752</v>
      </c>
      <c r="I864" s="1">
        <v>29438.799999999999</v>
      </c>
      <c r="J864" s="1">
        <v>0.96799999999999997</v>
      </c>
      <c r="K864" s="1">
        <v>28496.76</v>
      </c>
      <c r="L864" s="1">
        <v>901090</v>
      </c>
      <c r="M864" s="1">
        <v>46603</v>
      </c>
      <c r="N864" s="1">
        <v>79498.13</v>
      </c>
      <c r="O864" s="1">
        <v>2025</v>
      </c>
      <c r="P864" s="1" t="s">
        <v>39</v>
      </c>
      <c r="Q864" s="1" t="s">
        <v>40</v>
      </c>
      <c r="R864" s="1" t="s">
        <v>41</v>
      </c>
      <c r="S864" s="1">
        <f t="shared" si="13"/>
        <v>56</v>
      </c>
      <c r="T864" s="7" t="str">
        <f>_xlfn.TEXTJOIN("_",TRUE,Finance_Data!A864,Finance_Data!B864,Finance_Data!C864,Finance_Data!D864,Finance_Data!E864,Finance_Data!G864,Finance_Data!H864)</f>
        <v>CMP_042_South_Singapore_Lipstick_Ecommerce_45697_45752</v>
      </c>
    </row>
    <row r="865" spans="1:20" x14ac:dyDescent="0.35">
      <c r="A865" s="6" t="s">
        <v>34</v>
      </c>
      <c r="B865" s="1" t="s">
        <v>48</v>
      </c>
      <c r="C865" s="1" t="s">
        <v>20</v>
      </c>
      <c r="D865" s="1" t="s">
        <v>37</v>
      </c>
      <c r="E865" s="1" t="s">
        <v>38</v>
      </c>
      <c r="F865" s="1" t="s">
        <v>44</v>
      </c>
      <c r="G865" s="2">
        <v>45697</v>
      </c>
      <c r="H865" s="2">
        <v>45746</v>
      </c>
      <c r="I865" s="1">
        <v>33705.949999999997</v>
      </c>
      <c r="J865" s="1">
        <v>0.112</v>
      </c>
      <c r="K865" s="1">
        <v>3775.07</v>
      </c>
      <c r="L865" s="1">
        <v>370491</v>
      </c>
      <c r="M865" s="1">
        <v>35584</v>
      </c>
      <c r="N865" s="1">
        <v>106426.73</v>
      </c>
      <c r="O865" s="1">
        <v>2025</v>
      </c>
      <c r="P865" s="1" t="s">
        <v>39</v>
      </c>
      <c r="Q865" s="1" t="s">
        <v>40</v>
      </c>
      <c r="R865" s="1" t="s">
        <v>54</v>
      </c>
      <c r="S865" s="1">
        <f t="shared" si="13"/>
        <v>50</v>
      </c>
      <c r="T865" s="7" t="str">
        <f>_xlfn.TEXTJOIN("_",TRUE,Finance_Data!A865,Finance_Data!B865,Finance_Data!C865,Finance_Data!D865,Finance_Data!E865,Finance_Data!G865,Finance_Data!H865)</f>
        <v>CMP_049_South_Singapore_Perfume_Ecommerce_45697_45746</v>
      </c>
    </row>
    <row r="866" spans="1:20" x14ac:dyDescent="0.35">
      <c r="A866" s="6" t="s">
        <v>87</v>
      </c>
      <c r="B866" s="1" t="s">
        <v>48</v>
      </c>
      <c r="C866" s="1" t="s">
        <v>20</v>
      </c>
      <c r="D866" s="1" t="s">
        <v>21</v>
      </c>
      <c r="E866" s="1" t="s">
        <v>22</v>
      </c>
      <c r="F866" s="1" t="s">
        <v>44</v>
      </c>
      <c r="G866" s="2">
        <v>45698</v>
      </c>
      <c r="H866" s="2">
        <v>45737</v>
      </c>
      <c r="I866" s="1">
        <v>2583.0100000000002</v>
      </c>
      <c r="J866" s="1">
        <v>0.97870000000000001</v>
      </c>
      <c r="K866" s="1">
        <v>2527.9899999999998</v>
      </c>
      <c r="L866" s="1">
        <v>117458</v>
      </c>
      <c r="M866" s="1">
        <v>40477</v>
      </c>
      <c r="N866" s="1">
        <v>217668.67</v>
      </c>
      <c r="O866" s="1">
        <v>2025</v>
      </c>
      <c r="P866" s="1" t="s">
        <v>39</v>
      </c>
      <c r="Q866" s="1" t="s">
        <v>40</v>
      </c>
      <c r="R866" s="1" t="s">
        <v>41</v>
      </c>
      <c r="S866" s="1">
        <f t="shared" si="13"/>
        <v>40</v>
      </c>
      <c r="T866" s="7" t="str">
        <f>_xlfn.TEXTJOIN("_",TRUE,Finance_Data!A866,Finance_Data!B866,Finance_Data!C866,Finance_Data!D866,Finance_Data!E866,Finance_Data!G866,Finance_Data!H866)</f>
        <v>CMP_048_South_Singapore_Foundation_Retail_45698_45737</v>
      </c>
    </row>
    <row r="867" spans="1:20" x14ac:dyDescent="0.35">
      <c r="A867" s="6" t="s">
        <v>107</v>
      </c>
      <c r="B867" s="1" t="s">
        <v>35</v>
      </c>
      <c r="C867" s="1" t="s">
        <v>69</v>
      </c>
      <c r="D867" s="1" t="s">
        <v>59</v>
      </c>
      <c r="E867" s="1" t="s">
        <v>38</v>
      </c>
      <c r="F867" s="1" t="s">
        <v>23</v>
      </c>
      <c r="G867" s="2">
        <v>45699</v>
      </c>
      <c r="H867" s="2">
        <v>45740</v>
      </c>
      <c r="I867" s="1">
        <v>38233.980000000003</v>
      </c>
      <c r="J867" s="1">
        <v>0.54420000000000002</v>
      </c>
      <c r="K867" s="1">
        <v>20806.93</v>
      </c>
      <c r="L867" s="1">
        <v>979045</v>
      </c>
      <c r="M867" s="1">
        <v>37094</v>
      </c>
      <c r="N867" s="1">
        <v>162533</v>
      </c>
      <c r="O867" s="1">
        <v>2025</v>
      </c>
      <c r="P867" s="1" t="s">
        <v>39</v>
      </c>
      <c r="Q867" s="1" t="s">
        <v>40</v>
      </c>
      <c r="R867" s="1" t="s">
        <v>54</v>
      </c>
      <c r="S867" s="1">
        <f t="shared" si="13"/>
        <v>42</v>
      </c>
      <c r="T867" s="7" t="str">
        <f>_xlfn.TEXTJOIN("_",TRUE,Finance_Data!A867,Finance_Data!B867,Finance_Data!C867,Finance_Data!D867,Finance_Data!E867,Finance_Data!G867,Finance_Data!H867)</f>
        <v>CMP_040_East_USA_Lipstick_Ecommerce_45699_45740</v>
      </c>
    </row>
    <row r="868" spans="1:20" x14ac:dyDescent="0.35">
      <c r="A868" s="6" t="s">
        <v>84</v>
      </c>
      <c r="B868" s="1" t="s">
        <v>28</v>
      </c>
      <c r="C868" s="1" t="s">
        <v>29</v>
      </c>
      <c r="D868" s="1" t="s">
        <v>51</v>
      </c>
      <c r="E868" s="1" t="s">
        <v>38</v>
      </c>
      <c r="F868" s="1" t="s">
        <v>49</v>
      </c>
      <c r="G868" s="2">
        <v>45700</v>
      </c>
      <c r="H868" s="2">
        <v>45733</v>
      </c>
      <c r="I868" s="1">
        <v>31019.96</v>
      </c>
      <c r="J868" s="1">
        <v>0.8659</v>
      </c>
      <c r="K868" s="1">
        <v>26860.18</v>
      </c>
      <c r="L868" s="1">
        <v>539298</v>
      </c>
      <c r="M868" s="1">
        <v>28066</v>
      </c>
      <c r="N868" s="1">
        <v>208489.45</v>
      </c>
      <c r="O868" s="1">
        <v>2025</v>
      </c>
      <c r="P868" s="1" t="s">
        <v>39</v>
      </c>
      <c r="Q868" s="1" t="s">
        <v>40</v>
      </c>
      <c r="R868" s="1" t="s">
        <v>41</v>
      </c>
      <c r="S868" s="1">
        <f t="shared" si="13"/>
        <v>34</v>
      </c>
      <c r="T868" s="7" t="str">
        <f>_xlfn.TEXTJOIN("_",TRUE,Finance_Data!A868,Finance_Data!B868,Finance_Data!C868,Finance_Data!D868,Finance_Data!E868,Finance_Data!G868,Finance_Data!H868)</f>
        <v>CMP_036_West_Australia_Watch_Ecommerce_45700_45733</v>
      </c>
    </row>
    <row r="869" spans="1:20" x14ac:dyDescent="0.35">
      <c r="A869" s="6" t="s">
        <v>106</v>
      </c>
      <c r="B869" s="1" t="s">
        <v>35</v>
      </c>
      <c r="C869" s="1" t="s">
        <v>36</v>
      </c>
      <c r="D869" s="1" t="s">
        <v>21</v>
      </c>
      <c r="E869" s="1" t="s">
        <v>22</v>
      </c>
      <c r="F869" s="1" t="s">
        <v>49</v>
      </c>
      <c r="G869" s="2">
        <v>45700</v>
      </c>
      <c r="H869" s="2">
        <v>45713</v>
      </c>
      <c r="I869" s="1">
        <v>31145.22</v>
      </c>
      <c r="J869" s="1">
        <v>0.36980000000000002</v>
      </c>
      <c r="K869" s="1">
        <v>11517.5</v>
      </c>
      <c r="L869" s="1">
        <v>264432</v>
      </c>
      <c r="M869" s="1">
        <v>38132</v>
      </c>
      <c r="N869" s="1">
        <v>130490.66</v>
      </c>
      <c r="O869" s="1">
        <v>2025</v>
      </c>
      <c r="P869" s="1" t="s">
        <v>39</v>
      </c>
      <c r="Q869" s="1" t="s">
        <v>40</v>
      </c>
      <c r="R869" s="1" t="s">
        <v>26</v>
      </c>
      <c r="S869" s="1">
        <f t="shared" si="13"/>
        <v>14</v>
      </c>
      <c r="T869" s="7" t="str">
        <f>_xlfn.TEXTJOIN("_",TRUE,Finance_Data!A869,Finance_Data!B869,Finance_Data!C869,Finance_Data!D869,Finance_Data!E869,Finance_Data!G869,Finance_Data!H869)</f>
        <v>CMP_009_East_India_Foundation_Retail_45700_45713</v>
      </c>
    </row>
    <row r="870" spans="1:20" x14ac:dyDescent="0.35">
      <c r="A870" s="6" t="s">
        <v>108</v>
      </c>
      <c r="B870" s="1" t="s">
        <v>28</v>
      </c>
      <c r="C870" s="1" t="s">
        <v>58</v>
      </c>
      <c r="D870" s="1" t="s">
        <v>51</v>
      </c>
      <c r="E870" s="1" t="s">
        <v>30</v>
      </c>
      <c r="F870" s="1" t="s">
        <v>44</v>
      </c>
      <c r="G870" s="2">
        <v>45702</v>
      </c>
      <c r="H870" s="2">
        <v>45733</v>
      </c>
      <c r="I870" s="1">
        <v>3278.52</v>
      </c>
      <c r="J870" s="1">
        <v>0.76359999999999995</v>
      </c>
      <c r="K870" s="1">
        <v>2503.48</v>
      </c>
      <c r="L870" s="1">
        <v>714791</v>
      </c>
      <c r="M870" s="1">
        <v>38688</v>
      </c>
      <c r="N870" s="1">
        <v>35188.699999999997</v>
      </c>
      <c r="O870" s="1">
        <v>2025</v>
      </c>
      <c r="P870" s="1" t="s">
        <v>39</v>
      </c>
      <c r="Q870" s="1" t="s">
        <v>40</v>
      </c>
      <c r="R870" s="1" t="s">
        <v>61</v>
      </c>
      <c r="S870" s="1">
        <f t="shared" si="13"/>
        <v>32</v>
      </c>
      <c r="T870" s="7" t="str">
        <f>_xlfn.TEXTJOIN("_",TRUE,Finance_Data!A870,Finance_Data!B870,Finance_Data!C870,Finance_Data!D870,Finance_Data!E870,Finance_Data!G870,Finance_Data!H870)</f>
        <v>CMP_058_West_UK_Watch_Wholesale_45702_45733</v>
      </c>
    </row>
    <row r="871" spans="1:20" x14ac:dyDescent="0.35">
      <c r="A871" s="6" t="s">
        <v>90</v>
      </c>
      <c r="B871" s="1" t="s">
        <v>19</v>
      </c>
      <c r="C871" s="1" t="s">
        <v>29</v>
      </c>
      <c r="D871" s="1" t="s">
        <v>37</v>
      </c>
      <c r="E871" s="1" t="s">
        <v>30</v>
      </c>
      <c r="F871" s="1" t="s">
        <v>44</v>
      </c>
      <c r="G871" s="2">
        <v>45702</v>
      </c>
      <c r="H871" s="2">
        <v>45733</v>
      </c>
      <c r="I871" s="1">
        <v>9234.49</v>
      </c>
      <c r="J871" s="1">
        <v>0.45019999999999999</v>
      </c>
      <c r="K871" s="1">
        <v>4157.37</v>
      </c>
      <c r="L871" s="1">
        <v>183021</v>
      </c>
      <c r="M871" s="1">
        <v>28848</v>
      </c>
      <c r="N871" s="1">
        <v>64692.93</v>
      </c>
      <c r="O871" s="1">
        <v>2025</v>
      </c>
      <c r="P871" s="1" t="s">
        <v>39</v>
      </c>
      <c r="Q871" s="1" t="s">
        <v>40</v>
      </c>
      <c r="R871" s="1" t="s">
        <v>54</v>
      </c>
      <c r="S871" s="1">
        <f t="shared" si="13"/>
        <v>32</v>
      </c>
      <c r="T871" s="7" t="str">
        <f>_xlfn.TEXTJOIN("_",TRUE,Finance_Data!A871,Finance_Data!B871,Finance_Data!C871,Finance_Data!D871,Finance_Data!E871,Finance_Data!G871,Finance_Data!H871)</f>
        <v>CMP_038_North_Australia_Perfume_Wholesale_45702_45733</v>
      </c>
    </row>
    <row r="872" spans="1:20" x14ac:dyDescent="0.35">
      <c r="A872" s="6" t="s">
        <v>117</v>
      </c>
      <c r="B872" s="1" t="s">
        <v>19</v>
      </c>
      <c r="C872" s="1" t="s">
        <v>69</v>
      </c>
      <c r="D872" s="1" t="s">
        <v>37</v>
      </c>
      <c r="E872" s="1" t="s">
        <v>38</v>
      </c>
      <c r="F872" s="1" t="s">
        <v>52</v>
      </c>
      <c r="G872" s="2">
        <v>45702</v>
      </c>
      <c r="H872" s="2">
        <v>45728</v>
      </c>
      <c r="I872" s="1">
        <v>48100.7</v>
      </c>
      <c r="J872" s="1">
        <v>0.55600000000000005</v>
      </c>
      <c r="K872" s="1">
        <v>26743.99</v>
      </c>
      <c r="L872" s="1">
        <v>493100</v>
      </c>
      <c r="M872" s="1">
        <v>38558</v>
      </c>
      <c r="N872" s="1">
        <v>216195.7</v>
      </c>
      <c r="O872" s="1">
        <v>2025</v>
      </c>
      <c r="P872" s="1" t="s">
        <v>39</v>
      </c>
      <c r="Q872" s="1" t="s">
        <v>40</v>
      </c>
      <c r="R872" s="1" t="s">
        <v>61</v>
      </c>
      <c r="S872" s="1">
        <f t="shared" si="13"/>
        <v>27</v>
      </c>
      <c r="T872" s="7" t="str">
        <f>_xlfn.TEXTJOIN("_",TRUE,Finance_Data!A872,Finance_Data!B872,Finance_Data!C872,Finance_Data!D872,Finance_Data!E872,Finance_Data!G872,Finance_Data!H872)</f>
        <v>CMP_031_North_USA_Perfume_Ecommerce_45702_45728</v>
      </c>
    </row>
    <row r="873" spans="1:20" x14ac:dyDescent="0.35">
      <c r="A873" s="6" t="s">
        <v>66</v>
      </c>
      <c r="B873" s="1" t="s">
        <v>28</v>
      </c>
      <c r="C873" s="1" t="s">
        <v>29</v>
      </c>
      <c r="D873" s="1" t="s">
        <v>51</v>
      </c>
      <c r="E873" s="1" t="s">
        <v>22</v>
      </c>
      <c r="F873" s="1" t="s">
        <v>52</v>
      </c>
      <c r="G873" s="2">
        <v>45702</v>
      </c>
      <c r="H873" s="2">
        <v>45722</v>
      </c>
      <c r="I873" s="1">
        <v>31368.55</v>
      </c>
      <c r="J873" s="1">
        <v>8.1299999999999997E-2</v>
      </c>
      <c r="K873" s="1">
        <v>2550.2600000000002</v>
      </c>
      <c r="L873" s="1">
        <v>402716</v>
      </c>
      <c r="M873" s="1">
        <v>32784</v>
      </c>
      <c r="N873" s="1">
        <v>77670.61</v>
      </c>
      <c r="O873" s="1">
        <v>2025</v>
      </c>
      <c r="P873" s="1" t="s">
        <v>39</v>
      </c>
      <c r="Q873" s="1" t="s">
        <v>40</v>
      </c>
      <c r="R873" s="1" t="s">
        <v>54</v>
      </c>
      <c r="S873" s="1">
        <f t="shared" si="13"/>
        <v>21</v>
      </c>
      <c r="T873" s="7" t="str">
        <f>_xlfn.TEXTJOIN("_",TRUE,Finance_Data!A873,Finance_Data!B873,Finance_Data!C873,Finance_Data!D873,Finance_Data!E873,Finance_Data!G873,Finance_Data!H873)</f>
        <v>CMP_010_West_Australia_Watch_Retail_45702_45722</v>
      </c>
    </row>
    <row r="874" spans="1:20" x14ac:dyDescent="0.35">
      <c r="A874" s="6" t="s">
        <v>34</v>
      </c>
      <c r="B874" s="1" t="s">
        <v>35</v>
      </c>
      <c r="C874" s="1" t="s">
        <v>36</v>
      </c>
      <c r="D874" s="1" t="s">
        <v>37</v>
      </c>
      <c r="E874" s="1" t="s">
        <v>38</v>
      </c>
      <c r="F874" s="1" t="s">
        <v>23</v>
      </c>
      <c r="G874" s="2">
        <v>45704</v>
      </c>
      <c r="H874" s="2">
        <v>45760</v>
      </c>
      <c r="I874" s="1">
        <v>8823.31</v>
      </c>
      <c r="J874" s="1">
        <v>0.51290000000000002</v>
      </c>
      <c r="K874" s="1">
        <v>4525.4799999999996</v>
      </c>
      <c r="L874" s="1">
        <v>301369</v>
      </c>
      <c r="M874" s="1">
        <v>10289</v>
      </c>
      <c r="N874" s="1">
        <v>57751.87</v>
      </c>
      <c r="O874" s="1">
        <v>2025</v>
      </c>
      <c r="P874" s="1" t="s">
        <v>39</v>
      </c>
      <c r="Q874" s="1" t="s">
        <v>40</v>
      </c>
      <c r="R874" s="1" t="s">
        <v>41</v>
      </c>
      <c r="S874" s="1">
        <f t="shared" si="13"/>
        <v>57</v>
      </c>
      <c r="T874" s="7" t="str">
        <f>_xlfn.TEXTJOIN("_",TRUE,Finance_Data!A874,Finance_Data!B874,Finance_Data!C874,Finance_Data!D874,Finance_Data!E874,Finance_Data!G874,Finance_Data!H874)</f>
        <v>CMP_049_East_India_Perfume_Ecommerce_45704_45760</v>
      </c>
    </row>
    <row r="875" spans="1:20" x14ac:dyDescent="0.35">
      <c r="A875" s="6" t="s">
        <v>97</v>
      </c>
      <c r="B875" s="1" t="s">
        <v>35</v>
      </c>
      <c r="C875" s="1" t="s">
        <v>36</v>
      </c>
      <c r="D875" s="1" t="s">
        <v>37</v>
      </c>
      <c r="E875" s="1" t="s">
        <v>22</v>
      </c>
      <c r="F875" s="1" t="s">
        <v>49</v>
      </c>
      <c r="G875" s="2">
        <v>45704</v>
      </c>
      <c r="H875" s="2">
        <v>45751</v>
      </c>
      <c r="I875" s="1">
        <v>11865.61</v>
      </c>
      <c r="J875" s="1">
        <v>0.41620000000000001</v>
      </c>
      <c r="K875" s="1">
        <v>4938.47</v>
      </c>
      <c r="L875" s="1">
        <v>880196</v>
      </c>
      <c r="M875" s="1">
        <v>41627</v>
      </c>
      <c r="N875" s="1">
        <v>241286.25</v>
      </c>
      <c r="O875" s="1">
        <v>2025</v>
      </c>
      <c r="P875" s="1" t="s">
        <v>39</v>
      </c>
      <c r="Q875" s="1" t="s">
        <v>40</v>
      </c>
      <c r="R875" s="1" t="s">
        <v>61</v>
      </c>
      <c r="S875" s="1">
        <f t="shared" si="13"/>
        <v>48</v>
      </c>
      <c r="T875" s="7" t="str">
        <f>_xlfn.TEXTJOIN("_",TRUE,Finance_Data!A875,Finance_Data!B875,Finance_Data!C875,Finance_Data!D875,Finance_Data!E875,Finance_Data!G875,Finance_Data!H875)</f>
        <v>CMP_019_East_India_Perfume_Retail_45704_45751</v>
      </c>
    </row>
    <row r="876" spans="1:20" x14ac:dyDescent="0.35">
      <c r="A876" s="6" t="s">
        <v>82</v>
      </c>
      <c r="B876" s="1" t="s">
        <v>48</v>
      </c>
      <c r="C876" s="1" t="s">
        <v>69</v>
      </c>
      <c r="D876" s="1" t="s">
        <v>51</v>
      </c>
      <c r="E876" s="1" t="s">
        <v>38</v>
      </c>
      <c r="F876" s="1" t="s">
        <v>23</v>
      </c>
      <c r="G876" s="2">
        <v>45705</v>
      </c>
      <c r="H876" s="2">
        <v>45759</v>
      </c>
      <c r="I876" s="1">
        <v>15207.97</v>
      </c>
      <c r="J876" s="1">
        <v>0.25169999999999998</v>
      </c>
      <c r="K876" s="1">
        <v>3827.85</v>
      </c>
      <c r="L876" s="1">
        <v>591409</v>
      </c>
      <c r="M876" s="1">
        <v>2677</v>
      </c>
      <c r="N876" s="1">
        <v>242040.68</v>
      </c>
      <c r="O876" s="1">
        <v>2025</v>
      </c>
      <c r="P876" s="1" t="s">
        <v>39</v>
      </c>
      <c r="Q876" s="1" t="s">
        <v>40</v>
      </c>
      <c r="R876" s="1" t="s">
        <v>41</v>
      </c>
      <c r="S876" s="1">
        <f t="shared" si="13"/>
        <v>55</v>
      </c>
      <c r="T876" s="7" t="str">
        <f>_xlfn.TEXTJOIN("_",TRUE,Finance_Data!A876,Finance_Data!B876,Finance_Data!C876,Finance_Data!D876,Finance_Data!E876,Finance_Data!G876,Finance_Data!H876)</f>
        <v>CMP_043_South_USA_Watch_Ecommerce_45705_45759</v>
      </c>
    </row>
    <row r="877" spans="1:20" x14ac:dyDescent="0.35">
      <c r="A877" s="6" t="s">
        <v>68</v>
      </c>
      <c r="B877" s="1" t="s">
        <v>28</v>
      </c>
      <c r="C877" s="1" t="s">
        <v>58</v>
      </c>
      <c r="D877" s="1" t="s">
        <v>21</v>
      </c>
      <c r="E877" s="1" t="s">
        <v>38</v>
      </c>
      <c r="F877" s="1" t="s">
        <v>49</v>
      </c>
      <c r="G877" s="2">
        <v>45706</v>
      </c>
      <c r="H877" s="2">
        <v>45760</v>
      </c>
      <c r="I877" s="1">
        <v>9261.68</v>
      </c>
      <c r="J877" s="1">
        <v>0.91969999999999996</v>
      </c>
      <c r="K877" s="1">
        <v>8517.9699999999993</v>
      </c>
      <c r="L877" s="1">
        <v>523358</v>
      </c>
      <c r="M877" s="1">
        <v>5869</v>
      </c>
      <c r="N877" s="1">
        <v>36704.46</v>
      </c>
      <c r="O877" s="1">
        <v>2025</v>
      </c>
      <c r="P877" s="1" t="s">
        <v>39</v>
      </c>
      <c r="Q877" s="1" t="s">
        <v>40</v>
      </c>
      <c r="R877" s="1" t="s">
        <v>26</v>
      </c>
      <c r="S877" s="1">
        <f t="shared" si="13"/>
        <v>55</v>
      </c>
      <c r="T877" s="7" t="str">
        <f>_xlfn.TEXTJOIN("_",TRUE,Finance_Data!A877,Finance_Data!B877,Finance_Data!C877,Finance_Data!D877,Finance_Data!E877,Finance_Data!G877,Finance_Data!H877)</f>
        <v>CMP_028_West_UK_Foundation_Ecommerce_45706_45760</v>
      </c>
    </row>
    <row r="878" spans="1:20" x14ac:dyDescent="0.35">
      <c r="A878" s="6" t="s">
        <v>18</v>
      </c>
      <c r="B878" s="1" t="s">
        <v>35</v>
      </c>
      <c r="C878" s="1" t="s">
        <v>58</v>
      </c>
      <c r="D878" s="1" t="s">
        <v>37</v>
      </c>
      <c r="E878" s="1" t="s">
        <v>30</v>
      </c>
      <c r="F878" s="1" t="s">
        <v>23</v>
      </c>
      <c r="G878" s="2">
        <v>45706</v>
      </c>
      <c r="H878" s="2">
        <v>45733</v>
      </c>
      <c r="I878" s="1">
        <v>28551.73</v>
      </c>
      <c r="J878" s="1">
        <v>0.70350000000000001</v>
      </c>
      <c r="K878" s="1">
        <v>20086.14</v>
      </c>
      <c r="L878" s="1">
        <v>998464</v>
      </c>
      <c r="M878" s="1">
        <v>43822</v>
      </c>
      <c r="N878" s="1">
        <v>178980.29</v>
      </c>
      <c r="O878" s="1">
        <v>2025</v>
      </c>
      <c r="P878" s="1" t="s">
        <v>39</v>
      </c>
      <c r="Q878" s="1" t="s">
        <v>40</v>
      </c>
      <c r="R878" s="1" t="s">
        <v>26</v>
      </c>
      <c r="S878" s="1">
        <f t="shared" si="13"/>
        <v>28</v>
      </c>
      <c r="T878" s="7" t="str">
        <f>_xlfn.TEXTJOIN("_",TRUE,Finance_Data!A878,Finance_Data!B878,Finance_Data!C878,Finance_Data!D878,Finance_Data!E878,Finance_Data!G878,Finance_Data!H878)</f>
        <v>CMP_044_East_UK_Perfume_Wholesale_45706_45733</v>
      </c>
    </row>
    <row r="879" spans="1:20" x14ac:dyDescent="0.35">
      <c r="A879" s="6" t="s">
        <v>109</v>
      </c>
      <c r="B879" s="1" t="s">
        <v>35</v>
      </c>
      <c r="C879" s="1" t="s">
        <v>20</v>
      </c>
      <c r="D879" s="1" t="s">
        <v>51</v>
      </c>
      <c r="E879" s="1" t="s">
        <v>22</v>
      </c>
      <c r="F879" s="1" t="s">
        <v>23</v>
      </c>
      <c r="G879" s="2">
        <v>45706</v>
      </c>
      <c r="H879" s="2">
        <v>45731</v>
      </c>
      <c r="I879" s="1">
        <v>7057.15</v>
      </c>
      <c r="J879" s="1">
        <v>0.14130000000000001</v>
      </c>
      <c r="K879" s="1">
        <v>997.18</v>
      </c>
      <c r="L879" s="1">
        <v>152514</v>
      </c>
      <c r="M879" s="1">
        <v>32593</v>
      </c>
      <c r="N879" s="1">
        <v>191757.05</v>
      </c>
      <c r="O879" s="1">
        <v>2025</v>
      </c>
      <c r="P879" s="1" t="s">
        <v>39</v>
      </c>
      <c r="Q879" s="1" t="s">
        <v>40</v>
      </c>
      <c r="R879" s="1" t="s">
        <v>41</v>
      </c>
      <c r="S879" s="1">
        <f t="shared" si="13"/>
        <v>26</v>
      </c>
      <c r="T879" s="7" t="str">
        <f>_xlfn.TEXTJOIN("_",TRUE,Finance_Data!A879,Finance_Data!B879,Finance_Data!C879,Finance_Data!D879,Finance_Data!E879,Finance_Data!G879,Finance_Data!H879)</f>
        <v>CMP_046_East_Singapore_Watch_Retail_45706_45731</v>
      </c>
    </row>
    <row r="880" spans="1:20" x14ac:dyDescent="0.35">
      <c r="A880" s="6" t="s">
        <v>77</v>
      </c>
      <c r="B880" s="1" t="s">
        <v>28</v>
      </c>
      <c r="C880" s="1" t="s">
        <v>36</v>
      </c>
      <c r="D880" s="1" t="s">
        <v>37</v>
      </c>
      <c r="E880" s="1" t="s">
        <v>22</v>
      </c>
      <c r="F880" s="1" t="s">
        <v>31</v>
      </c>
      <c r="G880" s="2">
        <v>45706</v>
      </c>
      <c r="H880" s="2">
        <v>45728</v>
      </c>
      <c r="I880" s="1">
        <v>6009.34</v>
      </c>
      <c r="J880" s="1">
        <v>0.1139</v>
      </c>
      <c r="K880" s="1">
        <v>684.46</v>
      </c>
      <c r="L880" s="1">
        <v>461914</v>
      </c>
      <c r="M880" s="1">
        <v>29515</v>
      </c>
      <c r="N880" s="1">
        <v>141461.32999999999</v>
      </c>
      <c r="O880" s="1">
        <v>2025</v>
      </c>
      <c r="P880" s="1" t="s">
        <v>39</v>
      </c>
      <c r="Q880" s="1" t="s">
        <v>40</v>
      </c>
      <c r="R880" s="1" t="s">
        <v>26</v>
      </c>
      <c r="S880" s="1">
        <f t="shared" si="13"/>
        <v>23</v>
      </c>
      <c r="T880" s="7" t="str">
        <f>_xlfn.TEXTJOIN("_",TRUE,Finance_Data!A880,Finance_Data!B880,Finance_Data!C880,Finance_Data!D880,Finance_Data!E880,Finance_Data!G880,Finance_Data!H880)</f>
        <v>CMP_033_West_India_Perfume_Retail_45706_45728</v>
      </c>
    </row>
    <row r="881" spans="1:20" x14ac:dyDescent="0.35">
      <c r="A881" s="6" t="s">
        <v>104</v>
      </c>
      <c r="B881" s="1" t="s">
        <v>35</v>
      </c>
      <c r="C881" s="1" t="s">
        <v>36</v>
      </c>
      <c r="D881" s="1" t="s">
        <v>43</v>
      </c>
      <c r="E881" s="1" t="s">
        <v>22</v>
      </c>
      <c r="F881" s="1" t="s">
        <v>23</v>
      </c>
      <c r="G881" s="2">
        <v>45707</v>
      </c>
      <c r="H881" s="2">
        <v>45727</v>
      </c>
      <c r="I881" s="1">
        <v>34336.75</v>
      </c>
      <c r="J881" s="1">
        <v>0.71899999999999997</v>
      </c>
      <c r="K881" s="1">
        <v>24688.12</v>
      </c>
      <c r="L881" s="1">
        <v>835618</v>
      </c>
      <c r="M881" s="1">
        <v>5465</v>
      </c>
      <c r="N881" s="1">
        <v>133749.13</v>
      </c>
      <c r="O881" s="1">
        <v>2025</v>
      </c>
      <c r="P881" s="1" t="s">
        <v>39</v>
      </c>
      <c r="Q881" s="1" t="s">
        <v>40</v>
      </c>
      <c r="R881" s="1" t="s">
        <v>61</v>
      </c>
      <c r="S881" s="1">
        <f t="shared" si="13"/>
        <v>21</v>
      </c>
      <c r="T881" s="7" t="str">
        <f>_xlfn.TEXTJOIN("_",TRUE,Finance_Data!A881,Finance_Data!B881,Finance_Data!C881,Finance_Data!D881,Finance_Data!E881,Finance_Data!G881,Finance_Data!H881)</f>
        <v>CMP_034_East_India_Luxury Bag_Retail_45707_45727</v>
      </c>
    </row>
    <row r="882" spans="1:20" x14ac:dyDescent="0.35">
      <c r="A882" s="6" t="s">
        <v>57</v>
      </c>
      <c r="B882" s="1" t="s">
        <v>35</v>
      </c>
      <c r="C882" s="1" t="s">
        <v>58</v>
      </c>
      <c r="D882" s="1" t="s">
        <v>59</v>
      </c>
      <c r="E882" s="1" t="s">
        <v>30</v>
      </c>
      <c r="F882" s="1" t="s">
        <v>31</v>
      </c>
      <c r="G882" s="2">
        <v>45709</v>
      </c>
      <c r="H882" s="2">
        <v>45768</v>
      </c>
      <c r="I882" s="1">
        <v>27532.22</v>
      </c>
      <c r="J882" s="1">
        <v>6.0299999999999999E-2</v>
      </c>
      <c r="K882" s="1">
        <v>1660.19</v>
      </c>
      <c r="L882" s="1">
        <v>515719</v>
      </c>
      <c r="M882" s="1">
        <v>24426</v>
      </c>
      <c r="N882" s="1">
        <v>157063.53</v>
      </c>
      <c r="O882" s="1">
        <v>2025</v>
      </c>
      <c r="P882" s="1" t="s">
        <v>39</v>
      </c>
      <c r="Q882" s="1" t="s">
        <v>40</v>
      </c>
      <c r="R882" s="1" t="s">
        <v>54</v>
      </c>
      <c r="S882" s="1">
        <f t="shared" si="13"/>
        <v>60</v>
      </c>
      <c r="T882" s="7" t="str">
        <f>_xlfn.TEXTJOIN("_",TRUE,Finance_Data!A882,Finance_Data!B882,Finance_Data!C882,Finance_Data!D882,Finance_Data!E882,Finance_Data!G882,Finance_Data!H882)</f>
        <v>CMP_032_East_UK_Lipstick_Wholesale_45709_45768</v>
      </c>
    </row>
    <row r="883" spans="1:20" x14ac:dyDescent="0.35">
      <c r="A883" s="6" t="s">
        <v>94</v>
      </c>
      <c r="B883" s="1" t="s">
        <v>48</v>
      </c>
      <c r="C883" s="1" t="s">
        <v>29</v>
      </c>
      <c r="D883" s="1" t="s">
        <v>43</v>
      </c>
      <c r="E883" s="1" t="s">
        <v>38</v>
      </c>
      <c r="F883" s="1" t="s">
        <v>44</v>
      </c>
      <c r="G883" s="2">
        <v>45711</v>
      </c>
      <c r="H883" s="2">
        <v>45756</v>
      </c>
      <c r="I883" s="1">
        <v>29251.62</v>
      </c>
      <c r="J883" s="1">
        <v>0.81259999999999999</v>
      </c>
      <c r="K883" s="1">
        <v>23769.87</v>
      </c>
      <c r="L883" s="1">
        <v>746677</v>
      </c>
      <c r="M883" s="1">
        <v>43697</v>
      </c>
      <c r="N883" s="1">
        <v>109633.37</v>
      </c>
      <c r="O883" s="1">
        <v>2025</v>
      </c>
      <c r="P883" s="1" t="s">
        <v>39</v>
      </c>
      <c r="Q883" s="1" t="s">
        <v>40</v>
      </c>
      <c r="R883" s="1" t="s">
        <v>41</v>
      </c>
      <c r="S883" s="1">
        <f t="shared" si="13"/>
        <v>46</v>
      </c>
      <c r="T883" s="7" t="str">
        <f>_xlfn.TEXTJOIN("_",TRUE,Finance_Data!A883,Finance_Data!B883,Finance_Data!C883,Finance_Data!D883,Finance_Data!E883,Finance_Data!G883,Finance_Data!H883)</f>
        <v>CMP_007_South_Australia_Luxury Bag_Ecommerce_45711_45756</v>
      </c>
    </row>
    <row r="884" spans="1:20" x14ac:dyDescent="0.35">
      <c r="A884" s="6" t="s">
        <v>114</v>
      </c>
      <c r="B884" s="1" t="s">
        <v>48</v>
      </c>
      <c r="C884" s="1" t="s">
        <v>20</v>
      </c>
      <c r="D884" s="1" t="s">
        <v>21</v>
      </c>
      <c r="E884" s="1" t="s">
        <v>30</v>
      </c>
      <c r="F884" s="1" t="s">
        <v>52</v>
      </c>
      <c r="G884" s="2">
        <v>45712</v>
      </c>
      <c r="H884" s="2">
        <v>45766</v>
      </c>
      <c r="I884" s="1">
        <v>28091.82</v>
      </c>
      <c r="J884" s="1">
        <v>0.78939999999999999</v>
      </c>
      <c r="K884" s="1">
        <v>22175.68</v>
      </c>
      <c r="L884" s="1">
        <v>553842</v>
      </c>
      <c r="M884" s="1">
        <v>13892</v>
      </c>
      <c r="N884" s="1">
        <v>93713.95</v>
      </c>
      <c r="O884" s="1">
        <v>2025</v>
      </c>
      <c r="P884" s="1" t="s">
        <v>39</v>
      </c>
      <c r="Q884" s="1" t="s">
        <v>40</v>
      </c>
      <c r="R884" s="1" t="s">
        <v>41</v>
      </c>
      <c r="S884" s="1">
        <f t="shared" si="13"/>
        <v>55</v>
      </c>
      <c r="T884" s="7" t="str">
        <f>_xlfn.TEXTJOIN("_",TRUE,Finance_Data!A884,Finance_Data!B884,Finance_Data!C884,Finance_Data!D884,Finance_Data!E884,Finance_Data!G884,Finance_Data!H884)</f>
        <v>CMP_013_South_Singapore_Foundation_Wholesale_45712_45766</v>
      </c>
    </row>
    <row r="885" spans="1:20" x14ac:dyDescent="0.35">
      <c r="A885" s="6" t="s">
        <v>85</v>
      </c>
      <c r="B885" s="1" t="s">
        <v>19</v>
      </c>
      <c r="C885" s="1" t="s">
        <v>29</v>
      </c>
      <c r="D885" s="1" t="s">
        <v>43</v>
      </c>
      <c r="E885" s="1" t="s">
        <v>38</v>
      </c>
      <c r="F885" s="1" t="s">
        <v>31</v>
      </c>
      <c r="G885" s="2">
        <v>45712</v>
      </c>
      <c r="H885" s="2">
        <v>45754</v>
      </c>
      <c r="I885" s="1">
        <v>49980.68</v>
      </c>
      <c r="J885" s="1">
        <v>1.169</v>
      </c>
      <c r="K885" s="1">
        <v>58427.41</v>
      </c>
      <c r="L885" s="1">
        <v>114998</v>
      </c>
      <c r="M885" s="1">
        <v>16343</v>
      </c>
      <c r="N885" s="1">
        <v>165931.78</v>
      </c>
      <c r="O885" s="1">
        <v>2025</v>
      </c>
      <c r="P885" s="1" t="s">
        <v>39</v>
      </c>
      <c r="Q885" s="1" t="s">
        <v>40</v>
      </c>
      <c r="R885" s="1" t="s">
        <v>61</v>
      </c>
      <c r="S885" s="1">
        <f t="shared" si="13"/>
        <v>43</v>
      </c>
      <c r="T885" s="7" t="str">
        <f>_xlfn.TEXTJOIN("_",TRUE,Finance_Data!A885,Finance_Data!B885,Finance_Data!C885,Finance_Data!D885,Finance_Data!E885,Finance_Data!G885,Finance_Data!H885)</f>
        <v>CMP_018_North_Australia_Luxury Bag_Ecommerce_45712_45754</v>
      </c>
    </row>
    <row r="886" spans="1:20" x14ac:dyDescent="0.35">
      <c r="A886" s="6" t="s">
        <v>89</v>
      </c>
      <c r="B886" s="1" t="s">
        <v>28</v>
      </c>
      <c r="C886" s="1" t="s">
        <v>36</v>
      </c>
      <c r="D886" s="1" t="s">
        <v>63</v>
      </c>
      <c r="E886" s="1" t="s">
        <v>30</v>
      </c>
      <c r="F886" s="1" t="s">
        <v>52</v>
      </c>
      <c r="G886" s="2">
        <v>45712</v>
      </c>
      <c r="H886" s="2">
        <v>45748</v>
      </c>
      <c r="I886" s="1">
        <v>13349.17</v>
      </c>
      <c r="J886" s="1">
        <v>0.38059999999999999</v>
      </c>
      <c r="K886" s="1">
        <v>5080.6899999999996</v>
      </c>
      <c r="L886" s="1">
        <v>364280</v>
      </c>
      <c r="M886" s="1">
        <v>9970</v>
      </c>
      <c r="N886" s="1">
        <v>13944.88</v>
      </c>
      <c r="O886" s="1">
        <v>2025</v>
      </c>
      <c r="P886" s="1" t="s">
        <v>39</v>
      </c>
      <c r="Q886" s="1" t="s">
        <v>40</v>
      </c>
      <c r="R886" s="1" t="s">
        <v>54</v>
      </c>
      <c r="S886" s="1">
        <f t="shared" si="13"/>
        <v>37</v>
      </c>
      <c r="T886" s="7" t="str">
        <f>_xlfn.TEXTJOIN("_",TRUE,Finance_Data!A886,Finance_Data!B886,Finance_Data!C886,Finance_Data!D886,Finance_Data!E886,Finance_Data!G886,Finance_Data!H886)</f>
        <v>CMP_045_West_India_Skincare_Wholesale_45712_45748</v>
      </c>
    </row>
    <row r="887" spans="1:20" x14ac:dyDescent="0.35">
      <c r="A887" s="6" t="s">
        <v>86</v>
      </c>
      <c r="B887" s="1" t="s">
        <v>48</v>
      </c>
      <c r="C887" s="1" t="s">
        <v>29</v>
      </c>
      <c r="D887" s="1" t="s">
        <v>63</v>
      </c>
      <c r="E887" s="1" t="s">
        <v>38</v>
      </c>
      <c r="F887" s="1" t="s">
        <v>49</v>
      </c>
      <c r="G887" s="2">
        <v>45712</v>
      </c>
      <c r="H887" s="2">
        <v>45717</v>
      </c>
      <c r="I887" s="1">
        <v>6578</v>
      </c>
      <c r="J887" s="1">
        <v>0.40660000000000002</v>
      </c>
      <c r="K887" s="1">
        <v>2674.61</v>
      </c>
      <c r="L887" s="1">
        <v>425287</v>
      </c>
      <c r="M887" s="1">
        <v>47574</v>
      </c>
      <c r="N887" s="1">
        <v>144385.78</v>
      </c>
      <c r="O887" s="1">
        <v>2025</v>
      </c>
      <c r="P887" s="1" t="s">
        <v>39</v>
      </c>
      <c r="Q887" s="1" t="s">
        <v>40</v>
      </c>
      <c r="R887" s="1" t="s">
        <v>54</v>
      </c>
      <c r="S887" s="1">
        <f t="shared" si="13"/>
        <v>6</v>
      </c>
      <c r="T887" s="7" t="str">
        <f>_xlfn.TEXTJOIN("_",TRUE,Finance_Data!A887,Finance_Data!B887,Finance_Data!C887,Finance_Data!D887,Finance_Data!E887,Finance_Data!G887,Finance_Data!H887)</f>
        <v>CMP_002_South_Australia_Skincare_Ecommerce_45712_45717</v>
      </c>
    </row>
    <row r="888" spans="1:20" x14ac:dyDescent="0.35">
      <c r="A888" s="6" t="s">
        <v>70</v>
      </c>
      <c r="B888" s="1" t="s">
        <v>48</v>
      </c>
      <c r="C888" s="1" t="s">
        <v>58</v>
      </c>
      <c r="D888" s="1" t="s">
        <v>51</v>
      </c>
      <c r="E888" s="1" t="s">
        <v>22</v>
      </c>
      <c r="F888" s="1" t="s">
        <v>44</v>
      </c>
      <c r="G888" s="2">
        <v>45713</v>
      </c>
      <c r="H888" s="2">
        <v>45763</v>
      </c>
      <c r="I888" s="1">
        <v>13199.16</v>
      </c>
      <c r="J888" s="1">
        <v>0.92779999999999996</v>
      </c>
      <c r="K888" s="1">
        <v>12246.18</v>
      </c>
      <c r="L888" s="1">
        <v>474478</v>
      </c>
      <c r="M888" s="1">
        <v>16298</v>
      </c>
      <c r="N888" s="1">
        <v>185716.66</v>
      </c>
      <c r="O888" s="1">
        <v>2025</v>
      </c>
      <c r="P888" s="1" t="s">
        <v>39</v>
      </c>
      <c r="Q888" s="1" t="s">
        <v>40</v>
      </c>
      <c r="R888" s="1" t="s">
        <v>61</v>
      </c>
      <c r="S888" s="1">
        <f t="shared" si="13"/>
        <v>51</v>
      </c>
      <c r="T888" s="7" t="str">
        <f>_xlfn.TEXTJOIN("_",TRUE,Finance_Data!A888,Finance_Data!B888,Finance_Data!C888,Finance_Data!D888,Finance_Data!E888,Finance_Data!G888,Finance_Data!H888)</f>
        <v>CMP_003_South_UK_Watch_Retail_45713_45763</v>
      </c>
    </row>
    <row r="889" spans="1:20" x14ac:dyDescent="0.35">
      <c r="A889" s="6" t="s">
        <v>79</v>
      </c>
      <c r="B889" s="1" t="s">
        <v>48</v>
      </c>
      <c r="C889" s="1" t="s">
        <v>29</v>
      </c>
      <c r="D889" s="1" t="s">
        <v>63</v>
      </c>
      <c r="E889" s="1" t="s">
        <v>30</v>
      </c>
      <c r="F889" s="1" t="s">
        <v>52</v>
      </c>
      <c r="G889" s="2">
        <v>45713</v>
      </c>
      <c r="H889" s="2">
        <v>45726</v>
      </c>
      <c r="I889" s="1">
        <v>22198.3</v>
      </c>
      <c r="J889" s="1">
        <v>1.0936999999999999</v>
      </c>
      <c r="K889" s="1">
        <v>24278.28</v>
      </c>
      <c r="L889" s="1">
        <v>68104</v>
      </c>
      <c r="M889" s="1">
        <v>8237</v>
      </c>
      <c r="N889" s="1">
        <v>131935.01999999999</v>
      </c>
      <c r="O889" s="1">
        <v>2025</v>
      </c>
      <c r="P889" s="1" t="s">
        <v>39</v>
      </c>
      <c r="Q889" s="1" t="s">
        <v>40</v>
      </c>
      <c r="R889" s="1" t="s">
        <v>41</v>
      </c>
      <c r="S889" s="1">
        <f t="shared" si="13"/>
        <v>14</v>
      </c>
      <c r="T889" s="7" t="str">
        <f>_xlfn.TEXTJOIN("_",TRUE,Finance_Data!A889,Finance_Data!B889,Finance_Data!C889,Finance_Data!D889,Finance_Data!E889,Finance_Data!G889,Finance_Data!H889)</f>
        <v>CMP_020_South_Australia_Skincare_Wholesale_45713_45726</v>
      </c>
    </row>
    <row r="890" spans="1:20" x14ac:dyDescent="0.35">
      <c r="A890" s="6" t="s">
        <v>91</v>
      </c>
      <c r="B890" s="1" t="s">
        <v>35</v>
      </c>
      <c r="C890" s="1" t="s">
        <v>29</v>
      </c>
      <c r="D890" s="1" t="s">
        <v>43</v>
      </c>
      <c r="E890" s="1" t="s">
        <v>30</v>
      </c>
      <c r="F890" s="1" t="s">
        <v>44</v>
      </c>
      <c r="G890" s="2">
        <v>45714</v>
      </c>
      <c r="H890" s="2">
        <v>45745</v>
      </c>
      <c r="I890" s="1">
        <v>41343.629999999997</v>
      </c>
      <c r="J890" s="1">
        <v>9.7799999999999998E-2</v>
      </c>
      <c r="K890" s="1">
        <v>4043.41</v>
      </c>
      <c r="L890" s="1">
        <v>342427</v>
      </c>
      <c r="M890" s="1">
        <v>42196</v>
      </c>
      <c r="N890" s="1">
        <v>23170.43</v>
      </c>
      <c r="O890" s="1">
        <v>2025</v>
      </c>
      <c r="P890" s="1" t="s">
        <v>39</v>
      </c>
      <c r="Q890" s="1" t="s">
        <v>40</v>
      </c>
      <c r="R890" s="1" t="s">
        <v>61</v>
      </c>
      <c r="S890" s="1">
        <f t="shared" si="13"/>
        <v>32</v>
      </c>
      <c r="T890" s="7" t="str">
        <f>_xlfn.TEXTJOIN("_",TRUE,Finance_Data!A890,Finance_Data!B890,Finance_Data!C890,Finance_Data!D890,Finance_Data!E890,Finance_Data!G890,Finance_Data!H890)</f>
        <v>CMP_030_East_Australia_Luxury Bag_Wholesale_45714_45745</v>
      </c>
    </row>
    <row r="891" spans="1:20" x14ac:dyDescent="0.35">
      <c r="A891" s="6" t="s">
        <v>75</v>
      </c>
      <c r="B891" s="1" t="s">
        <v>35</v>
      </c>
      <c r="C891" s="1" t="s">
        <v>29</v>
      </c>
      <c r="D891" s="1" t="s">
        <v>37</v>
      </c>
      <c r="E891" s="1" t="s">
        <v>38</v>
      </c>
      <c r="F891" s="1" t="s">
        <v>49</v>
      </c>
      <c r="G891" s="2">
        <v>45716</v>
      </c>
      <c r="H891" s="2">
        <v>45776</v>
      </c>
      <c r="I891" s="1">
        <v>20546.95</v>
      </c>
      <c r="J891" s="1">
        <v>3.44E-2</v>
      </c>
      <c r="K891" s="1">
        <v>706.82</v>
      </c>
      <c r="L891" s="1">
        <v>228337</v>
      </c>
      <c r="M891" s="1">
        <v>10778</v>
      </c>
      <c r="N891" s="1">
        <v>100183.21</v>
      </c>
      <c r="O891" s="1">
        <v>2025</v>
      </c>
      <c r="P891" s="1" t="s">
        <v>39</v>
      </c>
      <c r="Q891" s="1" t="s">
        <v>40</v>
      </c>
      <c r="R891" s="1" t="s">
        <v>54</v>
      </c>
      <c r="S891" s="1">
        <f t="shared" si="13"/>
        <v>61</v>
      </c>
      <c r="T891" s="7" t="str">
        <f>_xlfn.TEXTJOIN("_",TRUE,Finance_Data!A891,Finance_Data!B891,Finance_Data!C891,Finance_Data!D891,Finance_Data!E891,Finance_Data!G891,Finance_Data!H891)</f>
        <v>CMP_026_East_Australia_Perfume_Ecommerce_45716_45776</v>
      </c>
    </row>
    <row r="892" spans="1:20" x14ac:dyDescent="0.35">
      <c r="A892" s="6" t="s">
        <v>89</v>
      </c>
      <c r="B892" s="1" t="s">
        <v>19</v>
      </c>
      <c r="C892" s="1" t="s">
        <v>58</v>
      </c>
      <c r="D892" s="1" t="s">
        <v>21</v>
      </c>
      <c r="E892" s="1" t="s">
        <v>30</v>
      </c>
      <c r="F892" s="1" t="s">
        <v>52</v>
      </c>
      <c r="G892" s="2">
        <v>45716</v>
      </c>
      <c r="H892" s="2">
        <v>45769</v>
      </c>
      <c r="I892" s="1">
        <v>36390.019999999997</v>
      </c>
      <c r="J892" s="1">
        <v>0.61639999999999995</v>
      </c>
      <c r="K892" s="1">
        <v>22430.81</v>
      </c>
      <c r="L892" s="1">
        <v>522357</v>
      </c>
      <c r="M892" s="1">
        <v>41714</v>
      </c>
      <c r="N892" s="1">
        <v>173679.9</v>
      </c>
      <c r="O892" s="1">
        <v>2025</v>
      </c>
      <c r="P892" s="1" t="s">
        <v>39</v>
      </c>
      <c r="Q892" s="1" t="s">
        <v>40</v>
      </c>
      <c r="R892" s="1" t="s">
        <v>61</v>
      </c>
      <c r="S892" s="1">
        <f t="shared" si="13"/>
        <v>54</v>
      </c>
      <c r="T892" s="7" t="str">
        <f>_xlfn.TEXTJOIN("_",TRUE,Finance_Data!A892,Finance_Data!B892,Finance_Data!C892,Finance_Data!D892,Finance_Data!E892,Finance_Data!G892,Finance_Data!H892)</f>
        <v>CMP_045_North_UK_Foundation_Wholesale_45716_45769</v>
      </c>
    </row>
    <row r="893" spans="1:20" x14ac:dyDescent="0.35">
      <c r="A893" s="6" t="s">
        <v>105</v>
      </c>
      <c r="B893" s="1" t="s">
        <v>28</v>
      </c>
      <c r="C893" s="1" t="s">
        <v>36</v>
      </c>
      <c r="D893" s="1" t="s">
        <v>37</v>
      </c>
      <c r="E893" s="1" t="s">
        <v>30</v>
      </c>
      <c r="F893" s="1" t="s">
        <v>31</v>
      </c>
      <c r="G893" s="2">
        <v>45717</v>
      </c>
      <c r="H893" s="2">
        <v>45773</v>
      </c>
      <c r="I893" s="1">
        <v>45946.15</v>
      </c>
      <c r="J893" s="1">
        <v>0.95679999999999998</v>
      </c>
      <c r="K893" s="1">
        <v>43961.279999999999</v>
      </c>
      <c r="L893" s="1">
        <v>120553</v>
      </c>
      <c r="M893" s="1">
        <v>11503</v>
      </c>
      <c r="N893" s="1">
        <v>183399.97</v>
      </c>
      <c r="O893" s="1">
        <v>2025</v>
      </c>
      <c r="P893" s="1" t="s">
        <v>60</v>
      </c>
      <c r="Q893" s="1" t="s">
        <v>40</v>
      </c>
      <c r="R893" s="1" t="s">
        <v>26</v>
      </c>
      <c r="S893" s="1">
        <f t="shared" si="13"/>
        <v>57</v>
      </c>
      <c r="T893" s="7" t="str">
        <f>_xlfn.TEXTJOIN("_",TRUE,Finance_Data!A893,Finance_Data!B893,Finance_Data!C893,Finance_Data!D893,Finance_Data!E893,Finance_Data!G893,Finance_Data!H893)</f>
        <v>CMP_025_West_India_Perfume_Wholesale_45717_45773</v>
      </c>
    </row>
    <row r="894" spans="1:20" x14ac:dyDescent="0.35">
      <c r="A894" s="6" t="s">
        <v>82</v>
      </c>
      <c r="B894" s="1" t="s">
        <v>28</v>
      </c>
      <c r="C894" s="1" t="s">
        <v>20</v>
      </c>
      <c r="D894" s="1" t="s">
        <v>37</v>
      </c>
      <c r="E894" s="1" t="s">
        <v>38</v>
      </c>
      <c r="F894" s="1" t="s">
        <v>31</v>
      </c>
      <c r="G894" s="2">
        <v>45719</v>
      </c>
      <c r="H894" s="2">
        <v>45731</v>
      </c>
      <c r="I894" s="1">
        <v>42477.56</v>
      </c>
      <c r="J894" s="1">
        <v>1.0342</v>
      </c>
      <c r="K894" s="1">
        <v>43930.29</v>
      </c>
      <c r="L894" s="1">
        <v>86054</v>
      </c>
      <c r="M894" s="1">
        <v>24583</v>
      </c>
      <c r="N894" s="1">
        <v>177611.81</v>
      </c>
      <c r="O894" s="1">
        <v>2025</v>
      </c>
      <c r="P894" s="1" t="s">
        <v>60</v>
      </c>
      <c r="Q894" s="1" t="s">
        <v>40</v>
      </c>
      <c r="R894" s="1" t="s">
        <v>41</v>
      </c>
      <c r="S894" s="1">
        <f t="shared" si="13"/>
        <v>13</v>
      </c>
      <c r="T894" s="7" t="str">
        <f>_xlfn.TEXTJOIN("_",TRUE,Finance_Data!A894,Finance_Data!B894,Finance_Data!C894,Finance_Data!D894,Finance_Data!E894,Finance_Data!G894,Finance_Data!H894)</f>
        <v>CMP_043_West_Singapore_Perfume_Ecommerce_45719_45731</v>
      </c>
    </row>
    <row r="895" spans="1:20" x14ac:dyDescent="0.35">
      <c r="A895" s="6" t="s">
        <v>68</v>
      </c>
      <c r="B895" s="1" t="s">
        <v>48</v>
      </c>
      <c r="C895" s="1" t="s">
        <v>58</v>
      </c>
      <c r="D895" s="1" t="s">
        <v>21</v>
      </c>
      <c r="E895" s="1" t="s">
        <v>38</v>
      </c>
      <c r="F895" s="1" t="s">
        <v>44</v>
      </c>
      <c r="G895" s="2">
        <v>45720</v>
      </c>
      <c r="H895" s="2">
        <v>45768</v>
      </c>
      <c r="I895" s="1">
        <v>32812.36</v>
      </c>
      <c r="J895" s="1">
        <v>0.63119999999999998</v>
      </c>
      <c r="K895" s="1">
        <v>20711.16</v>
      </c>
      <c r="L895" s="1">
        <v>398368</v>
      </c>
      <c r="M895" s="1">
        <v>2946</v>
      </c>
      <c r="N895" s="1">
        <v>175922.49</v>
      </c>
      <c r="O895" s="1">
        <v>2025</v>
      </c>
      <c r="P895" s="1" t="s">
        <v>60</v>
      </c>
      <c r="Q895" s="1" t="s">
        <v>40</v>
      </c>
      <c r="R895" s="1" t="s">
        <v>26</v>
      </c>
      <c r="S895" s="1">
        <f t="shared" si="13"/>
        <v>49</v>
      </c>
      <c r="T895" s="7" t="str">
        <f>_xlfn.TEXTJOIN("_",TRUE,Finance_Data!A895,Finance_Data!B895,Finance_Data!C895,Finance_Data!D895,Finance_Data!E895,Finance_Data!G895,Finance_Data!H895)</f>
        <v>CMP_028_South_UK_Foundation_Ecommerce_45720_45768</v>
      </c>
    </row>
    <row r="896" spans="1:20" x14ac:dyDescent="0.35">
      <c r="A896" s="6" t="s">
        <v>77</v>
      </c>
      <c r="B896" s="1" t="s">
        <v>19</v>
      </c>
      <c r="C896" s="1" t="s">
        <v>58</v>
      </c>
      <c r="D896" s="1" t="s">
        <v>37</v>
      </c>
      <c r="E896" s="1" t="s">
        <v>38</v>
      </c>
      <c r="F896" s="1" t="s">
        <v>23</v>
      </c>
      <c r="G896" s="2">
        <v>45720</v>
      </c>
      <c r="H896" s="2">
        <v>45755</v>
      </c>
      <c r="I896" s="1">
        <v>38109.370000000003</v>
      </c>
      <c r="J896" s="1">
        <v>6.0600000000000001E-2</v>
      </c>
      <c r="K896" s="1">
        <v>2309.4299999999998</v>
      </c>
      <c r="L896" s="1">
        <v>123054</v>
      </c>
      <c r="M896" s="1">
        <v>2249</v>
      </c>
      <c r="N896" s="1">
        <v>199298.52</v>
      </c>
      <c r="O896" s="1">
        <v>2025</v>
      </c>
      <c r="P896" s="1" t="s">
        <v>60</v>
      </c>
      <c r="Q896" s="1" t="s">
        <v>40</v>
      </c>
      <c r="R896" s="1" t="s">
        <v>26</v>
      </c>
      <c r="S896" s="1">
        <f t="shared" si="13"/>
        <v>36</v>
      </c>
      <c r="T896" s="7" t="str">
        <f>_xlfn.TEXTJOIN("_",TRUE,Finance_Data!A896,Finance_Data!B896,Finance_Data!C896,Finance_Data!D896,Finance_Data!E896,Finance_Data!G896,Finance_Data!H896)</f>
        <v>CMP_033_North_UK_Perfume_Ecommerce_45720_45755</v>
      </c>
    </row>
    <row r="897" spans="1:20" x14ac:dyDescent="0.35">
      <c r="A897" s="6" t="s">
        <v>70</v>
      </c>
      <c r="B897" s="1" t="s">
        <v>28</v>
      </c>
      <c r="C897" s="1" t="s">
        <v>69</v>
      </c>
      <c r="D897" s="1" t="s">
        <v>59</v>
      </c>
      <c r="E897" s="1" t="s">
        <v>30</v>
      </c>
      <c r="F897" s="1" t="s">
        <v>31</v>
      </c>
      <c r="G897" s="2">
        <v>45722</v>
      </c>
      <c r="H897" s="2">
        <v>45755</v>
      </c>
      <c r="I897" s="1">
        <v>1919.47</v>
      </c>
      <c r="J897" s="1">
        <v>0.60229999999999995</v>
      </c>
      <c r="K897" s="1">
        <v>1156.0999999999999</v>
      </c>
      <c r="L897" s="1">
        <v>694578</v>
      </c>
      <c r="M897" s="1">
        <v>42065</v>
      </c>
      <c r="N897" s="1">
        <v>5212.57</v>
      </c>
      <c r="O897" s="1">
        <v>2025</v>
      </c>
      <c r="P897" s="1" t="s">
        <v>60</v>
      </c>
      <c r="Q897" s="1" t="s">
        <v>40</v>
      </c>
      <c r="R897" s="1" t="s">
        <v>54</v>
      </c>
      <c r="S897" s="1">
        <f t="shared" si="13"/>
        <v>34</v>
      </c>
      <c r="T897" s="7" t="str">
        <f>_xlfn.TEXTJOIN("_",TRUE,Finance_Data!A897,Finance_Data!B897,Finance_Data!C897,Finance_Data!D897,Finance_Data!E897,Finance_Data!G897,Finance_Data!H897)</f>
        <v>CMP_003_West_USA_Lipstick_Wholesale_45722_45755</v>
      </c>
    </row>
    <row r="898" spans="1:20" x14ac:dyDescent="0.35">
      <c r="A898" s="6" t="s">
        <v>102</v>
      </c>
      <c r="B898" s="1" t="s">
        <v>35</v>
      </c>
      <c r="C898" s="1" t="s">
        <v>36</v>
      </c>
      <c r="D898" s="1" t="s">
        <v>37</v>
      </c>
      <c r="E898" s="1" t="s">
        <v>38</v>
      </c>
      <c r="F898" s="1" t="s">
        <v>49</v>
      </c>
      <c r="G898" s="2">
        <v>45722</v>
      </c>
      <c r="H898" s="2">
        <v>45753</v>
      </c>
      <c r="I898" s="1">
        <v>34031.15</v>
      </c>
      <c r="J898" s="1">
        <v>0.8024</v>
      </c>
      <c r="K898" s="1">
        <v>27306.59</v>
      </c>
      <c r="L898" s="1">
        <v>644960</v>
      </c>
      <c r="M898" s="1">
        <v>17157</v>
      </c>
      <c r="N898" s="1">
        <v>199984.71</v>
      </c>
      <c r="O898" s="1">
        <v>2025</v>
      </c>
      <c r="P898" s="1" t="s">
        <v>60</v>
      </c>
      <c r="Q898" s="1" t="s">
        <v>40</v>
      </c>
      <c r="R898" s="1" t="s">
        <v>61</v>
      </c>
      <c r="S898" s="1">
        <f t="shared" ref="S898:S961" si="14">H898-G898+1</f>
        <v>32</v>
      </c>
      <c r="T898" s="7" t="str">
        <f>_xlfn.TEXTJOIN("_",TRUE,Finance_Data!A898,Finance_Data!B898,Finance_Data!C898,Finance_Data!D898,Finance_Data!E898,Finance_Data!G898,Finance_Data!H898)</f>
        <v>CMP_022_East_India_Perfume_Ecommerce_45722_45753</v>
      </c>
    </row>
    <row r="899" spans="1:20" x14ac:dyDescent="0.35">
      <c r="A899" s="6" t="s">
        <v>62</v>
      </c>
      <c r="B899" s="1" t="s">
        <v>28</v>
      </c>
      <c r="C899" s="1" t="s">
        <v>36</v>
      </c>
      <c r="D899" s="1" t="s">
        <v>37</v>
      </c>
      <c r="E899" s="1" t="s">
        <v>22</v>
      </c>
      <c r="F899" s="1" t="s">
        <v>44</v>
      </c>
      <c r="G899" s="2">
        <v>45723</v>
      </c>
      <c r="H899" s="2">
        <v>45745</v>
      </c>
      <c r="I899" s="1">
        <v>8170.15</v>
      </c>
      <c r="J899" s="1">
        <v>0.9597</v>
      </c>
      <c r="K899" s="1">
        <v>7840.89</v>
      </c>
      <c r="L899" s="1">
        <v>296939</v>
      </c>
      <c r="M899" s="1">
        <v>746</v>
      </c>
      <c r="N899" s="1">
        <v>28996.98</v>
      </c>
      <c r="O899" s="1">
        <v>2025</v>
      </c>
      <c r="P899" s="1" t="s">
        <v>60</v>
      </c>
      <c r="Q899" s="1" t="s">
        <v>40</v>
      </c>
      <c r="R899" s="1" t="s">
        <v>41</v>
      </c>
      <c r="S899" s="1">
        <f t="shared" si="14"/>
        <v>23</v>
      </c>
      <c r="T899" s="7" t="str">
        <f>_xlfn.TEXTJOIN("_",TRUE,Finance_Data!A899,Finance_Data!B899,Finance_Data!C899,Finance_Data!D899,Finance_Data!E899,Finance_Data!G899,Finance_Data!H899)</f>
        <v>CMP_015_West_India_Perfume_Retail_45723_45745</v>
      </c>
    </row>
    <row r="900" spans="1:20" x14ac:dyDescent="0.35">
      <c r="A900" s="6" t="s">
        <v>78</v>
      </c>
      <c r="B900" s="1" t="s">
        <v>35</v>
      </c>
      <c r="C900" s="1" t="s">
        <v>58</v>
      </c>
      <c r="D900" s="1" t="s">
        <v>51</v>
      </c>
      <c r="E900" s="1" t="s">
        <v>38</v>
      </c>
      <c r="F900" s="1" t="s">
        <v>52</v>
      </c>
      <c r="G900" s="2">
        <v>45723</v>
      </c>
      <c r="H900" s="2">
        <v>45738</v>
      </c>
      <c r="I900" s="1">
        <v>1765.89</v>
      </c>
      <c r="J900" s="1">
        <v>0.58950000000000002</v>
      </c>
      <c r="K900" s="1">
        <v>1040.99</v>
      </c>
      <c r="L900" s="1">
        <v>16658</v>
      </c>
      <c r="M900" s="1">
        <v>573</v>
      </c>
      <c r="N900" s="1">
        <v>48956.15</v>
      </c>
      <c r="O900" s="1">
        <v>2025</v>
      </c>
      <c r="P900" s="1" t="s">
        <v>60</v>
      </c>
      <c r="Q900" s="1" t="s">
        <v>40</v>
      </c>
      <c r="R900" s="1" t="s">
        <v>61</v>
      </c>
      <c r="S900" s="1">
        <f t="shared" si="14"/>
        <v>16</v>
      </c>
      <c r="T900" s="7" t="str">
        <f>_xlfn.TEXTJOIN("_",TRUE,Finance_Data!A900,Finance_Data!B900,Finance_Data!C900,Finance_Data!D900,Finance_Data!E900,Finance_Data!G900,Finance_Data!H900)</f>
        <v>CMP_006_East_UK_Watch_Ecommerce_45723_45738</v>
      </c>
    </row>
    <row r="901" spans="1:20" x14ac:dyDescent="0.35">
      <c r="A901" s="6" t="s">
        <v>84</v>
      </c>
      <c r="B901" s="1" t="s">
        <v>48</v>
      </c>
      <c r="C901" s="1" t="s">
        <v>36</v>
      </c>
      <c r="D901" s="1" t="s">
        <v>21</v>
      </c>
      <c r="E901" s="1" t="s">
        <v>22</v>
      </c>
      <c r="F901" s="1" t="s">
        <v>49</v>
      </c>
      <c r="G901" s="2">
        <v>45724</v>
      </c>
      <c r="H901" s="2">
        <v>45756</v>
      </c>
      <c r="I901" s="1">
        <v>11723.22</v>
      </c>
      <c r="J901" s="1">
        <v>0.96689999999999998</v>
      </c>
      <c r="K901" s="1">
        <v>11335.18</v>
      </c>
      <c r="L901" s="1">
        <v>739716</v>
      </c>
      <c r="M901" s="1">
        <v>34044</v>
      </c>
      <c r="N901" s="1">
        <v>118814.72</v>
      </c>
      <c r="O901" s="1">
        <v>2025</v>
      </c>
      <c r="P901" s="1" t="s">
        <v>60</v>
      </c>
      <c r="Q901" s="1" t="s">
        <v>40</v>
      </c>
      <c r="R901" s="1" t="s">
        <v>41</v>
      </c>
      <c r="S901" s="1">
        <f t="shared" si="14"/>
        <v>33</v>
      </c>
      <c r="T901" s="7" t="str">
        <f>_xlfn.TEXTJOIN("_",TRUE,Finance_Data!A901,Finance_Data!B901,Finance_Data!C901,Finance_Data!D901,Finance_Data!E901,Finance_Data!G901,Finance_Data!H901)</f>
        <v>CMP_036_South_India_Foundation_Retail_45724_45756</v>
      </c>
    </row>
    <row r="902" spans="1:20" x14ac:dyDescent="0.35">
      <c r="A902" s="6" t="s">
        <v>50</v>
      </c>
      <c r="B902" s="1" t="s">
        <v>48</v>
      </c>
      <c r="C902" s="1" t="s">
        <v>20</v>
      </c>
      <c r="D902" s="1" t="s">
        <v>59</v>
      </c>
      <c r="E902" s="1" t="s">
        <v>22</v>
      </c>
      <c r="F902" s="1" t="s">
        <v>23</v>
      </c>
      <c r="G902" s="2">
        <v>45724</v>
      </c>
      <c r="H902" s="2">
        <v>45741</v>
      </c>
      <c r="I902" s="1">
        <v>6231.8</v>
      </c>
      <c r="J902" s="1">
        <v>0.2298</v>
      </c>
      <c r="K902" s="1">
        <v>1432.07</v>
      </c>
      <c r="L902" s="1">
        <v>809484</v>
      </c>
      <c r="M902" s="1">
        <v>40206</v>
      </c>
      <c r="N902" s="1">
        <v>156151.89000000001</v>
      </c>
      <c r="O902" s="1">
        <v>2025</v>
      </c>
      <c r="P902" s="1" t="s">
        <v>60</v>
      </c>
      <c r="Q902" s="1" t="s">
        <v>40</v>
      </c>
      <c r="R902" s="1" t="s">
        <v>41</v>
      </c>
      <c r="S902" s="1">
        <f t="shared" si="14"/>
        <v>18</v>
      </c>
      <c r="T902" s="7" t="str">
        <f>_xlfn.TEXTJOIN("_",TRUE,Finance_Data!A902,Finance_Data!B902,Finance_Data!C902,Finance_Data!D902,Finance_Data!E902,Finance_Data!G902,Finance_Data!H902)</f>
        <v>CMP_039_South_Singapore_Lipstick_Retail_45724_45741</v>
      </c>
    </row>
    <row r="903" spans="1:20" x14ac:dyDescent="0.35">
      <c r="A903" s="6" t="s">
        <v>27</v>
      </c>
      <c r="B903" s="1" t="s">
        <v>19</v>
      </c>
      <c r="C903" s="1" t="s">
        <v>36</v>
      </c>
      <c r="D903" s="1" t="s">
        <v>63</v>
      </c>
      <c r="E903" s="1" t="s">
        <v>38</v>
      </c>
      <c r="F903" s="1" t="s">
        <v>44</v>
      </c>
      <c r="G903" s="2">
        <v>45725</v>
      </c>
      <c r="H903" s="2">
        <v>45765</v>
      </c>
      <c r="I903" s="1">
        <v>15341.49</v>
      </c>
      <c r="J903" s="1">
        <v>0.78779999999999994</v>
      </c>
      <c r="K903" s="1">
        <v>12086.03</v>
      </c>
      <c r="L903" s="1">
        <v>562436</v>
      </c>
      <c r="M903" s="1">
        <v>17633</v>
      </c>
      <c r="N903" s="1">
        <v>83120.44</v>
      </c>
      <c r="O903" s="1">
        <v>2025</v>
      </c>
      <c r="P903" s="1" t="s">
        <v>60</v>
      </c>
      <c r="Q903" s="1" t="s">
        <v>40</v>
      </c>
      <c r="R903" s="1" t="s">
        <v>54</v>
      </c>
      <c r="S903" s="1">
        <f t="shared" si="14"/>
        <v>41</v>
      </c>
      <c r="T903" s="7" t="str">
        <f>_xlfn.TEXTJOIN("_",TRUE,Finance_Data!A903,Finance_Data!B903,Finance_Data!C903,Finance_Data!D903,Finance_Data!E903,Finance_Data!G903,Finance_Data!H903)</f>
        <v>CMP_035_North_India_Skincare_Ecommerce_45725_45765</v>
      </c>
    </row>
    <row r="904" spans="1:20" x14ac:dyDescent="0.35">
      <c r="A904" s="6" t="s">
        <v>78</v>
      </c>
      <c r="B904" s="1" t="s">
        <v>28</v>
      </c>
      <c r="C904" s="1" t="s">
        <v>20</v>
      </c>
      <c r="D904" s="1" t="s">
        <v>63</v>
      </c>
      <c r="E904" s="1" t="s">
        <v>38</v>
      </c>
      <c r="F904" s="1" t="s">
        <v>52</v>
      </c>
      <c r="G904" s="2">
        <v>45726</v>
      </c>
      <c r="H904" s="2">
        <v>45749</v>
      </c>
      <c r="I904" s="1">
        <v>18400.34</v>
      </c>
      <c r="J904" s="1">
        <v>0.81110000000000004</v>
      </c>
      <c r="K904" s="1">
        <v>14924.52</v>
      </c>
      <c r="L904" s="1">
        <v>521174</v>
      </c>
      <c r="M904" s="1">
        <v>48368</v>
      </c>
      <c r="N904" s="1">
        <v>114497.88</v>
      </c>
      <c r="O904" s="1">
        <v>2025</v>
      </c>
      <c r="P904" s="1" t="s">
        <v>60</v>
      </c>
      <c r="Q904" s="1" t="s">
        <v>40</v>
      </c>
      <c r="R904" s="1" t="s">
        <v>61</v>
      </c>
      <c r="S904" s="1">
        <f t="shared" si="14"/>
        <v>24</v>
      </c>
      <c r="T904" s="7" t="str">
        <f>_xlfn.TEXTJOIN("_",TRUE,Finance_Data!A904,Finance_Data!B904,Finance_Data!C904,Finance_Data!D904,Finance_Data!E904,Finance_Data!G904,Finance_Data!H904)</f>
        <v>CMP_006_West_Singapore_Skincare_Ecommerce_45726_45749</v>
      </c>
    </row>
    <row r="905" spans="1:20" x14ac:dyDescent="0.35">
      <c r="A905" s="6" t="s">
        <v>70</v>
      </c>
      <c r="B905" s="1" t="s">
        <v>48</v>
      </c>
      <c r="C905" s="1" t="s">
        <v>20</v>
      </c>
      <c r="D905" s="1" t="s">
        <v>59</v>
      </c>
      <c r="E905" s="1" t="s">
        <v>22</v>
      </c>
      <c r="F905" s="1" t="s">
        <v>49</v>
      </c>
      <c r="G905" s="2">
        <v>45727</v>
      </c>
      <c r="H905" s="2">
        <v>45773</v>
      </c>
      <c r="I905" s="1">
        <v>35067.1</v>
      </c>
      <c r="J905" s="1">
        <v>0.3513</v>
      </c>
      <c r="K905" s="1">
        <v>12319.07</v>
      </c>
      <c r="L905" s="1">
        <v>173459</v>
      </c>
      <c r="M905" s="1">
        <v>4032</v>
      </c>
      <c r="N905" s="1">
        <v>220883.5</v>
      </c>
      <c r="O905" s="1">
        <v>2025</v>
      </c>
      <c r="P905" s="1" t="s">
        <v>60</v>
      </c>
      <c r="Q905" s="1" t="s">
        <v>40</v>
      </c>
      <c r="R905" s="1" t="s">
        <v>54</v>
      </c>
      <c r="S905" s="1">
        <f t="shared" si="14"/>
        <v>47</v>
      </c>
      <c r="T905" s="7" t="str">
        <f>_xlfn.TEXTJOIN("_",TRUE,Finance_Data!A905,Finance_Data!B905,Finance_Data!C905,Finance_Data!D905,Finance_Data!E905,Finance_Data!G905,Finance_Data!H905)</f>
        <v>CMP_003_South_Singapore_Lipstick_Retail_45727_45773</v>
      </c>
    </row>
    <row r="906" spans="1:20" x14ac:dyDescent="0.35">
      <c r="A906" s="6" t="s">
        <v>57</v>
      </c>
      <c r="B906" s="1" t="s">
        <v>48</v>
      </c>
      <c r="C906" s="1" t="s">
        <v>29</v>
      </c>
      <c r="D906" s="1" t="s">
        <v>63</v>
      </c>
      <c r="E906" s="1" t="s">
        <v>22</v>
      </c>
      <c r="F906" s="1" t="s">
        <v>23</v>
      </c>
      <c r="G906" s="2">
        <v>45729</v>
      </c>
      <c r="H906" s="2">
        <v>45784</v>
      </c>
      <c r="I906" s="1">
        <v>23295.41</v>
      </c>
      <c r="J906" s="1">
        <v>0.51339999999999997</v>
      </c>
      <c r="K906" s="1">
        <v>11959.86</v>
      </c>
      <c r="L906" s="1">
        <v>775990</v>
      </c>
      <c r="M906" s="1">
        <v>36522</v>
      </c>
      <c r="N906" s="1">
        <v>167158.47</v>
      </c>
      <c r="O906" s="1">
        <v>2025</v>
      </c>
      <c r="P906" s="1" t="s">
        <v>60</v>
      </c>
      <c r="Q906" s="1" t="s">
        <v>40</v>
      </c>
      <c r="R906" s="1" t="s">
        <v>26</v>
      </c>
      <c r="S906" s="1">
        <f t="shared" si="14"/>
        <v>56</v>
      </c>
      <c r="T906" s="7" t="str">
        <f>_xlfn.TEXTJOIN("_",TRUE,Finance_Data!A906,Finance_Data!B906,Finance_Data!C906,Finance_Data!D906,Finance_Data!E906,Finance_Data!G906,Finance_Data!H906)</f>
        <v>CMP_032_South_Australia_Skincare_Retail_45729_45784</v>
      </c>
    </row>
    <row r="907" spans="1:20" x14ac:dyDescent="0.35">
      <c r="A907" s="6" t="s">
        <v>77</v>
      </c>
      <c r="B907" s="1" t="s">
        <v>48</v>
      </c>
      <c r="C907" s="1" t="s">
        <v>58</v>
      </c>
      <c r="D907" s="1" t="s">
        <v>43</v>
      </c>
      <c r="E907" s="1" t="s">
        <v>30</v>
      </c>
      <c r="F907" s="1" t="s">
        <v>49</v>
      </c>
      <c r="G907" s="2">
        <v>45729</v>
      </c>
      <c r="H907" s="2">
        <v>45779</v>
      </c>
      <c r="I907" s="1">
        <v>16575.09</v>
      </c>
      <c r="J907" s="1">
        <v>0.27179999999999999</v>
      </c>
      <c r="K907" s="1">
        <v>4505.1099999999997</v>
      </c>
      <c r="L907" s="1">
        <v>202800</v>
      </c>
      <c r="M907" s="1">
        <v>34218</v>
      </c>
      <c r="N907" s="1">
        <v>21703.23</v>
      </c>
      <c r="O907" s="1">
        <v>2025</v>
      </c>
      <c r="P907" s="1" t="s">
        <v>60</v>
      </c>
      <c r="Q907" s="1" t="s">
        <v>40</v>
      </c>
      <c r="R907" s="1" t="s">
        <v>26</v>
      </c>
      <c r="S907" s="1">
        <f t="shared" si="14"/>
        <v>51</v>
      </c>
      <c r="T907" s="7" t="str">
        <f>_xlfn.TEXTJOIN("_",TRUE,Finance_Data!A907,Finance_Data!B907,Finance_Data!C907,Finance_Data!D907,Finance_Data!E907,Finance_Data!G907,Finance_Data!H907)</f>
        <v>CMP_033_South_UK_Luxury Bag_Wholesale_45729_45779</v>
      </c>
    </row>
    <row r="908" spans="1:20" x14ac:dyDescent="0.35">
      <c r="A908" s="6" t="s">
        <v>82</v>
      </c>
      <c r="B908" s="1" t="s">
        <v>19</v>
      </c>
      <c r="C908" s="1" t="s">
        <v>20</v>
      </c>
      <c r="D908" s="1" t="s">
        <v>21</v>
      </c>
      <c r="E908" s="1" t="s">
        <v>22</v>
      </c>
      <c r="F908" s="1" t="s">
        <v>44</v>
      </c>
      <c r="G908" s="2">
        <v>45730</v>
      </c>
      <c r="H908" s="2">
        <v>45762</v>
      </c>
      <c r="I908" s="1">
        <v>28793.35</v>
      </c>
      <c r="J908" s="1">
        <v>0.41720000000000002</v>
      </c>
      <c r="K908" s="1">
        <v>12012.59</v>
      </c>
      <c r="L908" s="1">
        <v>737851</v>
      </c>
      <c r="M908" s="1">
        <v>15576</v>
      </c>
      <c r="N908" s="1">
        <v>47405.94</v>
      </c>
      <c r="O908" s="1">
        <v>2025</v>
      </c>
      <c r="P908" s="1" t="s">
        <v>60</v>
      </c>
      <c r="Q908" s="1" t="s">
        <v>40</v>
      </c>
      <c r="R908" s="1" t="s">
        <v>54</v>
      </c>
      <c r="S908" s="1">
        <f t="shared" si="14"/>
        <v>33</v>
      </c>
      <c r="T908" s="7" t="str">
        <f>_xlfn.TEXTJOIN("_",TRUE,Finance_Data!A908,Finance_Data!B908,Finance_Data!C908,Finance_Data!D908,Finance_Data!E908,Finance_Data!G908,Finance_Data!H908)</f>
        <v>CMP_043_North_Singapore_Foundation_Retail_45730_45762</v>
      </c>
    </row>
    <row r="909" spans="1:20" x14ac:dyDescent="0.35">
      <c r="A909" s="6" t="s">
        <v>34</v>
      </c>
      <c r="B909" s="1" t="s">
        <v>28</v>
      </c>
      <c r="C909" s="1" t="s">
        <v>29</v>
      </c>
      <c r="D909" s="1" t="s">
        <v>59</v>
      </c>
      <c r="E909" s="1" t="s">
        <v>38</v>
      </c>
      <c r="F909" s="1" t="s">
        <v>52</v>
      </c>
      <c r="G909" s="2">
        <v>45731</v>
      </c>
      <c r="H909" s="2">
        <v>45769</v>
      </c>
      <c r="I909" s="1">
        <v>16617.990000000002</v>
      </c>
      <c r="J909" s="1">
        <v>0.50539999999999996</v>
      </c>
      <c r="K909" s="1">
        <v>8398.73</v>
      </c>
      <c r="L909" s="1">
        <v>166466</v>
      </c>
      <c r="M909" s="1">
        <v>19753</v>
      </c>
      <c r="N909" s="1">
        <v>97232.75</v>
      </c>
      <c r="O909" s="1">
        <v>2025</v>
      </c>
      <c r="P909" s="1" t="s">
        <v>60</v>
      </c>
      <c r="Q909" s="1" t="s">
        <v>40</v>
      </c>
      <c r="R909" s="1" t="s">
        <v>54</v>
      </c>
      <c r="S909" s="1">
        <f t="shared" si="14"/>
        <v>39</v>
      </c>
      <c r="T909" s="7" t="str">
        <f>_xlfn.TEXTJOIN("_",TRUE,Finance_Data!A909,Finance_Data!B909,Finance_Data!C909,Finance_Data!D909,Finance_Data!E909,Finance_Data!G909,Finance_Data!H909)</f>
        <v>CMP_049_West_Australia_Lipstick_Ecommerce_45731_45769</v>
      </c>
    </row>
    <row r="910" spans="1:20" x14ac:dyDescent="0.35">
      <c r="A910" s="6" t="s">
        <v>114</v>
      </c>
      <c r="B910" s="1" t="s">
        <v>35</v>
      </c>
      <c r="C910" s="1" t="s">
        <v>29</v>
      </c>
      <c r="D910" s="1" t="s">
        <v>51</v>
      </c>
      <c r="E910" s="1" t="s">
        <v>38</v>
      </c>
      <c r="F910" s="1" t="s">
        <v>31</v>
      </c>
      <c r="G910" s="2">
        <v>45731</v>
      </c>
      <c r="H910" s="2">
        <v>45753</v>
      </c>
      <c r="I910" s="1">
        <v>46403.69</v>
      </c>
      <c r="J910" s="1">
        <v>0.12709999999999999</v>
      </c>
      <c r="K910" s="1">
        <v>5897.91</v>
      </c>
      <c r="L910" s="1">
        <v>84814</v>
      </c>
      <c r="M910" s="1">
        <v>23708</v>
      </c>
      <c r="N910" s="1">
        <v>14378.94</v>
      </c>
      <c r="O910" s="1">
        <v>2025</v>
      </c>
      <c r="P910" s="1" t="s">
        <v>60</v>
      </c>
      <c r="Q910" s="1" t="s">
        <v>40</v>
      </c>
      <c r="R910" s="1" t="s">
        <v>41</v>
      </c>
      <c r="S910" s="1">
        <f t="shared" si="14"/>
        <v>23</v>
      </c>
      <c r="T910" s="7" t="str">
        <f>_xlfn.TEXTJOIN("_",TRUE,Finance_Data!A910,Finance_Data!B910,Finance_Data!C910,Finance_Data!D910,Finance_Data!E910,Finance_Data!G910,Finance_Data!H910)</f>
        <v>CMP_013_East_Australia_Watch_Ecommerce_45731_45753</v>
      </c>
    </row>
    <row r="911" spans="1:20" x14ac:dyDescent="0.35">
      <c r="A911" s="6" t="s">
        <v>97</v>
      </c>
      <c r="B911" s="1" t="s">
        <v>35</v>
      </c>
      <c r="C911" s="1" t="s">
        <v>20</v>
      </c>
      <c r="D911" s="1" t="s">
        <v>59</v>
      </c>
      <c r="E911" s="1" t="s">
        <v>38</v>
      </c>
      <c r="F911" s="1" t="s">
        <v>23</v>
      </c>
      <c r="G911" s="2">
        <v>45735</v>
      </c>
      <c r="H911" s="2">
        <v>45780</v>
      </c>
      <c r="I911" s="1">
        <v>32717.96</v>
      </c>
      <c r="J911" s="1">
        <v>8.8400000000000006E-2</v>
      </c>
      <c r="K911" s="1">
        <v>2892.27</v>
      </c>
      <c r="L911" s="1">
        <v>109096</v>
      </c>
      <c r="M911" s="1">
        <v>36666</v>
      </c>
      <c r="N911" s="1">
        <v>171202.94</v>
      </c>
      <c r="O911" s="1">
        <v>2025</v>
      </c>
      <c r="P911" s="1" t="s">
        <v>60</v>
      </c>
      <c r="Q911" s="1" t="s">
        <v>40</v>
      </c>
      <c r="R911" s="1" t="s">
        <v>61</v>
      </c>
      <c r="S911" s="1">
        <f t="shared" si="14"/>
        <v>46</v>
      </c>
      <c r="T911" s="7" t="str">
        <f>_xlfn.TEXTJOIN("_",TRUE,Finance_Data!A911,Finance_Data!B911,Finance_Data!C911,Finance_Data!D911,Finance_Data!E911,Finance_Data!G911,Finance_Data!H911)</f>
        <v>CMP_019_East_Singapore_Lipstick_Ecommerce_45735_45780</v>
      </c>
    </row>
    <row r="912" spans="1:20" x14ac:dyDescent="0.35">
      <c r="A912" s="6" t="s">
        <v>50</v>
      </c>
      <c r="B912" s="1" t="s">
        <v>48</v>
      </c>
      <c r="C912" s="1" t="s">
        <v>69</v>
      </c>
      <c r="D912" s="1" t="s">
        <v>37</v>
      </c>
      <c r="E912" s="1" t="s">
        <v>22</v>
      </c>
      <c r="F912" s="1" t="s">
        <v>52</v>
      </c>
      <c r="G912" s="2">
        <v>45735</v>
      </c>
      <c r="H912" s="2">
        <v>45755</v>
      </c>
      <c r="I912" s="1">
        <v>1437.56</v>
      </c>
      <c r="J912" s="1">
        <v>0.06</v>
      </c>
      <c r="K912" s="1">
        <v>86.25</v>
      </c>
      <c r="L912" s="1">
        <v>831533</v>
      </c>
      <c r="M912" s="1">
        <v>45369</v>
      </c>
      <c r="N912" s="1">
        <v>121441.32</v>
      </c>
      <c r="O912" s="1">
        <v>2025</v>
      </c>
      <c r="P912" s="1" t="s">
        <v>60</v>
      </c>
      <c r="Q912" s="1" t="s">
        <v>40</v>
      </c>
      <c r="R912" s="1" t="s">
        <v>54</v>
      </c>
      <c r="S912" s="1">
        <f t="shared" si="14"/>
        <v>21</v>
      </c>
      <c r="T912" s="7" t="str">
        <f>_xlfn.TEXTJOIN("_",TRUE,Finance_Data!A912,Finance_Data!B912,Finance_Data!C912,Finance_Data!D912,Finance_Data!E912,Finance_Data!G912,Finance_Data!H912)</f>
        <v>CMP_039_South_USA_Perfume_Retail_45735_45755</v>
      </c>
    </row>
    <row r="913" spans="1:20" x14ac:dyDescent="0.35">
      <c r="A913" s="6" t="s">
        <v>108</v>
      </c>
      <c r="B913" s="1" t="s">
        <v>28</v>
      </c>
      <c r="C913" s="1" t="s">
        <v>58</v>
      </c>
      <c r="D913" s="1" t="s">
        <v>43</v>
      </c>
      <c r="E913" s="1" t="s">
        <v>38</v>
      </c>
      <c r="F913" s="1" t="s">
        <v>23</v>
      </c>
      <c r="G913" s="2">
        <v>45736</v>
      </c>
      <c r="H913" s="2">
        <v>45759</v>
      </c>
      <c r="I913" s="1">
        <v>28821.279999999999</v>
      </c>
      <c r="J913" s="1">
        <v>0.91120000000000001</v>
      </c>
      <c r="K913" s="1">
        <v>26261.95</v>
      </c>
      <c r="L913" s="1">
        <v>194019</v>
      </c>
      <c r="M913" s="1">
        <v>40139</v>
      </c>
      <c r="N913" s="1">
        <v>214755.89</v>
      </c>
      <c r="O913" s="1">
        <v>2025</v>
      </c>
      <c r="P913" s="1" t="s">
        <v>60</v>
      </c>
      <c r="Q913" s="1" t="s">
        <v>40</v>
      </c>
      <c r="R913" s="1" t="s">
        <v>54</v>
      </c>
      <c r="S913" s="1">
        <f t="shared" si="14"/>
        <v>24</v>
      </c>
      <c r="T913" s="7" t="str">
        <f>_xlfn.TEXTJOIN("_",TRUE,Finance_Data!A913,Finance_Data!B913,Finance_Data!C913,Finance_Data!D913,Finance_Data!E913,Finance_Data!G913,Finance_Data!H913)</f>
        <v>CMP_058_West_UK_Luxury Bag_Ecommerce_45736_45759</v>
      </c>
    </row>
    <row r="914" spans="1:20" x14ac:dyDescent="0.35">
      <c r="A914" s="6" t="s">
        <v>89</v>
      </c>
      <c r="B914" s="1" t="s">
        <v>48</v>
      </c>
      <c r="C914" s="1" t="s">
        <v>36</v>
      </c>
      <c r="D914" s="1" t="s">
        <v>63</v>
      </c>
      <c r="E914" s="1" t="s">
        <v>30</v>
      </c>
      <c r="F914" s="1" t="s">
        <v>23</v>
      </c>
      <c r="G914" s="2">
        <v>45737</v>
      </c>
      <c r="H914" s="2">
        <v>45773</v>
      </c>
      <c r="I914" s="1">
        <v>3071.97</v>
      </c>
      <c r="J914" s="1">
        <v>0.34689999999999999</v>
      </c>
      <c r="K914" s="1">
        <v>1065.67</v>
      </c>
      <c r="L914" s="1">
        <v>35422</v>
      </c>
      <c r="M914" s="1">
        <v>15173</v>
      </c>
      <c r="N914" s="1">
        <v>159731.1</v>
      </c>
      <c r="O914" s="1">
        <v>2025</v>
      </c>
      <c r="P914" s="1" t="s">
        <v>60</v>
      </c>
      <c r="Q914" s="1" t="s">
        <v>40</v>
      </c>
      <c r="R914" s="1" t="s">
        <v>54</v>
      </c>
      <c r="S914" s="1">
        <f t="shared" si="14"/>
        <v>37</v>
      </c>
      <c r="T914" s="7" t="str">
        <f>_xlfn.TEXTJOIN("_",TRUE,Finance_Data!A914,Finance_Data!B914,Finance_Data!C914,Finance_Data!D914,Finance_Data!E914,Finance_Data!G914,Finance_Data!H914)</f>
        <v>CMP_045_South_India_Skincare_Wholesale_45737_45773</v>
      </c>
    </row>
    <row r="915" spans="1:20" x14ac:dyDescent="0.35">
      <c r="A915" s="6" t="s">
        <v>62</v>
      </c>
      <c r="B915" s="1" t="s">
        <v>19</v>
      </c>
      <c r="C915" s="1" t="s">
        <v>20</v>
      </c>
      <c r="D915" s="1" t="s">
        <v>51</v>
      </c>
      <c r="E915" s="1" t="s">
        <v>38</v>
      </c>
      <c r="F915" s="1" t="s">
        <v>52</v>
      </c>
      <c r="G915" s="2">
        <v>45738</v>
      </c>
      <c r="H915" s="2">
        <v>45773</v>
      </c>
      <c r="I915" s="1">
        <v>44471.43</v>
      </c>
      <c r="J915" s="1">
        <v>1.7899999999999999E-2</v>
      </c>
      <c r="K915" s="1">
        <v>796.04</v>
      </c>
      <c r="L915" s="1">
        <v>934879</v>
      </c>
      <c r="M915" s="1">
        <v>9207</v>
      </c>
      <c r="N915" s="1">
        <v>112775.18</v>
      </c>
      <c r="O915" s="1">
        <v>2025</v>
      </c>
      <c r="P915" s="1" t="s">
        <v>60</v>
      </c>
      <c r="Q915" s="1" t="s">
        <v>40</v>
      </c>
      <c r="R915" s="1" t="s">
        <v>61</v>
      </c>
      <c r="S915" s="1">
        <f t="shared" si="14"/>
        <v>36</v>
      </c>
      <c r="T915" s="7" t="str">
        <f>_xlfn.TEXTJOIN("_",TRUE,Finance_Data!A915,Finance_Data!B915,Finance_Data!C915,Finance_Data!D915,Finance_Data!E915,Finance_Data!G915,Finance_Data!H915)</f>
        <v>CMP_015_North_Singapore_Watch_Ecommerce_45738_45773</v>
      </c>
    </row>
    <row r="916" spans="1:20" x14ac:dyDescent="0.35">
      <c r="A916" s="6" t="s">
        <v>55</v>
      </c>
      <c r="B916" s="1" t="s">
        <v>35</v>
      </c>
      <c r="C916" s="1" t="s">
        <v>36</v>
      </c>
      <c r="D916" s="1" t="s">
        <v>59</v>
      </c>
      <c r="E916" s="1" t="s">
        <v>30</v>
      </c>
      <c r="F916" s="1" t="s">
        <v>23</v>
      </c>
      <c r="G916" s="2">
        <v>45740</v>
      </c>
      <c r="H916" s="2">
        <v>45790</v>
      </c>
      <c r="I916" s="1">
        <v>3856.7</v>
      </c>
      <c r="J916" s="1">
        <v>0.74419999999999997</v>
      </c>
      <c r="K916" s="1">
        <v>2870.16</v>
      </c>
      <c r="L916" s="1">
        <v>564718</v>
      </c>
      <c r="M916" s="1">
        <v>2764</v>
      </c>
      <c r="N916" s="1">
        <v>184903.58</v>
      </c>
      <c r="O916" s="1">
        <v>2025</v>
      </c>
      <c r="P916" s="1" t="s">
        <v>60</v>
      </c>
      <c r="Q916" s="1" t="s">
        <v>40</v>
      </c>
      <c r="R916" s="1" t="s">
        <v>26</v>
      </c>
      <c r="S916" s="1">
        <f t="shared" si="14"/>
        <v>51</v>
      </c>
      <c r="T916" s="7" t="str">
        <f>_xlfn.TEXTJOIN("_",TRUE,Finance_Data!A916,Finance_Data!B916,Finance_Data!C916,Finance_Data!D916,Finance_Data!E916,Finance_Data!G916,Finance_Data!H916)</f>
        <v>CMP_054_East_India_Lipstick_Wholesale_45740_45790</v>
      </c>
    </row>
    <row r="917" spans="1:20" x14ac:dyDescent="0.35">
      <c r="A917" s="6" t="s">
        <v>81</v>
      </c>
      <c r="B917" s="1" t="s">
        <v>35</v>
      </c>
      <c r="C917" s="1" t="s">
        <v>36</v>
      </c>
      <c r="D917" s="1" t="s">
        <v>43</v>
      </c>
      <c r="E917" s="1" t="s">
        <v>30</v>
      </c>
      <c r="F917" s="1" t="s">
        <v>52</v>
      </c>
      <c r="G917" s="2">
        <v>45742</v>
      </c>
      <c r="H917" s="2">
        <v>45798</v>
      </c>
      <c r="I917" s="1">
        <v>42623.9</v>
      </c>
      <c r="J917" s="1">
        <v>0.36099999999999999</v>
      </c>
      <c r="K917" s="1">
        <v>15387.23</v>
      </c>
      <c r="L917" s="1">
        <v>674845</v>
      </c>
      <c r="M917" s="1">
        <v>9542</v>
      </c>
      <c r="N917" s="1">
        <v>78023.839999999997</v>
      </c>
      <c r="O917" s="1">
        <v>2025</v>
      </c>
      <c r="P917" s="1" t="s">
        <v>60</v>
      </c>
      <c r="Q917" s="1" t="s">
        <v>40</v>
      </c>
      <c r="R917" s="1" t="s">
        <v>26</v>
      </c>
      <c r="S917" s="1">
        <f t="shared" si="14"/>
        <v>57</v>
      </c>
      <c r="T917" s="7" t="str">
        <f>_xlfn.TEXTJOIN("_",TRUE,Finance_Data!A917,Finance_Data!B917,Finance_Data!C917,Finance_Data!D917,Finance_Data!E917,Finance_Data!G917,Finance_Data!H917)</f>
        <v>CMP_057_East_India_Luxury Bag_Wholesale_45742_45798</v>
      </c>
    </row>
    <row r="918" spans="1:20" x14ac:dyDescent="0.35">
      <c r="A918" s="6" t="s">
        <v>87</v>
      </c>
      <c r="B918" s="1" t="s">
        <v>48</v>
      </c>
      <c r="C918" s="1" t="s">
        <v>58</v>
      </c>
      <c r="D918" s="1" t="s">
        <v>43</v>
      </c>
      <c r="E918" s="1" t="s">
        <v>38</v>
      </c>
      <c r="F918" s="1" t="s">
        <v>49</v>
      </c>
      <c r="G918" s="2">
        <v>45743</v>
      </c>
      <c r="H918" s="2">
        <v>45773</v>
      </c>
      <c r="I918" s="1">
        <v>31858.26</v>
      </c>
      <c r="J918" s="1">
        <v>0.23180000000000001</v>
      </c>
      <c r="K918" s="1">
        <v>7384.74</v>
      </c>
      <c r="L918" s="1">
        <v>699237</v>
      </c>
      <c r="M918" s="1">
        <v>28420</v>
      </c>
      <c r="N918" s="1">
        <v>101917.68</v>
      </c>
      <c r="O918" s="1">
        <v>2025</v>
      </c>
      <c r="P918" s="1" t="s">
        <v>60</v>
      </c>
      <c r="Q918" s="1" t="s">
        <v>40</v>
      </c>
      <c r="R918" s="1" t="s">
        <v>26</v>
      </c>
      <c r="S918" s="1">
        <f t="shared" si="14"/>
        <v>31</v>
      </c>
      <c r="T918" s="7" t="str">
        <f>_xlfn.TEXTJOIN("_",TRUE,Finance_Data!A918,Finance_Data!B918,Finance_Data!C918,Finance_Data!D918,Finance_Data!E918,Finance_Data!G918,Finance_Data!H918)</f>
        <v>CMP_048_South_UK_Luxury Bag_Ecommerce_45743_45773</v>
      </c>
    </row>
    <row r="919" spans="1:20" x14ac:dyDescent="0.35">
      <c r="A919" s="6" t="s">
        <v>27</v>
      </c>
      <c r="B919" s="1" t="s">
        <v>35</v>
      </c>
      <c r="C919" s="1" t="s">
        <v>58</v>
      </c>
      <c r="D919" s="1" t="s">
        <v>21</v>
      </c>
      <c r="E919" s="1" t="s">
        <v>30</v>
      </c>
      <c r="F919" s="1" t="s">
        <v>23</v>
      </c>
      <c r="G919" s="2">
        <v>45743</v>
      </c>
      <c r="H919" s="2">
        <v>45750</v>
      </c>
      <c r="I919" s="1">
        <v>32636.959999999999</v>
      </c>
      <c r="J919" s="1">
        <v>0.58299999999999996</v>
      </c>
      <c r="K919" s="1">
        <v>19027.349999999999</v>
      </c>
      <c r="L919" s="1">
        <v>667667</v>
      </c>
      <c r="M919" s="1">
        <v>30287</v>
      </c>
      <c r="N919" s="1">
        <v>223554.29</v>
      </c>
      <c r="O919" s="1">
        <v>2025</v>
      </c>
      <c r="P919" s="1" t="s">
        <v>60</v>
      </c>
      <c r="Q919" s="1" t="s">
        <v>40</v>
      </c>
      <c r="R919" s="1" t="s">
        <v>41</v>
      </c>
      <c r="S919" s="1">
        <f t="shared" si="14"/>
        <v>8</v>
      </c>
      <c r="T919" s="7" t="str">
        <f>_xlfn.TEXTJOIN("_",TRUE,Finance_Data!A919,Finance_Data!B919,Finance_Data!C919,Finance_Data!D919,Finance_Data!E919,Finance_Data!G919,Finance_Data!H919)</f>
        <v>CMP_035_East_UK_Foundation_Wholesale_45743_45750</v>
      </c>
    </row>
    <row r="920" spans="1:20" x14ac:dyDescent="0.35">
      <c r="A920" s="6" t="s">
        <v>81</v>
      </c>
      <c r="B920" s="1" t="s">
        <v>28</v>
      </c>
      <c r="C920" s="1" t="s">
        <v>58</v>
      </c>
      <c r="D920" s="1" t="s">
        <v>59</v>
      </c>
      <c r="E920" s="1" t="s">
        <v>22</v>
      </c>
      <c r="F920" s="1" t="s">
        <v>49</v>
      </c>
      <c r="G920" s="2">
        <v>45744</v>
      </c>
      <c r="H920" s="2">
        <v>45767</v>
      </c>
      <c r="I920" s="1">
        <v>30253.18</v>
      </c>
      <c r="J920" s="1">
        <v>0.95820000000000005</v>
      </c>
      <c r="K920" s="1">
        <v>28988.6</v>
      </c>
      <c r="L920" s="1">
        <v>584842</v>
      </c>
      <c r="M920" s="1">
        <v>24587</v>
      </c>
      <c r="N920" s="1">
        <v>51199.89</v>
      </c>
      <c r="O920" s="1">
        <v>2025</v>
      </c>
      <c r="P920" s="1" t="s">
        <v>60</v>
      </c>
      <c r="Q920" s="1" t="s">
        <v>40</v>
      </c>
      <c r="R920" s="1" t="s">
        <v>54</v>
      </c>
      <c r="S920" s="1">
        <f t="shared" si="14"/>
        <v>24</v>
      </c>
      <c r="T920" s="7" t="str">
        <f>_xlfn.TEXTJOIN("_",TRUE,Finance_Data!A920,Finance_Data!B920,Finance_Data!C920,Finance_Data!D920,Finance_Data!E920,Finance_Data!G920,Finance_Data!H920)</f>
        <v>CMP_057_West_UK_Lipstick_Retail_45744_45767</v>
      </c>
    </row>
    <row r="921" spans="1:20" x14ac:dyDescent="0.35">
      <c r="A921" s="6" t="s">
        <v>115</v>
      </c>
      <c r="B921" s="1" t="s">
        <v>35</v>
      </c>
      <c r="C921" s="1" t="s">
        <v>36</v>
      </c>
      <c r="D921" s="1" t="s">
        <v>51</v>
      </c>
      <c r="E921" s="1" t="s">
        <v>38</v>
      </c>
      <c r="F921" s="1" t="s">
        <v>44</v>
      </c>
      <c r="G921" s="2">
        <v>45744</v>
      </c>
      <c r="H921" s="2">
        <v>45767</v>
      </c>
      <c r="I921" s="1">
        <v>15171.21</v>
      </c>
      <c r="J921" s="1">
        <v>5.1999999999999998E-2</v>
      </c>
      <c r="K921" s="1">
        <v>788.9</v>
      </c>
      <c r="L921" s="1">
        <v>977693</v>
      </c>
      <c r="M921" s="1">
        <v>39266</v>
      </c>
      <c r="N921" s="1">
        <v>188609.19</v>
      </c>
      <c r="O921" s="1">
        <v>2025</v>
      </c>
      <c r="P921" s="1" t="s">
        <v>60</v>
      </c>
      <c r="Q921" s="1" t="s">
        <v>40</v>
      </c>
      <c r="R921" s="1" t="s">
        <v>61</v>
      </c>
      <c r="S921" s="1">
        <f t="shared" si="14"/>
        <v>24</v>
      </c>
      <c r="T921" s="7" t="str">
        <f>_xlfn.TEXTJOIN("_",TRUE,Finance_Data!A921,Finance_Data!B921,Finance_Data!C921,Finance_Data!D921,Finance_Data!E921,Finance_Data!G921,Finance_Data!H921)</f>
        <v>CMP_047_East_India_Watch_Ecommerce_45744_45767</v>
      </c>
    </row>
    <row r="922" spans="1:20" x14ac:dyDescent="0.35">
      <c r="A922" s="6" t="s">
        <v>71</v>
      </c>
      <c r="B922" s="1" t="s">
        <v>48</v>
      </c>
      <c r="C922" s="1" t="s">
        <v>20</v>
      </c>
      <c r="D922" s="1" t="s">
        <v>63</v>
      </c>
      <c r="E922" s="1" t="s">
        <v>22</v>
      </c>
      <c r="F922" s="1" t="s">
        <v>52</v>
      </c>
      <c r="G922" s="2">
        <v>45744</v>
      </c>
      <c r="H922" s="2">
        <v>45760</v>
      </c>
      <c r="I922" s="1">
        <v>6386.39</v>
      </c>
      <c r="J922" s="1">
        <v>1.0410999999999999</v>
      </c>
      <c r="K922" s="1">
        <v>6648.87</v>
      </c>
      <c r="L922" s="1">
        <v>148205</v>
      </c>
      <c r="M922" s="1">
        <v>1073</v>
      </c>
      <c r="N922" s="1">
        <v>92769.36</v>
      </c>
      <c r="O922" s="1">
        <v>2025</v>
      </c>
      <c r="P922" s="1" t="s">
        <v>60</v>
      </c>
      <c r="Q922" s="1" t="s">
        <v>40</v>
      </c>
      <c r="R922" s="1" t="s">
        <v>41</v>
      </c>
      <c r="S922" s="1">
        <f t="shared" si="14"/>
        <v>17</v>
      </c>
      <c r="T922" s="7" t="str">
        <f>_xlfn.TEXTJOIN("_",TRUE,Finance_Data!A922,Finance_Data!B922,Finance_Data!C922,Finance_Data!D922,Finance_Data!E922,Finance_Data!G922,Finance_Data!H922)</f>
        <v>CMP_051_South_Singapore_Skincare_Retail_45744_45760</v>
      </c>
    </row>
    <row r="923" spans="1:20" x14ac:dyDescent="0.35">
      <c r="A923" s="6" t="s">
        <v>83</v>
      </c>
      <c r="B923" s="1" t="s">
        <v>48</v>
      </c>
      <c r="C923" s="1" t="s">
        <v>69</v>
      </c>
      <c r="D923" s="1" t="s">
        <v>37</v>
      </c>
      <c r="E923" s="1" t="s">
        <v>38</v>
      </c>
      <c r="F923" s="1" t="s">
        <v>31</v>
      </c>
      <c r="G923" s="2">
        <v>45746</v>
      </c>
      <c r="H923" s="2">
        <v>45771</v>
      </c>
      <c r="I923" s="1">
        <v>21208.87</v>
      </c>
      <c r="J923" s="1">
        <v>0.43020000000000003</v>
      </c>
      <c r="K923" s="1">
        <v>9124.06</v>
      </c>
      <c r="L923" s="1">
        <v>571671</v>
      </c>
      <c r="M923" s="1">
        <v>737</v>
      </c>
      <c r="N923" s="1">
        <v>176700.55</v>
      </c>
      <c r="O923" s="1">
        <v>2025</v>
      </c>
      <c r="P923" s="1" t="s">
        <v>60</v>
      </c>
      <c r="Q923" s="1" t="s">
        <v>40</v>
      </c>
      <c r="R923" s="1" t="s">
        <v>26</v>
      </c>
      <c r="S923" s="1">
        <f t="shared" si="14"/>
        <v>26</v>
      </c>
      <c r="T923" s="7" t="str">
        <f>_xlfn.TEXTJOIN("_",TRUE,Finance_Data!A923,Finance_Data!B923,Finance_Data!C923,Finance_Data!D923,Finance_Data!E923,Finance_Data!G923,Finance_Data!H923)</f>
        <v>CMP_017_South_USA_Perfume_Ecommerce_45746_45771</v>
      </c>
    </row>
    <row r="924" spans="1:20" x14ac:dyDescent="0.35">
      <c r="A924" s="6" t="s">
        <v>120</v>
      </c>
      <c r="B924" s="1" t="s">
        <v>19</v>
      </c>
      <c r="C924" s="1" t="s">
        <v>36</v>
      </c>
      <c r="D924" s="1" t="s">
        <v>43</v>
      </c>
      <c r="E924" s="1" t="s">
        <v>22</v>
      </c>
      <c r="F924" s="1" t="s">
        <v>44</v>
      </c>
      <c r="G924" s="2">
        <v>45747</v>
      </c>
      <c r="H924" s="2">
        <v>45762</v>
      </c>
      <c r="I924" s="1">
        <v>45622.04</v>
      </c>
      <c r="J924" s="1">
        <v>0.40450000000000003</v>
      </c>
      <c r="K924" s="1">
        <v>18454.12</v>
      </c>
      <c r="L924" s="1">
        <v>236088</v>
      </c>
      <c r="M924" s="1">
        <v>36338</v>
      </c>
      <c r="N924" s="1">
        <v>184666.92</v>
      </c>
      <c r="O924" s="1">
        <v>2025</v>
      </c>
      <c r="P924" s="1" t="s">
        <v>60</v>
      </c>
      <c r="Q924" s="1" t="s">
        <v>40</v>
      </c>
      <c r="R924" s="1" t="s">
        <v>54</v>
      </c>
      <c r="S924" s="1">
        <f t="shared" si="14"/>
        <v>16</v>
      </c>
      <c r="T924" s="7" t="str">
        <f>_xlfn.TEXTJOIN("_",TRUE,Finance_Data!A924,Finance_Data!B924,Finance_Data!C924,Finance_Data!D924,Finance_Data!E924,Finance_Data!G924,Finance_Data!H924)</f>
        <v>CMP_001_North_India_Luxury Bag_Retail_45747_45762</v>
      </c>
    </row>
    <row r="925" spans="1:20" x14ac:dyDescent="0.35">
      <c r="A925" s="6" t="s">
        <v>89</v>
      </c>
      <c r="B925" s="1" t="s">
        <v>48</v>
      </c>
      <c r="C925" s="1" t="s">
        <v>36</v>
      </c>
      <c r="D925" s="1" t="s">
        <v>59</v>
      </c>
      <c r="E925" s="1" t="s">
        <v>38</v>
      </c>
      <c r="F925" s="1" t="s">
        <v>52</v>
      </c>
      <c r="G925" s="2">
        <v>45750</v>
      </c>
      <c r="H925" s="2">
        <v>45774</v>
      </c>
      <c r="I925" s="1">
        <v>5294.12</v>
      </c>
      <c r="J925" s="1">
        <v>0.17080000000000001</v>
      </c>
      <c r="K925" s="1">
        <v>904.24</v>
      </c>
      <c r="L925" s="1">
        <v>210070</v>
      </c>
      <c r="M925" s="1">
        <v>7434</v>
      </c>
      <c r="N925" s="1">
        <v>204912.21</v>
      </c>
      <c r="O925" s="1">
        <v>2025</v>
      </c>
      <c r="P925" s="1" t="s">
        <v>76</v>
      </c>
      <c r="Q925" s="1" t="s">
        <v>46</v>
      </c>
      <c r="R925" s="1" t="s">
        <v>61</v>
      </c>
      <c r="S925" s="1">
        <f t="shared" si="14"/>
        <v>25</v>
      </c>
      <c r="T925" s="7" t="str">
        <f>_xlfn.TEXTJOIN("_",TRUE,Finance_Data!A925,Finance_Data!B925,Finance_Data!C925,Finance_Data!D925,Finance_Data!E925,Finance_Data!G925,Finance_Data!H925)</f>
        <v>CMP_045_South_India_Lipstick_Ecommerce_45750_45774</v>
      </c>
    </row>
    <row r="926" spans="1:20" x14ac:dyDescent="0.35">
      <c r="A926" s="6" t="s">
        <v>55</v>
      </c>
      <c r="B926" s="1" t="s">
        <v>35</v>
      </c>
      <c r="C926" s="1" t="s">
        <v>20</v>
      </c>
      <c r="D926" s="1" t="s">
        <v>51</v>
      </c>
      <c r="E926" s="1" t="s">
        <v>22</v>
      </c>
      <c r="F926" s="1" t="s">
        <v>52</v>
      </c>
      <c r="G926" s="2">
        <v>45751</v>
      </c>
      <c r="H926" s="2">
        <v>45764</v>
      </c>
      <c r="I926" s="1">
        <v>7770.82</v>
      </c>
      <c r="J926" s="1">
        <v>0.72699999999999998</v>
      </c>
      <c r="K926" s="1">
        <v>5649.39</v>
      </c>
      <c r="L926" s="1">
        <v>939496</v>
      </c>
      <c r="M926" s="1">
        <v>49148</v>
      </c>
      <c r="N926" s="1">
        <v>130512.18</v>
      </c>
      <c r="O926" s="1">
        <v>2025</v>
      </c>
      <c r="P926" s="1" t="s">
        <v>76</v>
      </c>
      <c r="Q926" s="1" t="s">
        <v>46</v>
      </c>
      <c r="R926" s="1" t="s">
        <v>61</v>
      </c>
      <c r="S926" s="1">
        <f t="shared" si="14"/>
        <v>14</v>
      </c>
      <c r="T926" s="7" t="str">
        <f>_xlfn.TEXTJOIN("_",TRUE,Finance_Data!A926,Finance_Data!B926,Finance_Data!C926,Finance_Data!D926,Finance_Data!E926,Finance_Data!G926,Finance_Data!H926)</f>
        <v>CMP_054_East_Singapore_Watch_Retail_45751_45764</v>
      </c>
    </row>
    <row r="927" spans="1:20" x14ac:dyDescent="0.35">
      <c r="A927" s="6" t="s">
        <v>87</v>
      </c>
      <c r="B927" s="1" t="s">
        <v>19</v>
      </c>
      <c r="C927" s="1" t="s">
        <v>58</v>
      </c>
      <c r="D927" s="1" t="s">
        <v>43</v>
      </c>
      <c r="E927" s="1" t="s">
        <v>30</v>
      </c>
      <c r="F927" s="1" t="s">
        <v>23</v>
      </c>
      <c r="G927" s="2">
        <v>45752</v>
      </c>
      <c r="H927" s="2">
        <v>45810</v>
      </c>
      <c r="I927" s="1">
        <v>6086.79</v>
      </c>
      <c r="J927" s="1">
        <v>0.78310000000000002</v>
      </c>
      <c r="K927" s="1">
        <v>4766.57</v>
      </c>
      <c r="L927" s="1">
        <v>656195</v>
      </c>
      <c r="M927" s="1">
        <v>27053</v>
      </c>
      <c r="N927" s="1">
        <v>30400.45</v>
      </c>
      <c r="O927" s="1">
        <v>2025</v>
      </c>
      <c r="P927" s="1" t="s">
        <v>76</v>
      </c>
      <c r="Q927" s="1" t="s">
        <v>46</v>
      </c>
      <c r="R927" s="1" t="s">
        <v>41</v>
      </c>
      <c r="S927" s="1">
        <f t="shared" si="14"/>
        <v>59</v>
      </c>
      <c r="T927" s="7" t="str">
        <f>_xlfn.TEXTJOIN("_",TRUE,Finance_Data!A927,Finance_Data!B927,Finance_Data!C927,Finance_Data!D927,Finance_Data!E927,Finance_Data!G927,Finance_Data!H927)</f>
        <v>CMP_048_North_UK_Luxury Bag_Wholesale_45752_45810</v>
      </c>
    </row>
    <row r="928" spans="1:20" x14ac:dyDescent="0.35">
      <c r="A928" s="6" t="s">
        <v>104</v>
      </c>
      <c r="B928" s="1" t="s">
        <v>35</v>
      </c>
      <c r="C928" s="1" t="s">
        <v>69</v>
      </c>
      <c r="D928" s="1" t="s">
        <v>63</v>
      </c>
      <c r="E928" s="1" t="s">
        <v>38</v>
      </c>
      <c r="F928" s="1" t="s">
        <v>23</v>
      </c>
      <c r="G928" s="2">
        <v>45752</v>
      </c>
      <c r="H928" s="2">
        <v>45768</v>
      </c>
      <c r="I928" s="1">
        <v>6243.81</v>
      </c>
      <c r="J928" s="1">
        <v>0.1246</v>
      </c>
      <c r="K928" s="1">
        <v>777.98</v>
      </c>
      <c r="L928" s="1">
        <v>166130</v>
      </c>
      <c r="M928" s="1">
        <v>15892</v>
      </c>
      <c r="N928" s="1">
        <v>52023.35</v>
      </c>
      <c r="O928" s="1">
        <v>2025</v>
      </c>
      <c r="P928" s="1" t="s">
        <v>76</v>
      </c>
      <c r="Q928" s="1" t="s">
        <v>46</v>
      </c>
      <c r="R928" s="1" t="s">
        <v>41</v>
      </c>
      <c r="S928" s="1">
        <f t="shared" si="14"/>
        <v>17</v>
      </c>
      <c r="T928" s="7" t="str">
        <f>_xlfn.TEXTJOIN("_",TRUE,Finance_Data!A928,Finance_Data!B928,Finance_Data!C928,Finance_Data!D928,Finance_Data!E928,Finance_Data!G928,Finance_Data!H928)</f>
        <v>CMP_034_East_USA_Skincare_Ecommerce_45752_45768</v>
      </c>
    </row>
    <row r="929" spans="1:20" x14ac:dyDescent="0.35">
      <c r="A929" s="6" t="s">
        <v>57</v>
      </c>
      <c r="B929" s="1" t="s">
        <v>28</v>
      </c>
      <c r="C929" s="1" t="s">
        <v>20</v>
      </c>
      <c r="D929" s="1" t="s">
        <v>63</v>
      </c>
      <c r="E929" s="1" t="s">
        <v>22</v>
      </c>
      <c r="F929" s="1" t="s">
        <v>49</v>
      </c>
      <c r="G929" s="2">
        <v>45753</v>
      </c>
      <c r="H929" s="2">
        <v>45785</v>
      </c>
      <c r="I929" s="1">
        <v>14327.05</v>
      </c>
      <c r="J929" s="1">
        <v>8.5999999999999993E-2</v>
      </c>
      <c r="K929" s="1">
        <v>1232.1300000000001</v>
      </c>
      <c r="L929" s="1">
        <v>756925</v>
      </c>
      <c r="M929" s="1">
        <v>37891</v>
      </c>
      <c r="N929" s="1">
        <v>158745.54</v>
      </c>
      <c r="O929" s="1">
        <v>2025</v>
      </c>
      <c r="P929" s="1" t="s">
        <v>76</v>
      </c>
      <c r="Q929" s="1" t="s">
        <v>46</v>
      </c>
      <c r="R929" s="1" t="s">
        <v>61</v>
      </c>
      <c r="S929" s="1">
        <f t="shared" si="14"/>
        <v>33</v>
      </c>
      <c r="T929" s="7" t="str">
        <f>_xlfn.TEXTJOIN("_",TRUE,Finance_Data!A929,Finance_Data!B929,Finance_Data!C929,Finance_Data!D929,Finance_Data!E929,Finance_Data!G929,Finance_Data!H929)</f>
        <v>CMP_032_West_Singapore_Skincare_Retail_45753_45785</v>
      </c>
    </row>
    <row r="930" spans="1:20" x14ac:dyDescent="0.35">
      <c r="A930" s="6" t="s">
        <v>109</v>
      </c>
      <c r="B930" s="1" t="s">
        <v>28</v>
      </c>
      <c r="C930" s="1" t="s">
        <v>69</v>
      </c>
      <c r="D930" s="1" t="s">
        <v>63</v>
      </c>
      <c r="E930" s="1" t="s">
        <v>22</v>
      </c>
      <c r="F930" s="1" t="s">
        <v>31</v>
      </c>
      <c r="G930" s="2">
        <v>45754</v>
      </c>
      <c r="H930" s="2">
        <v>45779</v>
      </c>
      <c r="I930" s="1">
        <v>47974.29</v>
      </c>
      <c r="J930" s="1">
        <v>0.2107</v>
      </c>
      <c r="K930" s="1">
        <v>10108.18</v>
      </c>
      <c r="L930" s="1">
        <v>338429</v>
      </c>
      <c r="M930" s="1">
        <v>16233</v>
      </c>
      <c r="N930" s="1">
        <v>197486.73</v>
      </c>
      <c r="O930" s="1">
        <v>2025</v>
      </c>
      <c r="P930" s="1" t="s">
        <v>76</v>
      </c>
      <c r="Q930" s="1" t="s">
        <v>46</v>
      </c>
      <c r="R930" s="1" t="s">
        <v>54</v>
      </c>
      <c r="S930" s="1">
        <f t="shared" si="14"/>
        <v>26</v>
      </c>
      <c r="T930" s="7" t="str">
        <f>_xlfn.TEXTJOIN("_",TRUE,Finance_Data!A930,Finance_Data!B930,Finance_Data!C930,Finance_Data!D930,Finance_Data!E930,Finance_Data!G930,Finance_Data!H930)</f>
        <v>CMP_046_West_USA_Skincare_Retail_45754_45779</v>
      </c>
    </row>
    <row r="931" spans="1:20" x14ac:dyDescent="0.35">
      <c r="A931" s="6" t="s">
        <v>86</v>
      </c>
      <c r="B931" s="1" t="s">
        <v>28</v>
      </c>
      <c r="C931" s="1" t="s">
        <v>36</v>
      </c>
      <c r="D931" s="1" t="s">
        <v>51</v>
      </c>
      <c r="E931" s="1" t="s">
        <v>22</v>
      </c>
      <c r="F931" s="1" t="s">
        <v>44</v>
      </c>
      <c r="G931" s="2">
        <v>45754</v>
      </c>
      <c r="H931" s="2">
        <v>45770</v>
      </c>
      <c r="I931" s="1">
        <v>44299.519999999997</v>
      </c>
      <c r="J931" s="1">
        <v>0.28689999999999999</v>
      </c>
      <c r="K931" s="1">
        <v>12709.53</v>
      </c>
      <c r="L931" s="1">
        <v>314598</v>
      </c>
      <c r="M931" s="1">
        <v>12784</v>
      </c>
      <c r="N931" s="1">
        <v>5387.32</v>
      </c>
      <c r="O931" s="1">
        <v>2025</v>
      </c>
      <c r="P931" s="1" t="s">
        <v>76</v>
      </c>
      <c r="Q931" s="1" t="s">
        <v>46</v>
      </c>
      <c r="R931" s="1" t="s">
        <v>54</v>
      </c>
      <c r="S931" s="1">
        <f t="shared" si="14"/>
        <v>17</v>
      </c>
      <c r="T931" s="7" t="str">
        <f>_xlfn.TEXTJOIN("_",TRUE,Finance_Data!A931,Finance_Data!B931,Finance_Data!C931,Finance_Data!D931,Finance_Data!E931,Finance_Data!G931,Finance_Data!H931)</f>
        <v>CMP_002_West_India_Watch_Retail_45754_45770</v>
      </c>
    </row>
    <row r="932" spans="1:20" x14ac:dyDescent="0.35">
      <c r="A932" s="6" t="s">
        <v>87</v>
      </c>
      <c r="B932" s="1" t="s">
        <v>19</v>
      </c>
      <c r="C932" s="1" t="s">
        <v>29</v>
      </c>
      <c r="D932" s="1" t="s">
        <v>63</v>
      </c>
      <c r="E932" s="1" t="s">
        <v>38</v>
      </c>
      <c r="F932" s="1" t="s">
        <v>52</v>
      </c>
      <c r="G932" s="2">
        <v>45755</v>
      </c>
      <c r="H932" s="2">
        <v>45799</v>
      </c>
      <c r="I932" s="1">
        <v>11823.87</v>
      </c>
      <c r="J932" s="1">
        <v>0.68300000000000005</v>
      </c>
      <c r="K932" s="1">
        <v>8075.7</v>
      </c>
      <c r="L932" s="1">
        <v>992188</v>
      </c>
      <c r="M932" s="1">
        <v>32617</v>
      </c>
      <c r="N932" s="1">
        <v>39457.629999999997</v>
      </c>
      <c r="O932" s="1">
        <v>2025</v>
      </c>
      <c r="P932" s="1" t="s">
        <v>76</v>
      </c>
      <c r="Q932" s="1" t="s">
        <v>46</v>
      </c>
      <c r="R932" s="1" t="s">
        <v>26</v>
      </c>
      <c r="S932" s="1">
        <f t="shared" si="14"/>
        <v>45</v>
      </c>
      <c r="T932" s="7" t="str">
        <f>_xlfn.TEXTJOIN("_",TRUE,Finance_Data!A932,Finance_Data!B932,Finance_Data!C932,Finance_Data!D932,Finance_Data!E932,Finance_Data!G932,Finance_Data!H932)</f>
        <v>CMP_048_North_Australia_Skincare_Ecommerce_45755_45799</v>
      </c>
    </row>
    <row r="933" spans="1:20" x14ac:dyDescent="0.35">
      <c r="A933" s="6" t="s">
        <v>62</v>
      </c>
      <c r="B933" s="1" t="s">
        <v>35</v>
      </c>
      <c r="C933" s="1" t="s">
        <v>36</v>
      </c>
      <c r="D933" s="1" t="s">
        <v>63</v>
      </c>
      <c r="E933" s="1" t="s">
        <v>38</v>
      </c>
      <c r="F933" s="1" t="s">
        <v>49</v>
      </c>
      <c r="G933" s="2">
        <v>45755</v>
      </c>
      <c r="H933" s="2">
        <v>45788</v>
      </c>
      <c r="I933" s="1">
        <v>21834.76</v>
      </c>
      <c r="J933" s="1">
        <v>0.32019999999999998</v>
      </c>
      <c r="K933" s="1">
        <v>6991.49</v>
      </c>
      <c r="L933" s="1">
        <v>67287</v>
      </c>
      <c r="M933" s="1">
        <v>17684</v>
      </c>
      <c r="N933" s="1">
        <v>123948.82</v>
      </c>
      <c r="O933" s="1">
        <v>2025</v>
      </c>
      <c r="P933" s="1" t="s">
        <v>76</v>
      </c>
      <c r="Q933" s="1" t="s">
        <v>46</v>
      </c>
      <c r="R933" s="1" t="s">
        <v>61</v>
      </c>
      <c r="S933" s="1">
        <f t="shared" si="14"/>
        <v>34</v>
      </c>
      <c r="T933" s="7" t="str">
        <f>_xlfn.TEXTJOIN("_",TRUE,Finance_Data!A933,Finance_Data!B933,Finance_Data!C933,Finance_Data!D933,Finance_Data!E933,Finance_Data!G933,Finance_Data!H933)</f>
        <v>CMP_015_East_India_Skincare_Ecommerce_45755_45788</v>
      </c>
    </row>
    <row r="934" spans="1:20" x14ac:dyDescent="0.35">
      <c r="A934" s="6" t="s">
        <v>106</v>
      </c>
      <c r="B934" s="1" t="s">
        <v>19</v>
      </c>
      <c r="C934" s="1" t="s">
        <v>69</v>
      </c>
      <c r="D934" s="1" t="s">
        <v>37</v>
      </c>
      <c r="E934" s="1" t="s">
        <v>22</v>
      </c>
      <c r="F934" s="1" t="s">
        <v>49</v>
      </c>
      <c r="G934" s="2">
        <v>45759</v>
      </c>
      <c r="H934" s="2">
        <v>45768</v>
      </c>
      <c r="I934" s="1">
        <v>2068.21</v>
      </c>
      <c r="J934" s="1">
        <v>8.6699999999999999E-2</v>
      </c>
      <c r="K934" s="1">
        <v>179.31</v>
      </c>
      <c r="L934" s="1">
        <v>956335</v>
      </c>
      <c r="M934" s="1">
        <v>42435</v>
      </c>
      <c r="N934" s="1">
        <v>113640.67</v>
      </c>
      <c r="O934" s="1">
        <v>2025</v>
      </c>
      <c r="P934" s="1" t="s">
        <v>76</v>
      </c>
      <c r="Q934" s="1" t="s">
        <v>46</v>
      </c>
      <c r="R934" s="1" t="s">
        <v>26</v>
      </c>
      <c r="S934" s="1">
        <f t="shared" si="14"/>
        <v>10</v>
      </c>
      <c r="T934" s="7" t="str">
        <f>_xlfn.TEXTJOIN("_",TRUE,Finance_Data!A934,Finance_Data!B934,Finance_Data!C934,Finance_Data!D934,Finance_Data!E934,Finance_Data!G934,Finance_Data!H934)</f>
        <v>CMP_009_North_USA_Perfume_Retail_45759_45768</v>
      </c>
    </row>
    <row r="935" spans="1:20" x14ac:dyDescent="0.35">
      <c r="A935" s="6" t="s">
        <v>110</v>
      </c>
      <c r="B935" s="1" t="s">
        <v>48</v>
      </c>
      <c r="C935" s="1" t="s">
        <v>36</v>
      </c>
      <c r="D935" s="1" t="s">
        <v>51</v>
      </c>
      <c r="E935" s="1" t="s">
        <v>38</v>
      </c>
      <c r="F935" s="1" t="s">
        <v>23</v>
      </c>
      <c r="G935" s="2">
        <v>45760</v>
      </c>
      <c r="H935" s="2">
        <v>45806</v>
      </c>
      <c r="I935" s="1">
        <v>9579.3700000000008</v>
      </c>
      <c r="J935" s="1">
        <v>0.93720000000000003</v>
      </c>
      <c r="K935" s="1">
        <v>8977.7900000000009</v>
      </c>
      <c r="L935" s="1">
        <v>497192</v>
      </c>
      <c r="M935" s="1">
        <v>45673</v>
      </c>
      <c r="N935" s="1">
        <v>122240.14</v>
      </c>
      <c r="O935" s="1">
        <v>2025</v>
      </c>
      <c r="P935" s="1" t="s">
        <v>76</v>
      </c>
      <c r="Q935" s="1" t="s">
        <v>46</v>
      </c>
      <c r="R935" s="1" t="s">
        <v>41</v>
      </c>
      <c r="S935" s="1">
        <f t="shared" si="14"/>
        <v>47</v>
      </c>
      <c r="T935" s="7" t="str">
        <f>_xlfn.TEXTJOIN("_",TRUE,Finance_Data!A935,Finance_Data!B935,Finance_Data!C935,Finance_Data!D935,Finance_Data!E935,Finance_Data!G935,Finance_Data!H935)</f>
        <v>CMP_012_South_India_Watch_Ecommerce_45760_45806</v>
      </c>
    </row>
    <row r="936" spans="1:20" x14ac:dyDescent="0.35">
      <c r="A936" s="6" t="s">
        <v>75</v>
      </c>
      <c r="B936" s="1" t="s">
        <v>48</v>
      </c>
      <c r="C936" s="1" t="s">
        <v>36</v>
      </c>
      <c r="D936" s="1" t="s">
        <v>51</v>
      </c>
      <c r="E936" s="1" t="s">
        <v>38</v>
      </c>
      <c r="F936" s="1" t="s">
        <v>44</v>
      </c>
      <c r="G936" s="2">
        <v>45761</v>
      </c>
      <c r="H936" s="2">
        <v>45767</v>
      </c>
      <c r="I936" s="1">
        <v>47262.7</v>
      </c>
      <c r="J936" s="1">
        <v>1.1394</v>
      </c>
      <c r="K936" s="1">
        <v>53851.12</v>
      </c>
      <c r="L936" s="1">
        <v>246540</v>
      </c>
      <c r="M936" s="1">
        <v>10042</v>
      </c>
      <c r="N936" s="1">
        <v>88737.61</v>
      </c>
      <c r="O936" s="1">
        <v>2025</v>
      </c>
      <c r="P936" s="1" t="s">
        <v>76</v>
      </c>
      <c r="Q936" s="1" t="s">
        <v>46</v>
      </c>
      <c r="R936" s="1" t="s">
        <v>61</v>
      </c>
      <c r="S936" s="1">
        <f t="shared" si="14"/>
        <v>7</v>
      </c>
      <c r="T936" s="7" t="str">
        <f>_xlfn.TEXTJOIN("_",TRUE,Finance_Data!A936,Finance_Data!B936,Finance_Data!C936,Finance_Data!D936,Finance_Data!E936,Finance_Data!G936,Finance_Data!H936)</f>
        <v>CMP_026_South_India_Watch_Ecommerce_45761_45767</v>
      </c>
    </row>
    <row r="937" spans="1:20" x14ac:dyDescent="0.35">
      <c r="A937" s="6" t="s">
        <v>85</v>
      </c>
      <c r="B937" s="1" t="s">
        <v>19</v>
      </c>
      <c r="C937" s="1" t="s">
        <v>36</v>
      </c>
      <c r="D937" s="1" t="s">
        <v>37</v>
      </c>
      <c r="E937" s="1" t="s">
        <v>22</v>
      </c>
      <c r="F937" s="1" t="s">
        <v>44</v>
      </c>
      <c r="G937" s="2">
        <v>45762</v>
      </c>
      <c r="H937" s="2">
        <v>45777</v>
      </c>
      <c r="I937" s="1">
        <v>16061.86</v>
      </c>
      <c r="J937" s="1">
        <v>0.57989999999999997</v>
      </c>
      <c r="K937" s="1">
        <v>9314.27</v>
      </c>
      <c r="L937" s="1">
        <v>265652</v>
      </c>
      <c r="M937" s="1">
        <v>3761</v>
      </c>
      <c r="N937" s="1">
        <v>138163.98000000001</v>
      </c>
      <c r="O937" s="1">
        <v>2025</v>
      </c>
      <c r="P937" s="1" t="s">
        <v>76</v>
      </c>
      <c r="Q937" s="1" t="s">
        <v>46</v>
      </c>
      <c r="R937" s="1" t="s">
        <v>41</v>
      </c>
      <c r="S937" s="1">
        <f t="shared" si="14"/>
        <v>16</v>
      </c>
      <c r="T937" s="7" t="str">
        <f>_xlfn.TEXTJOIN("_",TRUE,Finance_Data!A937,Finance_Data!B937,Finance_Data!C937,Finance_Data!D937,Finance_Data!E937,Finance_Data!G937,Finance_Data!H937)</f>
        <v>CMP_018_North_India_Perfume_Retail_45762_45777</v>
      </c>
    </row>
    <row r="938" spans="1:20" x14ac:dyDescent="0.35">
      <c r="A938" s="6" t="s">
        <v>34</v>
      </c>
      <c r="B938" s="1" t="s">
        <v>28</v>
      </c>
      <c r="C938" s="1" t="s">
        <v>29</v>
      </c>
      <c r="D938" s="1" t="s">
        <v>21</v>
      </c>
      <c r="E938" s="1" t="s">
        <v>22</v>
      </c>
      <c r="F938" s="1" t="s">
        <v>49</v>
      </c>
      <c r="G938" s="2">
        <v>45763</v>
      </c>
      <c r="H938" s="2">
        <v>45796</v>
      </c>
      <c r="I938" s="1">
        <v>11811.31</v>
      </c>
      <c r="J938" s="1">
        <v>0.32990000000000003</v>
      </c>
      <c r="K938" s="1">
        <v>3896.55</v>
      </c>
      <c r="L938" s="1">
        <v>619918</v>
      </c>
      <c r="M938" s="1">
        <v>41374</v>
      </c>
      <c r="N938" s="1">
        <v>202894.58</v>
      </c>
      <c r="O938" s="1">
        <v>2025</v>
      </c>
      <c r="P938" s="1" t="s">
        <v>76</v>
      </c>
      <c r="Q938" s="1" t="s">
        <v>46</v>
      </c>
      <c r="R938" s="1" t="s">
        <v>41</v>
      </c>
      <c r="S938" s="1">
        <f t="shared" si="14"/>
        <v>34</v>
      </c>
      <c r="T938" s="7" t="str">
        <f>_xlfn.TEXTJOIN("_",TRUE,Finance_Data!A938,Finance_Data!B938,Finance_Data!C938,Finance_Data!D938,Finance_Data!E938,Finance_Data!G938,Finance_Data!H938)</f>
        <v>CMP_049_West_Australia_Foundation_Retail_45763_45796</v>
      </c>
    </row>
    <row r="939" spans="1:20" x14ac:dyDescent="0.35">
      <c r="A939" s="6" t="s">
        <v>57</v>
      </c>
      <c r="B939" s="1" t="s">
        <v>28</v>
      </c>
      <c r="C939" s="1" t="s">
        <v>69</v>
      </c>
      <c r="D939" s="1" t="s">
        <v>37</v>
      </c>
      <c r="E939" s="1" t="s">
        <v>38</v>
      </c>
      <c r="F939" s="1" t="s">
        <v>23</v>
      </c>
      <c r="G939" s="2">
        <v>45763</v>
      </c>
      <c r="H939" s="2">
        <v>45783</v>
      </c>
      <c r="I939" s="1">
        <v>4862.7</v>
      </c>
      <c r="J939" s="1">
        <v>0.53859999999999997</v>
      </c>
      <c r="K939" s="1">
        <v>2619.0500000000002</v>
      </c>
      <c r="L939" s="1">
        <v>610870</v>
      </c>
      <c r="M939" s="1">
        <v>29466</v>
      </c>
      <c r="N939" s="1">
        <v>26564.87</v>
      </c>
      <c r="O939" s="1">
        <v>2025</v>
      </c>
      <c r="P939" s="1" t="s">
        <v>76</v>
      </c>
      <c r="Q939" s="1" t="s">
        <v>46</v>
      </c>
      <c r="R939" s="1" t="s">
        <v>26</v>
      </c>
      <c r="S939" s="1">
        <f t="shared" si="14"/>
        <v>21</v>
      </c>
      <c r="T939" s="7" t="str">
        <f>_xlfn.TEXTJOIN("_",TRUE,Finance_Data!A939,Finance_Data!B939,Finance_Data!C939,Finance_Data!D939,Finance_Data!E939,Finance_Data!G939,Finance_Data!H939)</f>
        <v>CMP_032_West_USA_Perfume_Ecommerce_45763_45783</v>
      </c>
    </row>
    <row r="940" spans="1:20" x14ac:dyDescent="0.35">
      <c r="A940" s="6" t="s">
        <v>118</v>
      </c>
      <c r="B940" s="1" t="s">
        <v>48</v>
      </c>
      <c r="C940" s="1" t="s">
        <v>58</v>
      </c>
      <c r="D940" s="1" t="s">
        <v>63</v>
      </c>
      <c r="E940" s="1" t="s">
        <v>30</v>
      </c>
      <c r="F940" s="1" t="s">
        <v>49</v>
      </c>
      <c r="G940" s="2">
        <v>45764</v>
      </c>
      <c r="H940" s="2">
        <v>45821</v>
      </c>
      <c r="I940" s="1">
        <v>6210.23</v>
      </c>
      <c r="J940" s="1">
        <v>0.60160000000000002</v>
      </c>
      <c r="K940" s="1">
        <v>3736.07</v>
      </c>
      <c r="L940" s="1">
        <v>847995</v>
      </c>
      <c r="M940" s="1">
        <v>40445</v>
      </c>
      <c r="N940" s="1">
        <v>59040.27</v>
      </c>
      <c r="O940" s="1">
        <v>2025</v>
      </c>
      <c r="P940" s="1" t="s">
        <v>76</v>
      </c>
      <c r="Q940" s="1" t="s">
        <v>46</v>
      </c>
      <c r="R940" s="1" t="s">
        <v>41</v>
      </c>
      <c r="S940" s="1">
        <f t="shared" si="14"/>
        <v>58</v>
      </c>
      <c r="T940" s="7" t="str">
        <f>_xlfn.TEXTJOIN("_",TRUE,Finance_Data!A940,Finance_Data!B940,Finance_Data!C940,Finance_Data!D940,Finance_Data!E940,Finance_Data!G940,Finance_Data!H940)</f>
        <v>CMP_052_South_UK_Skincare_Wholesale_45764_45821</v>
      </c>
    </row>
    <row r="941" spans="1:20" x14ac:dyDescent="0.35">
      <c r="A941" s="6" t="s">
        <v>91</v>
      </c>
      <c r="B941" s="1" t="s">
        <v>28</v>
      </c>
      <c r="C941" s="1" t="s">
        <v>36</v>
      </c>
      <c r="D941" s="1" t="s">
        <v>51</v>
      </c>
      <c r="E941" s="1" t="s">
        <v>30</v>
      </c>
      <c r="F941" s="1" t="s">
        <v>52</v>
      </c>
      <c r="G941" s="2">
        <v>45764</v>
      </c>
      <c r="H941" s="2">
        <v>45794</v>
      </c>
      <c r="I941" s="1">
        <v>34680.97</v>
      </c>
      <c r="J941" s="1">
        <v>0.23350000000000001</v>
      </c>
      <c r="K941" s="1">
        <v>8098.01</v>
      </c>
      <c r="L941" s="1">
        <v>160494</v>
      </c>
      <c r="M941" s="1">
        <v>4821</v>
      </c>
      <c r="N941" s="1">
        <v>109466.78</v>
      </c>
      <c r="O941" s="1">
        <v>2025</v>
      </c>
      <c r="P941" s="1" t="s">
        <v>76</v>
      </c>
      <c r="Q941" s="1" t="s">
        <v>46</v>
      </c>
      <c r="R941" s="1" t="s">
        <v>26</v>
      </c>
      <c r="S941" s="1">
        <f t="shared" si="14"/>
        <v>31</v>
      </c>
      <c r="T941" s="7" t="str">
        <f>_xlfn.TEXTJOIN("_",TRUE,Finance_Data!A941,Finance_Data!B941,Finance_Data!C941,Finance_Data!D941,Finance_Data!E941,Finance_Data!G941,Finance_Data!H941)</f>
        <v>CMP_030_West_India_Watch_Wholesale_45764_45794</v>
      </c>
    </row>
    <row r="942" spans="1:20" x14ac:dyDescent="0.35">
      <c r="A942" s="6" t="s">
        <v>118</v>
      </c>
      <c r="B942" s="1" t="s">
        <v>28</v>
      </c>
      <c r="C942" s="1" t="s">
        <v>69</v>
      </c>
      <c r="D942" s="1" t="s">
        <v>63</v>
      </c>
      <c r="E942" s="1" t="s">
        <v>30</v>
      </c>
      <c r="F942" s="1" t="s">
        <v>52</v>
      </c>
      <c r="G942" s="2">
        <v>45765</v>
      </c>
      <c r="H942" s="2">
        <v>45778</v>
      </c>
      <c r="I942" s="1">
        <v>7026.19</v>
      </c>
      <c r="J942" s="1">
        <v>0.25019999999999998</v>
      </c>
      <c r="K942" s="1">
        <v>1757.95</v>
      </c>
      <c r="L942" s="1">
        <v>445945</v>
      </c>
      <c r="M942" s="1">
        <v>531</v>
      </c>
      <c r="N942" s="1">
        <v>65102.44</v>
      </c>
      <c r="O942" s="1">
        <v>2025</v>
      </c>
      <c r="P942" s="1" t="s">
        <v>76</v>
      </c>
      <c r="Q942" s="1" t="s">
        <v>46</v>
      </c>
      <c r="R942" s="1" t="s">
        <v>26</v>
      </c>
      <c r="S942" s="1">
        <f t="shared" si="14"/>
        <v>14</v>
      </c>
      <c r="T942" s="7" t="str">
        <f>_xlfn.TEXTJOIN("_",TRUE,Finance_Data!A942,Finance_Data!B942,Finance_Data!C942,Finance_Data!D942,Finance_Data!E942,Finance_Data!G942,Finance_Data!H942)</f>
        <v>CMP_052_West_USA_Skincare_Wholesale_45765_45778</v>
      </c>
    </row>
    <row r="943" spans="1:20" x14ac:dyDescent="0.35">
      <c r="A943" s="6" t="s">
        <v>57</v>
      </c>
      <c r="B943" s="1" t="s">
        <v>48</v>
      </c>
      <c r="C943" s="1" t="s">
        <v>58</v>
      </c>
      <c r="D943" s="1" t="s">
        <v>43</v>
      </c>
      <c r="E943" s="1" t="s">
        <v>38</v>
      </c>
      <c r="F943" s="1" t="s">
        <v>31</v>
      </c>
      <c r="G943" s="2">
        <v>45767</v>
      </c>
      <c r="H943" s="2">
        <v>45772</v>
      </c>
      <c r="I943" s="1">
        <v>14859.11</v>
      </c>
      <c r="J943" s="1">
        <v>0.36530000000000001</v>
      </c>
      <c r="K943" s="1">
        <v>5428.03</v>
      </c>
      <c r="L943" s="1">
        <v>625448</v>
      </c>
      <c r="M943" s="1">
        <v>38105</v>
      </c>
      <c r="N943" s="1">
        <v>249731.07</v>
      </c>
      <c r="O943" s="1">
        <v>2025</v>
      </c>
      <c r="P943" s="1" t="s">
        <v>76</v>
      </c>
      <c r="Q943" s="1" t="s">
        <v>46</v>
      </c>
      <c r="R943" s="1" t="s">
        <v>41</v>
      </c>
      <c r="S943" s="1">
        <f t="shared" si="14"/>
        <v>6</v>
      </c>
      <c r="T943" s="7" t="str">
        <f>_xlfn.TEXTJOIN("_",TRUE,Finance_Data!A943,Finance_Data!B943,Finance_Data!C943,Finance_Data!D943,Finance_Data!E943,Finance_Data!G943,Finance_Data!H943)</f>
        <v>CMP_032_South_UK_Luxury Bag_Ecommerce_45767_45772</v>
      </c>
    </row>
    <row r="944" spans="1:20" x14ac:dyDescent="0.35">
      <c r="A944" s="6" t="s">
        <v>116</v>
      </c>
      <c r="B944" s="1" t="s">
        <v>48</v>
      </c>
      <c r="C944" s="1" t="s">
        <v>36</v>
      </c>
      <c r="D944" s="1" t="s">
        <v>63</v>
      </c>
      <c r="E944" s="1" t="s">
        <v>38</v>
      </c>
      <c r="F944" s="1" t="s">
        <v>23</v>
      </c>
      <c r="G944" s="2">
        <v>45768</v>
      </c>
      <c r="H944" s="2">
        <v>45818</v>
      </c>
      <c r="I944" s="1">
        <v>33831.199999999997</v>
      </c>
      <c r="J944" s="1">
        <v>0.87790000000000001</v>
      </c>
      <c r="K944" s="1">
        <v>29700.41</v>
      </c>
      <c r="L944" s="1">
        <v>362058</v>
      </c>
      <c r="M944" s="1">
        <v>29370</v>
      </c>
      <c r="N944" s="1">
        <v>7791.93</v>
      </c>
      <c r="O944" s="1">
        <v>2025</v>
      </c>
      <c r="P944" s="1" t="s">
        <v>76</v>
      </c>
      <c r="Q944" s="1" t="s">
        <v>46</v>
      </c>
      <c r="R944" s="1" t="s">
        <v>26</v>
      </c>
      <c r="S944" s="1">
        <f t="shared" si="14"/>
        <v>51</v>
      </c>
      <c r="T944" s="7" t="str">
        <f>_xlfn.TEXTJOIN("_",TRUE,Finance_Data!A944,Finance_Data!B944,Finance_Data!C944,Finance_Data!D944,Finance_Data!E944,Finance_Data!G944,Finance_Data!H944)</f>
        <v>CMP_014_South_India_Skincare_Ecommerce_45768_45818</v>
      </c>
    </row>
    <row r="945" spans="1:20" x14ac:dyDescent="0.35">
      <c r="A945" s="6" t="s">
        <v>93</v>
      </c>
      <c r="B945" s="1" t="s">
        <v>28</v>
      </c>
      <c r="C945" s="1" t="s">
        <v>29</v>
      </c>
      <c r="D945" s="1" t="s">
        <v>21</v>
      </c>
      <c r="E945" s="1" t="s">
        <v>22</v>
      </c>
      <c r="F945" s="1" t="s">
        <v>31</v>
      </c>
      <c r="G945" s="2">
        <v>45768</v>
      </c>
      <c r="H945" s="2">
        <v>45818</v>
      </c>
      <c r="I945" s="1">
        <v>37383.03</v>
      </c>
      <c r="J945" s="1">
        <v>0.497</v>
      </c>
      <c r="K945" s="1">
        <v>18579.37</v>
      </c>
      <c r="L945" s="1">
        <v>276641</v>
      </c>
      <c r="M945" s="1">
        <v>40132</v>
      </c>
      <c r="N945" s="1">
        <v>53000.76</v>
      </c>
      <c r="O945" s="1">
        <v>2025</v>
      </c>
      <c r="P945" s="1" t="s">
        <v>76</v>
      </c>
      <c r="Q945" s="1" t="s">
        <v>46</v>
      </c>
      <c r="R945" s="1" t="s">
        <v>26</v>
      </c>
      <c r="S945" s="1">
        <f t="shared" si="14"/>
        <v>51</v>
      </c>
      <c r="T945" s="7" t="str">
        <f>_xlfn.TEXTJOIN("_",TRUE,Finance_Data!A945,Finance_Data!B945,Finance_Data!C945,Finance_Data!D945,Finance_Data!E945,Finance_Data!G945,Finance_Data!H945)</f>
        <v>CMP_008_West_Australia_Foundation_Retail_45768_45818</v>
      </c>
    </row>
    <row r="946" spans="1:20" x14ac:dyDescent="0.35">
      <c r="A946" s="6" t="s">
        <v>109</v>
      </c>
      <c r="B946" s="1" t="s">
        <v>19</v>
      </c>
      <c r="C946" s="1" t="s">
        <v>36</v>
      </c>
      <c r="D946" s="1" t="s">
        <v>63</v>
      </c>
      <c r="E946" s="1" t="s">
        <v>22</v>
      </c>
      <c r="F946" s="1" t="s">
        <v>44</v>
      </c>
      <c r="G946" s="2">
        <v>45768</v>
      </c>
      <c r="H946" s="2">
        <v>45806</v>
      </c>
      <c r="I946" s="1">
        <v>34159.15</v>
      </c>
      <c r="J946" s="1">
        <v>0.16789999999999999</v>
      </c>
      <c r="K946" s="1">
        <v>5735.32</v>
      </c>
      <c r="L946" s="1">
        <v>769767</v>
      </c>
      <c r="M946" s="1">
        <v>2495</v>
      </c>
      <c r="N946" s="1">
        <v>117545.26</v>
      </c>
      <c r="O946" s="1">
        <v>2025</v>
      </c>
      <c r="P946" s="1" t="s">
        <v>76</v>
      </c>
      <c r="Q946" s="1" t="s">
        <v>46</v>
      </c>
      <c r="R946" s="1" t="s">
        <v>26</v>
      </c>
      <c r="S946" s="1">
        <f t="shared" si="14"/>
        <v>39</v>
      </c>
      <c r="T946" s="7" t="str">
        <f>_xlfn.TEXTJOIN("_",TRUE,Finance_Data!A946,Finance_Data!B946,Finance_Data!C946,Finance_Data!D946,Finance_Data!E946,Finance_Data!G946,Finance_Data!H946)</f>
        <v>CMP_046_North_India_Skincare_Retail_45768_45806</v>
      </c>
    </row>
    <row r="947" spans="1:20" x14ac:dyDescent="0.35">
      <c r="A947" s="6" t="s">
        <v>98</v>
      </c>
      <c r="B947" s="1" t="s">
        <v>19</v>
      </c>
      <c r="C947" s="1" t="s">
        <v>58</v>
      </c>
      <c r="D947" s="1" t="s">
        <v>43</v>
      </c>
      <c r="E947" s="1" t="s">
        <v>38</v>
      </c>
      <c r="F947" s="1" t="s">
        <v>44</v>
      </c>
      <c r="G947" s="2">
        <v>45769</v>
      </c>
      <c r="H947" s="2">
        <v>45814</v>
      </c>
      <c r="I947" s="1">
        <v>8246.0300000000007</v>
      </c>
      <c r="J947" s="1">
        <v>0.71809999999999996</v>
      </c>
      <c r="K947" s="1">
        <v>5921.47</v>
      </c>
      <c r="L947" s="1">
        <v>345281</v>
      </c>
      <c r="M947" s="1">
        <v>47751</v>
      </c>
      <c r="N947" s="1">
        <v>228972.61</v>
      </c>
      <c r="O947" s="1">
        <v>2025</v>
      </c>
      <c r="P947" s="1" t="s">
        <v>76</v>
      </c>
      <c r="Q947" s="1" t="s">
        <v>46</v>
      </c>
      <c r="R947" s="1" t="s">
        <v>41</v>
      </c>
      <c r="S947" s="1">
        <f t="shared" si="14"/>
        <v>46</v>
      </c>
      <c r="T947" s="7" t="str">
        <f>_xlfn.TEXTJOIN("_",TRUE,Finance_Data!A947,Finance_Data!B947,Finance_Data!C947,Finance_Data!D947,Finance_Data!E947,Finance_Data!G947,Finance_Data!H947)</f>
        <v>CMP_005_North_UK_Luxury Bag_Ecommerce_45769_45814</v>
      </c>
    </row>
    <row r="948" spans="1:20" x14ac:dyDescent="0.35">
      <c r="A948" s="6" t="s">
        <v>90</v>
      </c>
      <c r="B948" s="1" t="s">
        <v>48</v>
      </c>
      <c r="C948" s="1" t="s">
        <v>69</v>
      </c>
      <c r="D948" s="1" t="s">
        <v>51</v>
      </c>
      <c r="E948" s="1" t="s">
        <v>30</v>
      </c>
      <c r="F948" s="1" t="s">
        <v>31</v>
      </c>
      <c r="G948" s="2">
        <v>45769</v>
      </c>
      <c r="H948" s="2">
        <v>45774</v>
      </c>
      <c r="I948" s="1">
        <v>28484.51</v>
      </c>
      <c r="J948" s="1">
        <v>1.0736000000000001</v>
      </c>
      <c r="K948" s="1">
        <v>30580.97</v>
      </c>
      <c r="L948" s="1">
        <v>218205</v>
      </c>
      <c r="M948" s="1">
        <v>5199</v>
      </c>
      <c r="N948" s="1">
        <v>182067.3</v>
      </c>
      <c r="O948" s="1">
        <v>2025</v>
      </c>
      <c r="P948" s="1" t="s">
        <v>76</v>
      </c>
      <c r="Q948" s="1" t="s">
        <v>46</v>
      </c>
      <c r="R948" s="1" t="s">
        <v>26</v>
      </c>
      <c r="S948" s="1">
        <f t="shared" si="14"/>
        <v>6</v>
      </c>
      <c r="T948" s="7" t="str">
        <f>_xlfn.TEXTJOIN("_",TRUE,Finance_Data!A948,Finance_Data!B948,Finance_Data!C948,Finance_Data!D948,Finance_Data!E948,Finance_Data!G948,Finance_Data!H948)</f>
        <v>CMP_038_South_USA_Watch_Wholesale_45769_45774</v>
      </c>
    </row>
    <row r="949" spans="1:20" x14ac:dyDescent="0.35">
      <c r="A949" s="6" t="s">
        <v>93</v>
      </c>
      <c r="B949" s="1" t="s">
        <v>48</v>
      </c>
      <c r="C949" s="1" t="s">
        <v>29</v>
      </c>
      <c r="D949" s="1" t="s">
        <v>37</v>
      </c>
      <c r="E949" s="1" t="s">
        <v>22</v>
      </c>
      <c r="F949" s="1" t="s">
        <v>31</v>
      </c>
      <c r="G949" s="2">
        <v>45770</v>
      </c>
      <c r="H949" s="2">
        <v>45793</v>
      </c>
      <c r="I949" s="1">
        <v>32656.09</v>
      </c>
      <c r="J949" s="1">
        <v>0.31519999999999998</v>
      </c>
      <c r="K949" s="1">
        <v>10293.200000000001</v>
      </c>
      <c r="L949" s="1">
        <v>640437</v>
      </c>
      <c r="M949" s="1">
        <v>15575</v>
      </c>
      <c r="N949" s="1">
        <v>104437.16</v>
      </c>
      <c r="O949" s="1">
        <v>2025</v>
      </c>
      <c r="P949" s="1" t="s">
        <v>76</v>
      </c>
      <c r="Q949" s="1" t="s">
        <v>46</v>
      </c>
      <c r="R949" s="1" t="s">
        <v>54</v>
      </c>
      <c r="S949" s="1">
        <f t="shared" si="14"/>
        <v>24</v>
      </c>
      <c r="T949" s="7" t="str">
        <f>_xlfn.TEXTJOIN("_",TRUE,Finance_Data!A949,Finance_Data!B949,Finance_Data!C949,Finance_Data!D949,Finance_Data!E949,Finance_Data!G949,Finance_Data!H949)</f>
        <v>CMP_008_South_Australia_Perfume_Retail_45770_45793</v>
      </c>
    </row>
    <row r="950" spans="1:20" x14ac:dyDescent="0.35">
      <c r="A950" s="6" t="s">
        <v>86</v>
      </c>
      <c r="B950" s="1" t="s">
        <v>35</v>
      </c>
      <c r="C950" s="1" t="s">
        <v>69</v>
      </c>
      <c r="D950" s="1" t="s">
        <v>59</v>
      </c>
      <c r="E950" s="1" t="s">
        <v>30</v>
      </c>
      <c r="F950" s="1" t="s">
        <v>49</v>
      </c>
      <c r="G950" s="2">
        <v>45770</v>
      </c>
      <c r="H950" s="2">
        <v>45793</v>
      </c>
      <c r="I950" s="1">
        <v>36608.699999999997</v>
      </c>
      <c r="J950" s="1">
        <v>0.23530000000000001</v>
      </c>
      <c r="K950" s="1">
        <v>8614.0300000000007</v>
      </c>
      <c r="L950" s="1">
        <v>199131</v>
      </c>
      <c r="M950" s="1">
        <v>26873</v>
      </c>
      <c r="N950" s="1">
        <v>199153.57</v>
      </c>
      <c r="O950" s="1">
        <v>2025</v>
      </c>
      <c r="P950" s="1" t="s">
        <v>76</v>
      </c>
      <c r="Q950" s="1" t="s">
        <v>46</v>
      </c>
      <c r="R950" s="1" t="s">
        <v>61</v>
      </c>
      <c r="S950" s="1">
        <f t="shared" si="14"/>
        <v>24</v>
      </c>
      <c r="T950" s="7" t="str">
        <f>_xlfn.TEXTJOIN("_",TRUE,Finance_Data!A950,Finance_Data!B950,Finance_Data!C950,Finance_Data!D950,Finance_Data!E950,Finance_Data!G950,Finance_Data!H950)</f>
        <v>CMP_002_East_USA_Lipstick_Wholesale_45770_45793</v>
      </c>
    </row>
    <row r="951" spans="1:20" x14ac:dyDescent="0.35">
      <c r="A951" s="6" t="s">
        <v>111</v>
      </c>
      <c r="B951" s="1" t="s">
        <v>19</v>
      </c>
      <c r="C951" s="1" t="s">
        <v>20</v>
      </c>
      <c r="D951" s="1" t="s">
        <v>37</v>
      </c>
      <c r="E951" s="1" t="s">
        <v>30</v>
      </c>
      <c r="F951" s="1" t="s">
        <v>49</v>
      </c>
      <c r="G951" s="2">
        <v>45770</v>
      </c>
      <c r="H951" s="2">
        <v>45784</v>
      </c>
      <c r="I951" s="1">
        <v>24111.759999999998</v>
      </c>
      <c r="J951" s="1">
        <v>0.72430000000000005</v>
      </c>
      <c r="K951" s="1">
        <v>17464.150000000001</v>
      </c>
      <c r="L951" s="1">
        <v>102422</v>
      </c>
      <c r="M951" s="1">
        <v>4299</v>
      </c>
      <c r="N951" s="1">
        <v>69457.539999999994</v>
      </c>
      <c r="O951" s="1">
        <v>2025</v>
      </c>
      <c r="P951" s="1" t="s">
        <v>76</v>
      </c>
      <c r="Q951" s="1" t="s">
        <v>46</v>
      </c>
      <c r="R951" s="1" t="s">
        <v>54</v>
      </c>
      <c r="S951" s="1">
        <f t="shared" si="14"/>
        <v>15</v>
      </c>
      <c r="T951" s="7" t="str">
        <f>_xlfn.TEXTJOIN("_",TRUE,Finance_Data!A951,Finance_Data!B951,Finance_Data!C951,Finance_Data!D951,Finance_Data!E951,Finance_Data!G951,Finance_Data!H951)</f>
        <v>CMP_024_North_Singapore_Perfume_Wholesale_45770_45784</v>
      </c>
    </row>
    <row r="952" spans="1:20" x14ac:dyDescent="0.35">
      <c r="A952" s="6" t="s">
        <v>91</v>
      </c>
      <c r="B952" s="1" t="s">
        <v>19</v>
      </c>
      <c r="C952" s="1" t="s">
        <v>29</v>
      </c>
      <c r="D952" s="1" t="s">
        <v>59</v>
      </c>
      <c r="E952" s="1" t="s">
        <v>30</v>
      </c>
      <c r="F952" s="1" t="s">
        <v>49</v>
      </c>
      <c r="G952" s="2">
        <v>45771</v>
      </c>
      <c r="H952" s="2">
        <v>45806</v>
      </c>
      <c r="I952" s="1">
        <v>48401.82</v>
      </c>
      <c r="J952" s="1">
        <v>0.36120000000000002</v>
      </c>
      <c r="K952" s="1">
        <v>17482.740000000002</v>
      </c>
      <c r="L952" s="1">
        <v>922677</v>
      </c>
      <c r="M952" s="1">
        <v>22298</v>
      </c>
      <c r="N952" s="1">
        <v>202036.97</v>
      </c>
      <c r="O952" s="1">
        <v>2025</v>
      </c>
      <c r="P952" s="1" t="s">
        <v>76</v>
      </c>
      <c r="Q952" s="1" t="s">
        <v>46</v>
      </c>
      <c r="R952" s="1" t="s">
        <v>41</v>
      </c>
      <c r="S952" s="1">
        <f t="shared" si="14"/>
        <v>36</v>
      </c>
      <c r="T952" s="7" t="str">
        <f>_xlfn.TEXTJOIN("_",TRUE,Finance_Data!A952,Finance_Data!B952,Finance_Data!C952,Finance_Data!D952,Finance_Data!E952,Finance_Data!G952,Finance_Data!H952)</f>
        <v>CMP_030_North_Australia_Lipstick_Wholesale_45771_45806</v>
      </c>
    </row>
    <row r="953" spans="1:20" x14ac:dyDescent="0.35">
      <c r="A953" s="6" t="s">
        <v>81</v>
      </c>
      <c r="B953" s="1" t="s">
        <v>19</v>
      </c>
      <c r="C953" s="1" t="s">
        <v>36</v>
      </c>
      <c r="D953" s="1" t="s">
        <v>21</v>
      </c>
      <c r="E953" s="1" t="s">
        <v>30</v>
      </c>
      <c r="F953" s="1" t="s">
        <v>52</v>
      </c>
      <c r="G953" s="2">
        <v>45773</v>
      </c>
      <c r="H953" s="2">
        <v>45787</v>
      </c>
      <c r="I953" s="1">
        <v>30670.04</v>
      </c>
      <c r="J953" s="1">
        <v>0.22109999999999999</v>
      </c>
      <c r="K953" s="1">
        <v>6781.15</v>
      </c>
      <c r="L953" s="1">
        <v>955404</v>
      </c>
      <c r="M953" s="1">
        <v>40388</v>
      </c>
      <c r="N953" s="1">
        <v>151954.38</v>
      </c>
      <c r="O953" s="1">
        <v>2025</v>
      </c>
      <c r="P953" s="1" t="s">
        <v>76</v>
      </c>
      <c r="Q953" s="1" t="s">
        <v>46</v>
      </c>
      <c r="R953" s="1" t="s">
        <v>26</v>
      </c>
      <c r="S953" s="1">
        <f t="shared" si="14"/>
        <v>15</v>
      </c>
      <c r="T953" s="7" t="str">
        <f>_xlfn.TEXTJOIN("_",TRUE,Finance_Data!A953,Finance_Data!B953,Finance_Data!C953,Finance_Data!D953,Finance_Data!E953,Finance_Data!G953,Finance_Data!H953)</f>
        <v>CMP_057_North_India_Foundation_Wholesale_45773_45787</v>
      </c>
    </row>
    <row r="954" spans="1:20" x14ac:dyDescent="0.35">
      <c r="A954" s="6" t="s">
        <v>108</v>
      </c>
      <c r="B954" s="1" t="s">
        <v>28</v>
      </c>
      <c r="C954" s="1" t="s">
        <v>36</v>
      </c>
      <c r="D954" s="1" t="s">
        <v>63</v>
      </c>
      <c r="E954" s="1" t="s">
        <v>30</v>
      </c>
      <c r="F954" s="1" t="s">
        <v>44</v>
      </c>
      <c r="G954" s="2">
        <v>45774</v>
      </c>
      <c r="H954" s="2">
        <v>45801</v>
      </c>
      <c r="I954" s="1">
        <v>15755.57</v>
      </c>
      <c r="J954" s="1">
        <v>0.40710000000000002</v>
      </c>
      <c r="K954" s="1">
        <v>6414.09</v>
      </c>
      <c r="L954" s="1">
        <v>552985</v>
      </c>
      <c r="M954" s="1">
        <v>43611</v>
      </c>
      <c r="N954" s="1">
        <v>214954.26</v>
      </c>
      <c r="O954" s="1">
        <v>2025</v>
      </c>
      <c r="P954" s="1" t="s">
        <v>76</v>
      </c>
      <c r="Q954" s="1" t="s">
        <v>46</v>
      </c>
      <c r="R954" s="1" t="s">
        <v>26</v>
      </c>
      <c r="S954" s="1">
        <f t="shared" si="14"/>
        <v>28</v>
      </c>
      <c r="T954" s="7" t="str">
        <f>_xlfn.TEXTJOIN("_",TRUE,Finance_Data!A954,Finance_Data!B954,Finance_Data!C954,Finance_Data!D954,Finance_Data!E954,Finance_Data!G954,Finance_Data!H954)</f>
        <v>CMP_058_West_India_Skincare_Wholesale_45774_45801</v>
      </c>
    </row>
    <row r="955" spans="1:20" x14ac:dyDescent="0.35">
      <c r="A955" s="6" t="s">
        <v>92</v>
      </c>
      <c r="B955" s="1" t="s">
        <v>28</v>
      </c>
      <c r="C955" s="1" t="s">
        <v>69</v>
      </c>
      <c r="D955" s="1" t="s">
        <v>59</v>
      </c>
      <c r="E955" s="1" t="s">
        <v>30</v>
      </c>
      <c r="F955" s="1" t="s">
        <v>31</v>
      </c>
      <c r="G955" s="2">
        <v>45776</v>
      </c>
      <c r="H955" s="2">
        <v>45823</v>
      </c>
      <c r="I955" s="1">
        <v>20394.48</v>
      </c>
      <c r="J955" s="1">
        <v>1.9599999999999999E-2</v>
      </c>
      <c r="K955" s="1">
        <v>399.73</v>
      </c>
      <c r="L955" s="1">
        <v>917088</v>
      </c>
      <c r="M955" s="1">
        <v>45044</v>
      </c>
      <c r="N955" s="1">
        <v>195686.35</v>
      </c>
      <c r="O955" s="1">
        <v>2025</v>
      </c>
      <c r="P955" s="1" t="s">
        <v>76</v>
      </c>
      <c r="Q955" s="1" t="s">
        <v>46</v>
      </c>
      <c r="R955" s="1" t="s">
        <v>61</v>
      </c>
      <c r="S955" s="1">
        <f t="shared" si="14"/>
        <v>48</v>
      </c>
      <c r="T955" s="7" t="str">
        <f>_xlfn.TEXTJOIN("_",TRUE,Finance_Data!A955,Finance_Data!B955,Finance_Data!C955,Finance_Data!D955,Finance_Data!E955,Finance_Data!G955,Finance_Data!H955)</f>
        <v>CMP_004_West_USA_Lipstick_Wholesale_45776_45823</v>
      </c>
    </row>
    <row r="956" spans="1:20" x14ac:dyDescent="0.35">
      <c r="A956" s="6" t="s">
        <v>27</v>
      </c>
      <c r="B956" s="1" t="s">
        <v>48</v>
      </c>
      <c r="C956" s="1" t="s">
        <v>29</v>
      </c>
      <c r="D956" s="1" t="s">
        <v>63</v>
      </c>
      <c r="E956" s="1" t="s">
        <v>38</v>
      </c>
      <c r="F956" s="1" t="s">
        <v>52</v>
      </c>
      <c r="G956" s="2">
        <v>45776</v>
      </c>
      <c r="H956" s="2">
        <v>45795</v>
      </c>
      <c r="I956" s="1">
        <v>45662.83</v>
      </c>
      <c r="J956" s="1">
        <v>0.84850000000000003</v>
      </c>
      <c r="K956" s="1">
        <v>38744.910000000003</v>
      </c>
      <c r="L956" s="1">
        <v>689091</v>
      </c>
      <c r="M956" s="1">
        <v>24200</v>
      </c>
      <c r="N956" s="1">
        <v>190001.39</v>
      </c>
      <c r="O956" s="1">
        <v>2025</v>
      </c>
      <c r="P956" s="1" t="s">
        <v>76</v>
      </c>
      <c r="Q956" s="1" t="s">
        <v>46</v>
      </c>
      <c r="R956" s="1" t="s">
        <v>26</v>
      </c>
      <c r="S956" s="1">
        <f t="shared" si="14"/>
        <v>20</v>
      </c>
      <c r="T956" s="7" t="str">
        <f>_xlfn.TEXTJOIN("_",TRUE,Finance_Data!A956,Finance_Data!B956,Finance_Data!C956,Finance_Data!D956,Finance_Data!E956,Finance_Data!G956,Finance_Data!H956)</f>
        <v>CMP_035_South_Australia_Skincare_Ecommerce_45776_45795</v>
      </c>
    </row>
    <row r="957" spans="1:20" x14ac:dyDescent="0.35">
      <c r="A957" s="6" t="s">
        <v>102</v>
      </c>
      <c r="B957" s="1" t="s">
        <v>19</v>
      </c>
      <c r="C957" s="1" t="s">
        <v>20</v>
      </c>
      <c r="D957" s="1" t="s">
        <v>21</v>
      </c>
      <c r="E957" s="1" t="s">
        <v>38</v>
      </c>
      <c r="F957" s="1" t="s">
        <v>44</v>
      </c>
      <c r="G957" s="2">
        <v>45777</v>
      </c>
      <c r="H957" s="2">
        <v>45827</v>
      </c>
      <c r="I957" s="1">
        <v>33317.43</v>
      </c>
      <c r="J957" s="1">
        <v>0.55030000000000001</v>
      </c>
      <c r="K957" s="1">
        <v>18334.580000000002</v>
      </c>
      <c r="L957" s="1">
        <v>292400</v>
      </c>
      <c r="M957" s="1">
        <v>39041</v>
      </c>
      <c r="N957" s="1">
        <v>166211.54</v>
      </c>
      <c r="O957" s="1">
        <v>2025</v>
      </c>
      <c r="P957" s="1" t="s">
        <v>76</v>
      </c>
      <c r="Q957" s="1" t="s">
        <v>46</v>
      </c>
      <c r="R957" s="1" t="s">
        <v>61</v>
      </c>
      <c r="S957" s="1">
        <f t="shared" si="14"/>
        <v>51</v>
      </c>
      <c r="T957" s="7" t="str">
        <f>_xlfn.TEXTJOIN("_",TRUE,Finance_Data!A957,Finance_Data!B957,Finance_Data!C957,Finance_Data!D957,Finance_Data!E957,Finance_Data!G957,Finance_Data!H957)</f>
        <v>CMP_022_North_Singapore_Foundation_Ecommerce_45777_45827</v>
      </c>
    </row>
    <row r="958" spans="1:20" x14ac:dyDescent="0.35">
      <c r="A958" s="6" t="s">
        <v>42</v>
      </c>
      <c r="B958" s="1" t="s">
        <v>19</v>
      </c>
      <c r="C958" s="1" t="s">
        <v>58</v>
      </c>
      <c r="D958" s="1" t="s">
        <v>37</v>
      </c>
      <c r="E958" s="1" t="s">
        <v>38</v>
      </c>
      <c r="F958" s="1" t="s">
        <v>44</v>
      </c>
      <c r="G958" s="2">
        <v>45777</v>
      </c>
      <c r="H958" s="2">
        <v>45809</v>
      </c>
      <c r="I958" s="1">
        <v>5493.96</v>
      </c>
      <c r="J958" s="1">
        <v>1.0934999999999999</v>
      </c>
      <c r="K958" s="1">
        <v>6007.65</v>
      </c>
      <c r="L958" s="1">
        <v>866375</v>
      </c>
      <c r="M958" s="1">
        <v>29665</v>
      </c>
      <c r="N958" s="1">
        <v>221734.29</v>
      </c>
      <c r="O958" s="1">
        <v>2025</v>
      </c>
      <c r="P958" s="1" t="s">
        <v>76</v>
      </c>
      <c r="Q958" s="1" t="s">
        <v>46</v>
      </c>
      <c r="R958" s="1" t="s">
        <v>41</v>
      </c>
      <c r="S958" s="1">
        <f t="shared" si="14"/>
        <v>33</v>
      </c>
      <c r="T958" s="7" t="str">
        <f>_xlfn.TEXTJOIN("_",TRUE,Finance_Data!A958,Finance_Data!B958,Finance_Data!C958,Finance_Data!D958,Finance_Data!E958,Finance_Data!G958,Finance_Data!H958)</f>
        <v>CMP_060_North_UK_Perfume_Ecommerce_45777_45809</v>
      </c>
    </row>
    <row r="959" spans="1:20" x14ac:dyDescent="0.35">
      <c r="A959" s="6" t="s">
        <v>57</v>
      </c>
      <c r="B959" s="1" t="s">
        <v>48</v>
      </c>
      <c r="C959" s="1" t="s">
        <v>20</v>
      </c>
      <c r="D959" s="1" t="s">
        <v>59</v>
      </c>
      <c r="E959" s="1" t="s">
        <v>38</v>
      </c>
      <c r="F959" s="1" t="s">
        <v>44</v>
      </c>
      <c r="G959" s="2">
        <v>45777</v>
      </c>
      <c r="H959" s="2">
        <v>45788</v>
      </c>
      <c r="I959" s="1">
        <v>26067.65</v>
      </c>
      <c r="J959" s="1">
        <v>0.74509999999999998</v>
      </c>
      <c r="K959" s="1">
        <v>19423.009999999998</v>
      </c>
      <c r="L959" s="1">
        <v>306439</v>
      </c>
      <c r="M959" s="1">
        <v>7571</v>
      </c>
      <c r="N959" s="1">
        <v>197266.22</v>
      </c>
      <c r="O959" s="1">
        <v>2025</v>
      </c>
      <c r="P959" s="1" t="s">
        <v>76</v>
      </c>
      <c r="Q959" s="1" t="s">
        <v>46</v>
      </c>
      <c r="R959" s="1" t="s">
        <v>61</v>
      </c>
      <c r="S959" s="1">
        <f t="shared" si="14"/>
        <v>12</v>
      </c>
      <c r="T959" s="7" t="str">
        <f>_xlfn.TEXTJOIN("_",TRUE,Finance_Data!A959,Finance_Data!B959,Finance_Data!C959,Finance_Data!D959,Finance_Data!E959,Finance_Data!G959,Finance_Data!H959)</f>
        <v>CMP_032_South_Singapore_Lipstick_Ecommerce_45777_45788</v>
      </c>
    </row>
    <row r="960" spans="1:20" x14ac:dyDescent="0.35">
      <c r="A960" s="6" t="s">
        <v>109</v>
      </c>
      <c r="B960" s="1" t="s">
        <v>19</v>
      </c>
      <c r="C960" s="1" t="s">
        <v>58</v>
      </c>
      <c r="D960" s="1" t="s">
        <v>21</v>
      </c>
      <c r="E960" s="1" t="s">
        <v>22</v>
      </c>
      <c r="F960" s="1" t="s">
        <v>23</v>
      </c>
      <c r="G960" s="2">
        <v>45778</v>
      </c>
      <c r="H960" s="2">
        <v>45795</v>
      </c>
      <c r="I960" s="1">
        <v>39960.230000000003</v>
      </c>
      <c r="J960" s="1">
        <v>0.67479999999999996</v>
      </c>
      <c r="K960" s="1">
        <v>26965.16</v>
      </c>
      <c r="L960" s="1">
        <v>733153</v>
      </c>
      <c r="M960" s="1">
        <v>34549</v>
      </c>
      <c r="N960" s="1">
        <v>212287.09</v>
      </c>
      <c r="O960" s="1">
        <v>2025</v>
      </c>
      <c r="P960" s="1" t="s">
        <v>45</v>
      </c>
      <c r="Q960" s="1" t="s">
        <v>46</v>
      </c>
      <c r="R960" s="1" t="s">
        <v>61</v>
      </c>
      <c r="S960" s="1">
        <f t="shared" si="14"/>
        <v>18</v>
      </c>
      <c r="T960" s="7" t="str">
        <f>_xlfn.TEXTJOIN("_",TRUE,Finance_Data!A960,Finance_Data!B960,Finance_Data!C960,Finance_Data!D960,Finance_Data!E960,Finance_Data!G960,Finance_Data!H960)</f>
        <v>CMP_046_North_UK_Foundation_Retail_45778_45795</v>
      </c>
    </row>
    <row r="961" spans="1:20" x14ac:dyDescent="0.35">
      <c r="A961" s="6" t="s">
        <v>87</v>
      </c>
      <c r="B961" s="1" t="s">
        <v>48</v>
      </c>
      <c r="C961" s="1" t="s">
        <v>58</v>
      </c>
      <c r="D961" s="1" t="s">
        <v>51</v>
      </c>
      <c r="E961" s="1" t="s">
        <v>30</v>
      </c>
      <c r="F961" s="1" t="s">
        <v>52</v>
      </c>
      <c r="G961" s="2">
        <v>45779</v>
      </c>
      <c r="H961" s="2">
        <v>45838</v>
      </c>
      <c r="I961" s="1">
        <v>7160.14</v>
      </c>
      <c r="J961" s="1">
        <v>0.54469999999999996</v>
      </c>
      <c r="K961" s="1">
        <v>3900.13</v>
      </c>
      <c r="L961" s="1">
        <v>616472</v>
      </c>
      <c r="M961" s="1">
        <v>6486</v>
      </c>
      <c r="N961" s="1">
        <v>13939.06</v>
      </c>
      <c r="O961" s="1">
        <v>2025</v>
      </c>
      <c r="P961" s="1" t="s">
        <v>45</v>
      </c>
      <c r="Q961" s="1" t="s">
        <v>46</v>
      </c>
      <c r="R961" s="1" t="s">
        <v>54</v>
      </c>
      <c r="S961" s="1">
        <f t="shared" si="14"/>
        <v>60</v>
      </c>
      <c r="T961" s="7" t="str">
        <f>_xlfn.TEXTJOIN("_",TRUE,Finance_Data!A961,Finance_Data!B961,Finance_Data!C961,Finance_Data!D961,Finance_Data!E961,Finance_Data!G961,Finance_Data!H961)</f>
        <v>CMP_048_South_UK_Watch_Wholesale_45779_45838</v>
      </c>
    </row>
    <row r="962" spans="1:20" x14ac:dyDescent="0.35">
      <c r="A962" s="6" t="s">
        <v>119</v>
      </c>
      <c r="B962" s="1" t="s">
        <v>48</v>
      </c>
      <c r="C962" s="1" t="s">
        <v>58</v>
      </c>
      <c r="D962" s="1" t="s">
        <v>63</v>
      </c>
      <c r="E962" s="1" t="s">
        <v>22</v>
      </c>
      <c r="F962" s="1" t="s">
        <v>23</v>
      </c>
      <c r="G962" s="2">
        <v>45779</v>
      </c>
      <c r="H962" s="2">
        <v>45836</v>
      </c>
      <c r="I962" s="1">
        <v>2263.09</v>
      </c>
      <c r="J962" s="1">
        <v>0.25169999999999998</v>
      </c>
      <c r="K962" s="1">
        <v>569.62</v>
      </c>
      <c r="L962" s="1">
        <v>997555</v>
      </c>
      <c r="M962" s="1">
        <v>37531</v>
      </c>
      <c r="N962" s="1">
        <v>109493.13</v>
      </c>
      <c r="O962" s="1">
        <v>2025</v>
      </c>
      <c r="P962" s="1" t="s">
        <v>45</v>
      </c>
      <c r="Q962" s="1" t="s">
        <v>46</v>
      </c>
      <c r="R962" s="1" t="s">
        <v>54</v>
      </c>
      <c r="S962" s="1">
        <f t="shared" ref="S962:S1001" si="15">H962-G962+1</f>
        <v>58</v>
      </c>
      <c r="T962" s="7" t="str">
        <f>_xlfn.TEXTJOIN("_",TRUE,Finance_Data!A962,Finance_Data!B962,Finance_Data!C962,Finance_Data!D962,Finance_Data!E962,Finance_Data!G962,Finance_Data!H962)</f>
        <v>CMP_029_South_UK_Skincare_Retail_45779_45836</v>
      </c>
    </row>
    <row r="963" spans="1:20" x14ac:dyDescent="0.35">
      <c r="A963" s="6" t="s">
        <v>103</v>
      </c>
      <c r="B963" s="1" t="s">
        <v>48</v>
      </c>
      <c r="C963" s="1" t="s">
        <v>36</v>
      </c>
      <c r="D963" s="1" t="s">
        <v>63</v>
      </c>
      <c r="E963" s="1" t="s">
        <v>38</v>
      </c>
      <c r="F963" s="1" t="s">
        <v>31</v>
      </c>
      <c r="G963" s="2">
        <v>45781</v>
      </c>
      <c r="H963" s="2">
        <v>45816</v>
      </c>
      <c r="I963" s="1">
        <v>49031.99</v>
      </c>
      <c r="J963" s="1">
        <v>0.3</v>
      </c>
      <c r="K963" s="1">
        <v>14709.6</v>
      </c>
      <c r="L963" s="1">
        <v>588043</v>
      </c>
      <c r="M963" s="1">
        <v>9579</v>
      </c>
      <c r="N963" s="1">
        <v>98978.57</v>
      </c>
      <c r="O963" s="1">
        <v>2025</v>
      </c>
      <c r="P963" s="1" t="s">
        <v>45</v>
      </c>
      <c r="Q963" s="1" t="s">
        <v>46</v>
      </c>
      <c r="R963" s="1" t="s">
        <v>41</v>
      </c>
      <c r="S963" s="1">
        <f t="shared" si="15"/>
        <v>36</v>
      </c>
      <c r="T963" s="7" t="str">
        <f>_xlfn.TEXTJOIN("_",TRUE,Finance_Data!A963,Finance_Data!B963,Finance_Data!C963,Finance_Data!D963,Finance_Data!E963,Finance_Data!G963,Finance_Data!H963)</f>
        <v>CMP_059_South_India_Skincare_Ecommerce_45781_45816</v>
      </c>
    </row>
    <row r="964" spans="1:20" x14ac:dyDescent="0.35">
      <c r="A964" s="6" t="s">
        <v>78</v>
      </c>
      <c r="B964" s="1" t="s">
        <v>19</v>
      </c>
      <c r="C964" s="1" t="s">
        <v>29</v>
      </c>
      <c r="D964" s="1" t="s">
        <v>43</v>
      </c>
      <c r="E964" s="1" t="s">
        <v>22</v>
      </c>
      <c r="F964" s="1" t="s">
        <v>23</v>
      </c>
      <c r="G964" s="2">
        <v>45783</v>
      </c>
      <c r="H964" s="2">
        <v>45839</v>
      </c>
      <c r="I964" s="1">
        <v>44199.69</v>
      </c>
      <c r="J964" s="1">
        <v>0.59570000000000001</v>
      </c>
      <c r="K964" s="1">
        <v>26329.759999999998</v>
      </c>
      <c r="L964" s="1">
        <v>334065</v>
      </c>
      <c r="M964" s="1">
        <v>11605</v>
      </c>
      <c r="N964" s="1">
        <v>125156.92</v>
      </c>
      <c r="O964" s="1">
        <v>2025</v>
      </c>
      <c r="P964" s="1" t="s">
        <v>45</v>
      </c>
      <c r="Q964" s="1" t="s">
        <v>46</v>
      </c>
      <c r="R964" s="1" t="s">
        <v>54</v>
      </c>
      <c r="S964" s="1">
        <f t="shared" si="15"/>
        <v>57</v>
      </c>
      <c r="T964" s="7" t="str">
        <f>_xlfn.TEXTJOIN("_",TRUE,Finance_Data!A964,Finance_Data!B964,Finance_Data!C964,Finance_Data!D964,Finance_Data!E964,Finance_Data!G964,Finance_Data!H964)</f>
        <v>CMP_006_North_Australia_Luxury Bag_Retail_45783_45839</v>
      </c>
    </row>
    <row r="965" spans="1:20" x14ac:dyDescent="0.35">
      <c r="A965" s="6" t="s">
        <v>94</v>
      </c>
      <c r="B965" s="1" t="s">
        <v>28</v>
      </c>
      <c r="C965" s="1" t="s">
        <v>69</v>
      </c>
      <c r="D965" s="1" t="s">
        <v>63</v>
      </c>
      <c r="E965" s="1" t="s">
        <v>38</v>
      </c>
      <c r="F965" s="1" t="s">
        <v>31</v>
      </c>
      <c r="G965" s="2">
        <v>45784</v>
      </c>
      <c r="H965" s="2">
        <v>45812</v>
      </c>
      <c r="I965" s="1">
        <v>18094.96</v>
      </c>
      <c r="J965" s="1">
        <v>0.89300000000000002</v>
      </c>
      <c r="K965" s="1">
        <v>16158.8</v>
      </c>
      <c r="L965" s="1">
        <v>38206</v>
      </c>
      <c r="M965" s="1">
        <v>41070</v>
      </c>
      <c r="N965" s="1">
        <v>88607.85</v>
      </c>
      <c r="O965" s="1">
        <v>2025</v>
      </c>
      <c r="P965" s="1" t="s">
        <v>45</v>
      </c>
      <c r="Q965" s="1" t="s">
        <v>46</v>
      </c>
      <c r="R965" s="1" t="s">
        <v>26</v>
      </c>
      <c r="S965" s="1">
        <f t="shared" si="15"/>
        <v>29</v>
      </c>
      <c r="T965" s="7" t="str">
        <f>_xlfn.TEXTJOIN("_",TRUE,Finance_Data!A965,Finance_Data!B965,Finance_Data!C965,Finance_Data!D965,Finance_Data!E965,Finance_Data!G965,Finance_Data!H965)</f>
        <v>CMP_007_West_USA_Skincare_Ecommerce_45784_45812</v>
      </c>
    </row>
    <row r="966" spans="1:20" x14ac:dyDescent="0.35">
      <c r="A966" s="6" t="s">
        <v>64</v>
      </c>
      <c r="B966" s="1" t="s">
        <v>19</v>
      </c>
      <c r="C966" s="1" t="s">
        <v>36</v>
      </c>
      <c r="D966" s="1" t="s">
        <v>51</v>
      </c>
      <c r="E966" s="1" t="s">
        <v>38</v>
      </c>
      <c r="F966" s="1" t="s">
        <v>52</v>
      </c>
      <c r="G966" s="2">
        <v>45785</v>
      </c>
      <c r="H966" s="2">
        <v>45791</v>
      </c>
      <c r="I966" s="1">
        <v>30742.44</v>
      </c>
      <c r="J966" s="1">
        <v>0.22090000000000001</v>
      </c>
      <c r="K966" s="1">
        <v>6791</v>
      </c>
      <c r="L966" s="1">
        <v>140182</v>
      </c>
      <c r="M966" s="1">
        <v>35139</v>
      </c>
      <c r="N966" s="1">
        <v>186654.39</v>
      </c>
      <c r="O966" s="1">
        <v>2025</v>
      </c>
      <c r="P966" s="1" t="s">
        <v>45</v>
      </c>
      <c r="Q966" s="1" t="s">
        <v>46</v>
      </c>
      <c r="R966" s="1" t="s">
        <v>54</v>
      </c>
      <c r="S966" s="1">
        <f t="shared" si="15"/>
        <v>7</v>
      </c>
      <c r="T966" s="7" t="str">
        <f>_xlfn.TEXTJOIN("_",TRUE,Finance_Data!A966,Finance_Data!B966,Finance_Data!C966,Finance_Data!D966,Finance_Data!E966,Finance_Data!G966,Finance_Data!H966)</f>
        <v>CMP_011_North_India_Watch_Ecommerce_45785_45791</v>
      </c>
    </row>
    <row r="967" spans="1:20" x14ac:dyDescent="0.35">
      <c r="A967" s="6" t="s">
        <v>84</v>
      </c>
      <c r="B967" s="1" t="s">
        <v>28</v>
      </c>
      <c r="C967" s="1" t="s">
        <v>69</v>
      </c>
      <c r="D967" s="1" t="s">
        <v>51</v>
      </c>
      <c r="E967" s="1" t="s">
        <v>30</v>
      </c>
      <c r="F967" s="1" t="s">
        <v>31</v>
      </c>
      <c r="G967" s="2">
        <v>45788</v>
      </c>
      <c r="H967" s="2">
        <v>45840</v>
      </c>
      <c r="I967" s="1">
        <v>33448.949999999997</v>
      </c>
      <c r="J967" s="1">
        <v>1.1295999999999999</v>
      </c>
      <c r="K967" s="1">
        <v>37783.93</v>
      </c>
      <c r="L967" s="1">
        <v>734233</v>
      </c>
      <c r="M967" s="1">
        <v>44113</v>
      </c>
      <c r="N967" s="1">
        <v>63720.58</v>
      </c>
      <c r="O967" s="1">
        <v>2025</v>
      </c>
      <c r="P967" s="1" t="s">
        <v>45</v>
      </c>
      <c r="Q967" s="1" t="s">
        <v>46</v>
      </c>
      <c r="R967" s="1" t="s">
        <v>26</v>
      </c>
      <c r="S967" s="1">
        <f t="shared" si="15"/>
        <v>53</v>
      </c>
      <c r="T967" s="7" t="str">
        <f>_xlfn.TEXTJOIN("_",TRUE,Finance_Data!A967,Finance_Data!B967,Finance_Data!C967,Finance_Data!D967,Finance_Data!E967,Finance_Data!G967,Finance_Data!H967)</f>
        <v>CMP_036_West_USA_Watch_Wholesale_45788_45840</v>
      </c>
    </row>
    <row r="968" spans="1:20" x14ac:dyDescent="0.35">
      <c r="A968" s="6" t="s">
        <v>100</v>
      </c>
      <c r="B968" s="1" t="s">
        <v>48</v>
      </c>
      <c r="C968" s="1" t="s">
        <v>69</v>
      </c>
      <c r="D968" s="1" t="s">
        <v>63</v>
      </c>
      <c r="E968" s="1" t="s">
        <v>30</v>
      </c>
      <c r="F968" s="1" t="s">
        <v>52</v>
      </c>
      <c r="G968" s="2">
        <v>45788</v>
      </c>
      <c r="H968" s="2">
        <v>45832</v>
      </c>
      <c r="I968" s="1">
        <v>19614.61</v>
      </c>
      <c r="J968" s="1">
        <v>1.036</v>
      </c>
      <c r="K968" s="1">
        <v>20320.740000000002</v>
      </c>
      <c r="L968" s="1">
        <v>471607</v>
      </c>
      <c r="M968" s="1">
        <v>22037</v>
      </c>
      <c r="N968" s="1">
        <v>110500.97</v>
      </c>
      <c r="O968" s="1">
        <v>2025</v>
      </c>
      <c r="P968" s="1" t="s">
        <v>45</v>
      </c>
      <c r="Q968" s="1" t="s">
        <v>46</v>
      </c>
      <c r="R968" s="1" t="s">
        <v>54</v>
      </c>
      <c r="S968" s="1">
        <f t="shared" si="15"/>
        <v>45</v>
      </c>
      <c r="T968" s="7" t="str">
        <f>_xlfn.TEXTJOIN("_",TRUE,Finance_Data!A968,Finance_Data!B968,Finance_Data!C968,Finance_Data!D968,Finance_Data!E968,Finance_Data!G968,Finance_Data!H968)</f>
        <v>CMP_053_South_USA_Skincare_Wholesale_45788_45832</v>
      </c>
    </row>
    <row r="969" spans="1:20" x14ac:dyDescent="0.35">
      <c r="A969" s="6" t="s">
        <v>117</v>
      </c>
      <c r="B969" s="1" t="s">
        <v>48</v>
      </c>
      <c r="C969" s="1" t="s">
        <v>29</v>
      </c>
      <c r="D969" s="1" t="s">
        <v>63</v>
      </c>
      <c r="E969" s="1" t="s">
        <v>38</v>
      </c>
      <c r="F969" s="1" t="s">
        <v>23</v>
      </c>
      <c r="G969" s="2">
        <v>45790</v>
      </c>
      <c r="H969" s="2">
        <v>45843</v>
      </c>
      <c r="I969" s="1">
        <v>47630.559999999998</v>
      </c>
      <c r="J969" s="1">
        <v>7.6700000000000004E-2</v>
      </c>
      <c r="K969" s="1">
        <v>3653.26</v>
      </c>
      <c r="L969" s="1">
        <v>823331</v>
      </c>
      <c r="M969" s="1">
        <v>25817</v>
      </c>
      <c r="N969" s="1">
        <v>22489.25</v>
      </c>
      <c r="O969" s="1">
        <v>2025</v>
      </c>
      <c r="P969" s="1" t="s">
        <v>45</v>
      </c>
      <c r="Q969" s="1" t="s">
        <v>46</v>
      </c>
      <c r="R969" s="1" t="s">
        <v>26</v>
      </c>
      <c r="S969" s="1">
        <f t="shared" si="15"/>
        <v>54</v>
      </c>
      <c r="T969" s="7" t="str">
        <f>_xlfn.TEXTJOIN("_",TRUE,Finance_Data!A969,Finance_Data!B969,Finance_Data!C969,Finance_Data!D969,Finance_Data!E969,Finance_Data!G969,Finance_Data!H969)</f>
        <v>CMP_031_South_Australia_Skincare_Ecommerce_45790_45843</v>
      </c>
    </row>
    <row r="970" spans="1:20" x14ac:dyDescent="0.35">
      <c r="A970" s="6" t="s">
        <v>106</v>
      </c>
      <c r="B970" s="1" t="s">
        <v>35</v>
      </c>
      <c r="C970" s="1" t="s">
        <v>29</v>
      </c>
      <c r="D970" s="1" t="s">
        <v>37</v>
      </c>
      <c r="E970" s="1" t="s">
        <v>38</v>
      </c>
      <c r="F970" s="1" t="s">
        <v>31</v>
      </c>
      <c r="G970" s="2">
        <v>45792</v>
      </c>
      <c r="H970" s="2">
        <v>45813</v>
      </c>
      <c r="I970" s="1">
        <v>8979.51</v>
      </c>
      <c r="J970" s="1">
        <v>7.9600000000000004E-2</v>
      </c>
      <c r="K970" s="1">
        <v>714.77</v>
      </c>
      <c r="L970" s="1">
        <v>345209</v>
      </c>
      <c r="M970" s="1">
        <v>30314</v>
      </c>
      <c r="N970" s="1">
        <v>220187.73</v>
      </c>
      <c r="O970" s="1">
        <v>2025</v>
      </c>
      <c r="P970" s="1" t="s">
        <v>45</v>
      </c>
      <c r="Q970" s="1" t="s">
        <v>46</v>
      </c>
      <c r="R970" s="1" t="s">
        <v>54</v>
      </c>
      <c r="S970" s="1">
        <f t="shared" si="15"/>
        <v>22</v>
      </c>
      <c r="T970" s="7" t="str">
        <f>_xlfn.TEXTJOIN("_",TRUE,Finance_Data!A970,Finance_Data!B970,Finance_Data!C970,Finance_Data!D970,Finance_Data!E970,Finance_Data!G970,Finance_Data!H970)</f>
        <v>CMP_009_East_Australia_Perfume_Ecommerce_45792_45813</v>
      </c>
    </row>
    <row r="971" spans="1:20" x14ac:dyDescent="0.35">
      <c r="A971" s="6" t="s">
        <v>106</v>
      </c>
      <c r="B971" s="1" t="s">
        <v>35</v>
      </c>
      <c r="C971" s="1" t="s">
        <v>20</v>
      </c>
      <c r="D971" s="1" t="s">
        <v>59</v>
      </c>
      <c r="E971" s="1" t="s">
        <v>30</v>
      </c>
      <c r="F971" s="1" t="s">
        <v>31</v>
      </c>
      <c r="G971" s="2">
        <v>45792</v>
      </c>
      <c r="H971" s="2">
        <v>45807</v>
      </c>
      <c r="I971" s="1">
        <v>42191.3</v>
      </c>
      <c r="J971" s="1">
        <v>1.0529999999999999</v>
      </c>
      <c r="K971" s="1">
        <v>44427.44</v>
      </c>
      <c r="L971" s="1">
        <v>199934</v>
      </c>
      <c r="M971" s="1">
        <v>19353</v>
      </c>
      <c r="N971" s="1">
        <v>28912.75</v>
      </c>
      <c r="O971" s="1">
        <v>2025</v>
      </c>
      <c r="P971" s="1" t="s">
        <v>45</v>
      </c>
      <c r="Q971" s="1" t="s">
        <v>46</v>
      </c>
      <c r="R971" s="1" t="s">
        <v>26</v>
      </c>
      <c r="S971" s="1">
        <f t="shared" si="15"/>
        <v>16</v>
      </c>
      <c r="T971" s="7" t="str">
        <f>_xlfn.TEXTJOIN("_",TRUE,Finance_Data!A971,Finance_Data!B971,Finance_Data!C971,Finance_Data!D971,Finance_Data!E971,Finance_Data!G971,Finance_Data!H971)</f>
        <v>CMP_009_East_Singapore_Lipstick_Wholesale_45792_45807</v>
      </c>
    </row>
    <row r="972" spans="1:20" x14ac:dyDescent="0.35">
      <c r="A972" s="6" t="s">
        <v>64</v>
      </c>
      <c r="B972" s="1" t="s">
        <v>48</v>
      </c>
      <c r="C972" s="1" t="s">
        <v>20</v>
      </c>
      <c r="D972" s="1" t="s">
        <v>21</v>
      </c>
      <c r="E972" s="1" t="s">
        <v>30</v>
      </c>
      <c r="F972" s="1" t="s">
        <v>49</v>
      </c>
      <c r="G972" s="2">
        <v>45793</v>
      </c>
      <c r="H972" s="2">
        <v>45838</v>
      </c>
      <c r="I972" s="1">
        <v>25521.19</v>
      </c>
      <c r="J972" s="1">
        <v>0.94159999999999999</v>
      </c>
      <c r="K972" s="1">
        <v>24030.75</v>
      </c>
      <c r="L972" s="1">
        <v>159282</v>
      </c>
      <c r="M972" s="1">
        <v>24564</v>
      </c>
      <c r="N972" s="1">
        <v>137407.74</v>
      </c>
      <c r="O972" s="1">
        <v>2025</v>
      </c>
      <c r="P972" s="1" t="s">
        <v>45</v>
      </c>
      <c r="Q972" s="1" t="s">
        <v>46</v>
      </c>
      <c r="R972" s="1" t="s">
        <v>26</v>
      </c>
      <c r="S972" s="1">
        <f t="shared" si="15"/>
        <v>46</v>
      </c>
      <c r="T972" s="7" t="str">
        <f>_xlfn.TEXTJOIN("_",TRUE,Finance_Data!A972,Finance_Data!B972,Finance_Data!C972,Finance_Data!D972,Finance_Data!E972,Finance_Data!G972,Finance_Data!H972)</f>
        <v>CMP_011_South_Singapore_Foundation_Wholesale_45793_45838</v>
      </c>
    </row>
    <row r="973" spans="1:20" x14ac:dyDescent="0.35">
      <c r="A973" s="6" t="s">
        <v>42</v>
      </c>
      <c r="B973" s="1" t="s">
        <v>28</v>
      </c>
      <c r="C973" s="1" t="s">
        <v>36</v>
      </c>
      <c r="D973" s="1" t="s">
        <v>43</v>
      </c>
      <c r="E973" s="1" t="s">
        <v>38</v>
      </c>
      <c r="F973" s="1" t="s">
        <v>44</v>
      </c>
      <c r="G973" s="2">
        <v>45794</v>
      </c>
      <c r="H973" s="2">
        <v>45821</v>
      </c>
      <c r="I973" s="1">
        <v>30582.58</v>
      </c>
      <c r="J973" s="1">
        <v>0.97050000000000003</v>
      </c>
      <c r="K973" s="1">
        <v>29680.39</v>
      </c>
      <c r="L973" s="1">
        <v>775179</v>
      </c>
      <c r="M973" s="1">
        <v>30208</v>
      </c>
      <c r="N973" s="1">
        <v>136375.88</v>
      </c>
      <c r="O973" s="1">
        <v>2025</v>
      </c>
      <c r="P973" s="1" t="s">
        <v>45</v>
      </c>
      <c r="Q973" s="1" t="s">
        <v>46</v>
      </c>
      <c r="R973" s="1" t="s">
        <v>41</v>
      </c>
      <c r="S973" s="1">
        <f t="shared" si="15"/>
        <v>28</v>
      </c>
      <c r="T973" s="7" t="str">
        <f>_xlfn.TEXTJOIN("_",TRUE,Finance_Data!A973,Finance_Data!B973,Finance_Data!C973,Finance_Data!D973,Finance_Data!E973,Finance_Data!G973,Finance_Data!H973)</f>
        <v>CMP_060_West_India_Luxury Bag_Ecommerce_45794_45821</v>
      </c>
    </row>
    <row r="974" spans="1:20" x14ac:dyDescent="0.35">
      <c r="A974" s="6" t="s">
        <v>86</v>
      </c>
      <c r="B974" s="1" t="s">
        <v>19</v>
      </c>
      <c r="C974" s="1" t="s">
        <v>69</v>
      </c>
      <c r="D974" s="1" t="s">
        <v>59</v>
      </c>
      <c r="E974" s="1" t="s">
        <v>22</v>
      </c>
      <c r="F974" s="1" t="s">
        <v>44</v>
      </c>
      <c r="G974" s="2">
        <v>45795</v>
      </c>
      <c r="H974" s="2">
        <v>45852</v>
      </c>
      <c r="I974" s="1">
        <v>23281.15</v>
      </c>
      <c r="J974" s="1">
        <v>0.79869999999999997</v>
      </c>
      <c r="K974" s="1">
        <v>18594.650000000001</v>
      </c>
      <c r="L974" s="1">
        <v>682875</v>
      </c>
      <c r="M974" s="1">
        <v>42009</v>
      </c>
      <c r="N974" s="1">
        <v>151300.76</v>
      </c>
      <c r="O974" s="1">
        <v>2025</v>
      </c>
      <c r="P974" s="1" t="s">
        <v>45</v>
      </c>
      <c r="Q974" s="1" t="s">
        <v>46</v>
      </c>
      <c r="R974" s="1" t="s">
        <v>61</v>
      </c>
      <c r="S974" s="1">
        <f t="shared" si="15"/>
        <v>58</v>
      </c>
      <c r="T974" s="7" t="str">
        <f>_xlfn.TEXTJOIN("_",TRUE,Finance_Data!A974,Finance_Data!B974,Finance_Data!C974,Finance_Data!D974,Finance_Data!E974,Finance_Data!G974,Finance_Data!H974)</f>
        <v>CMP_002_North_USA_Lipstick_Retail_45795_45852</v>
      </c>
    </row>
    <row r="975" spans="1:20" x14ac:dyDescent="0.35">
      <c r="A975" s="6" t="s">
        <v>100</v>
      </c>
      <c r="B975" s="1" t="s">
        <v>28</v>
      </c>
      <c r="C975" s="1" t="s">
        <v>36</v>
      </c>
      <c r="D975" s="1" t="s">
        <v>63</v>
      </c>
      <c r="E975" s="1" t="s">
        <v>22</v>
      </c>
      <c r="F975" s="1" t="s">
        <v>44</v>
      </c>
      <c r="G975" s="2">
        <v>45797</v>
      </c>
      <c r="H975" s="2">
        <v>45822</v>
      </c>
      <c r="I975" s="1">
        <v>1767.25</v>
      </c>
      <c r="J975" s="1">
        <v>0.25650000000000001</v>
      </c>
      <c r="K975" s="1">
        <v>453.3</v>
      </c>
      <c r="L975" s="1">
        <v>161195</v>
      </c>
      <c r="M975" s="1">
        <v>49399</v>
      </c>
      <c r="N975" s="1">
        <v>206069.23</v>
      </c>
      <c r="O975" s="1">
        <v>2025</v>
      </c>
      <c r="P975" s="1" t="s">
        <v>45</v>
      </c>
      <c r="Q975" s="1" t="s">
        <v>46</v>
      </c>
      <c r="R975" s="1" t="s">
        <v>61</v>
      </c>
      <c r="S975" s="1">
        <f t="shared" si="15"/>
        <v>26</v>
      </c>
      <c r="T975" s="7" t="str">
        <f>_xlfn.TEXTJOIN("_",TRUE,Finance_Data!A975,Finance_Data!B975,Finance_Data!C975,Finance_Data!D975,Finance_Data!E975,Finance_Data!G975,Finance_Data!H975)</f>
        <v>CMP_053_West_India_Skincare_Retail_45797_45822</v>
      </c>
    </row>
    <row r="976" spans="1:20" x14ac:dyDescent="0.35">
      <c r="A976" s="6" t="s">
        <v>94</v>
      </c>
      <c r="B976" s="1" t="s">
        <v>28</v>
      </c>
      <c r="C976" s="1" t="s">
        <v>36</v>
      </c>
      <c r="D976" s="1" t="s">
        <v>21</v>
      </c>
      <c r="E976" s="1" t="s">
        <v>22</v>
      </c>
      <c r="F976" s="1" t="s">
        <v>23</v>
      </c>
      <c r="G976" s="2">
        <v>45799</v>
      </c>
      <c r="H976" s="2">
        <v>45841</v>
      </c>
      <c r="I976" s="1">
        <v>28738.75</v>
      </c>
      <c r="J976" s="1">
        <v>0.40939999999999999</v>
      </c>
      <c r="K976" s="1">
        <v>11765.64</v>
      </c>
      <c r="L976" s="1">
        <v>324186</v>
      </c>
      <c r="M976" s="1">
        <v>27539</v>
      </c>
      <c r="N976" s="1">
        <v>85511.67</v>
      </c>
      <c r="O976" s="1">
        <v>2025</v>
      </c>
      <c r="P976" s="1" t="s">
        <v>45</v>
      </c>
      <c r="Q976" s="1" t="s">
        <v>46</v>
      </c>
      <c r="R976" s="1" t="s">
        <v>61</v>
      </c>
      <c r="S976" s="1">
        <f t="shared" si="15"/>
        <v>43</v>
      </c>
      <c r="T976" s="7" t="str">
        <f>_xlfn.TEXTJOIN("_",TRUE,Finance_Data!A976,Finance_Data!B976,Finance_Data!C976,Finance_Data!D976,Finance_Data!E976,Finance_Data!G976,Finance_Data!H976)</f>
        <v>CMP_007_West_India_Foundation_Retail_45799_45841</v>
      </c>
    </row>
    <row r="977" spans="1:20" x14ac:dyDescent="0.35">
      <c r="A977" s="6" t="s">
        <v>85</v>
      </c>
      <c r="B977" s="1" t="s">
        <v>19</v>
      </c>
      <c r="C977" s="1" t="s">
        <v>20</v>
      </c>
      <c r="D977" s="1" t="s">
        <v>59</v>
      </c>
      <c r="E977" s="1" t="s">
        <v>30</v>
      </c>
      <c r="F977" s="1" t="s">
        <v>49</v>
      </c>
      <c r="G977" s="2">
        <v>45799</v>
      </c>
      <c r="H977" s="2">
        <v>45835</v>
      </c>
      <c r="I977" s="1">
        <v>43601.37</v>
      </c>
      <c r="J977" s="1">
        <v>9.9099999999999994E-2</v>
      </c>
      <c r="K977" s="1">
        <v>4320.8999999999996</v>
      </c>
      <c r="L977" s="1">
        <v>525530</v>
      </c>
      <c r="M977" s="1">
        <v>21113</v>
      </c>
      <c r="N977" s="1">
        <v>64018.5</v>
      </c>
      <c r="O977" s="1">
        <v>2025</v>
      </c>
      <c r="P977" s="1" t="s">
        <v>45</v>
      </c>
      <c r="Q977" s="1" t="s">
        <v>46</v>
      </c>
      <c r="R977" s="1" t="s">
        <v>54</v>
      </c>
      <c r="S977" s="1">
        <f t="shared" si="15"/>
        <v>37</v>
      </c>
      <c r="T977" s="7" t="str">
        <f>_xlfn.TEXTJOIN("_",TRUE,Finance_Data!A977,Finance_Data!B977,Finance_Data!C977,Finance_Data!D977,Finance_Data!E977,Finance_Data!G977,Finance_Data!H977)</f>
        <v>CMP_018_North_Singapore_Lipstick_Wholesale_45799_45835</v>
      </c>
    </row>
    <row r="978" spans="1:20" x14ac:dyDescent="0.35">
      <c r="A978" s="6" t="s">
        <v>47</v>
      </c>
      <c r="B978" s="1" t="s">
        <v>28</v>
      </c>
      <c r="C978" s="1" t="s">
        <v>36</v>
      </c>
      <c r="D978" s="1" t="s">
        <v>63</v>
      </c>
      <c r="E978" s="1" t="s">
        <v>38</v>
      </c>
      <c r="F978" s="1" t="s">
        <v>49</v>
      </c>
      <c r="G978" s="2">
        <v>45799</v>
      </c>
      <c r="H978" s="2">
        <v>45830</v>
      </c>
      <c r="I978" s="1">
        <v>11381.69</v>
      </c>
      <c r="J978" s="1">
        <v>0.9345</v>
      </c>
      <c r="K978" s="1">
        <v>10636.19</v>
      </c>
      <c r="L978" s="1">
        <v>588381</v>
      </c>
      <c r="M978" s="1">
        <v>25074</v>
      </c>
      <c r="N978" s="1">
        <v>33052.769999999997</v>
      </c>
      <c r="O978" s="1">
        <v>2025</v>
      </c>
      <c r="P978" s="1" t="s">
        <v>45</v>
      </c>
      <c r="Q978" s="1" t="s">
        <v>46</v>
      </c>
      <c r="R978" s="1" t="s">
        <v>54</v>
      </c>
      <c r="S978" s="1">
        <f t="shared" si="15"/>
        <v>32</v>
      </c>
      <c r="T978" s="7" t="str">
        <f>_xlfn.TEXTJOIN("_",TRUE,Finance_Data!A978,Finance_Data!B978,Finance_Data!C978,Finance_Data!D978,Finance_Data!E978,Finance_Data!G978,Finance_Data!H978)</f>
        <v>CMP_055_West_India_Skincare_Ecommerce_45799_45830</v>
      </c>
    </row>
    <row r="979" spans="1:20" x14ac:dyDescent="0.35">
      <c r="A979" s="6" t="s">
        <v>100</v>
      </c>
      <c r="B979" s="1" t="s">
        <v>19</v>
      </c>
      <c r="C979" s="1" t="s">
        <v>69</v>
      </c>
      <c r="D979" s="1" t="s">
        <v>59</v>
      </c>
      <c r="E979" s="1" t="s">
        <v>30</v>
      </c>
      <c r="F979" s="1" t="s">
        <v>49</v>
      </c>
      <c r="G979" s="2">
        <v>45801</v>
      </c>
      <c r="H979" s="2">
        <v>45831</v>
      </c>
      <c r="I979" s="1">
        <v>14701.85</v>
      </c>
      <c r="J979" s="1">
        <v>0.22409999999999999</v>
      </c>
      <c r="K979" s="1">
        <v>3294.68</v>
      </c>
      <c r="L979" s="1">
        <v>147509</v>
      </c>
      <c r="M979" s="1">
        <v>37841</v>
      </c>
      <c r="N979" s="1">
        <v>173072.92</v>
      </c>
      <c r="O979" s="1">
        <v>2025</v>
      </c>
      <c r="P979" s="1" t="s">
        <v>45</v>
      </c>
      <c r="Q979" s="1" t="s">
        <v>46</v>
      </c>
      <c r="R979" s="1" t="s">
        <v>54</v>
      </c>
      <c r="S979" s="1">
        <f t="shared" si="15"/>
        <v>31</v>
      </c>
      <c r="T979" s="7" t="str">
        <f>_xlfn.TEXTJOIN("_",TRUE,Finance_Data!A979,Finance_Data!B979,Finance_Data!C979,Finance_Data!D979,Finance_Data!E979,Finance_Data!G979,Finance_Data!H979)</f>
        <v>CMP_053_North_USA_Lipstick_Wholesale_45801_45831</v>
      </c>
    </row>
    <row r="980" spans="1:20" x14ac:dyDescent="0.35">
      <c r="A980" s="6" t="s">
        <v>116</v>
      </c>
      <c r="B980" s="1" t="s">
        <v>28</v>
      </c>
      <c r="C980" s="1" t="s">
        <v>20</v>
      </c>
      <c r="D980" s="1" t="s">
        <v>43</v>
      </c>
      <c r="E980" s="1" t="s">
        <v>38</v>
      </c>
      <c r="F980" s="1" t="s">
        <v>52</v>
      </c>
      <c r="G980" s="2">
        <v>45802</v>
      </c>
      <c r="H980" s="2">
        <v>45841</v>
      </c>
      <c r="I980" s="1">
        <v>21754.52</v>
      </c>
      <c r="J980" s="1">
        <v>0.4451</v>
      </c>
      <c r="K980" s="1">
        <v>9682.94</v>
      </c>
      <c r="L980" s="1">
        <v>298946</v>
      </c>
      <c r="M980" s="1">
        <v>44704</v>
      </c>
      <c r="N980" s="1">
        <v>102376.27</v>
      </c>
      <c r="O980" s="1">
        <v>2025</v>
      </c>
      <c r="P980" s="1" t="s">
        <v>45</v>
      </c>
      <c r="Q980" s="1" t="s">
        <v>46</v>
      </c>
      <c r="R980" s="1" t="s">
        <v>41</v>
      </c>
      <c r="S980" s="1">
        <f t="shared" si="15"/>
        <v>40</v>
      </c>
      <c r="T980" s="7" t="str">
        <f>_xlfn.TEXTJOIN("_",TRUE,Finance_Data!A980,Finance_Data!B980,Finance_Data!C980,Finance_Data!D980,Finance_Data!E980,Finance_Data!G980,Finance_Data!H980)</f>
        <v>CMP_014_West_Singapore_Luxury Bag_Ecommerce_45802_45841</v>
      </c>
    </row>
    <row r="981" spans="1:20" x14ac:dyDescent="0.35">
      <c r="A981" s="6" t="s">
        <v>88</v>
      </c>
      <c r="B981" s="1" t="s">
        <v>35</v>
      </c>
      <c r="C981" s="1" t="s">
        <v>36</v>
      </c>
      <c r="D981" s="1" t="s">
        <v>51</v>
      </c>
      <c r="E981" s="1" t="s">
        <v>38</v>
      </c>
      <c r="F981" s="1" t="s">
        <v>44</v>
      </c>
      <c r="G981" s="2">
        <v>45804</v>
      </c>
      <c r="H981" s="2">
        <v>45848</v>
      </c>
      <c r="I981" s="1">
        <v>45939.87</v>
      </c>
      <c r="J981" s="1">
        <v>0.16350000000000001</v>
      </c>
      <c r="K981" s="1">
        <v>7511.17</v>
      </c>
      <c r="L981" s="1">
        <v>394546</v>
      </c>
      <c r="M981" s="1">
        <v>33685</v>
      </c>
      <c r="N981" s="1">
        <v>211984.73</v>
      </c>
      <c r="O981" s="1">
        <v>2025</v>
      </c>
      <c r="P981" s="1" t="s">
        <v>45</v>
      </c>
      <c r="Q981" s="1" t="s">
        <v>46</v>
      </c>
      <c r="R981" s="1" t="s">
        <v>54</v>
      </c>
      <c r="S981" s="1">
        <f t="shared" si="15"/>
        <v>45</v>
      </c>
      <c r="T981" s="7" t="str">
        <f>_xlfn.TEXTJOIN("_",TRUE,Finance_Data!A981,Finance_Data!B981,Finance_Data!C981,Finance_Data!D981,Finance_Data!E981,Finance_Data!G981,Finance_Data!H981)</f>
        <v>CMP_021_East_India_Watch_Ecommerce_45804_45848</v>
      </c>
    </row>
    <row r="982" spans="1:20" x14ac:dyDescent="0.35">
      <c r="A982" s="6" t="s">
        <v>64</v>
      </c>
      <c r="B982" s="1" t="s">
        <v>19</v>
      </c>
      <c r="C982" s="1" t="s">
        <v>20</v>
      </c>
      <c r="D982" s="1" t="s">
        <v>21</v>
      </c>
      <c r="E982" s="1" t="s">
        <v>38</v>
      </c>
      <c r="F982" s="1" t="s">
        <v>49</v>
      </c>
      <c r="G982" s="2">
        <v>45804</v>
      </c>
      <c r="H982" s="2">
        <v>45840</v>
      </c>
      <c r="I982" s="1">
        <v>36642.379999999997</v>
      </c>
      <c r="J982" s="1">
        <v>0.3659</v>
      </c>
      <c r="K982" s="1">
        <v>13407.45</v>
      </c>
      <c r="L982" s="1">
        <v>864602</v>
      </c>
      <c r="M982" s="1">
        <v>43304</v>
      </c>
      <c r="N982" s="1">
        <v>228532.21</v>
      </c>
      <c r="O982" s="1">
        <v>2025</v>
      </c>
      <c r="P982" s="1" t="s">
        <v>45</v>
      </c>
      <c r="Q982" s="1" t="s">
        <v>46</v>
      </c>
      <c r="R982" s="1" t="s">
        <v>54</v>
      </c>
      <c r="S982" s="1">
        <f t="shared" si="15"/>
        <v>37</v>
      </c>
      <c r="T982" s="7" t="str">
        <f>_xlfn.TEXTJOIN("_",TRUE,Finance_Data!A982,Finance_Data!B982,Finance_Data!C982,Finance_Data!D982,Finance_Data!E982,Finance_Data!G982,Finance_Data!H982)</f>
        <v>CMP_011_North_Singapore_Foundation_Ecommerce_45804_45840</v>
      </c>
    </row>
    <row r="983" spans="1:20" x14ac:dyDescent="0.35">
      <c r="A983" s="6" t="s">
        <v>104</v>
      </c>
      <c r="B983" s="1" t="s">
        <v>28</v>
      </c>
      <c r="C983" s="1" t="s">
        <v>36</v>
      </c>
      <c r="D983" s="1" t="s">
        <v>21</v>
      </c>
      <c r="E983" s="1" t="s">
        <v>22</v>
      </c>
      <c r="F983" s="1" t="s">
        <v>52</v>
      </c>
      <c r="G983" s="2">
        <v>45804</v>
      </c>
      <c r="H983" s="2">
        <v>45826</v>
      </c>
      <c r="I983" s="1">
        <v>26464.720000000001</v>
      </c>
      <c r="J983" s="1">
        <v>1.1013999999999999</v>
      </c>
      <c r="K983" s="1">
        <v>29148.240000000002</v>
      </c>
      <c r="L983" s="1">
        <v>22964</v>
      </c>
      <c r="M983" s="1">
        <v>46002</v>
      </c>
      <c r="N983" s="1">
        <v>157649.19</v>
      </c>
      <c r="O983" s="1">
        <v>2025</v>
      </c>
      <c r="P983" s="1" t="s">
        <v>45</v>
      </c>
      <c r="Q983" s="1" t="s">
        <v>46</v>
      </c>
      <c r="R983" s="1" t="s">
        <v>26</v>
      </c>
      <c r="S983" s="1">
        <f t="shared" si="15"/>
        <v>23</v>
      </c>
      <c r="T983" s="7" t="str">
        <f>_xlfn.TEXTJOIN("_",TRUE,Finance_Data!A983,Finance_Data!B983,Finance_Data!C983,Finance_Data!D983,Finance_Data!E983,Finance_Data!G983,Finance_Data!H983)</f>
        <v>CMP_034_West_India_Foundation_Retail_45804_45826</v>
      </c>
    </row>
    <row r="984" spans="1:20" x14ac:dyDescent="0.35">
      <c r="A984" s="6" t="s">
        <v>87</v>
      </c>
      <c r="B984" s="1" t="s">
        <v>19</v>
      </c>
      <c r="C984" s="1" t="s">
        <v>29</v>
      </c>
      <c r="D984" s="1" t="s">
        <v>51</v>
      </c>
      <c r="E984" s="1" t="s">
        <v>22</v>
      </c>
      <c r="F984" s="1" t="s">
        <v>31</v>
      </c>
      <c r="G984" s="2">
        <v>45807</v>
      </c>
      <c r="H984" s="2">
        <v>45849</v>
      </c>
      <c r="I984" s="1">
        <v>49511.53</v>
      </c>
      <c r="J984" s="1">
        <v>0.37340000000000001</v>
      </c>
      <c r="K984" s="1">
        <v>18487.61</v>
      </c>
      <c r="L984" s="1">
        <v>661194</v>
      </c>
      <c r="M984" s="1">
        <v>4047</v>
      </c>
      <c r="N984" s="1">
        <v>154359.57</v>
      </c>
      <c r="O984" s="1">
        <v>2025</v>
      </c>
      <c r="P984" s="1" t="s">
        <v>45</v>
      </c>
      <c r="Q984" s="1" t="s">
        <v>46</v>
      </c>
      <c r="R984" s="1" t="s">
        <v>26</v>
      </c>
      <c r="S984" s="1">
        <f t="shared" si="15"/>
        <v>43</v>
      </c>
      <c r="T984" s="7" t="str">
        <f>_xlfn.TEXTJOIN("_",TRUE,Finance_Data!A984,Finance_Data!B984,Finance_Data!C984,Finance_Data!D984,Finance_Data!E984,Finance_Data!G984,Finance_Data!H984)</f>
        <v>CMP_048_North_Australia_Watch_Retail_45807_45849</v>
      </c>
    </row>
    <row r="985" spans="1:20" x14ac:dyDescent="0.35">
      <c r="A985" s="6" t="s">
        <v>70</v>
      </c>
      <c r="B985" s="1" t="s">
        <v>35</v>
      </c>
      <c r="C985" s="1" t="s">
        <v>36</v>
      </c>
      <c r="D985" s="1" t="s">
        <v>21</v>
      </c>
      <c r="E985" s="1" t="s">
        <v>38</v>
      </c>
      <c r="F985" s="1" t="s">
        <v>49</v>
      </c>
      <c r="G985" s="2">
        <v>45807</v>
      </c>
      <c r="H985" s="2">
        <v>45822</v>
      </c>
      <c r="I985" s="1">
        <v>45878.65</v>
      </c>
      <c r="J985" s="1">
        <v>0.76129999999999998</v>
      </c>
      <c r="K985" s="1">
        <v>34927.42</v>
      </c>
      <c r="L985" s="1">
        <v>932188</v>
      </c>
      <c r="M985" s="1">
        <v>42333</v>
      </c>
      <c r="N985" s="1">
        <v>104540.76</v>
      </c>
      <c r="O985" s="1">
        <v>2025</v>
      </c>
      <c r="P985" s="1" t="s">
        <v>45</v>
      </c>
      <c r="Q985" s="1" t="s">
        <v>46</v>
      </c>
      <c r="R985" s="1" t="s">
        <v>41</v>
      </c>
      <c r="S985" s="1">
        <f t="shared" si="15"/>
        <v>16</v>
      </c>
      <c r="T985" s="7" t="str">
        <f>_xlfn.TEXTJOIN("_",TRUE,Finance_Data!A985,Finance_Data!B985,Finance_Data!C985,Finance_Data!D985,Finance_Data!E985,Finance_Data!G985,Finance_Data!H985)</f>
        <v>CMP_003_East_India_Foundation_Ecommerce_45807_45822</v>
      </c>
    </row>
    <row r="986" spans="1:20" x14ac:dyDescent="0.35">
      <c r="A986" s="6" t="s">
        <v>88</v>
      </c>
      <c r="B986" s="1" t="s">
        <v>28</v>
      </c>
      <c r="C986" s="1" t="s">
        <v>58</v>
      </c>
      <c r="D986" s="1" t="s">
        <v>21</v>
      </c>
      <c r="E986" s="1" t="s">
        <v>38</v>
      </c>
      <c r="F986" s="1" t="s">
        <v>44</v>
      </c>
      <c r="G986" s="2">
        <v>45808</v>
      </c>
      <c r="H986" s="2">
        <v>45831</v>
      </c>
      <c r="I986" s="1">
        <v>43418.3</v>
      </c>
      <c r="J986" s="1">
        <v>0.28989999999999999</v>
      </c>
      <c r="K986" s="1">
        <v>12586.97</v>
      </c>
      <c r="L986" s="1">
        <v>746333</v>
      </c>
      <c r="M986" s="1">
        <v>38776</v>
      </c>
      <c r="N986" s="1">
        <v>101595.74</v>
      </c>
      <c r="O986" s="1">
        <v>2025</v>
      </c>
      <c r="P986" s="1" t="s">
        <v>45</v>
      </c>
      <c r="Q986" s="1" t="s">
        <v>46</v>
      </c>
      <c r="R986" s="1" t="s">
        <v>61</v>
      </c>
      <c r="S986" s="1">
        <f t="shared" si="15"/>
        <v>24</v>
      </c>
      <c r="T986" s="7" t="str">
        <f>_xlfn.TEXTJOIN("_",TRUE,Finance_Data!A986,Finance_Data!B986,Finance_Data!C986,Finance_Data!D986,Finance_Data!E986,Finance_Data!G986,Finance_Data!H986)</f>
        <v>CMP_021_West_UK_Foundation_Ecommerce_45808_45831</v>
      </c>
    </row>
    <row r="987" spans="1:20" x14ac:dyDescent="0.35">
      <c r="A987" s="6" t="s">
        <v>71</v>
      </c>
      <c r="B987" s="1" t="s">
        <v>28</v>
      </c>
      <c r="C987" s="1" t="s">
        <v>36</v>
      </c>
      <c r="D987" s="1" t="s">
        <v>37</v>
      </c>
      <c r="E987" s="1" t="s">
        <v>30</v>
      </c>
      <c r="F987" s="1" t="s">
        <v>49</v>
      </c>
      <c r="G987" s="2">
        <v>45809</v>
      </c>
      <c r="H987" s="2">
        <v>45823</v>
      </c>
      <c r="I987" s="1">
        <v>39111.42</v>
      </c>
      <c r="J987" s="1">
        <v>0.18440000000000001</v>
      </c>
      <c r="K987" s="1">
        <v>7212.15</v>
      </c>
      <c r="L987" s="1">
        <v>164958</v>
      </c>
      <c r="M987" s="1">
        <v>25698</v>
      </c>
      <c r="N987" s="1">
        <v>114440.37</v>
      </c>
      <c r="O987" s="1">
        <v>2025</v>
      </c>
      <c r="P987" s="1" t="s">
        <v>53</v>
      </c>
      <c r="Q987" s="1" t="s">
        <v>46</v>
      </c>
      <c r="R987" s="1" t="s">
        <v>41</v>
      </c>
      <c r="S987" s="1">
        <f t="shared" si="15"/>
        <v>15</v>
      </c>
      <c r="T987" s="7" t="str">
        <f>_xlfn.TEXTJOIN("_",TRUE,Finance_Data!A987,Finance_Data!B987,Finance_Data!C987,Finance_Data!D987,Finance_Data!E987,Finance_Data!G987,Finance_Data!H987)</f>
        <v>CMP_051_West_India_Perfume_Wholesale_45809_45823</v>
      </c>
    </row>
    <row r="988" spans="1:20" x14ac:dyDescent="0.35">
      <c r="A988" s="6" t="s">
        <v>103</v>
      </c>
      <c r="B988" s="1" t="s">
        <v>48</v>
      </c>
      <c r="C988" s="1" t="s">
        <v>20</v>
      </c>
      <c r="D988" s="1" t="s">
        <v>59</v>
      </c>
      <c r="E988" s="1" t="s">
        <v>38</v>
      </c>
      <c r="F988" s="1" t="s">
        <v>23</v>
      </c>
      <c r="G988" s="2">
        <v>45810</v>
      </c>
      <c r="H988" s="2">
        <v>45823</v>
      </c>
      <c r="I988" s="1">
        <v>16140.92</v>
      </c>
      <c r="J988" s="1">
        <v>0.84909999999999997</v>
      </c>
      <c r="K988" s="1">
        <v>13705.26</v>
      </c>
      <c r="L988" s="1">
        <v>559249</v>
      </c>
      <c r="M988" s="1">
        <v>8963</v>
      </c>
      <c r="N988" s="1">
        <v>110365.75</v>
      </c>
      <c r="O988" s="1">
        <v>2025</v>
      </c>
      <c r="P988" s="1" t="s">
        <v>53</v>
      </c>
      <c r="Q988" s="1" t="s">
        <v>46</v>
      </c>
      <c r="R988" s="1" t="s">
        <v>26</v>
      </c>
      <c r="S988" s="1">
        <f t="shared" si="15"/>
        <v>14</v>
      </c>
      <c r="T988" s="7" t="str">
        <f>_xlfn.TEXTJOIN("_",TRUE,Finance_Data!A988,Finance_Data!B988,Finance_Data!C988,Finance_Data!D988,Finance_Data!E988,Finance_Data!G988,Finance_Data!H988)</f>
        <v>CMP_059_South_Singapore_Lipstick_Ecommerce_45810_45823</v>
      </c>
    </row>
    <row r="989" spans="1:20" x14ac:dyDescent="0.35">
      <c r="A989" s="6" t="s">
        <v>106</v>
      </c>
      <c r="B989" s="1" t="s">
        <v>48</v>
      </c>
      <c r="C989" s="1" t="s">
        <v>20</v>
      </c>
      <c r="D989" s="1" t="s">
        <v>43</v>
      </c>
      <c r="E989" s="1" t="s">
        <v>38</v>
      </c>
      <c r="F989" s="1" t="s">
        <v>44</v>
      </c>
      <c r="G989" s="2">
        <v>45811</v>
      </c>
      <c r="H989" s="2">
        <v>45846</v>
      </c>
      <c r="I989" s="1">
        <v>23892.48</v>
      </c>
      <c r="J989" s="1">
        <v>1.0464</v>
      </c>
      <c r="K989" s="1">
        <v>25001.09</v>
      </c>
      <c r="L989" s="1">
        <v>990269</v>
      </c>
      <c r="M989" s="1">
        <v>17952</v>
      </c>
      <c r="N989" s="1">
        <v>139393.59</v>
      </c>
      <c r="O989" s="1">
        <v>2025</v>
      </c>
      <c r="P989" s="1" t="s">
        <v>53</v>
      </c>
      <c r="Q989" s="1" t="s">
        <v>46</v>
      </c>
      <c r="R989" s="1" t="s">
        <v>54</v>
      </c>
      <c r="S989" s="1">
        <f t="shared" si="15"/>
        <v>36</v>
      </c>
      <c r="T989" s="7" t="str">
        <f>_xlfn.TEXTJOIN("_",TRUE,Finance_Data!A989,Finance_Data!B989,Finance_Data!C989,Finance_Data!D989,Finance_Data!E989,Finance_Data!G989,Finance_Data!H989)</f>
        <v>CMP_009_South_Singapore_Luxury Bag_Ecommerce_45811_45846</v>
      </c>
    </row>
    <row r="990" spans="1:20" x14ac:dyDescent="0.35">
      <c r="A990" s="6" t="s">
        <v>50</v>
      </c>
      <c r="B990" s="1" t="s">
        <v>19</v>
      </c>
      <c r="C990" s="1" t="s">
        <v>29</v>
      </c>
      <c r="D990" s="1" t="s">
        <v>63</v>
      </c>
      <c r="E990" s="1" t="s">
        <v>30</v>
      </c>
      <c r="F990" s="1" t="s">
        <v>31</v>
      </c>
      <c r="G990" s="2">
        <v>45812</v>
      </c>
      <c r="H990" s="2">
        <v>45866</v>
      </c>
      <c r="I990" s="1">
        <v>48389.78</v>
      </c>
      <c r="J990" s="1">
        <v>0.82179999999999997</v>
      </c>
      <c r="K990" s="1">
        <v>39766.720000000001</v>
      </c>
      <c r="L990" s="1">
        <v>507126</v>
      </c>
      <c r="M990" s="1">
        <v>8771</v>
      </c>
      <c r="N990" s="1">
        <v>163606.03</v>
      </c>
      <c r="O990" s="1">
        <v>2025</v>
      </c>
      <c r="P990" s="1" t="s">
        <v>53</v>
      </c>
      <c r="Q990" s="1" t="s">
        <v>46</v>
      </c>
      <c r="R990" s="1" t="s">
        <v>41</v>
      </c>
      <c r="S990" s="1">
        <f t="shared" si="15"/>
        <v>55</v>
      </c>
      <c r="T990" s="7" t="str">
        <f>_xlfn.TEXTJOIN("_",TRUE,Finance_Data!A990,Finance_Data!B990,Finance_Data!C990,Finance_Data!D990,Finance_Data!E990,Finance_Data!G990,Finance_Data!H990)</f>
        <v>CMP_039_North_Australia_Skincare_Wholesale_45812_45866</v>
      </c>
    </row>
    <row r="991" spans="1:20" x14ac:dyDescent="0.35">
      <c r="A991" s="6" t="s">
        <v>111</v>
      </c>
      <c r="B991" s="1" t="s">
        <v>48</v>
      </c>
      <c r="C991" s="1" t="s">
        <v>69</v>
      </c>
      <c r="D991" s="1" t="s">
        <v>43</v>
      </c>
      <c r="E991" s="1" t="s">
        <v>38</v>
      </c>
      <c r="F991" s="1" t="s">
        <v>44</v>
      </c>
      <c r="G991" s="2">
        <v>45813</v>
      </c>
      <c r="H991" s="2">
        <v>45836</v>
      </c>
      <c r="I991" s="1">
        <v>38902.85</v>
      </c>
      <c r="J991" s="1">
        <v>0.37969999999999998</v>
      </c>
      <c r="K991" s="1">
        <v>14771.41</v>
      </c>
      <c r="L991" s="1">
        <v>100581</v>
      </c>
      <c r="M991" s="1">
        <v>36347</v>
      </c>
      <c r="N991" s="1">
        <v>116902.81</v>
      </c>
      <c r="O991" s="1">
        <v>2025</v>
      </c>
      <c r="P991" s="1" t="s">
        <v>53</v>
      </c>
      <c r="Q991" s="1" t="s">
        <v>46</v>
      </c>
      <c r="R991" s="1" t="s">
        <v>61</v>
      </c>
      <c r="S991" s="1">
        <f t="shared" si="15"/>
        <v>24</v>
      </c>
      <c r="T991" s="7" t="str">
        <f>_xlfn.TEXTJOIN("_",TRUE,Finance_Data!A991,Finance_Data!B991,Finance_Data!C991,Finance_Data!D991,Finance_Data!E991,Finance_Data!G991,Finance_Data!H991)</f>
        <v>CMP_024_South_USA_Luxury Bag_Ecommerce_45813_45836</v>
      </c>
    </row>
    <row r="992" spans="1:20" x14ac:dyDescent="0.35">
      <c r="A992" s="6" t="s">
        <v>100</v>
      </c>
      <c r="B992" s="1" t="s">
        <v>48</v>
      </c>
      <c r="C992" s="1" t="s">
        <v>20</v>
      </c>
      <c r="D992" s="1" t="s">
        <v>51</v>
      </c>
      <c r="E992" s="1" t="s">
        <v>30</v>
      </c>
      <c r="F992" s="1" t="s">
        <v>31</v>
      </c>
      <c r="G992" s="2">
        <v>45815</v>
      </c>
      <c r="H992" s="2">
        <v>45850</v>
      </c>
      <c r="I992" s="1">
        <v>9357.77</v>
      </c>
      <c r="J992" s="1">
        <v>0.99809999999999999</v>
      </c>
      <c r="K992" s="1">
        <v>9339.99</v>
      </c>
      <c r="L992" s="1">
        <v>640025</v>
      </c>
      <c r="M992" s="1">
        <v>9452</v>
      </c>
      <c r="N992" s="1">
        <v>199680.94</v>
      </c>
      <c r="O992" s="1">
        <v>2025</v>
      </c>
      <c r="P992" s="1" t="s">
        <v>53</v>
      </c>
      <c r="Q992" s="1" t="s">
        <v>46</v>
      </c>
      <c r="R992" s="1" t="s">
        <v>61</v>
      </c>
      <c r="S992" s="1">
        <f t="shared" si="15"/>
        <v>36</v>
      </c>
      <c r="T992" s="7" t="str">
        <f>_xlfn.TEXTJOIN("_",TRUE,Finance_Data!A992,Finance_Data!B992,Finance_Data!C992,Finance_Data!D992,Finance_Data!E992,Finance_Data!G992,Finance_Data!H992)</f>
        <v>CMP_053_South_Singapore_Watch_Wholesale_45815_45850</v>
      </c>
    </row>
    <row r="993" spans="1:20" x14ac:dyDescent="0.35">
      <c r="A993" s="6" t="s">
        <v>102</v>
      </c>
      <c r="B993" s="1" t="s">
        <v>19</v>
      </c>
      <c r="C993" s="1" t="s">
        <v>20</v>
      </c>
      <c r="D993" s="1" t="s">
        <v>59</v>
      </c>
      <c r="E993" s="1" t="s">
        <v>38</v>
      </c>
      <c r="F993" s="1" t="s">
        <v>49</v>
      </c>
      <c r="G993" s="2">
        <v>45816</v>
      </c>
      <c r="H993" s="2">
        <v>45861</v>
      </c>
      <c r="I993" s="1">
        <v>9140.18</v>
      </c>
      <c r="J993" s="1">
        <v>0.35880000000000001</v>
      </c>
      <c r="K993" s="1">
        <v>3279.5</v>
      </c>
      <c r="L993" s="1">
        <v>406077</v>
      </c>
      <c r="M993" s="1">
        <v>8271</v>
      </c>
      <c r="N993" s="1">
        <v>72806.740000000005</v>
      </c>
      <c r="O993" s="1">
        <v>2025</v>
      </c>
      <c r="P993" s="1" t="s">
        <v>53</v>
      </c>
      <c r="Q993" s="1" t="s">
        <v>46</v>
      </c>
      <c r="R993" s="1" t="s">
        <v>26</v>
      </c>
      <c r="S993" s="1">
        <f t="shared" si="15"/>
        <v>46</v>
      </c>
      <c r="T993" s="7" t="str">
        <f>_xlfn.TEXTJOIN("_",TRUE,Finance_Data!A993,Finance_Data!B993,Finance_Data!C993,Finance_Data!D993,Finance_Data!E993,Finance_Data!G993,Finance_Data!H993)</f>
        <v>CMP_022_North_Singapore_Lipstick_Ecommerce_45816_45861</v>
      </c>
    </row>
    <row r="994" spans="1:20" x14ac:dyDescent="0.35">
      <c r="A994" s="6" t="s">
        <v>104</v>
      </c>
      <c r="B994" s="1" t="s">
        <v>35</v>
      </c>
      <c r="C994" s="1" t="s">
        <v>58</v>
      </c>
      <c r="D994" s="1" t="s">
        <v>43</v>
      </c>
      <c r="E994" s="1" t="s">
        <v>22</v>
      </c>
      <c r="F994" s="1" t="s">
        <v>44</v>
      </c>
      <c r="G994" s="2">
        <v>45820</v>
      </c>
      <c r="H994" s="2">
        <v>45880</v>
      </c>
      <c r="I994" s="1">
        <v>8735.2900000000009</v>
      </c>
      <c r="J994" s="1">
        <v>0.3528</v>
      </c>
      <c r="K994" s="1">
        <v>3081.81</v>
      </c>
      <c r="L994" s="1">
        <v>570383</v>
      </c>
      <c r="M994" s="1">
        <v>37806</v>
      </c>
      <c r="N994" s="1">
        <v>64142.61</v>
      </c>
      <c r="O994" s="1">
        <v>2025</v>
      </c>
      <c r="P994" s="1" t="s">
        <v>53</v>
      </c>
      <c r="Q994" s="1" t="s">
        <v>46</v>
      </c>
      <c r="R994" s="1" t="s">
        <v>26</v>
      </c>
      <c r="S994" s="1">
        <f t="shared" si="15"/>
        <v>61</v>
      </c>
      <c r="T994" s="7" t="str">
        <f>_xlfn.TEXTJOIN("_",TRUE,Finance_Data!A994,Finance_Data!B994,Finance_Data!C994,Finance_Data!D994,Finance_Data!E994,Finance_Data!G994,Finance_Data!H994)</f>
        <v>CMP_034_East_UK_Luxury Bag_Retail_45820_45880</v>
      </c>
    </row>
    <row r="995" spans="1:20" x14ac:dyDescent="0.35">
      <c r="A995" s="6" t="s">
        <v>89</v>
      </c>
      <c r="B995" s="1" t="s">
        <v>35</v>
      </c>
      <c r="C995" s="1" t="s">
        <v>36</v>
      </c>
      <c r="D995" s="1" t="s">
        <v>43</v>
      </c>
      <c r="E995" s="1" t="s">
        <v>30</v>
      </c>
      <c r="F995" s="1" t="s">
        <v>31</v>
      </c>
      <c r="G995" s="2">
        <v>45820</v>
      </c>
      <c r="H995" s="2">
        <v>45845</v>
      </c>
      <c r="I995" s="1">
        <v>41514.28</v>
      </c>
      <c r="J995" s="1">
        <v>0.82509999999999994</v>
      </c>
      <c r="K995" s="1">
        <v>34253.43</v>
      </c>
      <c r="L995" s="1">
        <v>325697</v>
      </c>
      <c r="M995" s="1">
        <v>17890</v>
      </c>
      <c r="N995" s="1">
        <v>172933.71</v>
      </c>
      <c r="O995" s="1">
        <v>2025</v>
      </c>
      <c r="P995" s="1" t="s">
        <v>53</v>
      </c>
      <c r="Q995" s="1" t="s">
        <v>46</v>
      </c>
      <c r="R995" s="1" t="s">
        <v>61</v>
      </c>
      <c r="S995" s="1">
        <f t="shared" si="15"/>
        <v>26</v>
      </c>
      <c r="T995" s="7" t="str">
        <f>_xlfn.TEXTJOIN("_",TRUE,Finance_Data!A995,Finance_Data!B995,Finance_Data!C995,Finance_Data!D995,Finance_Data!E995,Finance_Data!G995,Finance_Data!H995)</f>
        <v>CMP_045_East_India_Luxury Bag_Wholesale_45820_45845</v>
      </c>
    </row>
    <row r="996" spans="1:20" x14ac:dyDescent="0.35">
      <c r="A996" s="6" t="s">
        <v>95</v>
      </c>
      <c r="B996" s="1" t="s">
        <v>19</v>
      </c>
      <c r="C996" s="1" t="s">
        <v>36</v>
      </c>
      <c r="D996" s="1" t="s">
        <v>37</v>
      </c>
      <c r="E996" s="1" t="s">
        <v>30</v>
      </c>
      <c r="F996" s="1" t="s">
        <v>49</v>
      </c>
      <c r="G996" s="2">
        <v>45820</v>
      </c>
      <c r="H996" s="2">
        <v>45841</v>
      </c>
      <c r="I996" s="1">
        <v>11132.15</v>
      </c>
      <c r="J996" s="1">
        <v>0.25130000000000002</v>
      </c>
      <c r="K996" s="1">
        <v>2797.51</v>
      </c>
      <c r="L996" s="1">
        <v>271824</v>
      </c>
      <c r="M996" s="1">
        <v>40640</v>
      </c>
      <c r="N996" s="1">
        <v>92226.71</v>
      </c>
      <c r="O996" s="1">
        <v>2025</v>
      </c>
      <c r="P996" s="1" t="s">
        <v>53</v>
      </c>
      <c r="Q996" s="1" t="s">
        <v>46</v>
      </c>
      <c r="R996" s="1" t="s">
        <v>26</v>
      </c>
      <c r="S996" s="1">
        <f t="shared" si="15"/>
        <v>22</v>
      </c>
      <c r="T996" s="7" t="str">
        <f>_xlfn.TEXTJOIN("_",TRUE,Finance_Data!A996,Finance_Data!B996,Finance_Data!C996,Finance_Data!D996,Finance_Data!E996,Finance_Data!G996,Finance_Data!H996)</f>
        <v>CMP_050_North_India_Perfume_Wholesale_45820_45841</v>
      </c>
    </row>
    <row r="997" spans="1:20" x14ac:dyDescent="0.35">
      <c r="A997" s="6" t="s">
        <v>96</v>
      </c>
      <c r="B997" s="1" t="s">
        <v>48</v>
      </c>
      <c r="C997" s="1" t="s">
        <v>36</v>
      </c>
      <c r="D997" s="1" t="s">
        <v>21</v>
      </c>
      <c r="E997" s="1" t="s">
        <v>38</v>
      </c>
      <c r="F997" s="1" t="s">
        <v>31</v>
      </c>
      <c r="G997" s="2">
        <v>45822</v>
      </c>
      <c r="H997" s="2">
        <v>45881</v>
      </c>
      <c r="I997" s="1">
        <v>22575</v>
      </c>
      <c r="J997" s="1">
        <v>0.63590000000000002</v>
      </c>
      <c r="K997" s="1">
        <v>14355.44</v>
      </c>
      <c r="L997" s="1">
        <v>489123</v>
      </c>
      <c r="M997" s="1">
        <v>1105</v>
      </c>
      <c r="N997" s="1">
        <v>181998.74</v>
      </c>
      <c r="O997" s="1">
        <v>2025</v>
      </c>
      <c r="P997" s="1" t="s">
        <v>53</v>
      </c>
      <c r="Q997" s="1" t="s">
        <v>46</v>
      </c>
      <c r="R997" s="1" t="s">
        <v>54</v>
      </c>
      <c r="S997" s="1">
        <f t="shared" si="15"/>
        <v>60</v>
      </c>
      <c r="T997" s="7" t="str">
        <f>_xlfn.TEXTJOIN("_",TRUE,Finance_Data!A997,Finance_Data!B997,Finance_Data!C997,Finance_Data!D997,Finance_Data!E997,Finance_Data!G997,Finance_Data!H997)</f>
        <v>CMP_027_South_India_Foundation_Ecommerce_45822_45881</v>
      </c>
    </row>
    <row r="998" spans="1:20" x14ac:dyDescent="0.35">
      <c r="A998" s="6" t="s">
        <v>97</v>
      </c>
      <c r="B998" s="1" t="s">
        <v>19</v>
      </c>
      <c r="C998" s="1" t="s">
        <v>29</v>
      </c>
      <c r="D998" s="1" t="s">
        <v>63</v>
      </c>
      <c r="E998" s="1" t="s">
        <v>38</v>
      </c>
      <c r="F998" s="1" t="s">
        <v>44</v>
      </c>
      <c r="G998" s="2">
        <v>45822</v>
      </c>
      <c r="H998" s="2">
        <v>45850</v>
      </c>
      <c r="I998" s="1">
        <v>28172.5</v>
      </c>
      <c r="J998" s="1">
        <v>0.1321</v>
      </c>
      <c r="K998" s="1">
        <v>3721.59</v>
      </c>
      <c r="L998" s="1">
        <v>896982</v>
      </c>
      <c r="M998" s="1">
        <v>33910</v>
      </c>
      <c r="N998" s="1">
        <v>213535.68</v>
      </c>
      <c r="O998" s="1">
        <v>2025</v>
      </c>
      <c r="P998" s="1" t="s">
        <v>53</v>
      </c>
      <c r="Q998" s="1" t="s">
        <v>46</v>
      </c>
      <c r="R998" s="1" t="s">
        <v>61</v>
      </c>
      <c r="S998" s="1">
        <f t="shared" si="15"/>
        <v>29</v>
      </c>
      <c r="T998" s="7" t="str">
        <f>_xlfn.TEXTJOIN("_",TRUE,Finance_Data!A998,Finance_Data!B998,Finance_Data!C998,Finance_Data!D998,Finance_Data!E998,Finance_Data!G998,Finance_Data!H998)</f>
        <v>CMP_019_North_Australia_Skincare_Ecommerce_45822_45850</v>
      </c>
    </row>
    <row r="999" spans="1:20" x14ac:dyDescent="0.35">
      <c r="A999" s="6" t="s">
        <v>27</v>
      </c>
      <c r="B999" s="1" t="s">
        <v>28</v>
      </c>
      <c r="C999" s="1" t="s">
        <v>20</v>
      </c>
      <c r="D999" s="1" t="s">
        <v>63</v>
      </c>
      <c r="E999" s="1" t="s">
        <v>30</v>
      </c>
      <c r="F999" s="1" t="s">
        <v>49</v>
      </c>
      <c r="G999" s="2">
        <v>45824</v>
      </c>
      <c r="H999" s="2">
        <v>45856</v>
      </c>
      <c r="I999" s="1">
        <v>9125.36</v>
      </c>
      <c r="J999" s="1">
        <v>0.51800000000000002</v>
      </c>
      <c r="K999" s="1">
        <v>4726.9399999999996</v>
      </c>
      <c r="L999" s="1">
        <v>735443</v>
      </c>
      <c r="M999" s="1">
        <v>19906</v>
      </c>
      <c r="N999" s="1">
        <v>127658.47</v>
      </c>
      <c r="O999" s="1">
        <v>2025</v>
      </c>
      <c r="P999" s="1" t="s">
        <v>53</v>
      </c>
      <c r="Q999" s="1" t="s">
        <v>46</v>
      </c>
      <c r="R999" s="1" t="s">
        <v>26</v>
      </c>
      <c r="S999" s="1">
        <f t="shared" si="15"/>
        <v>33</v>
      </c>
      <c r="T999" s="7" t="str">
        <f>_xlfn.TEXTJOIN("_",TRUE,Finance_Data!A999,Finance_Data!B999,Finance_Data!C999,Finance_Data!D999,Finance_Data!E999,Finance_Data!G999,Finance_Data!H999)</f>
        <v>CMP_035_West_Singapore_Skincare_Wholesale_45824_45856</v>
      </c>
    </row>
    <row r="1000" spans="1:20" x14ac:dyDescent="0.35">
      <c r="A1000" s="6" t="s">
        <v>114</v>
      </c>
      <c r="B1000" s="1" t="s">
        <v>28</v>
      </c>
      <c r="C1000" s="1" t="s">
        <v>69</v>
      </c>
      <c r="D1000" s="1" t="s">
        <v>63</v>
      </c>
      <c r="E1000" s="1" t="s">
        <v>30</v>
      </c>
      <c r="F1000" s="1" t="s">
        <v>49</v>
      </c>
      <c r="G1000" s="2">
        <v>45826</v>
      </c>
      <c r="H1000" s="2">
        <v>45876</v>
      </c>
      <c r="I1000" s="1">
        <v>4203.5</v>
      </c>
      <c r="J1000" s="1">
        <v>0.18190000000000001</v>
      </c>
      <c r="K1000" s="1">
        <v>764.62</v>
      </c>
      <c r="L1000" s="1">
        <v>979047</v>
      </c>
      <c r="M1000" s="1">
        <v>8671</v>
      </c>
      <c r="N1000" s="1">
        <v>199750.04</v>
      </c>
      <c r="O1000" s="1">
        <v>2025</v>
      </c>
      <c r="P1000" s="1" t="s">
        <v>53</v>
      </c>
      <c r="Q1000" s="1" t="s">
        <v>46</v>
      </c>
      <c r="R1000" s="1" t="s">
        <v>61</v>
      </c>
      <c r="S1000" s="1">
        <f t="shared" si="15"/>
        <v>51</v>
      </c>
      <c r="T1000" s="7" t="str">
        <f>_xlfn.TEXTJOIN("_",TRUE,Finance_Data!A1000,Finance_Data!B1000,Finance_Data!C1000,Finance_Data!D1000,Finance_Data!E1000,Finance_Data!G1000,Finance_Data!H1000)</f>
        <v>CMP_013_West_USA_Skincare_Wholesale_45826_45876</v>
      </c>
    </row>
    <row r="1001" spans="1:20" x14ac:dyDescent="0.35">
      <c r="A1001" s="11" t="s">
        <v>93</v>
      </c>
      <c r="B1001" s="12" t="s">
        <v>48</v>
      </c>
      <c r="C1001" s="12" t="s">
        <v>36</v>
      </c>
      <c r="D1001" s="12" t="s">
        <v>63</v>
      </c>
      <c r="E1001" s="12" t="s">
        <v>38</v>
      </c>
      <c r="F1001" s="12" t="s">
        <v>23</v>
      </c>
      <c r="G1001" s="13">
        <v>45827</v>
      </c>
      <c r="H1001" s="13">
        <v>45875</v>
      </c>
      <c r="I1001" s="12">
        <v>19852.45</v>
      </c>
      <c r="J1001" s="12">
        <v>1.0622</v>
      </c>
      <c r="K1001" s="12">
        <v>21087.27</v>
      </c>
      <c r="L1001" s="12">
        <v>872752</v>
      </c>
      <c r="M1001" s="12">
        <v>7466</v>
      </c>
      <c r="N1001" s="12">
        <v>125496.04</v>
      </c>
      <c r="O1001" s="12">
        <v>2025</v>
      </c>
      <c r="P1001" s="12" t="s">
        <v>53</v>
      </c>
      <c r="Q1001" s="12" t="s">
        <v>46</v>
      </c>
      <c r="R1001" s="12" t="s">
        <v>41</v>
      </c>
      <c r="S1001" s="12">
        <f t="shared" si="15"/>
        <v>49</v>
      </c>
      <c r="T1001" s="14" t="str">
        <f>_xlfn.TEXTJOIN("_",TRUE,Finance_Data!A1001,Finance_Data!B1001,Finance_Data!C1001,Finance_Data!D1001,Finance_Data!E1001,Finance_Data!G1001,Finance_Data!H1001)</f>
        <v>CMP_008_South_India_Skincare_Ecommerce_45827_45875</v>
      </c>
    </row>
  </sheetData>
  <conditionalFormatting sqref="T1:T1048576">
    <cfRule type="duplicateValues" dxfId="9" priority="1"/>
  </conditionalFormatting>
  <pageMargins left="0.75" right="0.75" top="1" bottom="1" header="0.5" footer="0.5"/>
  <headerFooter>
    <oddFooter>&amp;C_x000D_&amp;1#&amp;"Aptos"&amp;10&amp;K000000 Confidential - Not for Public Consumption or Distribution</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19B03-3A94-446C-8C3F-D3F06E5D16E8}">
  <dimension ref="A1:N1005"/>
  <sheetViews>
    <sheetView zoomScaleNormal="100" workbookViewId="0">
      <pane xSplit="1" ySplit="5" topLeftCell="F131" activePane="bottomRight" state="frozen"/>
      <selection pane="topRight" activeCell="B1" sqref="B1"/>
      <selection pane="bottomLeft" activeCell="A6" sqref="A6"/>
      <selection pane="bottomRight" activeCell="I555" sqref="I555"/>
    </sheetView>
  </sheetViews>
  <sheetFormatPr defaultRowHeight="14.5" x14ac:dyDescent="0.35"/>
  <cols>
    <col min="1" max="1" width="16.453125" bestFit="1" customWidth="1"/>
    <col min="2" max="2" width="25.7265625" bestFit="1" customWidth="1"/>
    <col min="3" max="3" width="14" bestFit="1" customWidth="1"/>
    <col min="4" max="4" width="18.6328125" bestFit="1" customWidth="1"/>
    <col min="5" max="5" width="13.54296875" bestFit="1" customWidth="1"/>
    <col min="6" max="6" width="17" bestFit="1" customWidth="1"/>
    <col min="7" max="7" width="11.54296875" bestFit="1" customWidth="1"/>
    <col min="8" max="8" width="19" bestFit="1" customWidth="1"/>
    <col min="9" max="9" width="13.36328125" bestFit="1" customWidth="1"/>
    <col min="10" max="10" width="14.81640625" bestFit="1" customWidth="1"/>
    <col min="11" max="11" width="13.81640625" bestFit="1" customWidth="1"/>
    <col min="12" max="12" width="15.26953125" bestFit="1" customWidth="1"/>
    <col min="13" max="13" width="16.1796875" bestFit="1" customWidth="1"/>
    <col min="14" max="14" width="17.453125" bestFit="1" customWidth="1"/>
  </cols>
  <sheetData>
    <row r="1" spans="1:14" x14ac:dyDescent="0.35">
      <c r="D1" s="111" t="s">
        <v>141</v>
      </c>
      <c r="E1" s="112"/>
    </row>
    <row r="2" spans="1:14" x14ac:dyDescent="0.35">
      <c r="B2" s="4" t="s">
        <v>133</v>
      </c>
      <c r="C2" s="4">
        <f>COUNTA(A6:A1005)</f>
        <v>1000</v>
      </c>
      <c r="D2" s="4" t="s">
        <v>134</v>
      </c>
      <c r="E2" s="4">
        <f>COUNTIF(N6:N1005,"Pass")</f>
        <v>983</v>
      </c>
      <c r="F2" s="4" t="s">
        <v>140</v>
      </c>
      <c r="G2" s="4">
        <f>COUNTIF(C6:C1005,C6="Missing")</f>
        <v>0</v>
      </c>
    </row>
    <row r="3" spans="1:14" x14ac:dyDescent="0.35">
      <c r="B3" s="4" t="s">
        <v>139</v>
      </c>
      <c r="C3" s="4">
        <f>COUNTIF(D6:D1005,D6="Duplicate")</f>
        <v>0</v>
      </c>
      <c r="D3" s="4" t="s">
        <v>135</v>
      </c>
      <c r="E3" s="4">
        <f>C2-E2</f>
        <v>17</v>
      </c>
      <c r="F3" s="4" t="s">
        <v>136</v>
      </c>
      <c r="G3" s="5">
        <f>E2/C2</f>
        <v>0.98299999999999998</v>
      </c>
    </row>
    <row r="5" spans="1:14" ht="29" x14ac:dyDescent="0.35">
      <c r="A5" s="34" t="s">
        <v>0</v>
      </c>
      <c r="B5" s="35" t="s">
        <v>129</v>
      </c>
      <c r="C5" s="35" t="s">
        <v>154</v>
      </c>
      <c r="D5" s="103" t="s">
        <v>137</v>
      </c>
      <c r="E5" s="104" t="s">
        <v>121</v>
      </c>
      <c r="F5" s="35" t="s">
        <v>131</v>
      </c>
      <c r="G5" s="36" t="s">
        <v>122</v>
      </c>
      <c r="H5" s="35" t="s">
        <v>132</v>
      </c>
      <c r="I5" s="36" t="s">
        <v>123</v>
      </c>
      <c r="J5" s="36" t="s">
        <v>124</v>
      </c>
      <c r="K5" s="36" t="s">
        <v>125</v>
      </c>
      <c r="L5" s="36" t="s">
        <v>126</v>
      </c>
      <c r="M5" s="36" t="s">
        <v>127</v>
      </c>
      <c r="N5" s="37" t="s">
        <v>128</v>
      </c>
    </row>
    <row r="6" spans="1:14" x14ac:dyDescent="0.35">
      <c r="A6" s="17" t="s">
        <v>103</v>
      </c>
      <c r="B6" s="3" t="str">
        <f>IF(ISBLANK(Table3[[#This Row],[Campaign_ID]]),"Invalid","Valid")</f>
        <v>Valid</v>
      </c>
      <c r="C6" s="3" t="str">
        <f>IF(COUNTA(Finance_Data!A2:R2)=18,"Valid","Missing")</f>
        <v>Valid</v>
      </c>
      <c r="D6" s="3" t="str">
        <f>IF(COUNTIF(Finance_Data!$T$2:$T$1001,Finance_Data!T2)&gt;1,"Duplicate","Valid")</f>
        <v>Valid</v>
      </c>
      <c r="E6" s="3" t="str">
        <f>IF(Finance_Data!H2&gt;Finance_Data!G2,"Valid","Invalid")</f>
        <v>Valid</v>
      </c>
      <c r="F6" s="3" t="str" cm="1">
        <f t="array" ref="F6">_xlfn.IFS(Finance_Data!S2&lt;7,"Short",Finance_Data!S2&lt;=30,"Normal",Finance_Data!S2&lt;=60,"Long",Finance_Data!S2&gt;60,"Very Long")</f>
        <v>Normal</v>
      </c>
      <c r="G6" s="3" t="str">
        <f>IF(ABS(Finance_Data!I2*Finance_Data!J2)-Finance_Data!K2&lt;1,"Valid","Invalid")</f>
        <v>Valid</v>
      </c>
      <c r="H6" s="3" t="str">
        <f>IF(Finance_Data!L2&gt;0,"Valid","Invalid")</f>
        <v>Valid</v>
      </c>
      <c r="I6" s="3" t="str">
        <f>IF(Finance_Data!L2&gt;=Finance_Data!M2,"Valid","Invalid")</f>
        <v>Valid</v>
      </c>
      <c r="J6" s="3" t="str">
        <f>IF(AND(Finance_Data!I2&gt;=0,Finance_Data!K2&gt;=0),"Valid","Invalid")</f>
        <v>Valid</v>
      </c>
      <c r="K6" s="3" t="str">
        <f>IF(Finance_Data!N2&gt;=0,"Valid","Invalid")</f>
        <v>Valid</v>
      </c>
      <c r="L6" s="3" t="str">
        <f>IF(TEXT(Finance_Data!G2,"mmmm")=Finance_Data!P2,"Valid","Invalid")</f>
        <v>Valid</v>
      </c>
      <c r="M6" s="3" t="str">
        <f>IF("Q"&amp;ROUNDUP(MONTH(Finance_Data!G2)/3,0)=Finance_Data!Q2,"Valid","Invalid")</f>
        <v>Valid</v>
      </c>
      <c r="N6" s="7" t="str">
        <f t="shared" ref="N6:N69" si="0">IF(AND(B6="Valid",E6="Valid",G6="Valid",H6="Valid",I6="Valid",J6="Valid",K6="Valid",L6="Valid",M6="Valid"),"Pass","Fail")</f>
        <v>Pass</v>
      </c>
    </row>
    <row r="7" spans="1:14" x14ac:dyDescent="0.35">
      <c r="A7" s="17" t="s">
        <v>120</v>
      </c>
      <c r="B7" s="3" t="str">
        <f>IF(ISBLANK(Table3[[#This Row],[Campaign_ID]]),"Invalid","Valid")</f>
        <v>Valid</v>
      </c>
      <c r="C7" s="3" t="str">
        <f>IF(COUNTA(Finance_Data!A3:R3)=18,"Valid","Missing")</f>
        <v>Valid</v>
      </c>
      <c r="D7" s="3" t="str">
        <f>IF(COUNTIF(Finance_Data!$T$2:$T$1001,Finance_Data!T3)&gt;1,"Duplicate","Valid")</f>
        <v>Valid</v>
      </c>
      <c r="E7" s="3" t="str">
        <f>IF(Finance_Data!H3&gt;Finance_Data!G3,"Valid","Invalid")</f>
        <v>Valid</v>
      </c>
      <c r="F7" s="3" t="str" cm="1">
        <f t="array" ref="F7">_xlfn.IFS(Finance_Data!S3&lt;7,"Short",Finance_Data!S3&lt;=30,"Normal",Finance_Data!S3&lt;=60,"Long",Finance_Data!S3&gt;60,"Very Long")</f>
        <v>Long</v>
      </c>
      <c r="G7" s="3" t="str">
        <f>IF(ABS(Finance_Data!I3*Finance_Data!J3)-Finance_Data!K3&lt;1,"Valid","Invalid")</f>
        <v>Valid</v>
      </c>
      <c r="H7" s="3" t="str">
        <f>IF(Finance_Data!L3&gt;0,"Valid","Invalid")</f>
        <v>Valid</v>
      </c>
      <c r="I7" s="3" t="str">
        <f>IF(Finance_Data!L3&gt;=Finance_Data!M3,"Valid","Invalid")</f>
        <v>Valid</v>
      </c>
      <c r="J7" s="3" t="str">
        <f>IF(AND(Finance_Data!I3&gt;=0,Finance_Data!K3&gt;=0),"Valid","Invalid")</f>
        <v>Valid</v>
      </c>
      <c r="K7" s="3" t="str">
        <f>IF(Finance_Data!N3&gt;=0,"Valid","Invalid")</f>
        <v>Valid</v>
      </c>
      <c r="L7" s="3" t="str">
        <f>IF(TEXT(Finance_Data!G3,"mmmm")=Finance_Data!P3,"Valid","Invalid")</f>
        <v>Valid</v>
      </c>
      <c r="M7" s="3" t="str">
        <f>IF("Q"&amp;ROUNDUP(MONTH(Finance_Data!G3)/3,0)=Finance_Data!Q3,"Valid","Invalid")</f>
        <v>Valid</v>
      </c>
      <c r="N7" s="7" t="str">
        <f t="shared" si="0"/>
        <v>Pass</v>
      </c>
    </row>
    <row r="8" spans="1:14" x14ac:dyDescent="0.35">
      <c r="A8" s="17" t="s">
        <v>96</v>
      </c>
      <c r="B8" s="3" t="str">
        <f>IF(ISBLANK(Table3[[#This Row],[Campaign_ID]]),"Invalid","Valid")</f>
        <v>Valid</v>
      </c>
      <c r="C8" s="3" t="str">
        <f>IF(COUNTA(Finance_Data!A4:R4)=18,"Valid","Missing")</f>
        <v>Valid</v>
      </c>
      <c r="D8" s="3" t="str">
        <f>IF(COUNTIF(Finance_Data!$T$2:$T$1001,Finance_Data!T4)&gt;1,"Duplicate","Valid")</f>
        <v>Valid</v>
      </c>
      <c r="E8" s="3" t="str">
        <f>IF(Finance_Data!H4&gt;Finance_Data!G4,"Valid","Invalid")</f>
        <v>Valid</v>
      </c>
      <c r="F8" s="3" t="str" cm="1">
        <f t="array" ref="F8">_xlfn.IFS(Finance_Data!S4&lt;7,"Short",Finance_Data!S4&lt;=30,"Normal",Finance_Data!S4&lt;=60,"Long",Finance_Data!S4&gt;60,"Very Long")</f>
        <v>Long</v>
      </c>
      <c r="G8" s="3" t="str">
        <f>IF(ABS(Finance_Data!I4*Finance_Data!J4)-Finance_Data!K4&lt;1,"Valid","Invalid")</f>
        <v>Valid</v>
      </c>
      <c r="H8" s="3" t="str">
        <f>IF(Finance_Data!L4&gt;0,"Valid","Invalid")</f>
        <v>Valid</v>
      </c>
      <c r="I8" s="3" t="str">
        <f>IF(Finance_Data!L4&gt;=Finance_Data!M4,"Valid","Invalid")</f>
        <v>Valid</v>
      </c>
      <c r="J8" s="3" t="str">
        <f>IF(AND(Finance_Data!I4&gt;=0,Finance_Data!K4&gt;=0),"Valid","Invalid")</f>
        <v>Valid</v>
      </c>
      <c r="K8" s="3" t="str">
        <f>IF(Finance_Data!N4&gt;=0,"Valid","Invalid")</f>
        <v>Valid</v>
      </c>
      <c r="L8" s="3" t="str">
        <f>IF(TEXT(Finance_Data!G4,"mmmm")=Finance_Data!P4,"Valid","Invalid")</f>
        <v>Valid</v>
      </c>
      <c r="M8" s="3" t="str">
        <f>IF("Q"&amp;ROUNDUP(MONTH(Finance_Data!G4)/3,0)=Finance_Data!Q4,"Valid","Invalid")</f>
        <v>Valid</v>
      </c>
      <c r="N8" s="7" t="str">
        <f t="shared" si="0"/>
        <v>Pass</v>
      </c>
    </row>
    <row r="9" spans="1:14" x14ac:dyDescent="0.35">
      <c r="A9" s="17" t="s">
        <v>96</v>
      </c>
      <c r="B9" s="3" t="str">
        <f>IF(ISBLANK(Table3[[#This Row],[Campaign_ID]]),"Invalid","Valid")</f>
        <v>Valid</v>
      </c>
      <c r="C9" s="3" t="str">
        <f>IF(COUNTA(Finance_Data!A5:R5)=18,"Valid","Missing")</f>
        <v>Valid</v>
      </c>
      <c r="D9" s="3" t="str">
        <f>IF(COUNTIF(Finance_Data!$T$2:$T$1001,Finance_Data!T5)&gt;1,"Duplicate","Valid")</f>
        <v>Valid</v>
      </c>
      <c r="E9" s="3" t="str">
        <f>IF(Finance_Data!H5&gt;Finance_Data!G5,"Valid","Invalid")</f>
        <v>Valid</v>
      </c>
      <c r="F9" s="3" t="str" cm="1">
        <f t="array" ref="F9">_xlfn.IFS(Finance_Data!S5&lt;7,"Short",Finance_Data!S5&lt;=30,"Normal",Finance_Data!S5&lt;=60,"Long",Finance_Data!S5&gt;60,"Very Long")</f>
        <v>Long</v>
      </c>
      <c r="G9" s="3" t="str">
        <f>IF(ABS(Finance_Data!I5*Finance_Data!J5)-Finance_Data!K5&lt;1,"Valid","Invalid")</f>
        <v>Valid</v>
      </c>
      <c r="H9" s="3" t="str">
        <f>IF(Finance_Data!L5&gt;0,"Valid","Invalid")</f>
        <v>Valid</v>
      </c>
      <c r="I9" s="3" t="str">
        <f>IF(Finance_Data!L5&gt;=Finance_Data!M5,"Valid","Invalid")</f>
        <v>Valid</v>
      </c>
      <c r="J9" s="3" t="str">
        <f>IF(AND(Finance_Data!I5&gt;=0,Finance_Data!K5&gt;=0),"Valid","Invalid")</f>
        <v>Valid</v>
      </c>
      <c r="K9" s="3" t="str">
        <f>IF(Finance_Data!N5&gt;=0,"Valid","Invalid")</f>
        <v>Valid</v>
      </c>
      <c r="L9" s="3" t="str">
        <f>IF(TEXT(Finance_Data!G5,"mmmm")=Finance_Data!P5,"Valid","Invalid")</f>
        <v>Valid</v>
      </c>
      <c r="M9" s="3" t="str">
        <f>IF("Q"&amp;ROUNDUP(MONTH(Finance_Data!G5)/3,0)=Finance_Data!Q5,"Valid","Invalid")</f>
        <v>Valid</v>
      </c>
      <c r="N9" s="7" t="str">
        <f t="shared" si="0"/>
        <v>Pass</v>
      </c>
    </row>
    <row r="10" spans="1:14" x14ac:dyDescent="0.35">
      <c r="A10" s="17" t="s">
        <v>106</v>
      </c>
      <c r="B10" s="3" t="str">
        <f>IF(ISBLANK(Table3[[#This Row],[Campaign_ID]]),"Invalid","Valid")</f>
        <v>Valid</v>
      </c>
      <c r="C10" s="3" t="str">
        <f>IF(COUNTA(Finance_Data!A6:R6)=18,"Valid","Missing")</f>
        <v>Valid</v>
      </c>
      <c r="D10" s="3" t="str">
        <f>IF(COUNTIF(Finance_Data!$T$2:$T$1001,Finance_Data!T6)&gt;1,"Duplicate","Valid")</f>
        <v>Valid</v>
      </c>
      <c r="E10" s="3" t="str">
        <f>IF(Finance_Data!H6&gt;Finance_Data!G6,"Valid","Invalid")</f>
        <v>Valid</v>
      </c>
      <c r="F10" s="3" t="str" cm="1">
        <f t="array" ref="F10">_xlfn.IFS(Finance_Data!S6&lt;7,"Short",Finance_Data!S6&lt;=30,"Normal",Finance_Data!S6&lt;=60,"Long",Finance_Data!S6&gt;60,"Very Long")</f>
        <v>Normal</v>
      </c>
      <c r="G10" s="3" t="str">
        <f>IF(ABS(Finance_Data!I6*Finance_Data!J6)-Finance_Data!K6&lt;1,"Valid","Invalid")</f>
        <v>Valid</v>
      </c>
      <c r="H10" s="3" t="str">
        <f>IF(Finance_Data!L6&gt;0,"Valid","Invalid")</f>
        <v>Valid</v>
      </c>
      <c r="I10" s="3" t="str">
        <f>IF(Finance_Data!L6&gt;=Finance_Data!M6,"Valid","Invalid")</f>
        <v>Valid</v>
      </c>
      <c r="J10" s="3" t="str">
        <f>IF(AND(Finance_Data!I6&gt;=0,Finance_Data!K6&gt;=0),"Valid","Invalid")</f>
        <v>Valid</v>
      </c>
      <c r="K10" s="3" t="str">
        <f>IF(Finance_Data!N6&gt;=0,"Valid","Invalid")</f>
        <v>Valid</v>
      </c>
      <c r="L10" s="3" t="str">
        <f>IF(TEXT(Finance_Data!G6,"mmmm")=Finance_Data!P6,"Valid","Invalid")</f>
        <v>Valid</v>
      </c>
      <c r="M10" s="3" t="str">
        <f>IF("Q"&amp;ROUNDUP(MONTH(Finance_Data!G6)/3,0)=Finance_Data!Q6,"Valid","Invalid")</f>
        <v>Valid</v>
      </c>
      <c r="N10" s="7" t="str">
        <f t="shared" si="0"/>
        <v>Pass</v>
      </c>
    </row>
    <row r="11" spans="1:14" x14ac:dyDescent="0.35">
      <c r="A11" s="17" t="s">
        <v>115</v>
      </c>
      <c r="B11" s="3" t="str">
        <f>IF(ISBLANK(Table3[[#This Row],[Campaign_ID]]),"Invalid","Valid")</f>
        <v>Valid</v>
      </c>
      <c r="C11" s="3" t="str">
        <f>IF(COUNTA(Finance_Data!A7:R7)=18,"Valid","Missing")</f>
        <v>Valid</v>
      </c>
      <c r="D11" s="3" t="str">
        <f>IF(COUNTIF(Finance_Data!$T$2:$T$1001,Finance_Data!T7)&gt;1,"Duplicate","Valid")</f>
        <v>Valid</v>
      </c>
      <c r="E11" s="3" t="str">
        <f>IF(Finance_Data!H7&gt;Finance_Data!G7,"Valid","Invalid")</f>
        <v>Valid</v>
      </c>
      <c r="F11" s="3" t="str" cm="1">
        <f t="array" ref="F11">_xlfn.IFS(Finance_Data!S7&lt;7,"Short",Finance_Data!S7&lt;=30,"Normal",Finance_Data!S7&lt;=60,"Long",Finance_Data!S7&gt;60,"Very Long")</f>
        <v>Long</v>
      </c>
      <c r="G11" s="3" t="str">
        <f>IF(ABS(Finance_Data!I7*Finance_Data!J7)-Finance_Data!K7&lt;1,"Valid","Invalid")</f>
        <v>Valid</v>
      </c>
      <c r="H11" s="3" t="str">
        <f>IF(Finance_Data!L7&gt;0,"Valid","Invalid")</f>
        <v>Valid</v>
      </c>
      <c r="I11" s="3" t="str">
        <f>IF(Finance_Data!L7&gt;=Finance_Data!M7,"Valid","Invalid")</f>
        <v>Valid</v>
      </c>
      <c r="J11" s="3" t="str">
        <f>IF(AND(Finance_Data!I7&gt;=0,Finance_Data!K7&gt;=0),"Valid","Invalid")</f>
        <v>Valid</v>
      </c>
      <c r="K11" s="3" t="str">
        <f>IF(Finance_Data!N7&gt;=0,"Valid","Invalid")</f>
        <v>Valid</v>
      </c>
      <c r="L11" s="3" t="str">
        <f>IF(TEXT(Finance_Data!G7,"mmmm")=Finance_Data!P7,"Valid","Invalid")</f>
        <v>Valid</v>
      </c>
      <c r="M11" s="3" t="str">
        <f>IF("Q"&amp;ROUNDUP(MONTH(Finance_Data!G7)/3,0)=Finance_Data!Q7,"Valid","Invalid")</f>
        <v>Valid</v>
      </c>
      <c r="N11" s="7" t="str">
        <f t="shared" si="0"/>
        <v>Pass</v>
      </c>
    </row>
    <row r="12" spans="1:14" x14ac:dyDescent="0.35">
      <c r="A12" s="17" t="s">
        <v>55</v>
      </c>
      <c r="B12" s="3" t="str">
        <f>IF(ISBLANK(Table3[[#This Row],[Campaign_ID]]),"Invalid","Valid")</f>
        <v>Valid</v>
      </c>
      <c r="C12" s="3" t="str">
        <f>IF(COUNTA(Finance_Data!A8:R8)=18,"Valid","Missing")</f>
        <v>Valid</v>
      </c>
      <c r="D12" s="3" t="str">
        <f>IF(COUNTIF(Finance_Data!$T$2:$T$1001,Finance_Data!T8)&gt;1,"Duplicate","Valid")</f>
        <v>Valid</v>
      </c>
      <c r="E12" s="3" t="str">
        <f>IF(Finance_Data!H8&gt;Finance_Data!G8,"Valid","Invalid")</f>
        <v>Valid</v>
      </c>
      <c r="F12" s="3" t="str" cm="1">
        <f t="array" ref="F12">_xlfn.IFS(Finance_Data!S8&lt;7,"Short",Finance_Data!S8&lt;=30,"Normal",Finance_Data!S8&lt;=60,"Long",Finance_Data!S8&gt;60,"Very Long")</f>
        <v>Normal</v>
      </c>
      <c r="G12" s="3" t="str">
        <f>IF(ABS(Finance_Data!I8*Finance_Data!J8)-Finance_Data!K8&lt;1,"Valid","Invalid")</f>
        <v>Valid</v>
      </c>
      <c r="H12" s="3" t="str">
        <f>IF(Finance_Data!L8&gt;0,"Valid","Invalid")</f>
        <v>Valid</v>
      </c>
      <c r="I12" s="3" t="str">
        <f>IF(Finance_Data!L8&gt;=Finance_Data!M8,"Valid","Invalid")</f>
        <v>Valid</v>
      </c>
      <c r="J12" s="3" t="str">
        <f>IF(AND(Finance_Data!I8&gt;=0,Finance_Data!K8&gt;=0),"Valid","Invalid")</f>
        <v>Valid</v>
      </c>
      <c r="K12" s="3" t="str">
        <f>IF(Finance_Data!N8&gt;=0,"Valid","Invalid")</f>
        <v>Valid</v>
      </c>
      <c r="L12" s="3" t="str">
        <f>IF(TEXT(Finance_Data!G8,"mmmm")=Finance_Data!P8,"Valid","Invalid")</f>
        <v>Valid</v>
      </c>
      <c r="M12" s="3" t="str">
        <f>IF("Q"&amp;ROUNDUP(MONTH(Finance_Data!G8)/3,0)=Finance_Data!Q8,"Valid","Invalid")</f>
        <v>Valid</v>
      </c>
      <c r="N12" s="7" t="str">
        <f t="shared" si="0"/>
        <v>Pass</v>
      </c>
    </row>
    <row r="13" spans="1:14" x14ac:dyDescent="0.35">
      <c r="A13" s="17" t="s">
        <v>107</v>
      </c>
      <c r="B13" s="3" t="str">
        <f>IF(ISBLANK(Table3[[#This Row],[Campaign_ID]]),"Invalid","Valid")</f>
        <v>Valid</v>
      </c>
      <c r="C13" s="3" t="str">
        <f>IF(COUNTA(Finance_Data!A9:R9)=18,"Valid","Missing")</f>
        <v>Valid</v>
      </c>
      <c r="D13" s="3" t="str">
        <f>IF(COUNTIF(Finance_Data!$T$2:$T$1001,Finance_Data!T9)&gt;1,"Duplicate","Valid")</f>
        <v>Valid</v>
      </c>
      <c r="E13" s="3" t="str">
        <f>IF(Finance_Data!H9&gt;Finance_Data!G9,"Valid","Invalid")</f>
        <v>Valid</v>
      </c>
      <c r="F13" s="3" t="str" cm="1">
        <f t="array" ref="F13">_xlfn.IFS(Finance_Data!S9&lt;7,"Short",Finance_Data!S9&lt;=30,"Normal",Finance_Data!S9&lt;=60,"Long",Finance_Data!S9&gt;60,"Very Long")</f>
        <v>Long</v>
      </c>
      <c r="G13" s="3" t="str">
        <f>IF(ABS(Finance_Data!I9*Finance_Data!J9)-Finance_Data!K9&lt;1,"Valid","Invalid")</f>
        <v>Valid</v>
      </c>
      <c r="H13" s="3" t="str">
        <f>IF(Finance_Data!L9&gt;0,"Valid","Invalid")</f>
        <v>Valid</v>
      </c>
      <c r="I13" s="3" t="str">
        <f>IF(Finance_Data!L9&gt;=Finance_Data!M9,"Valid","Invalid")</f>
        <v>Valid</v>
      </c>
      <c r="J13" s="3" t="str">
        <f>IF(AND(Finance_Data!I9&gt;=0,Finance_Data!K9&gt;=0),"Valid","Invalid")</f>
        <v>Valid</v>
      </c>
      <c r="K13" s="3" t="str">
        <f>IF(Finance_Data!N9&gt;=0,"Valid","Invalid")</f>
        <v>Valid</v>
      </c>
      <c r="L13" s="3" t="str">
        <f>IF(TEXT(Finance_Data!G9,"mmmm")=Finance_Data!P9,"Valid","Invalid")</f>
        <v>Valid</v>
      </c>
      <c r="M13" s="3" t="str">
        <f>IF("Q"&amp;ROUNDUP(MONTH(Finance_Data!G9)/3,0)=Finance_Data!Q9,"Valid","Invalid")</f>
        <v>Valid</v>
      </c>
      <c r="N13" s="7" t="str">
        <f t="shared" si="0"/>
        <v>Pass</v>
      </c>
    </row>
    <row r="14" spans="1:14" x14ac:dyDescent="0.35">
      <c r="A14" s="17" t="s">
        <v>78</v>
      </c>
      <c r="B14" s="3" t="str">
        <f>IF(ISBLANK(Table3[[#This Row],[Campaign_ID]]),"Invalid","Valid")</f>
        <v>Valid</v>
      </c>
      <c r="C14" s="3" t="str">
        <f>IF(COUNTA(Finance_Data!A10:R10)=18,"Valid","Missing")</f>
        <v>Valid</v>
      </c>
      <c r="D14" s="3" t="str">
        <f>IF(COUNTIF(Finance_Data!$T$2:$T$1001,Finance_Data!T10)&gt;1,"Duplicate","Valid")</f>
        <v>Valid</v>
      </c>
      <c r="E14" s="3" t="str">
        <f>IF(Finance_Data!H10&gt;Finance_Data!G10,"Valid","Invalid")</f>
        <v>Valid</v>
      </c>
      <c r="F14" s="3" t="str" cm="1">
        <f t="array" ref="F14">_xlfn.IFS(Finance_Data!S10&lt;7,"Short",Finance_Data!S10&lt;=30,"Normal",Finance_Data!S10&lt;=60,"Long",Finance_Data!S10&gt;60,"Very Long")</f>
        <v>Normal</v>
      </c>
      <c r="G14" s="3" t="str">
        <f>IF(ABS(Finance_Data!I10*Finance_Data!J10)-Finance_Data!K10&lt;1,"Valid","Invalid")</f>
        <v>Valid</v>
      </c>
      <c r="H14" s="3" t="str">
        <f>IF(Finance_Data!L10&gt;0,"Valid","Invalid")</f>
        <v>Valid</v>
      </c>
      <c r="I14" s="3" t="str">
        <f>IF(Finance_Data!L10&gt;=Finance_Data!M10,"Valid","Invalid")</f>
        <v>Valid</v>
      </c>
      <c r="J14" s="3" t="str">
        <f>IF(AND(Finance_Data!I10&gt;=0,Finance_Data!K10&gt;=0),"Valid","Invalid")</f>
        <v>Valid</v>
      </c>
      <c r="K14" s="3" t="str">
        <f>IF(Finance_Data!N10&gt;=0,"Valid","Invalid")</f>
        <v>Valid</v>
      </c>
      <c r="L14" s="3" t="str">
        <f>IF(TEXT(Finance_Data!G10,"mmmm")=Finance_Data!P10,"Valid","Invalid")</f>
        <v>Valid</v>
      </c>
      <c r="M14" s="3" t="str">
        <f>IF("Q"&amp;ROUNDUP(MONTH(Finance_Data!G10)/3,0)=Finance_Data!Q10,"Valid","Invalid")</f>
        <v>Valid</v>
      </c>
      <c r="N14" s="7" t="str">
        <f t="shared" si="0"/>
        <v>Pass</v>
      </c>
    </row>
    <row r="15" spans="1:14" x14ac:dyDescent="0.35">
      <c r="A15" s="17" t="s">
        <v>70</v>
      </c>
      <c r="B15" s="3" t="str">
        <f>IF(ISBLANK(Table3[[#This Row],[Campaign_ID]]),"Invalid","Valid")</f>
        <v>Valid</v>
      </c>
      <c r="C15" s="3" t="str">
        <f>IF(COUNTA(Finance_Data!A11:R11)=18,"Valid","Missing")</f>
        <v>Valid</v>
      </c>
      <c r="D15" s="3" t="str">
        <f>IF(COUNTIF(Finance_Data!$T$2:$T$1001,Finance_Data!T11)&gt;1,"Duplicate","Valid")</f>
        <v>Valid</v>
      </c>
      <c r="E15" s="3" t="str">
        <f>IF(Finance_Data!H11&gt;Finance_Data!G11,"Valid","Invalid")</f>
        <v>Valid</v>
      </c>
      <c r="F15" s="3" t="str" cm="1">
        <f t="array" ref="F15">_xlfn.IFS(Finance_Data!S11&lt;7,"Short",Finance_Data!S11&lt;=30,"Normal",Finance_Data!S11&lt;=60,"Long",Finance_Data!S11&gt;60,"Very Long")</f>
        <v>Normal</v>
      </c>
      <c r="G15" s="3" t="str">
        <f>IF(ABS(Finance_Data!I11*Finance_Data!J11)-Finance_Data!K11&lt;1,"Valid","Invalid")</f>
        <v>Valid</v>
      </c>
      <c r="H15" s="3" t="str">
        <f>IF(Finance_Data!L11&gt;0,"Valid","Invalid")</f>
        <v>Valid</v>
      </c>
      <c r="I15" s="3" t="str">
        <f>IF(Finance_Data!L11&gt;=Finance_Data!M11,"Valid","Invalid")</f>
        <v>Valid</v>
      </c>
      <c r="J15" s="3" t="str">
        <f>IF(AND(Finance_Data!I11&gt;=0,Finance_Data!K11&gt;=0),"Valid","Invalid")</f>
        <v>Valid</v>
      </c>
      <c r="K15" s="3" t="str">
        <f>IF(Finance_Data!N11&gt;=0,"Valid","Invalid")</f>
        <v>Valid</v>
      </c>
      <c r="L15" s="3" t="str">
        <f>IF(TEXT(Finance_Data!G11,"mmmm")=Finance_Data!P11,"Valid","Invalid")</f>
        <v>Valid</v>
      </c>
      <c r="M15" s="3" t="str">
        <f>IF("Q"&amp;ROUNDUP(MONTH(Finance_Data!G11)/3,0)=Finance_Data!Q11,"Valid","Invalid")</f>
        <v>Valid</v>
      </c>
      <c r="N15" s="7" t="str">
        <f t="shared" si="0"/>
        <v>Pass</v>
      </c>
    </row>
    <row r="16" spans="1:14" x14ac:dyDescent="0.35">
      <c r="A16" s="17" t="s">
        <v>106</v>
      </c>
      <c r="B16" s="3" t="str">
        <f>IF(ISBLANK(Table3[[#This Row],[Campaign_ID]]),"Invalid","Valid")</f>
        <v>Valid</v>
      </c>
      <c r="C16" s="3" t="str">
        <f>IF(COUNTA(Finance_Data!A12:R12)=18,"Valid","Missing")</f>
        <v>Valid</v>
      </c>
      <c r="D16" s="3" t="str">
        <f>IF(COUNTIF(Finance_Data!$T$2:$T$1001,Finance_Data!T12)&gt;1,"Duplicate","Valid")</f>
        <v>Valid</v>
      </c>
      <c r="E16" s="3" t="str">
        <f>IF(Finance_Data!H12&gt;Finance_Data!G12,"Valid","Invalid")</f>
        <v>Valid</v>
      </c>
      <c r="F16" s="3" t="str" cm="1">
        <f t="array" ref="F16">_xlfn.IFS(Finance_Data!S12&lt;7,"Short",Finance_Data!S12&lt;=30,"Normal",Finance_Data!S12&lt;=60,"Long",Finance_Data!S12&gt;60,"Very Long")</f>
        <v>Long</v>
      </c>
      <c r="G16" s="3" t="str">
        <f>IF(ABS(Finance_Data!I12*Finance_Data!J12)-Finance_Data!K12&lt;1,"Valid","Invalid")</f>
        <v>Valid</v>
      </c>
      <c r="H16" s="3" t="str">
        <f>IF(Finance_Data!L12&gt;0,"Valid","Invalid")</f>
        <v>Valid</v>
      </c>
      <c r="I16" s="3" t="str">
        <f>IF(Finance_Data!L12&gt;=Finance_Data!M12,"Valid","Invalid")</f>
        <v>Valid</v>
      </c>
      <c r="J16" s="3" t="str">
        <f>IF(AND(Finance_Data!I12&gt;=0,Finance_Data!K12&gt;=0),"Valid","Invalid")</f>
        <v>Valid</v>
      </c>
      <c r="K16" s="3" t="str">
        <f>IF(Finance_Data!N12&gt;=0,"Valid","Invalid")</f>
        <v>Valid</v>
      </c>
      <c r="L16" s="3" t="str">
        <f>IF(TEXT(Finance_Data!G12,"mmmm")=Finance_Data!P12,"Valid","Invalid")</f>
        <v>Valid</v>
      </c>
      <c r="M16" s="3" t="str">
        <f>IF("Q"&amp;ROUNDUP(MONTH(Finance_Data!G12)/3,0)=Finance_Data!Q12,"Valid","Invalid")</f>
        <v>Valid</v>
      </c>
      <c r="N16" s="7" t="str">
        <f t="shared" si="0"/>
        <v>Pass</v>
      </c>
    </row>
    <row r="17" spans="1:14" x14ac:dyDescent="0.35">
      <c r="A17" s="17" t="s">
        <v>18</v>
      </c>
      <c r="B17" s="3" t="str">
        <f>IF(ISBLANK(Table3[[#This Row],[Campaign_ID]]),"Invalid","Valid")</f>
        <v>Valid</v>
      </c>
      <c r="C17" s="3" t="str">
        <f>IF(COUNTA(Finance_Data!A13:R13)=18,"Valid","Missing")</f>
        <v>Valid</v>
      </c>
      <c r="D17" s="3" t="str">
        <f>IF(COUNTIF(Finance_Data!$T$2:$T$1001,Finance_Data!T13)&gt;1,"Duplicate","Valid")</f>
        <v>Valid</v>
      </c>
      <c r="E17" s="3" t="str">
        <f>IF(Finance_Data!H13&gt;Finance_Data!G13,"Valid","Invalid")</f>
        <v>Valid</v>
      </c>
      <c r="F17" s="3" t="str" cm="1">
        <f t="array" ref="F17">_xlfn.IFS(Finance_Data!S13&lt;7,"Short",Finance_Data!S13&lt;=30,"Normal",Finance_Data!S13&lt;=60,"Long",Finance_Data!S13&gt;60,"Very Long")</f>
        <v>Normal</v>
      </c>
      <c r="G17" s="3" t="str">
        <f>IF(ABS(Finance_Data!I13*Finance_Data!J13)-Finance_Data!K13&lt;1,"Valid","Invalid")</f>
        <v>Valid</v>
      </c>
      <c r="H17" s="3" t="str">
        <f>IF(Finance_Data!L13&gt;0,"Valid","Invalid")</f>
        <v>Valid</v>
      </c>
      <c r="I17" s="3" t="str">
        <f>IF(Finance_Data!L13&gt;=Finance_Data!M13,"Valid","Invalid")</f>
        <v>Valid</v>
      </c>
      <c r="J17" s="3" t="str">
        <f>IF(AND(Finance_Data!I13&gt;=0,Finance_Data!K13&gt;=0),"Valid","Invalid")</f>
        <v>Valid</v>
      </c>
      <c r="K17" s="3" t="str">
        <f>IF(Finance_Data!N13&gt;=0,"Valid","Invalid")</f>
        <v>Valid</v>
      </c>
      <c r="L17" s="3" t="str">
        <f>IF(TEXT(Finance_Data!G13,"mmmm")=Finance_Data!P13,"Valid","Invalid")</f>
        <v>Valid</v>
      </c>
      <c r="M17" s="3" t="str">
        <f>IF("Q"&amp;ROUNDUP(MONTH(Finance_Data!G13)/3,0)=Finance_Data!Q13,"Valid","Invalid")</f>
        <v>Valid</v>
      </c>
      <c r="N17" s="7" t="str">
        <f t="shared" si="0"/>
        <v>Pass</v>
      </c>
    </row>
    <row r="18" spans="1:14" x14ac:dyDescent="0.35">
      <c r="A18" s="17" t="s">
        <v>99</v>
      </c>
      <c r="B18" s="3" t="str">
        <f>IF(ISBLANK(Table3[[#This Row],[Campaign_ID]]),"Invalid","Valid")</f>
        <v>Valid</v>
      </c>
      <c r="C18" s="3" t="str">
        <f>IF(COUNTA(Finance_Data!A14:R14)=18,"Valid","Missing")</f>
        <v>Valid</v>
      </c>
      <c r="D18" s="3" t="str">
        <f>IF(COUNTIF(Finance_Data!$T$2:$T$1001,Finance_Data!T14)&gt;1,"Duplicate","Valid")</f>
        <v>Valid</v>
      </c>
      <c r="E18" s="3" t="str">
        <f>IF(Finance_Data!H14&gt;Finance_Data!G14,"Valid","Invalid")</f>
        <v>Valid</v>
      </c>
      <c r="F18" s="3" t="str" cm="1">
        <f t="array" ref="F18">_xlfn.IFS(Finance_Data!S14&lt;7,"Short",Finance_Data!S14&lt;=30,"Normal",Finance_Data!S14&lt;=60,"Long",Finance_Data!S14&gt;60,"Very Long")</f>
        <v>Normal</v>
      </c>
      <c r="G18" s="3" t="str">
        <f>IF(ABS(Finance_Data!I14*Finance_Data!J14)-Finance_Data!K14&lt;1,"Valid","Invalid")</f>
        <v>Valid</v>
      </c>
      <c r="H18" s="3" t="str">
        <f>IF(Finance_Data!L14&gt;0,"Valid","Invalid")</f>
        <v>Valid</v>
      </c>
      <c r="I18" s="3" t="str">
        <f>IF(Finance_Data!L14&gt;=Finance_Data!M14,"Valid","Invalid")</f>
        <v>Valid</v>
      </c>
      <c r="J18" s="3" t="str">
        <f>IF(AND(Finance_Data!I14&gt;=0,Finance_Data!K14&gt;=0),"Valid","Invalid")</f>
        <v>Valid</v>
      </c>
      <c r="K18" s="3" t="str">
        <f>IF(Finance_Data!N14&gt;=0,"Valid","Invalid")</f>
        <v>Valid</v>
      </c>
      <c r="L18" s="3" t="str">
        <f>IF(TEXT(Finance_Data!G14,"mmmm")=Finance_Data!P14,"Valid","Invalid")</f>
        <v>Valid</v>
      </c>
      <c r="M18" s="3" t="str">
        <f>IF("Q"&amp;ROUNDUP(MONTH(Finance_Data!G14)/3,0)=Finance_Data!Q14,"Valid","Invalid")</f>
        <v>Valid</v>
      </c>
      <c r="N18" s="7" t="str">
        <f t="shared" si="0"/>
        <v>Pass</v>
      </c>
    </row>
    <row r="19" spans="1:14" x14ac:dyDescent="0.35">
      <c r="A19" s="17" t="s">
        <v>103</v>
      </c>
      <c r="B19" s="3" t="str">
        <f>IF(ISBLANK(Table3[[#This Row],[Campaign_ID]]),"Invalid","Valid")</f>
        <v>Valid</v>
      </c>
      <c r="C19" s="3" t="str">
        <f>IF(COUNTA(Finance_Data!A15:R15)=18,"Valid","Missing")</f>
        <v>Valid</v>
      </c>
      <c r="D19" s="3" t="str">
        <f>IF(COUNTIF(Finance_Data!$T$2:$T$1001,Finance_Data!T15)&gt;1,"Duplicate","Valid")</f>
        <v>Valid</v>
      </c>
      <c r="E19" s="3" t="str">
        <f>IF(Finance_Data!H15&gt;Finance_Data!G15,"Valid","Invalid")</f>
        <v>Valid</v>
      </c>
      <c r="F19" s="3" t="str" cm="1">
        <f t="array" ref="F19">_xlfn.IFS(Finance_Data!S15&lt;7,"Short",Finance_Data!S15&lt;=30,"Normal",Finance_Data!S15&lt;=60,"Long",Finance_Data!S15&gt;60,"Very Long")</f>
        <v>Normal</v>
      </c>
      <c r="G19" s="3" t="str">
        <f>IF(ABS(Finance_Data!I15*Finance_Data!J15)-Finance_Data!K15&lt;1,"Valid","Invalid")</f>
        <v>Valid</v>
      </c>
      <c r="H19" s="3" t="str">
        <f>IF(Finance_Data!L15&gt;0,"Valid","Invalid")</f>
        <v>Valid</v>
      </c>
      <c r="I19" s="3" t="str">
        <f>IF(Finance_Data!L15&gt;=Finance_Data!M15,"Valid","Invalid")</f>
        <v>Valid</v>
      </c>
      <c r="J19" s="3" t="str">
        <f>IF(AND(Finance_Data!I15&gt;=0,Finance_Data!K15&gt;=0),"Valid","Invalid")</f>
        <v>Valid</v>
      </c>
      <c r="K19" s="3" t="str">
        <f>IF(Finance_Data!N15&gt;=0,"Valid","Invalid")</f>
        <v>Valid</v>
      </c>
      <c r="L19" s="3" t="str">
        <f>IF(TEXT(Finance_Data!G15,"mmmm")=Finance_Data!P15,"Valid","Invalid")</f>
        <v>Valid</v>
      </c>
      <c r="M19" s="3" t="str">
        <f>IF("Q"&amp;ROUNDUP(MONTH(Finance_Data!G15)/3,0)=Finance_Data!Q15,"Valid","Invalid")</f>
        <v>Valid</v>
      </c>
      <c r="N19" s="7" t="str">
        <f t="shared" si="0"/>
        <v>Pass</v>
      </c>
    </row>
    <row r="20" spans="1:14" x14ac:dyDescent="0.35">
      <c r="A20" s="17" t="s">
        <v>99</v>
      </c>
      <c r="B20" s="3" t="str">
        <f>IF(ISBLANK(Table3[[#This Row],[Campaign_ID]]),"Invalid","Valid")</f>
        <v>Valid</v>
      </c>
      <c r="C20" s="3" t="str">
        <f>IF(COUNTA(Finance_Data!A16:R16)=18,"Valid","Missing")</f>
        <v>Valid</v>
      </c>
      <c r="D20" s="3" t="str">
        <f>IF(COUNTIF(Finance_Data!$T$2:$T$1001,Finance_Data!T16)&gt;1,"Duplicate","Valid")</f>
        <v>Valid</v>
      </c>
      <c r="E20" s="3" t="str">
        <f>IF(Finance_Data!H16&gt;Finance_Data!G16,"Valid","Invalid")</f>
        <v>Valid</v>
      </c>
      <c r="F20" s="3" t="str" cm="1">
        <f t="array" ref="F20">_xlfn.IFS(Finance_Data!S16&lt;7,"Short",Finance_Data!S16&lt;=30,"Normal",Finance_Data!S16&lt;=60,"Long",Finance_Data!S16&gt;60,"Very Long")</f>
        <v>Normal</v>
      </c>
      <c r="G20" s="3" t="str">
        <f>IF(ABS(Finance_Data!I16*Finance_Data!J16)-Finance_Data!K16&lt;1,"Valid","Invalid")</f>
        <v>Valid</v>
      </c>
      <c r="H20" s="3" t="str">
        <f>IF(Finance_Data!L16&gt;0,"Valid","Invalid")</f>
        <v>Valid</v>
      </c>
      <c r="I20" s="3" t="str">
        <f>IF(Finance_Data!L16&gt;=Finance_Data!M16,"Valid","Invalid")</f>
        <v>Valid</v>
      </c>
      <c r="J20" s="3" t="str">
        <f>IF(AND(Finance_Data!I16&gt;=0,Finance_Data!K16&gt;=0),"Valid","Invalid")</f>
        <v>Valid</v>
      </c>
      <c r="K20" s="3" t="str">
        <f>IF(Finance_Data!N16&gt;=0,"Valid","Invalid")</f>
        <v>Valid</v>
      </c>
      <c r="L20" s="3" t="str">
        <f>IF(TEXT(Finance_Data!G16,"mmmm")=Finance_Data!P16,"Valid","Invalid")</f>
        <v>Valid</v>
      </c>
      <c r="M20" s="3" t="str">
        <f>IF("Q"&amp;ROUNDUP(MONTH(Finance_Data!G16)/3,0)=Finance_Data!Q16,"Valid","Invalid")</f>
        <v>Valid</v>
      </c>
      <c r="N20" s="7" t="str">
        <f t="shared" si="0"/>
        <v>Pass</v>
      </c>
    </row>
    <row r="21" spans="1:14" x14ac:dyDescent="0.35">
      <c r="A21" s="17" t="s">
        <v>87</v>
      </c>
      <c r="B21" s="3" t="str">
        <f>IF(ISBLANK(Table3[[#This Row],[Campaign_ID]]),"Invalid","Valid")</f>
        <v>Valid</v>
      </c>
      <c r="C21" s="3" t="str">
        <f>IF(COUNTA(Finance_Data!A17:R17)=18,"Valid","Missing")</f>
        <v>Valid</v>
      </c>
      <c r="D21" s="3" t="str">
        <f>IF(COUNTIF(Finance_Data!$T$2:$T$1001,Finance_Data!T17)&gt;1,"Duplicate","Valid")</f>
        <v>Valid</v>
      </c>
      <c r="E21" s="3" t="str">
        <f>IF(Finance_Data!H17&gt;Finance_Data!G17,"Valid","Invalid")</f>
        <v>Valid</v>
      </c>
      <c r="F21" s="3" t="str" cm="1">
        <f t="array" ref="F21">_xlfn.IFS(Finance_Data!S17&lt;7,"Short",Finance_Data!S17&lt;=30,"Normal",Finance_Data!S17&lt;=60,"Long",Finance_Data!S17&gt;60,"Very Long")</f>
        <v>Long</v>
      </c>
      <c r="G21" s="3" t="str">
        <f>IF(ABS(Finance_Data!I17*Finance_Data!J17)-Finance_Data!K17&lt;1,"Valid","Invalid")</f>
        <v>Valid</v>
      </c>
      <c r="H21" s="3" t="str">
        <f>IF(Finance_Data!L17&gt;0,"Valid","Invalid")</f>
        <v>Valid</v>
      </c>
      <c r="I21" s="3" t="str">
        <f>IF(Finance_Data!L17&gt;=Finance_Data!M17,"Valid","Invalid")</f>
        <v>Valid</v>
      </c>
      <c r="J21" s="3" t="str">
        <f>IF(AND(Finance_Data!I17&gt;=0,Finance_Data!K17&gt;=0),"Valid","Invalid")</f>
        <v>Valid</v>
      </c>
      <c r="K21" s="3" t="str">
        <f>IF(Finance_Data!N17&gt;=0,"Valid","Invalid")</f>
        <v>Valid</v>
      </c>
      <c r="L21" s="3" t="str">
        <f>IF(TEXT(Finance_Data!G17,"mmmm")=Finance_Data!P17,"Valid","Invalid")</f>
        <v>Valid</v>
      </c>
      <c r="M21" s="3" t="str">
        <f>IF("Q"&amp;ROUNDUP(MONTH(Finance_Data!G17)/3,0)=Finance_Data!Q17,"Valid","Invalid")</f>
        <v>Valid</v>
      </c>
      <c r="N21" s="7" t="str">
        <f t="shared" si="0"/>
        <v>Pass</v>
      </c>
    </row>
    <row r="22" spans="1:14" x14ac:dyDescent="0.35">
      <c r="A22" s="17" t="s">
        <v>114</v>
      </c>
      <c r="B22" s="3" t="str">
        <f>IF(ISBLANK(Table3[[#This Row],[Campaign_ID]]),"Invalid","Valid")</f>
        <v>Valid</v>
      </c>
      <c r="C22" s="3" t="str">
        <f>IF(COUNTA(Finance_Data!A18:R18)=18,"Valid","Missing")</f>
        <v>Valid</v>
      </c>
      <c r="D22" s="3" t="str">
        <f>IF(COUNTIF(Finance_Data!$T$2:$T$1001,Finance_Data!T18)&gt;1,"Duplicate","Valid")</f>
        <v>Valid</v>
      </c>
      <c r="E22" s="3" t="str">
        <f>IF(Finance_Data!H18&gt;Finance_Data!G18,"Valid","Invalid")</f>
        <v>Valid</v>
      </c>
      <c r="F22" s="3" t="str" cm="1">
        <f t="array" ref="F22">_xlfn.IFS(Finance_Data!S18&lt;7,"Short",Finance_Data!S18&lt;=30,"Normal",Finance_Data!S18&lt;=60,"Long",Finance_Data!S18&gt;60,"Very Long")</f>
        <v>Normal</v>
      </c>
      <c r="G22" s="3" t="str">
        <f>IF(ABS(Finance_Data!I18*Finance_Data!J18)-Finance_Data!K18&lt;1,"Valid","Invalid")</f>
        <v>Valid</v>
      </c>
      <c r="H22" s="3" t="str">
        <f>IF(Finance_Data!L18&gt;0,"Valid","Invalid")</f>
        <v>Valid</v>
      </c>
      <c r="I22" s="3" t="str">
        <f>IF(Finance_Data!L18&gt;=Finance_Data!M18,"Valid","Invalid")</f>
        <v>Valid</v>
      </c>
      <c r="J22" s="3" t="str">
        <f>IF(AND(Finance_Data!I18&gt;=0,Finance_Data!K18&gt;=0),"Valid","Invalid")</f>
        <v>Valid</v>
      </c>
      <c r="K22" s="3" t="str">
        <f>IF(Finance_Data!N18&gt;=0,"Valid","Invalid")</f>
        <v>Valid</v>
      </c>
      <c r="L22" s="3" t="str">
        <f>IF(TEXT(Finance_Data!G18,"mmmm")=Finance_Data!P18,"Valid","Invalid")</f>
        <v>Valid</v>
      </c>
      <c r="M22" s="3" t="str">
        <f>IF("Q"&amp;ROUNDUP(MONTH(Finance_Data!G18)/3,0)=Finance_Data!Q18,"Valid","Invalid")</f>
        <v>Valid</v>
      </c>
      <c r="N22" s="7" t="str">
        <f t="shared" si="0"/>
        <v>Pass</v>
      </c>
    </row>
    <row r="23" spans="1:14" x14ac:dyDescent="0.35">
      <c r="A23" s="17" t="s">
        <v>50</v>
      </c>
      <c r="B23" s="3" t="str">
        <f>IF(ISBLANK(Table3[[#This Row],[Campaign_ID]]),"Invalid","Valid")</f>
        <v>Valid</v>
      </c>
      <c r="C23" s="3" t="str">
        <f>IF(COUNTA(Finance_Data!A19:R19)=18,"Valid","Missing")</f>
        <v>Valid</v>
      </c>
      <c r="D23" s="3" t="str">
        <f>IF(COUNTIF(Finance_Data!$T$2:$T$1001,Finance_Data!T19)&gt;1,"Duplicate","Valid")</f>
        <v>Valid</v>
      </c>
      <c r="E23" s="3" t="str">
        <f>IF(Finance_Data!H19&gt;Finance_Data!G19,"Valid","Invalid")</f>
        <v>Valid</v>
      </c>
      <c r="F23" s="3" t="str" cm="1">
        <f t="array" ref="F23">_xlfn.IFS(Finance_Data!S19&lt;7,"Short",Finance_Data!S19&lt;=30,"Normal",Finance_Data!S19&lt;=60,"Long",Finance_Data!S19&gt;60,"Very Long")</f>
        <v>Long</v>
      </c>
      <c r="G23" s="3" t="str">
        <f>IF(ABS(Finance_Data!I19*Finance_Data!J19)-Finance_Data!K19&lt;1,"Valid","Invalid")</f>
        <v>Valid</v>
      </c>
      <c r="H23" s="3" t="str">
        <f>IF(Finance_Data!L19&gt;0,"Valid","Invalid")</f>
        <v>Valid</v>
      </c>
      <c r="I23" s="3" t="str">
        <f>IF(Finance_Data!L19&gt;=Finance_Data!M19,"Valid","Invalid")</f>
        <v>Valid</v>
      </c>
      <c r="J23" s="3" t="str">
        <f>IF(AND(Finance_Data!I19&gt;=0,Finance_Data!K19&gt;=0),"Valid","Invalid")</f>
        <v>Valid</v>
      </c>
      <c r="K23" s="3" t="str">
        <f>IF(Finance_Data!N19&gt;=0,"Valid","Invalid")</f>
        <v>Valid</v>
      </c>
      <c r="L23" s="3" t="str">
        <f>IF(TEXT(Finance_Data!G19,"mmmm")=Finance_Data!P19,"Valid","Invalid")</f>
        <v>Valid</v>
      </c>
      <c r="M23" s="3" t="str">
        <f>IF("Q"&amp;ROUNDUP(MONTH(Finance_Data!G19)/3,0)=Finance_Data!Q19,"Valid","Invalid")</f>
        <v>Valid</v>
      </c>
      <c r="N23" s="7" t="str">
        <f t="shared" si="0"/>
        <v>Pass</v>
      </c>
    </row>
    <row r="24" spans="1:14" x14ac:dyDescent="0.35">
      <c r="A24" s="17" t="s">
        <v>108</v>
      </c>
      <c r="B24" s="3" t="str">
        <f>IF(ISBLANK(Table3[[#This Row],[Campaign_ID]]),"Invalid","Valid")</f>
        <v>Valid</v>
      </c>
      <c r="C24" s="3" t="str">
        <f>IF(COUNTA(Finance_Data!A20:R20)=18,"Valid","Missing")</f>
        <v>Valid</v>
      </c>
      <c r="D24" s="3" t="str">
        <f>IF(COUNTIF(Finance_Data!$T$2:$T$1001,Finance_Data!T20)&gt;1,"Duplicate","Valid")</f>
        <v>Valid</v>
      </c>
      <c r="E24" s="3" t="str">
        <f>IF(Finance_Data!H20&gt;Finance_Data!G20,"Valid","Invalid")</f>
        <v>Valid</v>
      </c>
      <c r="F24" s="3" t="str" cm="1">
        <f t="array" ref="F24">_xlfn.IFS(Finance_Data!S20&lt;7,"Short",Finance_Data!S20&lt;=30,"Normal",Finance_Data!S20&lt;=60,"Long",Finance_Data!S20&gt;60,"Very Long")</f>
        <v>Normal</v>
      </c>
      <c r="G24" s="3" t="str">
        <f>IF(ABS(Finance_Data!I20*Finance_Data!J20)-Finance_Data!K20&lt;1,"Valid","Invalid")</f>
        <v>Valid</v>
      </c>
      <c r="H24" s="3" t="str">
        <f>IF(Finance_Data!L20&gt;0,"Valid","Invalid")</f>
        <v>Valid</v>
      </c>
      <c r="I24" s="3" t="str">
        <f>IF(Finance_Data!L20&gt;=Finance_Data!M20,"Valid","Invalid")</f>
        <v>Valid</v>
      </c>
      <c r="J24" s="3" t="str">
        <f>IF(AND(Finance_Data!I20&gt;=0,Finance_Data!K20&gt;=0),"Valid","Invalid")</f>
        <v>Valid</v>
      </c>
      <c r="K24" s="3" t="str">
        <f>IF(Finance_Data!N20&gt;=0,"Valid","Invalid")</f>
        <v>Valid</v>
      </c>
      <c r="L24" s="3" t="str">
        <f>IF(TEXT(Finance_Data!G20,"mmmm")=Finance_Data!P20,"Valid","Invalid")</f>
        <v>Valid</v>
      </c>
      <c r="M24" s="3" t="str">
        <f>IF("Q"&amp;ROUNDUP(MONTH(Finance_Data!G20)/3,0)=Finance_Data!Q20,"Valid","Invalid")</f>
        <v>Valid</v>
      </c>
      <c r="N24" s="7" t="str">
        <f t="shared" si="0"/>
        <v>Pass</v>
      </c>
    </row>
    <row r="25" spans="1:14" x14ac:dyDescent="0.35">
      <c r="A25" s="17" t="s">
        <v>109</v>
      </c>
      <c r="B25" s="3" t="str">
        <f>IF(ISBLANK(Table3[[#This Row],[Campaign_ID]]),"Invalid","Valid")</f>
        <v>Valid</v>
      </c>
      <c r="C25" s="3" t="str">
        <f>IF(COUNTA(Finance_Data!A21:R21)=18,"Valid","Missing")</f>
        <v>Valid</v>
      </c>
      <c r="D25" s="3" t="str">
        <f>IF(COUNTIF(Finance_Data!$T$2:$T$1001,Finance_Data!T21)&gt;1,"Duplicate","Valid")</f>
        <v>Valid</v>
      </c>
      <c r="E25" s="3" t="str">
        <f>IF(Finance_Data!H21&gt;Finance_Data!G21,"Valid","Invalid")</f>
        <v>Valid</v>
      </c>
      <c r="F25" s="3" t="str" cm="1">
        <f t="array" ref="F25">_xlfn.IFS(Finance_Data!S21&lt;7,"Short",Finance_Data!S21&lt;=30,"Normal",Finance_Data!S21&lt;=60,"Long",Finance_Data!S21&gt;60,"Very Long")</f>
        <v>Long</v>
      </c>
      <c r="G25" s="3" t="str">
        <f>IF(ABS(Finance_Data!I21*Finance_Data!J21)-Finance_Data!K21&lt;1,"Valid","Invalid")</f>
        <v>Valid</v>
      </c>
      <c r="H25" s="3" t="str">
        <f>IF(Finance_Data!L21&gt;0,"Valid","Invalid")</f>
        <v>Valid</v>
      </c>
      <c r="I25" s="3" t="str">
        <f>IF(Finance_Data!L21&gt;=Finance_Data!M21,"Valid","Invalid")</f>
        <v>Valid</v>
      </c>
      <c r="J25" s="3" t="str">
        <f>IF(AND(Finance_Data!I21&gt;=0,Finance_Data!K21&gt;=0),"Valid","Invalid")</f>
        <v>Valid</v>
      </c>
      <c r="K25" s="3" t="str">
        <f>IF(Finance_Data!N21&gt;=0,"Valid","Invalid")</f>
        <v>Valid</v>
      </c>
      <c r="L25" s="3" t="str">
        <f>IF(TEXT(Finance_Data!G21,"mmmm")=Finance_Data!P21,"Valid","Invalid")</f>
        <v>Valid</v>
      </c>
      <c r="M25" s="3" t="str">
        <f>IF("Q"&amp;ROUNDUP(MONTH(Finance_Data!G21)/3,0)=Finance_Data!Q21,"Valid","Invalid")</f>
        <v>Valid</v>
      </c>
      <c r="N25" s="7" t="str">
        <f t="shared" si="0"/>
        <v>Pass</v>
      </c>
    </row>
    <row r="26" spans="1:14" x14ac:dyDescent="0.35">
      <c r="A26" s="17" t="s">
        <v>72</v>
      </c>
      <c r="B26" s="3" t="str">
        <f>IF(ISBLANK(Table3[[#This Row],[Campaign_ID]]),"Invalid","Valid")</f>
        <v>Valid</v>
      </c>
      <c r="C26" s="3" t="str">
        <f>IF(COUNTA(Finance_Data!A22:R22)=18,"Valid","Missing")</f>
        <v>Valid</v>
      </c>
      <c r="D26" s="3" t="str">
        <f>IF(COUNTIF(Finance_Data!$T$2:$T$1001,Finance_Data!T22)&gt;1,"Duplicate","Valid")</f>
        <v>Valid</v>
      </c>
      <c r="E26" s="3" t="str">
        <f>IF(Finance_Data!H22&gt;Finance_Data!G22,"Valid","Invalid")</f>
        <v>Valid</v>
      </c>
      <c r="F26" s="3" t="str" cm="1">
        <f t="array" ref="F26">_xlfn.IFS(Finance_Data!S22&lt;7,"Short",Finance_Data!S22&lt;=30,"Normal",Finance_Data!S22&lt;=60,"Long",Finance_Data!S22&gt;60,"Very Long")</f>
        <v>Normal</v>
      </c>
      <c r="G26" s="3" t="str">
        <f>IF(ABS(Finance_Data!I22*Finance_Data!J22)-Finance_Data!K22&lt;1,"Valid","Invalid")</f>
        <v>Valid</v>
      </c>
      <c r="H26" s="3" t="str">
        <f>IF(Finance_Data!L22&gt;0,"Valid","Invalid")</f>
        <v>Valid</v>
      </c>
      <c r="I26" s="3" t="str">
        <f>IF(Finance_Data!L22&gt;=Finance_Data!M22,"Valid","Invalid")</f>
        <v>Valid</v>
      </c>
      <c r="J26" s="3" t="str">
        <f>IF(AND(Finance_Data!I22&gt;=0,Finance_Data!K22&gt;=0),"Valid","Invalid")</f>
        <v>Valid</v>
      </c>
      <c r="K26" s="3" t="str">
        <f>IF(Finance_Data!N22&gt;=0,"Valid","Invalid")</f>
        <v>Valid</v>
      </c>
      <c r="L26" s="3" t="str">
        <f>IF(TEXT(Finance_Data!G22,"mmmm")=Finance_Data!P22,"Valid","Invalid")</f>
        <v>Valid</v>
      </c>
      <c r="M26" s="3" t="str">
        <f>IF("Q"&amp;ROUNDUP(MONTH(Finance_Data!G22)/3,0)=Finance_Data!Q22,"Valid","Invalid")</f>
        <v>Valid</v>
      </c>
      <c r="N26" s="7" t="str">
        <f t="shared" si="0"/>
        <v>Pass</v>
      </c>
    </row>
    <row r="27" spans="1:14" x14ac:dyDescent="0.35">
      <c r="A27" s="17" t="s">
        <v>105</v>
      </c>
      <c r="B27" s="3" t="str">
        <f>IF(ISBLANK(Table3[[#This Row],[Campaign_ID]]),"Invalid","Valid")</f>
        <v>Valid</v>
      </c>
      <c r="C27" s="3" t="str">
        <f>IF(COUNTA(Finance_Data!A23:R23)=18,"Valid","Missing")</f>
        <v>Valid</v>
      </c>
      <c r="D27" s="3" t="str">
        <f>IF(COUNTIF(Finance_Data!$T$2:$T$1001,Finance_Data!T23)&gt;1,"Duplicate","Valid")</f>
        <v>Valid</v>
      </c>
      <c r="E27" s="3" t="str">
        <f>IF(Finance_Data!H23&gt;Finance_Data!G23,"Valid","Invalid")</f>
        <v>Valid</v>
      </c>
      <c r="F27" s="3" t="str" cm="1">
        <f t="array" ref="F27">_xlfn.IFS(Finance_Data!S23&lt;7,"Short",Finance_Data!S23&lt;=30,"Normal",Finance_Data!S23&lt;=60,"Long",Finance_Data!S23&gt;60,"Very Long")</f>
        <v>Normal</v>
      </c>
      <c r="G27" s="3" t="str">
        <f>IF(ABS(Finance_Data!I23*Finance_Data!J23)-Finance_Data!K23&lt;1,"Valid","Invalid")</f>
        <v>Valid</v>
      </c>
      <c r="H27" s="3" t="str">
        <f>IF(Finance_Data!L23&gt;0,"Valid","Invalid")</f>
        <v>Valid</v>
      </c>
      <c r="I27" s="3" t="str">
        <f>IF(Finance_Data!L23&gt;=Finance_Data!M23,"Valid","Invalid")</f>
        <v>Valid</v>
      </c>
      <c r="J27" s="3" t="str">
        <f>IF(AND(Finance_Data!I23&gt;=0,Finance_Data!K23&gt;=0),"Valid","Invalid")</f>
        <v>Valid</v>
      </c>
      <c r="K27" s="3" t="str">
        <f>IF(Finance_Data!N23&gt;=0,"Valid","Invalid")</f>
        <v>Valid</v>
      </c>
      <c r="L27" s="3" t="str">
        <f>IF(TEXT(Finance_Data!G23,"mmmm")=Finance_Data!P23,"Valid","Invalid")</f>
        <v>Valid</v>
      </c>
      <c r="M27" s="3" t="str">
        <f>IF("Q"&amp;ROUNDUP(MONTH(Finance_Data!G23)/3,0)=Finance_Data!Q23,"Valid","Invalid")</f>
        <v>Valid</v>
      </c>
      <c r="N27" s="7" t="str">
        <f t="shared" si="0"/>
        <v>Pass</v>
      </c>
    </row>
    <row r="28" spans="1:14" x14ac:dyDescent="0.35">
      <c r="A28" s="17" t="s">
        <v>114</v>
      </c>
      <c r="B28" s="3" t="str">
        <f>IF(ISBLANK(Table3[[#This Row],[Campaign_ID]]),"Invalid","Valid")</f>
        <v>Valid</v>
      </c>
      <c r="C28" s="3" t="str">
        <f>IF(COUNTA(Finance_Data!A24:R24)=18,"Valid","Missing")</f>
        <v>Valid</v>
      </c>
      <c r="D28" s="3" t="str">
        <f>IF(COUNTIF(Finance_Data!$T$2:$T$1001,Finance_Data!T24)&gt;1,"Duplicate","Valid")</f>
        <v>Valid</v>
      </c>
      <c r="E28" s="3" t="str">
        <f>IF(Finance_Data!H24&gt;Finance_Data!G24,"Valid","Invalid")</f>
        <v>Valid</v>
      </c>
      <c r="F28" s="3" t="str" cm="1">
        <f t="array" ref="F28">_xlfn.IFS(Finance_Data!S24&lt;7,"Short",Finance_Data!S24&lt;=30,"Normal",Finance_Data!S24&lt;=60,"Long",Finance_Data!S24&gt;60,"Very Long")</f>
        <v>Long</v>
      </c>
      <c r="G28" s="3" t="str">
        <f>IF(ABS(Finance_Data!I24*Finance_Data!J24)-Finance_Data!K24&lt;1,"Valid","Invalid")</f>
        <v>Valid</v>
      </c>
      <c r="H28" s="3" t="str">
        <f>IF(Finance_Data!L24&gt;0,"Valid","Invalid")</f>
        <v>Valid</v>
      </c>
      <c r="I28" s="3" t="str">
        <f>IF(Finance_Data!L24&gt;=Finance_Data!M24,"Valid","Invalid")</f>
        <v>Valid</v>
      </c>
      <c r="J28" s="3" t="str">
        <f>IF(AND(Finance_Data!I24&gt;=0,Finance_Data!K24&gt;=0),"Valid","Invalid")</f>
        <v>Valid</v>
      </c>
      <c r="K28" s="3" t="str">
        <f>IF(Finance_Data!N24&gt;=0,"Valid","Invalid")</f>
        <v>Valid</v>
      </c>
      <c r="L28" s="3" t="str">
        <f>IF(TEXT(Finance_Data!G24,"mmmm")=Finance_Data!P24,"Valid","Invalid")</f>
        <v>Valid</v>
      </c>
      <c r="M28" s="3" t="str">
        <f>IF("Q"&amp;ROUNDUP(MONTH(Finance_Data!G24)/3,0)=Finance_Data!Q24,"Valid","Invalid")</f>
        <v>Valid</v>
      </c>
      <c r="N28" s="7" t="str">
        <f t="shared" si="0"/>
        <v>Pass</v>
      </c>
    </row>
    <row r="29" spans="1:14" x14ac:dyDescent="0.35">
      <c r="A29" s="17" t="s">
        <v>70</v>
      </c>
      <c r="B29" s="3" t="str">
        <f>IF(ISBLANK(Table3[[#This Row],[Campaign_ID]]),"Invalid","Valid")</f>
        <v>Valid</v>
      </c>
      <c r="C29" s="3" t="str">
        <f>IF(COUNTA(Finance_Data!A25:R25)=18,"Valid","Missing")</f>
        <v>Valid</v>
      </c>
      <c r="D29" s="3" t="str">
        <f>IF(COUNTIF(Finance_Data!$T$2:$T$1001,Finance_Data!T25)&gt;1,"Duplicate","Valid")</f>
        <v>Valid</v>
      </c>
      <c r="E29" s="3" t="str">
        <f>IF(Finance_Data!H25&gt;Finance_Data!G25,"Valid","Invalid")</f>
        <v>Valid</v>
      </c>
      <c r="F29" s="3" t="str" cm="1">
        <f t="array" ref="F29">_xlfn.IFS(Finance_Data!S25&lt;7,"Short",Finance_Data!S25&lt;=30,"Normal",Finance_Data!S25&lt;=60,"Long",Finance_Data!S25&gt;60,"Very Long")</f>
        <v>Long</v>
      </c>
      <c r="G29" s="3" t="str">
        <f>IF(ABS(Finance_Data!I25*Finance_Data!J25)-Finance_Data!K25&lt;1,"Valid","Invalid")</f>
        <v>Valid</v>
      </c>
      <c r="H29" s="3" t="str">
        <f>IF(Finance_Data!L25&gt;0,"Valid","Invalid")</f>
        <v>Valid</v>
      </c>
      <c r="I29" s="3" t="str">
        <f>IF(Finance_Data!L25&gt;=Finance_Data!M25,"Valid","Invalid")</f>
        <v>Valid</v>
      </c>
      <c r="J29" s="3" t="str">
        <f>IF(AND(Finance_Data!I25&gt;=0,Finance_Data!K25&gt;=0),"Valid","Invalid")</f>
        <v>Valid</v>
      </c>
      <c r="K29" s="3" t="str">
        <f>IF(Finance_Data!N25&gt;=0,"Valid","Invalid")</f>
        <v>Valid</v>
      </c>
      <c r="L29" s="3" t="str">
        <f>IF(TEXT(Finance_Data!G25,"mmmm")=Finance_Data!P25,"Valid","Invalid")</f>
        <v>Valid</v>
      </c>
      <c r="M29" s="3" t="str">
        <f>IF("Q"&amp;ROUNDUP(MONTH(Finance_Data!G25)/3,0)=Finance_Data!Q25,"Valid","Invalid")</f>
        <v>Valid</v>
      </c>
      <c r="N29" s="7" t="str">
        <f t="shared" si="0"/>
        <v>Pass</v>
      </c>
    </row>
    <row r="30" spans="1:14" x14ac:dyDescent="0.35">
      <c r="A30" s="17" t="s">
        <v>96</v>
      </c>
      <c r="B30" s="3" t="str">
        <f>IF(ISBLANK(Table3[[#This Row],[Campaign_ID]]),"Invalid","Valid")</f>
        <v>Valid</v>
      </c>
      <c r="C30" s="3" t="str">
        <f>IF(COUNTA(Finance_Data!A26:R26)=18,"Valid","Missing")</f>
        <v>Valid</v>
      </c>
      <c r="D30" s="3" t="str">
        <f>IF(COUNTIF(Finance_Data!$T$2:$T$1001,Finance_Data!T26)&gt;1,"Duplicate","Valid")</f>
        <v>Valid</v>
      </c>
      <c r="E30" s="3" t="str">
        <f>IF(Finance_Data!H26&gt;Finance_Data!G26,"Valid","Invalid")</f>
        <v>Valid</v>
      </c>
      <c r="F30" s="3" t="str" cm="1">
        <f t="array" ref="F30">_xlfn.IFS(Finance_Data!S26&lt;7,"Short",Finance_Data!S26&lt;=30,"Normal",Finance_Data!S26&lt;=60,"Long",Finance_Data!S26&gt;60,"Very Long")</f>
        <v>Long</v>
      </c>
      <c r="G30" s="3" t="str">
        <f>IF(ABS(Finance_Data!I26*Finance_Data!J26)-Finance_Data!K26&lt;1,"Valid","Invalid")</f>
        <v>Valid</v>
      </c>
      <c r="H30" s="3" t="str">
        <f>IF(Finance_Data!L26&gt;0,"Valid","Invalid")</f>
        <v>Valid</v>
      </c>
      <c r="I30" s="3" t="str">
        <f>IF(Finance_Data!L26&gt;=Finance_Data!M26,"Valid","Invalid")</f>
        <v>Valid</v>
      </c>
      <c r="J30" s="3" t="str">
        <f>IF(AND(Finance_Data!I26&gt;=0,Finance_Data!K26&gt;=0),"Valid","Invalid")</f>
        <v>Valid</v>
      </c>
      <c r="K30" s="3" t="str">
        <f>IF(Finance_Data!N26&gt;=0,"Valid","Invalid")</f>
        <v>Valid</v>
      </c>
      <c r="L30" s="3" t="str">
        <f>IF(TEXT(Finance_Data!G26,"mmmm")=Finance_Data!P26,"Valid","Invalid")</f>
        <v>Valid</v>
      </c>
      <c r="M30" s="3" t="str">
        <f>IF("Q"&amp;ROUNDUP(MONTH(Finance_Data!G26)/3,0)=Finance_Data!Q26,"Valid","Invalid")</f>
        <v>Valid</v>
      </c>
      <c r="N30" s="7" t="str">
        <f t="shared" si="0"/>
        <v>Pass</v>
      </c>
    </row>
    <row r="31" spans="1:14" x14ac:dyDescent="0.35">
      <c r="A31" s="17" t="s">
        <v>81</v>
      </c>
      <c r="B31" s="3" t="str">
        <f>IF(ISBLANK(Table3[[#This Row],[Campaign_ID]]),"Invalid","Valid")</f>
        <v>Valid</v>
      </c>
      <c r="C31" s="3" t="str">
        <f>IF(COUNTA(Finance_Data!A27:R27)=18,"Valid","Missing")</f>
        <v>Valid</v>
      </c>
      <c r="D31" s="3" t="str">
        <f>IF(COUNTIF(Finance_Data!$T$2:$T$1001,Finance_Data!T27)&gt;1,"Duplicate","Valid")</f>
        <v>Valid</v>
      </c>
      <c r="E31" s="3" t="str">
        <f>IF(Finance_Data!H27&gt;Finance_Data!G27,"Valid","Invalid")</f>
        <v>Valid</v>
      </c>
      <c r="F31" s="3" t="str" cm="1">
        <f t="array" ref="F31">_xlfn.IFS(Finance_Data!S27&lt;7,"Short",Finance_Data!S27&lt;=30,"Normal",Finance_Data!S27&lt;=60,"Long",Finance_Data!S27&gt;60,"Very Long")</f>
        <v>Normal</v>
      </c>
      <c r="G31" s="3" t="str">
        <f>IF(ABS(Finance_Data!I27*Finance_Data!J27)-Finance_Data!K27&lt;1,"Valid","Invalid")</f>
        <v>Valid</v>
      </c>
      <c r="H31" s="3" t="str">
        <f>IF(Finance_Data!L27&gt;0,"Valid","Invalid")</f>
        <v>Valid</v>
      </c>
      <c r="I31" s="3" t="str">
        <f>IF(Finance_Data!L27&gt;=Finance_Data!M27,"Valid","Invalid")</f>
        <v>Valid</v>
      </c>
      <c r="J31" s="3" t="str">
        <f>IF(AND(Finance_Data!I27&gt;=0,Finance_Data!K27&gt;=0),"Valid","Invalid")</f>
        <v>Valid</v>
      </c>
      <c r="K31" s="3" t="str">
        <f>IF(Finance_Data!N27&gt;=0,"Valid","Invalid")</f>
        <v>Valid</v>
      </c>
      <c r="L31" s="3" t="str">
        <f>IF(TEXT(Finance_Data!G27,"mmmm")=Finance_Data!P27,"Valid","Invalid")</f>
        <v>Valid</v>
      </c>
      <c r="M31" s="3" t="str">
        <f>IF("Q"&amp;ROUNDUP(MONTH(Finance_Data!G27)/3,0)=Finance_Data!Q27,"Valid","Invalid")</f>
        <v>Valid</v>
      </c>
      <c r="N31" s="7" t="str">
        <f t="shared" si="0"/>
        <v>Pass</v>
      </c>
    </row>
    <row r="32" spans="1:14" x14ac:dyDescent="0.35">
      <c r="A32" s="17" t="s">
        <v>102</v>
      </c>
      <c r="B32" s="3" t="str">
        <f>IF(ISBLANK(Table3[[#This Row],[Campaign_ID]]),"Invalid","Valid")</f>
        <v>Valid</v>
      </c>
      <c r="C32" s="3" t="str">
        <f>IF(COUNTA(Finance_Data!A28:R28)=18,"Valid","Missing")</f>
        <v>Valid</v>
      </c>
      <c r="D32" s="3" t="str">
        <f>IF(COUNTIF(Finance_Data!$T$2:$T$1001,Finance_Data!T28)&gt;1,"Duplicate","Valid")</f>
        <v>Valid</v>
      </c>
      <c r="E32" s="3" t="str">
        <f>IF(Finance_Data!H28&gt;Finance_Data!G28,"Valid","Invalid")</f>
        <v>Valid</v>
      </c>
      <c r="F32" s="3" t="str" cm="1">
        <f t="array" ref="F32">_xlfn.IFS(Finance_Data!S28&lt;7,"Short",Finance_Data!S28&lt;=30,"Normal",Finance_Data!S28&lt;=60,"Long",Finance_Data!S28&gt;60,"Very Long")</f>
        <v>Normal</v>
      </c>
      <c r="G32" s="3" t="str">
        <f>IF(ABS(Finance_Data!I28*Finance_Data!J28)-Finance_Data!K28&lt;1,"Valid","Invalid")</f>
        <v>Valid</v>
      </c>
      <c r="H32" s="3" t="str">
        <f>IF(Finance_Data!L28&gt;0,"Valid","Invalid")</f>
        <v>Valid</v>
      </c>
      <c r="I32" s="3" t="str">
        <f>IF(Finance_Data!L28&gt;=Finance_Data!M28,"Valid","Invalid")</f>
        <v>Valid</v>
      </c>
      <c r="J32" s="3" t="str">
        <f>IF(AND(Finance_Data!I28&gt;=0,Finance_Data!K28&gt;=0),"Valid","Invalid")</f>
        <v>Valid</v>
      </c>
      <c r="K32" s="3" t="str">
        <f>IF(Finance_Data!N28&gt;=0,"Valid","Invalid")</f>
        <v>Valid</v>
      </c>
      <c r="L32" s="3" t="str">
        <f>IF(TEXT(Finance_Data!G28,"mmmm")=Finance_Data!P28,"Valid","Invalid")</f>
        <v>Valid</v>
      </c>
      <c r="M32" s="3" t="str">
        <f>IF("Q"&amp;ROUNDUP(MONTH(Finance_Data!G28)/3,0)=Finance_Data!Q28,"Valid","Invalid")</f>
        <v>Valid</v>
      </c>
      <c r="N32" s="7" t="str">
        <f t="shared" si="0"/>
        <v>Pass</v>
      </c>
    </row>
    <row r="33" spans="1:14" x14ac:dyDescent="0.35">
      <c r="A33" s="17" t="s">
        <v>72</v>
      </c>
      <c r="B33" s="3" t="str">
        <f>IF(ISBLANK(Table3[[#This Row],[Campaign_ID]]),"Invalid","Valid")</f>
        <v>Valid</v>
      </c>
      <c r="C33" s="3" t="str">
        <f>IF(COUNTA(Finance_Data!A29:R29)=18,"Valid","Missing")</f>
        <v>Valid</v>
      </c>
      <c r="D33" s="3" t="str">
        <f>IF(COUNTIF(Finance_Data!$T$2:$T$1001,Finance_Data!T29)&gt;1,"Duplicate","Valid")</f>
        <v>Valid</v>
      </c>
      <c r="E33" s="3" t="str">
        <f>IF(Finance_Data!H29&gt;Finance_Data!G29,"Valid","Invalid")</f>
        <v>Valid</v>
      </c>
      <c r="F33" s="3" t="str" cm="1">
        <f t="array" ref="F33">_xlfn.IFS(Finance_Data!S29&lt;7,"Short",Finance_Data!S29&lt;=30,"Normal",Finance_Data!S29&lt;=60,"Long",Finance_Data!S29&gt;60,"Very Long")</f>
        <v>Normal</v>
      </c>
      <c r="G33" s="3" t="str">
        <f>IF(ABS(Finance_Data!I29*Finance_Data!J29)-Finance_Data!K29&lt;1,"Valid","Invalid")</f>
        <v>Valid</v>
      </c>
      <c r="H33" s="3" t="str">
        <f>IF(Finance_Data!L29&gt;0,"Valid","Invalid")</f>
        <v>Valid</v>
      </c>
      <c r="I33" s="3" t="str">
        <f>IF(Finance_Data!L29&gt;=Finance_Data!M29,"Valid","Invalid")</f>
        <v>Valid</v>
      </c>
      <c r="J33" s="3" t="str">
        <f>IF(AND(Finance_Data!I29&gt;=0,Finance_Data!K29&gt;=0),"Valid","Invalid")</f>
        <v>Valid</v>
      </c>
      <c r="K33" s="3" t="str">
        <f>IF(Finance_Data!N29&gt;=0,"Valid","Invalid")</f>
        <v>Valid</v>
      </c>
      <c r="L33" s="3" t="str">
        <f>IF(TEXT(Finance_Data!G29,"mmmm")=Finance_Data!P29,"Valid","Invalid")</f>
        <v>Valid</v>
      </c>
      <c r="M33" s="3" t="str">
        <f>IF("Q"&amp;ROUNDUP(MONTH(Finance_Data!G29)/3,0)=Finance_Data!Q29,"Valid","Invalid")</f>
        <v>Valid</v>
      </c>
      <c r="N33" s="7" t="str">
        <f t="shared" si="0"/>
        <v>Pass</v>
      </c>
    </row>
    <row r="34" spans="1:14" x14ac:dyDescent="0.35">
      <c r="A34" s="17" t="s">
        <v>78</v>
      </c>
      <c r="B34" s="3" t="str">
        <f>IF(ISBLANK(Table3[[#This Row],[Campaign_ID]]),"Invalid","Valid")</f>
        <v>Valid</v>
      </c>
      <c r="C34" s="3" t="str">
        <f>IF(COUNTA(Finance_Data!A30:R30)=18,"Valid","Missing")</f>
        <v>Valid</v>
      </c>
      <c r="D34" s="3" t="str">
        <f>IF(COUNTIF(Finance_Data!$T$2:$T$1001,Finance_Data!T30)&gt;1,"Duplicate","Valid")</f>
        <v>Valid</v>
      </c>
      <c r="E34" s="3" t="str">
        <f>IF(Finance_Data!H30&gt;Finance_Data!G30,"Valid","Invalid")</f>
        <v>Valid</v>
      </c>
      <c r="F34" s="3" t="str" cm="1">
        <f t="array" ref="F34">_xlfn.IFS(Finance_Data!S30&lt;7,"Short",Finance_Data!S30&lt;=30,"Normal",Finance_Data!S30&lt;=60,"Long",Finance_Data!S30&gt;60,"Very Long")</f>
        <v>Long</v>
      </c>
      <c r="G34" s="3" t="str">
        <f>IF(ABS(Finance_Data!I30*Finance_Data!J30)-Finance_Data!K30&lt;1,"Valid","Invalid")</f>
        <v>Valid</v>
      </c>
      <c r="H34" s="3" t="str">
        <f>IF(Finance_Data!L30&gt;0,"Valid","Invalid")</f>
        <v>Valid</v>
      </c>
      <c r="I34" s="3" t="str">
        <f>IF(Finance_Data!L30&gt;=Finance_Data!M30,"Valid","Invalid")</f>
        <v>Valid</v>
      </c>
      <c r="J34" s="3" t="str">
        <f>IF(AND(Finance_Data!I30&gt;=0,Finance_Data!K30&gt;=0),"Valid","Invalid")</f>
        <v>Valid</v>
      </c>
      <c r="K34" s="3" t="str">
        <f>IF(Finance_Data!N30&gt;=0,"Valid","Invalid")</f>
        <v>Valid</v>
      </c>
      <c r="L34" s="3" t="str">
        <f>IF(TEXT(Finance_Data!G30,"mmmm")=Finance_Data!P30,"Valid","Invalid")</f>
        <v>Valid</v>
      </c>
      <c r="M34" s="3" t="str">
        <f>IF("Q"&amp;ROUNDUP(MONTH(Finance_Data!G30)/3,0)=Finance_Data!Q30,"Valid","Invalid")</f>
        <v>Valid</v>
      </c>
      <c r="N34" s="7" t="str">
        <f t="shared" si="0"/>
        <v>Pass</v>
      </c>
    </row>
    <row r="35" spans="1:14" x14ac:dyDescent="0.35">
      <c r="A35" s="17" t="s">
        <v>91</v>
      </c>
      <c r="B35" s="3" t="str">
        <f>IF(ISBLANK(Table3[[#This Row],[Campaign_ID]]),"Invalid","Valid")</f>
        <v>Valid</v>
      </c>
      <c r="C35" s="3" t="str">
        <f>IF(COUNTA(Finance_Data!A31:R31)=18,"Valid","Missing")</f>
        <v>Valid</v>
      </c>
      <c r="D35" s="3" t="str">
        <f>IF(COUNTIF(Finance_Data!$T$2:$T$1001,Finance_Data!T31)&gt;1,"Duplicate","Valid")</f>
        <v>Valid</v>
      </c>
      <c r="E35" s="3" t="str">
        <f>IF(Finance_Data!H31&gt;Finance_Data!G31,"Valid","Invalid")</f>
        <v>Valid</v>
      </c>
      <c r="F35" s="3" t="str" cm="1">
        <f t="array" ref="F35">_xlfn.IFS(Finance_Data!S31&lt;7,"Short",Finance_Data!S31&lt;=30,"Normal",Finance_Data!S31&lt;=60,"Long",Finance_Data!S31&gt;60,"Very Long")</f>
        <v>Normal</v>
      </c>
      <c r="G35" s="3" t="str">
        <f>IF(ABS(Finance_Data!I31*Finance_Data!J31)-Finance_Data!K31&lt;1,"Valid","Invalid")</f>
        <v>Valid</v>
      </c>
      <c r="H35" s="3" t="str">
        <f>IF(Finance_Data!L31&gt;0,"Valid","Invalid")</f>
        <v>Valid</v>
      </c>
      <c r="I35" s="3" t="str">
        <f>IF(Finance_Data!L31&gt;=Finance_Data!M31,"Valid","Invalid")</f>
        <v>Valid</v>
      </c>
      <c r="J35" s="3" t="str">
        <f>IF(AND(Finance_Data!I31&gt;=0,Finance_Data!K31&gt;=0),"Valid","Invalid")</f>
        <v>Valid</v>
      </c>
      <c r="K35" s="3" t="str">
        <f>IF(Finance_Data!N31&gt;=0,"Valid","Invalid")</f>
        <v>Valid</v>
      </c>
      <c r="L35" s="3" t="str">
        <f>IF(TEXT(Finance_Data!G31,"mmmm")=Finance_Data!P31,"Valid","Invalid")</f>
        <v>Valid</v>
      </c>
      <c r="M35" s="3" t="str">
        <f>IF("Q"&amp;ROUNDUP(MONTH(Finance_Data!G31)/3,0)=Finance_Data!Q31,"Valid","Invalid")</f>
        <v>Valid</v>
      </c>
      <c r="N35" s="7" t="str">
        <f t="shared" si="0"/>
        <v>Pass</v>
      </c>
    </row>
    <row r="36" spans="1:14" x14ac:dyDescent="0.35">
      <c r="A36" s="17" t="s">
        <v>72</v>
      </c>
      <c r="B36" s="3" t="str">
        <f>IF(ISBLANK(Table3[[#This Row],[Campaign_ID]]),"Invalid","Valid")</f>
        <v>Valid</v>
      </c>
      <c r="C36" s="3" t="str">
        <f>IF(COUNTA(Finance_Data!A32:R32)=18,"Valid","Missing")</f>
        <v>Valid</v>
      </c>
      <c r="D36" s="3" t="str">
        <f>IF(COUNTIF(Finance_Data!$T$2:$T$1001,Finance_Data!T32)&gt;1,"Duplicate","Valid")</f>
        <v>Valid</v>
      </c>
      <c r="E36" s="3" t="str">
        <f>IF(Finance_Data!H32&gt;Finance_Data!G32,"Valid","Invalid")</f>
        <v>Valid</v>
      </c>
      <c r="F36" s="3" t="str" cm="1">
        <f t="array" ref="F36">_xlfn.IFS(Finance_Data!S32&lt;7,"Short",Finance_Data!S32&lt;=30,"Normal",Finance_Data!S32&lt;=60,"Long",Finance_Data!S32&gt;60,"Very Long")</f>
        <v>Normal</v>
      </c>
      <c r="G36" s="3" t="str">
        <f>IF(ABS(Finance_Data!I32*Finance_Data!J32)-Finance_Data!K32&lt;1,"Valid","Invalid")</f>
        <v>Valid</v>
      </c>
      <c r="H36" s="3" t="str">
        <f>IF(Finance_Data!L32&gt;0,"Valid","Invalid")</f>
        <v>Valid</v>
      </c>
      <c r="I36" s="3" t="str">
        <f>IF(Finance_Data!L32&gt;=Finance_Data!M32,"Valid","Invalid")</f>
        <v>Valid</v>
      </c>
      <c r="J36" s="3" t="str">
        <f>IF(AND(Finance_Data!I32&gt;=0,Finance_Data!K32&gt;=0),"Valid","Invalid")</f>
        <v>Valid</v>
      </c>
      <c r="K36" s="3" t="str">
        <f>IF(Finance_Data!N32&gt;=0,"Valid","Invalid")</f>
        <v>Valid</v>
      </c>
      <c r="L36" s="3" t="str">
        <f>IF(TEXT(Finance_Data!G32,"mmmm")=Finance_Data!P32,"Valid","Invalid")</f>
        <v>Valid</v>
      </c>
      <c r="M36" s="3" t="str">
        <f>IF("Q"&amp;ROUNDUP(MONTH(Finance_Data!G32)/3,0)=Finance_Data!Q32,"Valid","Invalid")</f>
        <v>Valid</v>
      </c>
      <c r="N36" s="7" t="str">
        <f t="shared" si="0"/>
        <v>Pass</v>
      </c>
    </row>
    <row r="37" spans="1:14" x14ac:dyDescent="0.35">
      <c r="A37" s="17" t="s">
        <v>103</v>
      </c>
      <c r="B37" s="3" t="str">
        <f>IF(ISBLANK(Table3[[#This Row],[Campaign_ID]]),"Invalid","Valid")</f>
        <v>Valid</v>
      </c>
      <c r="C37" s="3" t="str">
        <f>IF(COUNTA(Finance_Data!A33:R33)=18,"Valid","Missing")</f>
        <v>Valid</v>
      </c>
      <c r="D37" s="3" t="str">
        <f>IF(COUNTIF(Finance_Data!$T$2:$T$1001,Finance_Data!T33)&gt;1,"Duplicate","Valid")</f>
        <v>Valid</v>
      </c>
      <c r="E37" s="3" t="str">
        <f>IF(Finance_Data!H33&gt;Finance_Data!G33,"Valid","Invalid")</f>
        <v>Valid</v>
      </c>
      <c r="F37" s="3" t="str" cm="1">
        <f t="array" ref="F37">_xlfn.IFS(Finance_Data!S33&lt;7,"Short",Finance_Data!S33&lt;=30,"Normal",Finance_Data!S33&lt;=60,"Long",Finance_Data!S33&gt;60,"Very Long")</f>
        <v>Normal</v>
      </c>
      <c r="G37" s="3" t="str">
        <f>IF(ABS(Finance_Data!I33*Finance_Data!J33)-Finance_Data!K33&lt;1,"Valid","Invalid")</f>
        <v>Valid</v>
      </c>
      <c r="H37" s="3" t="str">
        <f>IF(Finance_Data!L33&gt;0,"Valid","Invalid")</f>
        <v>Valid</v>
      </c>
      <c r="I37" s="3" t="str">
        <f>IF(Finance_Data!L33&gt;=Finance_Data!M33,"Valid","Invalid")</f>
        <v>Valid</v>
      </c>
      <c r="J37" s="3" t="str">
        <f>IF(AND(Finance_Data!I33&gt;=0,Finance_Data!K33&gt;=0),"Valid","Invalid")</f>
        <v>Valid</v>
      </c>
      <c r="K37" s="3" t="str">
        <f>IF(Finance_Data!N33&gt;=0,"Valid","Invalid")</f>
        <v>Valid</v>
      </c>
      <c r="L37" s="3" t="str">
        <f>IF(TEXT(Finance_Data!G33,"mmmm")=Finance_Data!P33,"Valid","Invalid")</f>
        <v>Valid</v>
      </c>
      <c r="M37" s="3" t="str">
        <f>IF("Q"&amp;ROUNDUP(MONTH(Finance_Data!G33)/3,0)=Finance_Data!Q33,"Valid","Invalid")</f>
        <v>Valid</v>
      </c>
      <c r="N37" s="7" t="str">
        <f t="shared" si="0"/>
        <v>Pass</v>
      </c>
    </row>
    <row r="38" spans="1:14" x14ac:dyDescent="0.35">
      <c r="A38" s="17" t="s">
        <v>86</v>
      </c>
      <c r="B38" s="3" t="str">
        <f>IF(ISBLANK(Table3[[#This Row],[Campaign_ID]]),"Invalid","Valid")</f>
        <v>Valid</v>
      </c>
      <c r="C38" s="3" t="str">
        <f>IF(COUNTA(Finance_Data!A34:R34)=18,"Valid","Missing")</f>
        <v>Valid</v>
      </c>
      <c r="D38" s="3" t="str">
        <f>IF(COUNTIF(Finance_Data!$T$2:$T$1001,Finance_Data!T34)&gt;1,"Duplicate","Valid")</f>
        <v>Valid</v>
      </c>
      <c r="E38" s="3" t="str">
        <f>IF(Finance_Data!H34&gt;Finance_Data!G34,"Valid","Invalid")</f>
        <v>Valid</v>
      </c>
      <c r="F38" s="3" t="str" cm="1">
        <f t="array" ref="F38">_xlfn.IFS(Finance_Data!S34&lt;7,"Short",Finance_Data!S34&lt;=30,"Normal",Finance_Data!S34&lt;=60,"Long",Finance_Data!S34&gt;60,"Very Long")</f>
        <v>Long</v>
      </c>
      <c r="G38" s="3" t="str">
        <f>IF(ABS(Finance_Data!I34*Finance_Data!J34)-Finance_Data!K34&lt;1,"Valid","Invalid")</f>
        <v>Valid</v>
      </c>
      <c r="H38" s="3" t="str">
        <f>IF(Finance_Data!L34&gt;0,"Valid","Invalid")</f>
        <v>Valid</v>
      </c>
      <c r="I38" s="3" t="str">
        <f>IF(Finance_Data!L34&gt;=Finance_Data!M34,"Valid","Invalid")</f>
        <v>Valid</v>
      </c>
      <c r="J38" s="3" t="str">
        <f>IF(AND(Finance_Data!I34&gt;=0,Finance_Data!K34&gt;=0),"Valid","Invalid")</f>
        <v>Valid</v>
      </c>
      <c r="K38" s="3" t="str">
        <f>IF(Finance_Data!N34&gt;=0,"Valid","Invalid")</f>
        <v>Valid</v>
      </c>
      <c r="L38" s="3" t="str">
        <f>IF(TEXT(Finance_Data!G34,"mmmm")=Finance_Data!P34,"Valid","Invalid")</f>
        <v>Valid</v>
      </c>
      <c r="M38" s="3" t="str">
        <f>IF("Q"&amp;ROUNDUP(MONTH(Finance_Data!G34)/3,0)=Finance_Data!Q34,"Valid","Invalid")</f>
        <v>Valid</v>
      </c>
      <c r="N38" s="7" t="str">
        <f t="shared" si="0"/>
        <v>Pass</v>
      </c>
    </row>
    <row r="39" spans="1:14" x14ac:dyDescent="0.35">
      <c r="A39" s="17" t="s">
        <v>104</v>
      </c>
      <c r="B39" s="3" t="str">
        <f>IF(ISBLANK(Table3[[#This Row],[Campaign_ID]]),"Invalid","Valid")</f>
        <v>Valid</v>
      </c>
      <c r="C39" s="3" t="str">
        <f>IF(COUNTA(Finance_Data!A35:R35)=18,"Valid","Missing")</f>
        <v>Valid</v>
      </c>
      <c r="D39" s="3" t="str">
        <f>IF(COUNTIF(Finance_Data!$T$2:$T$1001,Finance_Data!T35)&gt;1,"Duplicate","Valid")</f>
        <v>Valid</v>
      </c>
      <c r="E39" s="3" t="str">
        <f>IF(Finance_Data!H35&gt;Finance_Data!G35,"Valid","Invalid")</f>
        <v>Valid</v>
      </c>
      <c r="F39" s="3" t="str" cm="1">
        <f t="array" ref="F39">_xlfn.IFS(Finance_Data!S35&lt;7,"Short",Finance_Data!S35&lt;=30,"Normal",Finance_Data!S35&lt;=60,"Long",Finance_Data!S35&gt;60,"Very Long")</f>
        <v>Long</v>
      </c>
      <c r="G39" s="3" t="str">
        <f>IF(ABS(Finance_Data!I35*Finance_Data!J35)-Finance_Data!K35&lt;1,"Valid","Invalid")</f>
        <v>Valid</v>
      </c>
      <c r="H39" s="3" t="str">
        <f>IF(Finance_Data!L35&gt;0,"Valid","Invalid")</f>
        <v>Valid</v>
      </c>
      <c r="I39" s="3" t="str">
        <f>IF(Finance_Data!L35&gt;=Finance_Data!M35,"Valid","Invalid")</f>
        <v>Valid</v>
      </c>
      <c r="J39" s="3" t="str">
        <f>IF(AND(Finance_Data!I35&gt;=0,Finance_Data!K35&gt;=0),"Valid","Invalid")</f>
        <v>Valid</v>
      </c>
      <c r="K39" s="3" t="str">
        <f>IF(Finance_Data!N35&gt;=0,"Valid","Invalid")</f>
        <v>Valid</v>
      </c>
      <c r="L39" s="3" t="str">
        <f>IF(TEXT(Finance_Data!G35,"mmmm")=Finance_Data!P35,"Valid","Invalid")</f>
        <v>Valid</v>
      </c>
      <c r="M39" s="3" t="str">
        <f>IF("Q"&amp;ROUNDUP(MONTH(Finance_Data!G35)/3,0)=Finance_Data!Q35,"Valid","Invalid")</f>
        <v>Valid</v>
      </c>
      <c r="N39" s="7" t="str">
        <f t="shared" si="0"/>
        <v>Pass</v>
      </c>
    </row>
    <row r="40" spans="1:14" x14ac:dyDescent="0.35">
      <c r="A40" s="17" t="s">
        <v>89</v>
      </c>
      <c r="B40" s="3" t="str">
        <f>IF(ISBLANK(Table3[[#This Row],[Campaign_ID]]),"Invalid","Valid")</f>
        <v>Valid</v>
      </c>
      <c r="C40" s="3" t="str">
        <f>IF(COUNTA(Finance_Data!A36:R36)=18,"Valid","Missing")</f>
        <v>Valid</v>
      </c>
      <c r="D40" s="3" t="str">
        <f>IF(COUNTIF(Finance_Data!$T$2:$T$1001,Finance_Data!T36)&gt;1,"Duplicate","Valid")</f>
        <v>Valid</v>
      </c>
      <c r="E40" s="3" t="str">
        <f>IF(Finance_Data!H36&gt;Finance_Data!G36,"Valid","Invalid")</f>
        <v>Valid</v>
      </c>
      <c r="F40" s="3" t="str" cm="1">
        <f t="array" ref="F40">_xlfn.IFS(Finance_Data!S36&lt;7,"Short",Finance_Data!S36&lt;=30,"Normal",Finance_Data!S36&lt;=60,"Long",Finance_Data!S36&gt;60,"Very Long")</f>
        <v>Long</v>
      </c>
      <c r="G40" s="3" t="str">
        <f>IF(ABS(Finance_Data!I36*Finance_Data!J36)-Finance_Data!K36&lt;1,"Valid","Invalid")</f>
        <v>Valid</v>
      </c>
      <c r="H40" s="3" t="str">
        <f>IF(Finance_Data!L36&gt;0,"Valid","Invalid")</f>
        <v>Valid</v>
      </c>
      <c r="I40" s="3" t="str">
        <f>IF(Finance_Data!L36&gt;=Finance_Data!M36,"Valid","Invalid")</f>
        <v>Valid</v>
      </c>
      <c r="J40" s="3" t="str">
        <f>IF(AND(Finance_Data!I36&gt;=0,Finance_Data!K36&gt;=0),"Valid","Invalid")</f>
        <v>Valid</v>
      </c>
      <c r="K40" s="3" t="str">
        <f>IF(Finance_Data!N36&gt;=0,"Valid","Invalid")</f>
        <v>Valid</v>
      </c>
      <c r="L40" s="3" t="str">
        <f>IF(TEXT(Finance_Data!G36,"mmmm")=Finance_Data!P36,"Valid","Invalid")</f>
        <v>Valid</v>
      </c>
      <c r="M40" s="3" t="str">
        <f>IF("Q"&amp;ROUNDUP(MONTH(Finance_Data!G36)/3,0)=Finance_Data!Q36,"Valid","Invalid")</f>
        <v>Valid</v>
      </c>
      <c r="N40" s="7" t="str">
        <f t="shared" si="0"/>
        <v>Pass</v>
      </c>
    </row>
    <row r="41" spans="1:14" x14ac:dyDescent="0.35">
      <c r="A41" s="17" t="s">
        <v>70</v>
      </c>
      <c r="B41" s="3" t="str">
        <f>IF(ISBLANK(Table3[[#This Row],[Campaign_ID]]),"Invalid","Valid")</f>
        <v>Valid</v>
      </c>
      <c r="C41" s="3" t="str">
        <f>IF(COUNTA(Finance_Data!A37:R37)=18,"Valid","Missing")</f>
        <v>Valid</v>
      </c>
      <c r="D41" s="3" t="str">
        <f>IF(COUNTIF(Finance_Data!$T$2:$T$1001,Finance_Data!T37)&gt;1,"Duplicate","Valid")</f>
        <v>Valid</v>
      </c>
      <c r="E41" s="3" t="str">
        <f>IF(Finance_Data!H37&gt;Finance_Data!G37,"Valid","Invalid")</f>
        <v>Valid</v>
      </c>
      <c r="F41" s="3" t="str" cm="1">
        <f t="array" ref="F41">_xlfn.IFS(Finance_Data!S37&lt;7,"Short",Finance_Data!S37&lt;=30,"Normal",Finance_Data!S37&lt;=60,"Long",Finance_Data!S37&gt;60,"Very Long")</f>
        <v>Normal</v>
      </c>
      <c r="G41" s="3" t="str">
        <f>IF(ABS(Finance_Data!I37*Finance_Data!J37)-Finance_Data!K37&lt;1,"Valid","Invalid")</f>
        <v>Valid</v>
      </c>
      <c r="H41" s="3" t="str">
        <f>IF(Finance_Data!L37&gt;0,"Valid","Invalid")</f>
        <v>Valid</v>
      </c>
      <c r="I41" s="3" t="str">
        <f>IF(Finance_Data!L37&gt;=Finance_Data!M37,"Valid","Invalid")</f>
        <v>Valid</v>
      </c>
      <c r="J41" s="3" t="str">
        <f>IF(AND(Finance_Data!I37&gt;=0,Finance_Data!K37&gt;=0),"Valid","Invalid")</f>
        <v>Valid</v>
      </c>
      <c r="K41" s="3" t="str">
        <f>IF(Finance_Data!N37&gt;=0,"Valid","Invalid")</f>
        <v>Valid</v>
      </c>
      <c r="L41" s="3" t="str">
        <f>IF(TEXT(Finance_Data!G37,"mmmm")=Finance_Data!P37,"Valid","Invalid")</f>
        <v>Valid</v>
      </c>
      <c r="M41" s="3" t="str">
        <f>IF("Q"&amp;ROUNDUP(MONTH(Finance_Data!G37)/3,0)=Finance_Data!Q37,"Valid","Invalid")</f>
        <v>Valid</v>
      </c>
      <c r="N41" s="7" t="str">
        <f t="shared" si="0"/>
        <v>Pass</v>
      </c>
    </row>
    <row r="42" spans="1:14" x14ac:dyDescent="0.35">
      <c r="A42" s="17" t="s">
        <v>113</v>
      </c>
      <c r="B42" s="3" t="str">
        <f>IF(ISBLANK(Table3[[#This Row],[Campaign_ID]]),"Invalid","Valid")</f>
        <v>Valid</v>
      </c>
      <c r="C42" s="3" t="str">
        <f>IF(COUNTA(Finance_Data!A38:R38)=18,"Valid","Missing")</f>
        <v>Valid</v>
      </c>
      <c r="D42" s="3" t="str">
        <f>IF(COUNTIF(Finance_Data!$T$2:$T$1001,Finance_Data!T38)&gt;1,"Duplicate","Valid")</f>
        <v>Valid</v>
      </c>
      <c r="E42" s="3" t="str">
        <f>IF(Finance_Data!H38&gt;Finance_Data!G38,"Valid","Invalid")</f>
        <v>Valid</v>
      </c>
      <c r="F42" s="3" t="str" cm="1">
        <f t="array" ref="F42">_xlfn.IFS(Finance_Data!S38&lt;7,"Short",Finance_Data!S38&lt;=30,"Normal",Finance_Data!S38&lt;=60,"Long",Finance_Data!S38&gt;60,"Very Long")</f>
        <v>Normal</v>
      </c>
      <c r="G42" s="3" t="str">
        <f>IF(ABS(Finance_Data!I38*Finance_Data!J38)-Finance_Data!K38&lt;1,"Valid","Invalid")</f>
        <v>Valid</v>
      </c>
      <c r="H42" s="3" t="str">
        <f>IF(Finance_Data!L38&gt;0,"Valid","Invalid")</f>
        <v>Valid</v>
      </c>
      <c r="I42" s="3" t="str">
        <f>IF(Finance_Data!L38&gt;=Finance_Data!M38,"Valid","Invalid")</f>
        <v>Valid</v>
      </c>
      <c r="J42" s="3" t="str">
        <f>IF(AND(Finance_Data!I38&gt;=0,Finance_Data!K38&gt;=0),"Valid","Invalid")</f>
        <v>Valid</v>
      </c>
      <c r="K42" s="3" t="str">
        <f>IF(Finance_Data!N38&gt;=0,"Valid","Invalid")</f>
        <v>Valid</v>
      </c>
      <c r="L42" s="3" t="str">
        <f>IF(TEXT(Finance_Data!G38,"mmmm")=Finance_Data!P38,"Valid","Invalid")</f>
        <v>Valid</v>
      </c>
      <c r="M42" s="3" t="str">
        <f>IF("Q"&amp;ROUNDUP(MONTH(Finance_Data!G38)/3,0)=Finance_Data!Q38,"Valid","Invalid")</f>
        <v>Valid</v>
      </c>
      <c r="N42" s="7" t="str">
        <f t="shared" si="0"/>
        <v>Pass</v>
      </c>
    </row>
    <row r="43" spans="1:14" x14ac:dyDescent="0.35">
      <c r="A43" s="17" t="s">
        <v>119</v>
      </c>
      <c r="B43" s="3" t="str">
        <f>IF(ISBLANK(Table3[[#This Row],[Campaign_ID]]),"Invalid","Valid")</f>
        <v>Valid</v>
      </c>
      <c r="C43" s="3" t="str">
        <f>IF(COUNTA(Finance_Data!A39:R39)=18,"Valid","Missing")</f>
        <v>Valid</v>
      </c>
      <c r="D43" s="3" t="str">
        <f>IF(COUNTIF(Finance_Data!$T$2:$T$1001,Finance_Data!T39)&gt;1,"Duplicate","Valid")</f>
        <v>Valid</v>
      </c>
      <c r="E43" s="3" t="str">
        <f>IF(Finance_Data!H39&gt;Finance_Data!G39,"Valid","Invalid")</f>
        <v>Valid</v>
      </c>
      <c r="F43" s="3" t="str" cm="1">
        <f t="array" ref="F43">_xlfn.IFS(Finance_Data!S39&lt;7,"Short",Finance_Data!S39&lt;=30,"Normal",Finance_Data!S39&lt;=60,"Long",Finance_Data!S39&gt;60,"Very Long")</f>
        <v>Long</v>
      </c>
      <c r="G43" s="3" t="str">
        <f>IF(ABS(Finance_Data!I39*Finance_Data!J39)-Finance_Data!K39&lt;1,"Valid","Invalid")</f>
        <v>Valid</v>
      </c>
      <c r="H43" s="3" t="str">
        <f>IF(Finance_Data!L39&gt;0,"Valid","Invalid")</f>
        <v>Valid</v>
      </c>
      <c r="I43" s="3" t="str">
        <f>IF(Finance_Data!L39&gt;=Finance_Data!M39,"Valid","Invalid")</f>
        <v>Valid</v>
      </c>
      <c r="J43" s="3" t="str">
        <f>IF(AND(Finance_Data!I39&gt;=0,Finance_Data!K39&gt;=0),"Valid","Invalid")</f>
        <v>Valid</v>
      </c>
      <c r="K43" s="3" t="str">
        <f>IF(Finance_Data!N39&gt;=0,"Valid","Invalid")</f>
        <v>Valid</v>
      </c>
      <c r="L43" s="3" t="str">
        <f>IF(TEXT(Finance_Data!G39,"mmmm")=Finance_Data!P39,"Valid","Invalid")</f>
        <v>Valid</v>
      </c>
      <c r="M43" s="3" t="str">
        <f>IF("Q"&amp;ROUNDUP(MONTH(Finance_Data!G39)/3,0)=Finance_Data!Q39,"Valid","Invalid")</f>
        <v>Valid</v>
      </c>
      <c r="N43" s="7" t="str">
        <f t="shared" si="0"/>
        <v>Pass</v>
      </c>
    </row>
    <row r="44" spans="1:14" x14ac:dyDescent="0.35">
      <c r="A44" s="17" t="s">
        <v>87</v>
      </c>
      <c r="B44" s="3" t="str">
        <f>IF(ISBLANK(Table3[[#This Row],[Campaign_ID]]),"Invalid","Valid")</f>
        <v>Valid</v>
      </c>
      <c r="C44" s="3" t="str">
        <f>IF(COUNTA(Finance_Data!A40:R40)=18,"Valid","Missing")</f>
        <v>Valid</v>
      </c>
      <c r="D44" s="3" t="str">
        <f>IF(COUNTIF(Finance_Data!$T$2:$T$1001,Finance_Data!T40)&gt;1,"Duplicate","Valid")</f>
        <v>Valid</v>
      </c>
      <c r="E44" s="3" t="str">
        <f>IF(Finance_Data!H40&gt;Finance_Data!G40,"Valid","Invalid")</f>
        <v>Valid</v>
      </c>
      <c r="F44" s="3" t="str" cm="1">
        <f t="array" ref="F44">_xlfn.IFS(Finance_Data!S40&lt;7,"Short",Finance_Data!S40&lt;=30,"Normal",Finance_Data!S40&lt;=60,"Long",Finance_Data!S40&gt;60,"Very Long")</f>
        <v>Short</v>
      </c>
      <c r="G44" s="3" t="str">
        <f>IF(ABS(Finance_Data!I40*Finance_Data!J40)-Finance_Data!K40&lt;1,"Valid","Invalid")</f>
        <v>Valid</v>
      </c>
      <c r="H44" s="3" t="str">
        <f>IF(Finance_Data!L40&gt;0,"Valid","Invalid")</f>
        <v>Valid</v>
      </c>
      <c r="I44" s="3" t="str">
        <f>IF(Finance_Data!L40&gt;=Finance_Data!M40,"Valid","Invalid")</f>
        <v>Valid</v>
      </c>
      <c r="J44" s="3" t="str">
        <f>IF(AND(Finance_Data!I40&gt;=0,Finance_Data!K40&gt;=0),"Valid","Invalid")</f>
        <v>Valid</v>
      </c>
      <c r="K44" s="3" t="str">
        <f>IF(Finance_Data!N40&gt;=0,"Valid","Invalid")</f>
        <v>Valid</v>
      </c>
      <c r="L44" s="3" t="str">
        <f>IF(TEXT(Finance_Data!G40,"mmmm")=Finance_Data!P40,"Valid","Invalid")</f>
        <v>Valid</v>
      </c>
      <c r="M44" s="3" t="str">
        <f>IF("Q"&amp;ROUNDUP(MONTH(Finance_Data!G40)/3,0)=Finance_Data!Q40,"Valid","Invalid")</f>
        <v>Valid</v>
      </c>
      <c r="N44" s="7" t="str">
        <f t="shared" si="0"/>
        <v>Pass</v>
      </c>
    </row>
    <row r="45" spans="1:14" x14ac:dyDescent="0.35">
      <c r="A45" s="17" t="s">
        <v>91</v>
      </c>
      <c r="B45" s="3" t="str">
        <f>IF(ISBLANK(Table3[[#This Row],[Campaign_ID]]),"Invalid","Valid")</f>
        <v>Valid</v>
      </c>
      <c r="C45" s="3" t="str">
        <f>IF(COUNTA(Finance_Data!A41:R41)=18,"Valid","Missing")</f>
        <v>Valid</v>
      </c>
      <c r="D45" s="3" t="str">
        <f>IF(COUNTIF(Finance_Data!$T$2:$T$1001,Finance_Data!T41)&gt;1,"Duplicate","Valid")</f>
        <v>Valid</v>
      </c>
      <c r="E45" s="3" t="str">
        <f>IF(Finance_Data!H41&gt;Finance_Data!G41,"Valid","Invalid")</f>
        <v>Valid</v>
      </c>
      <c r="F45" s="3" t="str" cm="1">
        <f t="array" ref="F45">_xlfn.IFS(Finance_Data!S41&lt;7,"Short",Finance_Data!S41&lt;=30,"Normal",Finance_Data!S41&lt;=60,"Long",Finance_Data!S41&gt;60,"Very Long")</f>
        <v>Long</v>
      </c>
      <c r="G45" s="3" t="str">
        <f>IF(ABS(Finance_Data!I41*Finance_Data!J41)-Finance_Data!K41&lt;1,"Valid","Invalid")</f>
        <v>Valid</v>
      </c>
      <c r="H45" s="3" t="str">
        <f>IF(Finance_Data!L41&gt;0,"Valid","Invalid")</f>
        <v>Valid</v>
      </c>
      <c r="I45" s="3" t="str">
        <f>IF(Finance_Data!L41&gt;=Finance_Data!M41,"Valid","Invalid")</f>
        <v>Valid</v>
      </c>
      <c r="J45" s="3" t="str">
        <f>IF(AND(Finance_Data!I41&gt;=0,Finance_Data!K41&gt;=0),"Valid","Invalid")</f>
        <v>Valid</v>
      </c>
      <c r="K45" s="3" t="str">
        <f>IF(Finance_Data!N41&gt;=0,"Valid","Invalid")</f>
        <v>Valid</v>
      </c>
      <c r="L45" s="3" t="str">
        <f>IF(TEXT(Finance_Data!G41,"mmmm")=Finance_Data!P41,"Valid","Invalid")</f>
        <v>Valid</v>
      </c>
      <c r="M45" s="3" t="str">
        <f>IF("Q"&amp;ROUNDUP(MONTH(Finance_Data!G41)/3,0)=Finance_Data!Q41,"Valid","Invalid")</f>
        <v>Valid</v>
      </c>
      <c r="N45" s="7" t="str">
        <f t="shared" si="0"/>
        <v>Pass</v>
      </c>
    </row>
    <row r="46" spans="1:14" x14ac:dyDescent="0.35">
      <c r="A46" s="17" t="s">
        <v>94</v>
      </c>
      <c r="B46" s="3" t="str">
        <f>IF(ISBLANK(Table3[[#This Row],[Campaign_ID]]),"Invalid","Valid")</f>
        <v>Valid</v>
      </c>
      <c r="C46" s="3" t="str">
        <f>IF(COUNTA(Finance_Data!A42:R42)=18,"Valid","Missing")</f>
        <v>Valid</v>
      </c>
      <c r="D46" s="3" t="str">
        <f>IF(COUNTIF(Finance_Data!$T$2:$T$1001,Finance_Data!T42)&gt;1,"Duplicate","Valid")</f>
        <v>Valid</v>
      </c>
      <c r="E46" s="3" t="str">
        <f>IF(Finance_Data!H42&gt;Finance_Data!G42,"Valid","Invalid")</f>
        <v>Valid</v>
      </c>
      <c r="F46" s="3" t="str" cm="1">
        <f t="array" ref="F46">_xlfn.IFS(Finance_Data!S42&lt;7,"Short",Finance_Data!S42&lt;=30,"Normal",Finance_Data!S42&lt;=60,"Long",Finance_Data!S42&gt;60,"Very Long")</f>
        <v>Normal</v>
      </c>
      <c r="G46" s="3" t="str">
        <f>IF(ABS(Finance_Data!I42*Finance_Data!J42)-Finance_Data!K42&lt;1,"Valid","Invalid")</f>
        <v>Valid</v>
      </c>
      <c r="H46" s="3" t="str">
        <f>IF(Finance_Data!L42&gt;0,"Valid","Invalid")</f>
        <v>Valid</v>
      </c>
      <c r="I46" s="3" t="str">
        <f>IF(Finance_Data!L42&gt;=Finance_Data!M42,"Valid","Invalid")</f>
        <v>Valid</v>
      </c>
      <c r="J46" s="3" t="str">
        <f>IF(AND(Finance_Data!I42&gt;=0,Finance_Data!K42&gt;=0),"Valid","Invalid")</f>
        <v>Valid</v>
      </c>
      <c r="K46" s="3" t="str">
        <f>IF(Finance_Data!N42&gt;=0,"Valid","Invalid")</f>
        <v>Valid</v>
      </c>
      <c r="L46" s="3" t="str">
        <f>IF(TEXT(Finance_Data!G42,"mmmm")=Finance_Data!P42,"Valid","Invalid")</f>
        <v>Valid</v>
      </c>
      <c r="M46" s="3" t="str">
        <f>IF("Q"&amp;ROUNDUP(MONTH(Finance_Data!G42)/3,0)=Finance_Data!Q42,"Valid","Invalid")</f>
        <v>Valid</v>
      </c>
      <c r="N46" s="7" t="str">
        <f t="shared" si="0"/>
        <v>Pass</v>
      </c>
    </row>
    <row r="47" spans="1:14" x14ac:dyDescent="0.35">
      <c r="A47" s="17" t="s">
        <v>84</v>
      </c>
      <c r="B47" s="3" t="str">
        <f>IF(ISBLANK(Table3[[#This Row],[Campaign_ID]]),"Invalid","Valid")</f>
        <v>Valid</v>
      </c>
      <c r="C47" s="3" t="str">
        <f>IF(COUNTA(Finance_Data!A43:R43)=18,"Valid","Missing")</f>
        <v>Valid</v>
      </c>
      <c r="D47" s="3" t="str">
        <f>IF(COUNTIF(Finance_Data!$T$2:$T$1001,Finance_Data!T43)&gt;1,"Duplicate","Valid")</f>
        <v>Valid</v>
      </c>
      <c r="E47" s="3" t="str">
        <f>IF(Finance_Data!H43&gt;Finance_Data!G43,"Valid","Invalid")</f>
        <v>Valid</v>
      </c>
      <c r="F47" s="3" t="str" cm="1">
        <f t="array" ref="F47">_xlfn.IFS(Finance_Data!S43&lt;7,"Short",Finance_Data!S43&lt;=30,"Normal",Finance_Data!S43&lt;=60,"Long",Finance_Data!S43&gt;60,"Very Long")</f>
        <v>Short</v>
      </c>
      <c r="G47" s="3" t="str">
        <f>IF(ABS(Finance_Data!I43*Finance_Data!J43)-Finance_Data!K43&lt;1,"Valid","Invalid")</f>
        <v>Valid</v>
      </c>
      <c r="H47" s="3" t="str">
        <f>IF(Finance_Data!L43&gt;0,"Valid","Invalid")</f>
        <v>Valid</v>
      </c>
      <c r="I47" s="3" t="str">
        <f>IF(Finance_Data!L43&gt;=Finance_Data!M43,"Valid","Invalid")</f>
        <v>Valid</v>
      </c>
      <c r="J47" s="3" t="str">
        <f>IF(AND(Finance_Data!I43&gt;=0,Finance_Data!K43&gt;=0),"Valid","Invalid")</f>
        <v>Valid</v>
      </c>
      <c r="K47" s="3" t="str">
        <f>IF(Finance_Data!N43&gt;=0,"Valid","Invalid")</f>
        <v>Valid</v>
      </c>
      <c r="L47" s="3" t="str">
        <f>IF(TEXT(Finance_Data!G43,"mmmm")=Finance_Data!P43,"Valid","Invalid")</f>
        <v>Valid</v>
      </c>
      <c r="M47" s="3" t="str">
        <f>IF("Q"&amp;ROUNDUP(MONTH(Finance_Data!G43)/3,0)=Finance_Data!Q43,"Valid","Invalid")</f>
        <v>Valid</v>
      </c>
      <c r="N47" s="7" t="str">
        <f t="shared" si="0"/>
        <v>Pass</v>
      </c>
    </row>
    <row r="48" spans="1:14" x14ac:dyDescent="0.35">
      <c r="A48" s="17" t="s">
        <v>57</v>
      </c>
      <c r="B48" s="3" t="str">
        <f>IF(ISBLANK(Table3[[#This Row],[Campaign_ID]]),"Invalid","Valid")</f>
        <v>Valid</v>
      </c>
      <c r="C48" s="3" t="str">
        <f>IF(COUNTA(Finance_Data!A44:R44)=18,"Valid","Missing")</f>
        <v>Valid</v>
      </c>
      <c r="D48" s="3" t="str">
        <f>IF(COUNTIF(Finance_Data!$T$2:$T$1001,Finance_Data!T44)&gt;1,"Duplicate","Valid")</f>
        <v>Valid</v>
      </c>
      <c r="E48" s="3" t="str">
        <f>IF(Finance_Data!H44&gt;Finance_Data!G44,"Valid","Invalid")</f>
        <v>Valid</v>
      </c>
      <c r="F48" s="3" t="str" cm="1">
        <f t="array" ref="F48">_xlfn.IFS(Finance_Data!S44&lt;7,"Short",Finance_Data!S44&lt;=30,"Normal",Finance_Data!S44&lt;=60,"Long",Finance_Data!S44&gt;60,"Very Long")</f>
        <v>Long</v>
      </c>
      <c r="G48" s="3" t="str">
        <f>IF(ABS(Finance_Data!I44*Finance_Data!J44)-Finance_Data!K44&lt;1,"Valid","Invalid")</f>
        <v>Valid</v>
      </c>
      <c r="H48" s="3" t="str">
        <f>IF(Finance_Data!L44&gt;0,"Valid","Invalid")</f>
        <v>Valid</v>
      </c>
      <c r="I48" s="3" t="str">
        <f>IF(Finance_Data!L44&gt;=Finance_Data!M44,"Valid","Invalid")</f>
        <v>Valid</v>
      </c>
      <c r="J48" s="3" t="str">
        <f>IF(AND(Finance_Data!I44&gt;=0,Finance_Data!K44&gt;=0),"Valid","Invalid")</f>
        <v>Valid</v>
      </c>
      <c r="K48" s="3" t="str">
        <f>IF(Finance_Data!N44&gt;=0,"Valid","Invalid")</f>
        <v>Valid</v>
      </c>
      <c r="L48" s="3" t="str">
        <f>IF(TEXT(Finance_Data!G44,"mmmm")=Finance_Data!P44,"Valid","Invalid")</f>
        <v>Valid</v>
      </c>
      <c r="M48" s="3" t="str">
        <f>IF("Q"&amp;ROUNDUP(MONTH(Finance_Data!G44)/3,0)=Finance_Data!Q44,"Valid","Invalid")</f>
        <v>Valid</v>
      </c>
      <c r="N48" s="7" t="str">
        <f t="shared" si="0"/>
        <v>Pass</v>
      </c>
    </row>
    <row r="49" spans="1:14" x14ac:dyDescent="0.35">
      <c r="A49" s="17" t="s">
        <v>117</v>
      </c>
      <c r="B49" s="3" t="str">
        <f>IF(ISBLANK(Table3[[#This Row],[Campaign_ID]]),"Invalid","Valid")</f>
        <v>Valid</v>
      </c>
      <c r="C49" s="3" t="str">
        <f>IF(COUNTA(Finance_Data!A45:R45)=18,"Valid","Missing")</f>
        <v>Valid</v>
      </c>
      <c r="D49" s="3" t="str">
        <f>IF(COUNTIF(Finance_Data!$T$2:$T$1001,Finance_Data!T45)&gt;1,"Duplicate","Valid")</f>
        <v>Valid</v>
      </c>
      <c r="E49" s="3" t="str">
        <f>IF(Finance_Data!H45&gt;Finance_Data!G45,"Valid","Invalid")</f>
        <v>Valid</v>
      </c>
      <c r="F49" s="3" t="str" cm="1">
        <f t="array" ref="F49">_xlfn.IFS(Finance_Data!S45&lt;7,"Short",Finance_Data!S45&lt;=30,"Normal",Finance_Data!S45&lt;=60,"Long",Finance_Data!S45&gt;60,"Very Long")</f>
        <v>Long</v>
      </c>
      <c r="G49" s="3" t="str">
        <f>IF(ABS(Finance_Data!I45*Finance_Data!J45)-Finance_Data!K45&lt;1,"Valid","Invalid")</f>
        <v>Valid</v>
      </c>
      <c r="H49" s="3" t="str">
        <f>IF(Finance_Data!L45&gt;0,"Valid","Invalid")</f>
        <v>Valid</v>
      </c>
      <c r="I49" s="3" t="str">
        <f>IF(Finance_Data!L45&gt;=Finance_Data!M45,"Valid","Invalid")</f>
        <v>Valid</v>
      </c>
      <c r="J49" s="3" t="str">
        <f>IF(AND(Finance_Data!I45&gt;=0,Finance_Data!K45&gt;=0),"Valid","Invalid")</f>
        <v>Valid</v>
      </c>
      <c r="K49" s="3" t="str">
        <f>IF(Finance_Data!N45&gt;=0,"Valid","Invalid")</f>
        <v>Valid</v>
      </c>
      <c r="L49" s="3" t="str">
        <f>IF(TEXT(Finance_Data!G45,"mmmm")=Finance_Data!P45,"Valid","Invalid")</f>
        <v>Valid</v>
      </c>
      <c r="M49" s="3" t="str">
        <f>IF("Q"&amp;ROUNDUP(MONTH(Finance_Data!G45)/3,0)=Finance_Data!Q45,"Valid","Invalid")</f>
        <v>Valid</v>
      </c>
      <c r="N49" s="7" t="str">
        <f t="shared" si="0"/>
        <v>Pass</v>
      </c>
    </row>
    <row r="50" spans="1:14" x14ac:dyDescent="0.35">
      <c r="A50" s="17" t="s">
        <v>50</v>
      </c>
      <c r="B50" s="3" t="str">
        <f>IF(ISBLANK(Table3[[#This Row],[Campaign_ID]]),"Invalid","Valid")</f>
        <v>Valid</v>
      </c>
      <c r="C50" s="3" t="str">
        <f>IF(COUNTA(Finance_Data!A46:R46)=18,"Valid","Missing")</f>
        <v>Valid</v>
      </c>
      <c r="D50" s="3" t="str">
        <f>IF(COUNTIF(Finance_Data!$T$2:$T$1001,Finance_Data!T46)&gt;1,"Duplicate","Valid")</f>
        <v>Valid</v>
      </c>
      <c r="E50" s="3" t="str">
        <f>IF(Finance_Data!H46&gt;Finance_Data!G46,"Valid","Invalid")</f>
        <v>Valid</v>
      </c>
      <c r="F50" s="3" t="str" cm="1">
        <f t="array" ref="F50">_xlfn.IFS(Finance_Data!S46&lt;7,"Short",Finance_Data!S46&lt;=30,"Normal",Finance_Data!S46&lt;=60,"Long",Finance_Data!S46&gt;60,"Very Long")</f>
        <v>Normal</v>
      </c>
      <c r="G50" s="3" t="str">
        <f>IF(ABS(Finance_Data!I46*Finance_Data!J46)-Finance_Data!K46&lt;1,"Valid","Invalid")</f>
        <v>Valid</v>
      </c>
      <c r="H50" s="3" t="str">
        <f>IF(Finance_Data!L46&gt;0,"Valid","Invalid")</f>
        <v>Valid</v>
      </c>
      <c r="I50" s="3" t="str">
        <f>IF(Finance_Data!L46&gt;=Finance_Data!M46,"Valid","Invalid")</f>
        <v>Valid</v>
      </c>
      <c r="J50" s="3" t="str">
        <f>IF(AND(Finance_Data!I46&gt;=0,Finance_Data!K46&gt;=0),"Valid","Invalid")</f>
        <v>Valid</v>
      </c>
      <c r="K50" s="3" t="str">
        <f>IF(Finance_Data!N46&gt;=0,"Valid","Invalid")</f>
        <v>Valid</v>
      </c>
      <c r="L50" s="3" t="str">
        <f>IF(TEXT(Finance_Data!G46,"mmmm")=Finance_Data!P46,"Valid","Invalid")</f>
        <v>Valid</v>
      </c>
      <c r="M50" s="3" t="str">
        <f>IF("Q"&amp;ROUNDUP(MONTH(Finance_Data!G46)/3,0)=Finance_Data!Q46,"Valid","Invalid")</f>
        <v>Valid</v>
      </c>
      <c r="N50" s="7" t="str">
        <f t="shared" si="0"/>
        <v>Pass</v>
      </c>
    </row>
    <row r="51" spans="1:14" x14ac:dyDescent="0.35">
      <c r="A51" s="17" t="s">
        <v>88</v>
      </c>
      <c r="B51" s="3" t="str">
        <f>IF(ISBLANK(Table3[[#This Row],[Campaign_ID]]),"Invalid","Valid")</f>
        <v>Valid</v>
      </c>
      <c r="C51" s="3" t="str">
        <f>IF(COUNTA(Finance_Data!A47:R47)=18,"Valid","Missing")</f>
        <v>Valid</v>
      </c>
      <c r="D51" s="3" t="str">
        <f>IF(COUNTIF(Finance_Data!$T$2:$T$1001,Finance_Data!T47)&gt;1,"Duplicate","Valid")</f>
        <v>Valid</v>
      </c>
      <c r="E51" s="3" t="str">
        <f>IF(Finance_Data!H47&gt;Finance_Data!G47,"Valid","Invalid")</f>
        <v>Valid</v>
      </c>
      <c r="F51" s="3" t="str" cm="1">
        <f t="array" ref="F51">_xlfn.IFS(Finance_Data!S47&lt;7,"Short",Finance_Data!S47&lt;=30,"Normal",Finance_Data!S47&lt;=60,"Long",Finance_Data!S47&gt;60,"Very Long")</f>
        <v>Long</v>
      </c>
      <c r="G51" s="3" t="str">
        <f>IF(ABS(Finance_Data!I47*Finance_Data!J47)-Finance_Data!K47&lt;1,"Valid","Invalid")</f>
        <v>Valid</v>
      </c>
      <c r="H51" s="3" t="str">
        <f>IF(Finance_Data!L47&gt;0,"Valid","Invalid")</f>
        <v>Valid</v>
      </c>
      <c r="I51" s="3" t="str">
        <f>IF(Finance_Data!L47&gt;=Finance_Data!M47,"Valid","Invalid")</f>
        <v>Valid</v>
      </c>
      <c r="J51" s="3" t="str">
        <f>IF(AND(Finance_Data!I47&gt;=0,Finance_Data!K47&gt;=0),"Valid","Invalid")</f>
        <v>Valid</v>
      </c>
      <c r="K51" s="3" t="str">
        <f>IF(Finance_Data!N47&gt;=0,"Valid","Invalid")</f>
        <v>Valid</v>
      </c>
      <c r="L51" s="3" t="str">
        <f>IF(TEXT(Finance_Data!G47,"mmmm")=Finance_Data!P47,"Valid","Invalid")</f>
        <v>Valid</v>
      </c>
      <c r="M51" s="3" t="str">
        <f>IF("Q"&amp;ROUNDUP(MONTH(Finance_Data!G47)/3,0)=Finance_Data!Q47,"Valid","Invalid")</f>
        <v>Valid</v>
      </c>
      <c r="N51" s="7" t="str">
        <f t="shared" si="0"/>
        <v>Pass</v>
      </c>
    </row>
    <row r="52" spans="1:14" x14ac:dyDescent="0.35">
      <c r="A52" s="17" t="s">
        <v>104</v>
      </c>
      <c r="B52" s="3" t="str">
        <f>IF(ISBLANK(Table3[[#This Row],[Campaign_ID]]),"Invalid","Valid")</f>
        <v>Valid</v>
      </c>
      <c r="C52" s="3" t="str">
        <f>IF(COUNTA(Finance_Data!A48:R48)=18,"Valid","Missing")</f>
        <v>Valid</v>
      </c>
      <c r="D52" s="3" t="str">
        <f>IF(COUNTIF(Finance_Data!$T$2:$T$1001,Finance_Data!T48)&gt;1,"Duplicate","Valid")</f>
        <v>Valid</v>
      </c>
      <c r="E52" s="3" t="str">
        <f>IF(Finance_Data!H48&gt;Finance_Data!G48,"Valid","Invalid")</f>
        <v>Valid</v>
      </c>
      <c r="F52" s="3" t="str" cm="1">
        <f t="array" ref="F52">_xlfn.IFS(Finance_Data!S48&lt;7,"Short",Finance_Data!S48&lt;=30,"Normal",Finance_Data!S48&lt;=60,"Long",Finance_Data!S48&gt;60,"Very Long")</f>
        <v>Normal</v>
      </c>
      <c r="G52" s="3" t="str">
        <f>IF(ABS(Finance_Data!I48*Finance_Data!J48)-Finance_Data!K48&lt;1,"Valid","Invalid")</f>
        <v>Valid</v>
      </c>
      <c r="H52" s="3" t="str">
        <f>IF(Finance_Data!L48&gt;0,"Valid","Invalid")</f>
        <v>Valid</v>
      </c>
      <c r="I52" s="3" t="str">
        <f>IF(Finance_Data!L48&gt;=Finance_Data!M48,"Valid","Invalid")</f>
        <v>Valid</v>
      </c>
      <c r="J52" s="3" t="str">
        <f>IF(AND(Finance_Data!I48&gt;=0,Finance_Data!K48&gt;=0),"Valid","Invalid")</f>
        <v>Valid</v>
      </c>
      <c r="K52" s="3" t="str">
        <f>IF(Finance_Data!N48&gt;=0,"Valid","Invalid")</f>
        <v>Valid</v>
      </c>
      <c r="L52" s="3" t="str">
        <f>IF(TEXT(Finance_Data!G48,"mmmm")=Finance_Data!P48,"Valid","Invalid")</f>
        <v>Valid</v>
      </c>
      <c r="M52" s="3" t="str">
        <f>IF("Q"&amp;ROUNDUP(MONTH(Finance_Data!G48)/3,0)=Finance_Data!Q48,"Valid","Invalid")</f>
        <v>Valid</v>
      </c>
      <c r="N52" s="7" t="str">
        <f t="shared" si="0"/>
        <v>Pass</v>
      </c>
    </row>
    <row r="53" spans="1:14" x14ac:dyDescent="0.35">
      <c r="A53" s="17" t="s">
        <v>62</v>
      </c>
      <c r="B53" s="3" t="str">
        <f>IF(ISBLANK(Table3[[#This Row],[Campaign_ID]]),"Invalid","Valid")</f>
        <v>Valid</v>
      </c>
      <c r="C53" s="3" t="str">
        <f>IF(COUNTA(Finance_Data!A49:R49)=18,"Valid","Missing")</f>
        <v>Valid</v>
      </c>
      <c r="D53" s="3" t="str">
        <f>IF(COUNTIF(Finance_Data!$T$2:$T$1001,Finance_Data!T49)&gt;1,"Duplicate","Valid")</f>
        <v>Valid</v>
      </c>
      <c r="E53" s="3" t="str">
        <f>IF(Finance_Data!H49&gt;Finance_Data!G49,"Valid","Invalid")</f>
        <v>Valid</v>
      </c>
      <c r="F53" s="3" t="str" cm="1">
        <f t="array" ref="F53">_xlfn.IFS(Finance_Data!S49&lt;7,"Short",Finance_Data!S49&lt;=30,"Normal",Finance_Data!S49&lt;=60,"Long",Finance_Data!S49&gt;60,"Very Long")</f>
        <v>Long</v>
      </c>
      <c r="G53" s="3" t="str">
        <f>IF(ABS(Finance_Data!I49*Finance_Data!J49)-Finance_Data!K49&lt;1,"Valid","Invalid")</f>
        <v>Valid</v>
      </c>
      <c r="H53" s="3" t="str">
        <f>IF(Finance_Data!L49&gt;0,"Valid","Invalid")</f>
        <v>Valid</v>
      </c>
      <c r="I53" s="3" t="str">
        <f>IF(Finance_Data!L49&gt;=Finance_Data!M49,"Valid","Invalid")</f>
        <v>Valid</v>
      </c>
      <c r="J53" s="3" t="str">
        <f>IF(AND(Finance_Data!I49&gt;=0,Finance_Data!K49&gt;=0),"Valid","Invalid")</f>
        <v>Valid</v>
      </c>
      <c r="K53" s="3" t="str">
        <f>IF(Finance_Data!N49&gt;=0,"Valid","Invalid")</f>
        <v>Valid</v>
      </c>
      <c r="L53" s="3" t="str">
        <f>IF(TEXT(Finance_Data!G49,"mmmm")=Finance_Data!P49,"Valid","Invalid")</f>
        <v>Valid</v>
      </c>
      <c r="M53" s="3" t="str">
        <f>IF("Q"&amp;ROUNDUP(MONTH(Finance_Data!G49)/3,0)=Finance_Data!Q49,"Valid","Invalid")</f>
        <v>Valid</v>
      </c>
      <c r="N53" s="7" t="str">
        <f t="shared" si="0"/>
        <v>Pass</v>
      </c>
    </row>
    <row r="54" spans="1:14" x14ac:dyDescent="0.35">
      <c r="A54" s="17" t="s">
        <v>105</v>
      </c>
      <c r="B54" s="3" t="str">
        <f>IF(ISBLANK(Table3[[#This Row],[Campaign_ID]]),"Invalid","Valid")</f>
        <v>Valid</v>
      </c>
      <c r="C54" s="3" t="str">
        <f>IF(COUNTA(Finance_Data!A50:R50)=18,"Valid","Missing")</f>
        <v>Valid</v>
      </c>
      <c r="D54" s="3" t="str">
        <f>IF(COUNTIF(Finance_Data!$T$2:$T$1001,Finance_Data!T50)&gt;1,"Duplicate","Valid")</f>
        <v>Valid</v>
      </c>
      <c r="E54" s="3" t="str">
        <f>IF(Finance_Data!H50&gt;Finance_Data!G50,"Valid","Invalid")</f>
        <v>Valid</v>
      </c>
      <c r="F54" s="3" t="str" cm="1">
        <f t="array" ref="F54">_xlfn.IFS(Finance_Data!S50&lt;7,"Short",Finance_Data!S50&lt;=30,"Normal",Finance_Data!S50&lt;=60,"Long",Finance_Data!S50&gt;60,"Very Long")</f>
        <v>Normal</v>
      </c>
      <c r="G54" s="3" t="str">
        <f>IF(ABS(Finance_Data!I50*Finance_Data!J50)-Finance_Data!K50&lt;1,"Valid","Invalid")</f>
        <v>Valid</v>
      </c>
      <c r="H54" s="3" t="str">
        <f>IF(Finance_Data!L50&gt;0,"Valid","Invalid")</f>
        <v>Valid</v>
      </c>
      <c r="I54" s="3" t="str">
        <f>IF(Finance_Data!L50&gt;=Finance_Data!M50,"Valid","Invalid")</f>
        <v>Valid</v>
      </c>
      <c r="J54" s="3" t="str">
        <f>IF(AND(Finance_Data!I50&gt;=0,Finance_Data!K50&gt;=0),"Valid","Invalid")</f>
        <v>Valid</v>
      </c>
      <c r="K54" s="3" t="str">
        <f>IF(Finance_Data!N50&gt;=0,"Valid","Invalid")</f>
        <v>Valid</v>
      </c>
      <c r="L54" s="3" t="str">
        <f>IF(TEXT(Finance_Data!G50,"mmmm")=Finance_Data!P50,"Valid","Invalid")</f>
        <v>Valid</v>
      </c>
      <c r="M54" s="3" t="str">
        <f>IF("Q"&amp;ROUNDUP(MONTH(Finance_Data!G50)/3,0)=Finance_Data!Q50,"Valid","Invalid")</f>
        <v>Valid</v>
      </c>
      <c r="N54" s="7" t="str">
        <f t="shared" si="0"/>
        <v>Pass</v>
      </c>
    </row>
    <row r="55" spans="1:14" x14ac:dyDescent="0.35">
      <c r="A55" s="17" t="s">
        <v>119</v>
      </c>
      <c r="B55" s="3" t="str">
        <f>IF(ISBLANK(Table3[[#This Row],[Campaign_ID]]),"Invalid","Valid")</f>
        <v>Valid</v>
      </c>
      <c r="C55" s="3" t="str">
        <f>IF(COUNTA(Finance_Data!A51:R51)=18,"Valid","Missing")</f>
        <v>Valid</v>
      </c>
      <c r="D55" s="3" t="str">
        <f>IF(COUNTIF(Finance_Data!$T$2:$T$1001,Finance_Data!T51)&gt;1,"Duplicate","Valid")</f>
        <v>Valid</v>
      </c>
      <c r="E55" s="3" t="str">
        <f>IF(Finance_Data!H51&gt;Finance_Data!G51,"Valid","Invalid")</f>
        <v>Valid</v>
      </c>
      <c r="F55" s="3" t="str" cm="1">
        <f t="array" ref="F55">_xlfn.IFS(Finance_Data!S51&lt;7,"Short",Finance_Data!S51&lt;=30,"Normal",Finance_Data!S51&lt;=60,"Long",Finance_Data!S51&gt;60,"Very Long")</f>
        <v>Long</v>
      </c>
      <c r="G55" s="3" t="str">
        <f>IF(ABS(Finance_Data!I51*Finance_Data!J51)-Finance_Data!K51&lt;1,"Valid","Invalid")</f>
        <v>Valid</v>
      </c>
      <c r="H55" s="3" t="str">
        <f>IF(Finance_Data!L51&gt;0,"Valid","Invalid")</f>
        <v>Valid</v>
      </c>
      <c r="I55" s="3" t="str">
        <f>IF(Finance_Data!L51&gt;=Finance_Data!M51,"Valid","Invalid")</f>
        <v>Valid</v>
      </c>
      <c r="J55" s="3" t="str">
        <f>IF(AND(Finance_Data!I51&gt;=0,Finance_Data!K51&gt;=0),"Valid","Invalid")</f>
        <v>Valid</v>
      </c>
      <c r="K55" s="3" t="str">
        <f>IF(Finance_Data!N51&gt;=0,"Valid","Invalid")</f>
        <v>Valid</v>
      </c>
      <c r="L55" s="3" t="str">
        <f>IF(TEXT(Finance_Data!G51,"mmmm")=Finance_Data!P51,"Valid","Invalid")</f>
        <v>Valid</v>
      </c>
      <c r="M55" s="3" t="str">
        <f>IF("Q"&amp;ROUNDUP(MONTH(Finance_Data!G51)/3,0)=Finance_Data!Q51,"Valid","Invalid")</f>
        <v>Valid</v>
      </c>
      <c r="N55" s="7" t="str">
        <f t="shared" si="0"/>
        <v>Pass</v>
      </c>
    </row>
    <row r="56" spans="1:14" x14ac:dyDescent="0.35">
      <c r="A56" s="17" t="s">
        <v>77</v>
      </c>
      <c r="B56" s="3" t="str">
        <f>IF(ISBLANK(Table3[[#This Row],[Campaign_ID]]),"Invalid","Valid")</f>
        <v>Valid</v>
      </c>
      <c r="C56" s="3" t="str">
        <f>IF(COUNTA(Finance_Data!A52:R52)=18,"Valid","Missing")</f>
        <v>Valid</v>
      </c>
      <c r="D56" s="3" t="str">
        <f>IF(COUNTIF(Finance_Data!$T$2:$T$1001,Finance_Data!T52)&gt;1,"Duplicate","Valid")</f>
        <v>Valid</v>
      </c>
      <c r="E56" s="3" t="str">
        <f>IF(Finance_Data!H52&gt;Finance_Data!G52,"Valid","Invalid")</f>
        <v>Valid</v>
      </c>
      <c r="F56" s="3" t="str" cm="1">
        <f t="array" ref="F56">_xlfn.IFS(Finance_Data!S52&lt;7,"Short",Finance_Data!S52&lt;=30,"Normal",Finance_Data!S52&lt;=60,"Long",Finance_Data!S52&gt;60,"Very Long")</f>
        <v>Long</v>
      </c>
      <c r="G56" s="3" t="str">
        <f>IF(ABS(Finance_Data!I52*Finance_Data!J52)-Finance_Data!K52&lt;1,"Valid","Invalid")</f>
        <v>Valid</v>
      </c>
      <c r="H56" s="3" t="str">
        <f>IF(Finance_Data!L52&gt;0,"Valid","Invalid")</f>
        <v>Valid</v>
      </c>
      <c r="I56" s="3" t="str">
        <f>IF(Finance_Data!L52&gt;=Finance_Data!M52,"Valid","Invalid")</f>
        <v>Valid</v>
      </c>
      <c r="J56" s="3" t="str">
        <f>IF(AND(Finance_Data!I52&gt;=0,Finance_Data!K52&gt;=0),"Valid","Invalid")</f>
        <v>Valid</v>
      </c>
      <c r="K56" s="3" t="str">
        <f>IF(Finance_Data!N52&gt;=0,"Valid","Invalid")</f>
        <v>Valid</v>
      </c>
      <c r="L56" s="3" t="str">
        <f>IF(TEXT(Finance_Data!G52,"mmmm")=Finance_Data!P52,"Valid","Invalid")</f>
        <v>Valid</v>
      </c>
      <c r="M56" s="3" t="str">
        <f>IF("Q"&amp;ROUNDUP(MONTH(Finance_Data!G52)/3,0)=Finance_Data!Q52,"Valid","Invalid")</f>
        <v>Valid</v>
      </c>
      <c r="N56" s="7" t="str">
        <f t="shared" si="0"/>
        <v>Pass</v>
      </c>
    </row>
    <row r="57" spans="1:14" x14ac:dyDescent="0.35">
      <c r="A57" s="17" t="s">
        <v>72</v>
      </c>
      <c r="B57" s="3" t="str">
        <f>IF(ISBLANK(Table3[[#This Row],[Campaign_ID]]),"Invalid","Valid")</f>
        <v>Valid</v>
      </c>
      <c r="C57" s="3" t="str">
        <f>IF(COUNTA(Finance_Data!A53:R53)=18,"Valid","Missing")</f>
        <v>Valid</v>
      </c>
      <c r="D57" s="3" t="str">
        <f>IF(COUNTIF(Finance_Data!$T$2:$T$1001,Finance_Data!T53)&gt;1,"Duplicate","Valid")</f>
        <v>Valid</v>
      </c>
      <c r="E57" s="3" t="str">
        <f>IF(Finance_Data!H53&gt;Finance_Data!G53,"Valid","Invalid")</f>
        <v>Valid</v>
      </c>
      <c r="F57" s="3" t="str" cm="1">
        <f t="array" ref="F57">_xlfn.IFS(Finance_Data!S53&lt;7,"Short",Finance_Data!S53&lt;=30,"Normal",Finance_Data!S53&lt;=60,"Long",Finance_Data!S53&gt;60,"Very Long")</f>
        <v>Normal</v>
      </c>
      <c r="G57" s="3" t="str">
        <f>IF(ABS(Finance_Data!I53*Finance_Data!J53)-Finance_Data!K53&lt;1,"Valid","Invalid")</f>
        <v>Valid</v>
      </c>
      <c r="H57" s="3" t="str">
        <f>IF(Finance_Data!L53&gt;0,"Valid","Invalid")</f>
        <v>Valid</v>
      </c>
      <c r="I57" s="3" t="str">
        <f>IF(Finance_Data!L53&gt;=Finance_Data!M53,"Valid","Invalid")</f>
        <v>Valid</v>
      </c>
      <c r="J57" s="3" t="str">
        <f>IF(AND(Finance_Data!I53&gt;=0,Finance_Data!K53&gt;=0),"Valid","Invalid")</f>
        <v>Valid</v>
      </c>
      <c r="K57" s="3" t="str">
        <f>IF(Finance_Data!N53&gt;=0,"Valid","Invalid")</f>
        <v>Valid</v>
      </c>
      <c r="L57" s="3" t="str">
        <f>IF(TEXT(Finance_Data!G53,"mmmm")=Finance_Data!P53,"Valid","Invalid")</f>
        <v>Valid</v>
      </c>
      <c r="M57" s="3" t="str">
        <f>IF("Q"&amp;ROUNDUP(MONTH(Finance_Data!G53)/3,0)=Finance_Data!Q53,"Valid","Invalid")</f>
        <v>Valid</v>
      </c>
      <c r="N57" s="7" t="str">
        <f t="shared" si="0"/>
        <v>Pass</v>
      </c>
    </row>
    <row r="58" spans="1:14" x14ac:dyDescent="0.35">
      <c r="A58" s="17" t="s">
        <v>95</v>
      </c>
      <c r="B58" s="3" t="str">
        <f>IF(ISBLANK(Table3[[#This Row],[Campaign_ID]]),"Invalid","Valid")</f>
        <v>Valid</v>
      </c>
      <c r="C58" s="3" t="str">
        <f>IF(COUNTA(Finance_Data!A54:R54)=18,"Valid","Missing")</f>
        <v>Valid</v>
      </c>
      <c r="D58" s="3" t="str">
        <f>IF(COUNTIF(Finance_Data!$T$2:$T$1001,Finance_Data!T54)&gt;1,"Duplicate","Valid")</f>
        <v>Valid</v>
      </c>
      <c r="E58" s="3" t="str">
        <f>IF(Finance_Data!H54&gt;Finance_Data!G54,"Valid","Invalid")</f>
        <v>Valid</v>
      </c>
      <c r="F58" s="3" t="str" cm="1">
        <f t="array" ref="F58">_xlfn.IFS(Finance_Data!S54&lt;7,"Short",Finance_Data!S54&lt;=30,"Normal",Finance_Data!S54&lt;=60,"Long",Finance_Data!S54&gt;60,"Very Long")</f>
        <v>Normal</v>
      </c>
      <c r="G58" s="3" t="str">
        <f>IF(ABS(Finance_Data!I54*Finance_Data!J54)-Finance_Data!K54&lt;1,"Valid","Invalid")</f>
        <v>Valid</v>
      </c>
      <c r="H58" s="3" t="str">
        <f>IF(Finance_Data!L54&gt;0,"Valid","Invalid")</f>
        <v>Valid</v>
      </c>
      <c r="I58" s="3" t="str">
        <f>IF(Finance_Data!L54&gt;=Finance_Data!M54,"Valid","Invalid")</f>
        <v>Valid</v>
      </c>
      <c r="J58" s="3" t="str">
        <f>IF(AND(Finance_Data!I54&gt;=0,Finance_Data!K54&gt;=0),"Valid","Invalid")</f>
        <v>Valid</v>
      </c>
      <c r="K58" s="3" t="str">
        <f>IF(Finance_Data!N54&gt;=0,"Valid","Invalid")</f>
        <v>Valid</v>
      </c>
      <c r="L58" s="3" t="str">
        <f>IF(TEXT(Finance_Data!G54,"mmmm")=Finance_Data!P54,"Valid","Invalid")</f>
        <v>Valid</v>
      </c>
      <c r="M58" s="3" t="str">
        <f>IF("Q"&amp;ROUNDUP(MONTH(Finance_Data!G54)/3,0)=Finance_Data!Q54,"Valid","Invalid")</f>
        <v>Valid</v>
      </c>
      <c r="N58" s="7" t="str">
        <f t="shared" si="0"/>
        <v>Pass</v>
      </c>
    </row>
    <row r="59" spans="1:14" x14ac:dyDescent="0.35">
      <c r="A59" s="17" t="s">
        <v>64</v>
      </c>
      <c r="B59" s="3" t="str">
        <f>IF(ISBLANK(Table3[[#This Row],[Campaign_ID]]),"Invalid","Valid")</f>
        <v>Valid</v>
      </c>
      <c r="C59" s="3" t="str">
        <f>IF(COUNTA(Finance_Data!A55:R55)=18,"Valid","Missing")</f>
        <v>Valid</v>
      </c>
      <c r="D59" s="3" t="str">
        <f>IF(COUNTIF(Finance_Data!$T$2:$T$1001,Finance_Data!T55)&gt;1,"Duplicate","Valid")</f>
        <v>Valid</v>
      </c>
      <c r="E59" s="3" t="str">
        <f>IF(Finance_Data!H55&gt;Finance_Data!G55,"Valid","Invalid")</f>
        <v>Valid</v>
      </c>
      <c r="F59" s="3" t="str" cm="1">
        <f t="array" ref="F59">_xlfn.IFS(Finance_Data!S55&lt;7,"Short",Finance_Data!S55&lt;=30,"Normal",Finance_Data!S55&lt;=60,"Long",Finance_Data!S55&gt;60,"Very Long")</f>
        <v>Normal</v>
      </c>
      <c r="G59" s="3" t="str">
        <f>IF(ABS(Finance_Data!I55*Finance_Data!J55)-Finance_Data!K55&lt;1,"Valid","Invalid")</f>
        <v>Valid</v>
      </c>
      <c r="H59" s="3" t="str">
        <f>IF(Finance_Data!L55&gt;0,"Valid","Invalid")</f>
        <v>Valid</v>
      </c>
      <c r="I59" s="3" t="str">
        <f>IF(Finance_Data!L55&gt;=Finance_Data!M55,"Valid","Invalid")</f>
        <v>Valid</v>
      </c>
      <c r="J59" s="3" t="str">
        <f>IF(AND(Finance_Data!I55&gt;=0,Finance_Data!K55&gt;=0),"Valid","Invalid")</f>
        <v>Valid</v>
      </c>
      <c r="K59" s="3" t="str">
        <f>IF(Finance_Data!N55&gt;=0,"Valid","Invalid")</f>
        <v>Valid</v>
      </c>
      <c r="L59" s="3" t="str">
        <f>IF(TEXT(Finance_Data!G55,"mmmm")=Finance_Data!P55,"Valid","Invalid")</f>
        <v>Valid</v>
      </c>
      <c r="M59" s="3" t="str">
        <f>IF("Q"&amp;ROUNDUP(MONTH(Finance_Data!G55)/3,0)=Finance_Data!Q55,"Valid","Invalid")</f>
        <v>Valid</v>
      </c>
      <c r="N59" s="7" t="str">
        <f t="shared" si="0"/>
        <v>Pass</v>
      </c>
    </row>
    <row r="60" spans="1:14" x14ac:dyDescent="0.35">
      <c r="A60" s="17" t="s">
        <v>109</v>
      </c>
      <c r="B60" s="3" t="str">
        <f>IF(ISBLANK(Table3[[#This Row],[Campaign_ID]]),"Invalid","Valid")</f>
        <v>Valid</v>
      </c>
      <c r="C60" s="3" t="str">
        <f>IF(COUNTA(Finance_Data!A56:R56)=18,"Valid","Missing")</f>
        <v>Valid</v>
      </c>
      <c r="D60" s="3" t="str">
        <f>IF(COUNTIF(Finance_Data!$T$2:$T$1001,Finance_Data!T56)&gt;1,"Duplicate","Valid")</f>
        <v>Valid</v>
      </c>
      <c r="E60" s="3" t="str">
        <f>IF(Finance_Data!H56&gt;Finance_Data!G56,"Valid","Invalid")</f>
        <v>Valid</v>
      </c>
      <c r="F60" s="3" t="str" cm="1">
        <f t="array" ref="F60">_xlfn.IFS(Finance_Data!S56&lt;7,"Short",Finance_Data!S56&lt;=30,"Normal",Finance_Data!S56&lt;=60,"Long",Finance_Data!S56&gt;60,"Very Long")</f>
        <v>Normal</v>
      </c>
      <c r="G60" s="3" t="str">
        <f>IF(ABS(Finance_Data!I56*Finance_Data!J56)-Finance_Data!K56&lt;1,"Valid","Invalid")</f>
        <v>Valid</v>
      </c>
      <c r="H60" s="3" t="str">
        <f>IF(Finance_Data!L56&gt;0,"Valid","Invalid")</f>
        <v>Valid</v>
      </c>
      <c r="I60" s="3" t="str">
        <f>IF(Finance_Data!L56&gt;=Finance_Data!M56,"Valid","Invalid")</f>
        <v>Valid</v>
      </c>
      <c r="J60" s="3" t="str">
        <f>IF(AND(Finance_Data!I56&gt;=0,Finance_Data!K56&gt;=0),"Valid","Invalid")</f>
        <v>Valid</v>
      </c>
      <c r="K60" s="3" t="str">
        <f>IF(Finance_Data!N56&gt;=0,"Valid","Invalid")</f>
        <v>Valid</v>
      </c>
      <c r="L60" s="3" t="str">
        <f>IF(TEXT(Finance_Data!G56,"mmmm")=Finance_Data!P56,"Valid","Invalid")</f>
        <v>Valid</v>
      </c>
      <c r="M60" s="3" t="str">
        <f>IF("Q"&amp;ROUNDUP(MONTH(Finance_Data!G56)/3,0)=Finance_Data!Q56,"Valid","Invalid")</f>
        <v>Valid</v>
      </c>
      <c r="N60" s="7" t="str">
        <f t="shared" si="0"/>
        <v>Pass</v>
      </c>
    </row>
    <row r="61" spans="1:14" x14ac:dyDescent="0.35">
      <c r="A61" s="17" t="s">
        <v>86</v>
      </c>
      <c r="B61" s="3" t="str">
        <f>IF(ISBLANK(Table3[[#This Row],[Campaign_ID]]),"Invalid","Valid")</f>
        <v>Valid</v>
      </c>
      <c r="C61" s="3" t="str">
        <f>IF(COUNTA(Finance_Data!A57:R57)=18,"Valid","Missing")</f>
        <v>Valid</v>
      </c>
      <c r="D61" s="3" t="str">
        <f>IF(COUNTIF(Finance_Data!$T$2:$T$1001,Finance_Data!T57)&gt;1,"Duplicate","Valid")</f>
        <v>Valid</v>
      </c>
      <c r="E61" s="3" t="str">
        <f>IF(Finance_Data!H57&gt;Finance_Data!G57,"Valid","Invalid")</f>
        <v>Valid</v>
      </c>
      <c r="F61" s="3" t="str" cm="1">
        <f t="array" ref="F61">_xlfn.IFS(Finance_Data!S57&lt;7,"Short",Finance_Data!S57&lt;=30,"Normal",Finance_Data!S57&lt;=60,"Long",Finance_Data!S57&gt;60,"Very Long")</f>
        <v>Long</v>
      </c>
      <c r="G61" s="3" t="str">
        <f>IF(ABS(Finance_Data!I57*Finance_Data!J57)-Finance_Data!K57&lt;1,"Valid","Invalid")</f>
        <v>Valid</v>
      </c>
      <c r="H61" s="3" t="str">
        <f>IF(Finance_Data!L57&gt;0,"Valid","Invalid")</f>
        <v>Valid</v>
      </c>
      <c r="I61" s="3" t="str">
        <f>IF(Finance_Data!L57&gt;=Finance_Data!M57,"Valid","Invalid")</f>
        <v>Valid</v>
      </c>
      <c r="J61" s="3" t="str">
        <f>IF(AND(Finance_Data!I57&gt;=0,Finance_Data!K57&gt;=0),"Valid","Invalid")</f>
        <v>Valid</v>
      </c>
      <c r="K61" s="3" t="str">
        <f>IF(Finance_Data!N57&gt;=0,"Valid","Invalid")</f>
        <v>Valid</v>
      </c>
      <c r="L61" s="3" t="str">
        <f>IF(TEXT(Finance_Data!G57,"mmmm")=Finance_Data!P57,"Valid","Invalid")</f>
        <v>Valid</v>
      </c>
      <c r="M61" s="3" t="str">
        <f>IF("Q"&amp;ROUNDUP(MONTH(Finance_Data!G57)/3,0)=Finance_Data!Q57,"Valid","Invalid")</f>
        <v>Valid</v>
      </c>
      <c r="N61" s="7" t="str">
        <f t="shared" si="0"/>
        <v>Pass</v>
      </c>
    </row>
    <row r="62" spans="1:14" x14ac:dyDescent="0.35">
      <c r="A62" s="17" t="s">
        <v>99</v>
      </c>
      <c r="B62" s="3" t="str">
        <f>IF(ISBLANK(Table3[[#This Row],[Campaign_ID]]),"Invalid","Valid")</f>
        <v>Valid</v>
      </c>
      <c r="C62" s="3" t="str">
        <f>IF(COUNTA(Finance_Data!A58:R58)=18,"Valid","Missing")</f>
        <v>Valid</v>
      </c>
      <c r="D62" s="3" t="str">
        <f>IF(COUNTIF(Finance_Data!$T$2:$T$1001,Finance_Data!T58)&gt;1,"Duplicate","Valid")</f>
        <v>Valid</v>
      </c>
      <c r="E62" s="3" t="str">
        <f>IF(Finance_Data!H58&gt;Finance_Data!G58,"Valid","Invalid")</f>
        <v>Valid</v>
      </c>
      <c r="F62" s="3" t="str" cm="1">
        <f t="array" ref="F62">_xlfn.IFS(Finance_Data!S58&lt;7,"Short",Finance_Data!S58&lt;=30,"Normal",Finance_Data!S58&lt;=60,"Long",Finance_Data!S58&gt;60,"Very Long")</f>
        <v>Normal</v>
      </c>
      <c r="G62" s="3" t="str">
        <f>IF(ABS(Finance_Data!I58*Finance_Data!J58)-Finance_Data!K58&lt;1,"Valid","Invalid")</f>
        <v>Valid</v>
      </c>
      <c r="H62" s="3" t="str">
        <f>IF(Finance_Data!L58&gt;0,"Valid","Invalid")</f>
        <v>Valid</v>
      </c>
      <c r="I62" s="3" t="str">
        <f>IF(Finance_Data!L58&gt;=Finance_Data!M58,"Valid","Invalid")</f>
        <v>Valid</v>
      </c>
      <c r="J62" s="3" t="str">
        <f>IF(AND(Finance_Data!I58&gt;=0,Finance_Data!K58&gt;=0),"Valid","Invalid")</f>
        <v>Valid</v>
      </c>
      <c r="K62" s="3" t="str">
        <f>IF(Finance_Data!N58&gt;=0,"Valid","Invalid")</f>
        <v>Valid</v>
      </c>
      <c r="L62" s="3" t="str">
        <f>IF(TEXT(Finance_Data!G58,"mmmm")=Finance_Data!P58,"Valid","Invalid")</f>
        <v>Valid</v>
      </c>
      <c r="M62" s="3" t="str">
        <f>IF("Q"&amp;ROUNDUP(MONTH(Finance_Data!G58)/3,0)=Finance_Data!Q58,"Valid","Invalid")</f>
        <v>Valid</v>
      </c>
      <c r="N62" s="7" t="str">
        <f t="shared" si="0"/>
        <v>Pass</v>
      </c>
    </row>
    <row r="63" spans="1:14" x14ac:dyDescent="0.35">
      <c r="A63" s="17" t="s">
        <v>81</v>
      </c>
      <c r="B63" s="3" t="str">
        <f>IF(ISBLANK(Table3[[#This Row],[Campaign_ID]]),"Invalid","Valid")</f>
        <v>Valid</v>
      </c>
      <c r="C63" s="3" t="str">
        <f>IF(COUNTA(Finance_Data!A59:R59)=18,"Valid","Missing")</f>
        <v>Valid</v>
      </c>
      <c r="D63" s="3" t="str">
        <f>IF(COUNTIF(Finance_Data!$T$2:$T$1001,Finance_Data!T59)&gt;1,"Duplicate","Valid")</f>
        <v>Valid</v>
      </c>
      <c r="E63" s="3" t="str">
        <f>IF(Finance_Data!H59&gt;Finance_Data!G59,"Valid","Invalid")</f>
        <v>Valid</v>
      </c>
      <c r="F63" s="3" t="str" cm="1">
        <f t="array" ref="F63">_xlfn.IFS(Finance_Data!S59&lt;7,"Short",Finance_Data!S59&lt;=30,"Normal",Finance_Data!S59&lt;=60,"Long",Finance_Data!S59&gt;60,"Very Long")</f>
        <v>Normal</v>
      </c>
      <c r="G63" s="3" t="str">
        <f>IF(ABS(Finance_Data!I59*Finance_Data!J59)-Finance_Data!K59&lt;1,"Valid","Invalid")</f>
        <v>Valid</v>
      </c>
      <c r="H63" s="3" t="str">
        <f>IF(Finance_Data!L59&gt;0,"Valid","Invalid")</f>
        <v>Valid</v>
      </c>
      <c r="I63" s="3" t="str">
        <f>IF(Finance_Data!L59&gt;=Finance_Data!M59,"Valid","Invalid")</f>
        <v>Valid</v>
      </c>
      <c r="J63" s="3" t="str">
        <f>IF(AND(Finance_Data!I59&gt;=0,Finance_Data!K59&gt;=0),"Valid","Invalid")</f>
        <v>Valid</v>
      </c>
      <c r="K63" s="3" t="str">
        <f>IF(Finance_Data!N59&gt;=0,"Valid","Invalid")</f>
        <v>Valid</v>
      </c>
      <c r="L63" s="3" t="str">
        <f>IF(TEXT(Finance_Data!G59,"mmmm")=Finance_Data!P59,"Valid","Invalid")</f>
        <v>Valid</v>
      </c>
      <c r="M63" s="3" t="str">
        <f>IF("Q"&amp;ROUNDUP(MONTH(Finance_Data!G59)/3,0)=Finance_Data!Q59,"Valid","Invalid")</f>
        <v>Valid</v>
      </c>
      <c r="N63" s="7" t="str">
        <f t="shared" si="0"/>
        <v>Pass</v>
      </c>
    </row>
    <row r="64" spans="1:14" x14ac:dyDescent="0.35">
      <c r="A64" s="17" t="s">
        <v>83</v>
      </c>
      <c r="B64" s="3" t="str">
        <f>IF(ISBLANK(Table3[[#This Row],[Campaign_ID]]),"Invalid","Valid")</f>
        <v>Valid</v>
      </c>
      <c r="C64" s="3" t="str">
        <f>IF(COUNTA(Finance_Data!A60:R60)=18,"Valid","Missing")</f>
        <v>Valid</v>
      </c>
      <c r="D64" s="3" t="str">
        <f>IF(COUNTIF(Finance_Data!$T$2:$T$1001,Finance_Data!T60)&gt;1,"Duplicate","Valid")</f>
        <v>Valid</v>
      </c>
      <c r="E64" s="3" t="str">
        <f>IF(Finance_Data!H60&gt;Finance_Data!G60,"Valid","Invalid")</f>
        <v>Valid</v>
      </c>
      <c r="F64" s="3" t="str" cm="1">
        <f t="array" ref="F64">_xlfn.IFS(Finance_Data!S60&lt;7,"Short",Finance_Data!S60&lt;=30,"Normal",Finance_Data!S60&lt;=60,"Long",Finance_Data!S60&gt;60,"Very Long")</f>
        <v>Long</v>
      </c>
      <c r="G64" s="3" t="str">
        <f>IF(ABS(Finance_Data!I60*Finance_Data!J60)-Finance_Data!K60&lt;1,"Valid","Invalid")</f>
        <v>Valid</v>
      </c>
      <c r="H64" s="3" t="str">
        <f>IF(Finance_Data!L60&gt;0,"Valid","Invalid")</f>
        <v>Valid</v>
      </c>
      <c r="I64" s="3" t="str">
        <f>IF(Finance_Data!L60&gt;=Finance_Data!M60,"Valid","Invalid")</f>
        <v>Valid</v>
      </c>
      <c r="J64" s="3" t="str">
        <f>IF(AND(Finance_Data!I60&gt;=0,Finance_Data!K60&gt;=0),"Valid","Invalid")</f>
        <v>Valid</v>
      </c>
      <c r="K64" s="3" t="str">
        <f>IF(Finance_Data!N60&gt;=0,"Valid","Invalid")</f>
        <v>Valid</v>
      </c>
      <c r="L64" s="3" t="str">
        <f>IF(TEXT(Finance_Data!G60,"mmmm")=Finance_Data!P60,"Valid","Invalid")</f>
        <v>Valid</v>
      </c>
      <c r="M64" s="3" t="str">
        <f>IF("Q"&amp;ROUNDUP(MONTH(Finance_Data!G60)/3,0)=Finance_Data!Q60,"Valid","Invalid")</f>
        <v>Valid</v>
      </c>
      <c r="N64" s="7" t="str">
        <f t="shared" si="0"/>
        <v>Pass</v>
      </c>
    </row>
    <row r="65" spans="1:14" x14ac:dyDescent="0.35">
      <c r="A65" s="17" t="s">
        <v>70</v>
      </c>
      <c r="B65" s="3" t="str">
        <f>IF(ISBLANK(Table3[[#This Row],[Campaign_ID]]),"Invalid","Valid")</f>
        <v>Valid</v>
      </c>
      <c r="C65" s="3" t="str">
        <f>IF(COUNTA(Finance_Data!A61:R61)=18,"Valid","Missing")</f>
        <v>Valid</v>
      </c>
      <c r="D65" s="3" t="str">
        <f>IF(COUNTIF(Finance_Data!$T$2:$T$1001,Finance_Data!T61)&gt;1,"Duplicate","Valid")</f>
        <v>Valid</v>
      </c>
      <c r="E65" s="3" t="str">
        <f>IF(Finance_Data!H61&gt;Finance_Data!G61,"Valid","Invalid")</f>
        <v>Valid</v>
      </c>
      <c r="F65" s="3" t="str" cm="1">
        <f t="array" ref="F65">_xlfn.IFS(Finance_Data!S61&lt;7,"Short",Finance_Data!S61&lt;=30,"Normal",Finance_Data!S61&lt;=60,"Long",Finance_Data!S61&gt;60,"Very Long")</f>
        <v>Normal</v>
      </c>
      <c r="G65" s="3" t="str">
        <f>IF(ABS(Finance_Data!I61*Finance_Data!J61)-Finance_Data!K61&lt;1,"Valid","Invalid")</f>
        <v>Valid</v>
      </c>
      <c r="H65" s="3" t="str">
        <f>IF(Finance_Data!L61&gt;0,"Valid","Invalid")</f>
        <v>Valid</v>
      </c>
      <c r="I65" s="3" t="str">
        <f>IF(Finance_Data!L61&gt;=Finance_Data!M61,"Valid","Invalid")</f>
        <v>Valid</v>
      </c>
      <c r="J65" s="3" t="str">
        <f>IF(AND(Finance_Data!I61&gt;=0,Finance_Data!K61&gt;=0),"Valid","Invalid")</f>
        <v>Valid</v>
      </c>
      <c r="K65" s="3" t="str">
        <f>IF(Finance_Data!N61&gt;=0,"Valid","Invalid")</f>
        <v>Valid</v>
      </c>
      <c r="L65" s="3" t="str">
        <f>IF(TEXT(Finance_Data!G61,"mmmm")=Finance_Data!P61,"Valid","Invalid")</f>
        <v>Valid</v>
      </c>
      <c r="M65" s="3" t="str">
        <f>IF("Q"&amp;ROUNDUP(MONTH(Finance_Data!G61)/3,0)=Finance_Data!Q61,"Valid","Invalid")</f>
        <v>Valid</v>
      </c>
      <c r="N65" s="7" t="str">
        <f t="shared" si="0"/>
        <v>Pass</v>
      </c>
    </row>
    <row r="66" spans="1:14" x14ac:dyDescent="0.35">
      <c r="A66" s="17" t="s">
        <v>113</v>
      </c>
      <c r="B66" s="3" t="str">
        <f>IF(ISBLANK(Table3[[#This Row],[Campaign_ID]]),"Invalid","Valid")</f>
        <v>Valid</v>
      </c>
      <c r="C66" s="3" t="str">
        <f>IF(COUNTA(Finance_Data!A62:R62)=18,"Valid","Missing")</f>
        <v>Valid</v>
      </c>
      <c r="D66" s="3" t="str">
        <f>IF(COUNTIF(Finance_Data!$T$2:$T$1001,Finance_Data!T62)&gt;1,"Duplicate","Valid")</f>
        <v>Valid</v>
      </c>
      <c r="E66" s="3" t="str">
        <f>IF(Finance_Data!H62&gt;Finance_Data!G62,"Valid","Invalid")</f>
        <v>Valid</v>
      </c>
      <c r="F66" s="3" t="str" cm="1">
        <f t="array" ref="F66">_xlfn.IFS(Finance_Data!S62&lt;7,"Short",Finance_Data!S62&lt;=30,"Normal",Finance_Data!S62&lt;=60,"Long",Finance_Data!S62&gt;60,"Very Long")</f>
        <v>Long</v>
      </c>
      <c r="G66" s="3" t="str">
        <f>IF(ABS(Finance_Data!I62*Finance_Data!J62)-Finance_Data!K62&lt;1,"Valid","Invalid")</f>
        <v>Valid</v>
      </c>
      <c r="H66" s="3" t="str">
        <f>IF(Finance_Data!L62&gt;0,"Valid","Invalid")</f>
        <v>Valid</v>
      </c>
      <c r="I66" s="3" t="str">
        <f>IF(Finance_Data!L62&gt;=Finance_Data!M62,"Valid","Invalid")</f>
        <v>Valid</v>
      </c>
      <c r="J66" s="3" t="str">
        <f>IF(AND(Finance_Data!I62&gt;=0,Finance_Data!K62&gt;=0),"Valid","Invalid")</f>
        <v>Valid</v>
      </c>
      <c r="K66" s="3" t="str">
        <f>IF(Finance_Data!N62&gt;=0,"Valid","Invalid")</f>
        <v>Valid</v>
      </c>
      <c r="L66" s="3" t="str">
        <f>IF(TEXT(Finance_Data!G62,"mmmm")=Finance_Data!P62,"Valid","Invalid")</f>
        <v>Valid</v>
      </c>
      <c r="M66" s="3" t="str">
        <f>IF("Q"&amp;ROUNDUP(MONTH(Finance_Data!G62)/3,0)=Finance_Data!Q62,"Valid","Invalid")</f>
        <v>Valid</v>
      </c>
      <c r="N66" s="7" t="str">
        <f t="shared" si="0"/>
        <v>Pass</v>
      </c>
    </row>
    <row r="67" spans="1:14" x14ac:dyDescent="0.35">
      <c r="A67" s="17" t="s">
        <v>86</v>
      </c>
      <c r="B67" s="3" t="str">
        <f>IF(ISBLANK(Table3[[#This Row],[Campaign_ID]]),"Invalid","Valid")</f>
        <v>Valid</v>
      </c>
      <c r="C67" s="3" t="str">
        <f>IF(COUNTA(Finance_Data!A63:R63)=18,"Valid","Missing")</f>
        <v>Valid</v>
      </c>
      <c r="D67" s="3" t="str">
        <f>IF(COUNTIF(Finance_Data!$T$2:$T$1001,Finance_Data!T63)&gt;1,"Duplicate","Valid")</f>
        <v>Valid</v>
      </c>
      <c r="E67" s="3" t="str">
        <f>IF(Finance_Data!H63&gt;Finance_Data!G63,"Valid","Invalid")</f>
        <v>Valid</v>
      </c>
      <c r="F67" s="3" t="str" cm="1">
        <f t="array" ref="F67">_xlfn.IFS(Finance_Data!S63&lt;7,"Short",Finance_Data!S63&lt;=30,"Normal",Finance_Data!S63&lt;=60,"Long",Finance_Data!S63&gt;60,"Very Long")</f>
        <v>Long</v>
      </c>
      <c r="G67" s="3" t="str">
        <f>IF(ABS(Finance_Data!I63*Finance_Data!J63)-Finance_Data!K63&lt;1,"Valid","Invalid")</f>
        <v>Valid</v>
      </c>
      <c r="H67" s="3" t="str">
        <f>IF(Finance_Data!L63&gt;0,"Valid","Invalid")</f>
        <v>Valid</v>
      </c>
      <c r="I67" s="3" t="str">
        <f>IF(Finance_Data!L63&gt;=Finance_Data!M63,"Valid","Invalid")</f>
        <v>Valid</v>
      </c>
      <c r="J67" s="3" t="str">
        <f>IF(AND(Finance_Data!I63&gt;=0,Finance_Data!K63&gt;=0),"Valid","Invalid")</f>
        <v>Valid</v>
      </c>
      <c r="K67" s="3" t="str">
        <f>IF(Finance_Data!N63&gt;=0,"Valid","Invalid")</f>
        <v>Valid</v>
      </c>
      <c r="L67" s="3" t="str">
        <f>IF(TEXT(Finance_Data!G63,"mmmm")=Finance_Data!P63,"Valid","Invalid")</f>
        <v>Valid</v>
      </c>
      <c r="M67" s="3" t="str">
        <f>IF("Q"&amp;ROUNDUP(MONTH(Finance_Data!G63)/3,0)=Finance_Data!Q63,"Valid","Invalid")</f>
        <v>Valid</v>
      </c>
      <c r="N67" s="7" t="str">
        <f t="shared" si="0"/>
        <v>Pass</v>
      </c>
    </row>
    <row r="68" spans="1:14" x14ac:dyDescent="0.35">
      <c r="A68" s="17" t="s">
        <v>78</v>
      </c>
      <c r="B68" s="3" t="str">
        <f>IF(ISBLANK(Table3[[#This Row],[Campaign_ID]]),"Invalid","Valid")</f>
        <v>Valid</v>
      </c>
      <c r="C68" s="3" t="str">
        <f>IF(COUNTA(Finance_Data!A64:R64)=18,"Valid","Missing")</f>
        <v>Valid</v>
      </c>
      <c r="D68" s="3" t="str">
        <f>IF(COUNTIF(Finance_Data!$T$2:$T$1001,Finance_Data!T64)&gt;1,"Duplicate","Valid")</f>
        <v>Valid</v>
      </c>
      <c r="E68" s="3" t="str">
        <f>IF(Finance_Data!H64&gt;Finance_Data!G64,"Valid","Invalid")</f>
        <v>Valid</v>
      </c>
      <c r="F68" s="3" t="str" cm="1">
        <f t="array" ref="F68">_xlfn.IFS(Finance_Data!S64&lt;7,"Short",Finance_Data!S64&lt;=30,"Normal",Finance_Data!S64&lt;=60,"Long",Finance_Data!S64&gt;60,"Very Long")</f>
        <v>Long</v>
      </c>
      <c r="G68" s="3" t="str">
        <f>IF(ABS(Finance_Data!I64*Finance_Data!J64)-Finance_Data!K64&lt;1,"Valid","Invalid")</f>
        <v>Valid</v>
      </c>
      <c r="H68" s="3" t="str">
        <f>IF(Finance_Data!L64&gt;0,"Valid","Invalid")</f>
        <v>Valid</v>
      </c>
      <c r="I68" s="3" t="str">
        <f>IF(Finance_Data!L64&gt;=Finance_Data!M64,"Valid","Invalid")</f>
        <v>Valid</v>
      </c>
      <c r="J68" s="3" t="str">
        <f>IF(AND(Finance_Data!I64&gt;=0,Finance_Data!K64&gt;=0),"Valid","Invalid")</f>
        <v>Valid</v>
      </c>
      <c r="K68" s="3" t="str">
        <f>IF(Finance_Data!N64&gt;=0,"Valid","Invalid")</f>
        <v>Valid</v>
      </c>
      <c r="L68" s="3" t="str">
        <f>IF(TEXT(Finance_Data!G64,"mmmm")=Finance_Data!P64,"Valid","Invalid")</f>
        <v>Valid</v>
      </c>
      <c r="M68" s="3" t="str">
        <f>IF("Q"&amp;ROUNDUP(MONTH(Finance_Data!G64)/3,0)=Finance_Data!Q64,"Valid","Invalid")</f>
        <v>Valid</v>
      </c>
      <c r="N68" s="7" t="str">
        <f t="shared" si="0"/>
        <v>Pass</v>
      </c>
    </row>
    <row r="69" spans="1:14" x14ac:dyDescent="0.35">
      <c r="A69" s="17" t="s">
        <v>86</v>
      </c>
      <c r="B69" s="3" t="str">
        <f>IF(ISBLANK(Table3[[#This Row],[Campaign_ID]]),"Invalid","Valid")</f>
        <v>Valid</v>
      </c>
      <c r="C69" s="3" t="str">
        <f>IF(COUNTA(Finance_Data!A65:R65)=18,"Valid","Missing")</f>
        <v>Valid</v>
      </c>
      <c r="D69" s="3" t="str">
        <f>IF(COUNTIF(Finance_Data!$T$2:$T$1001,Finance_Data!T65)&gt;1,"Duplicate","Valid")</f>
        <v>Valid</v>
      </c>
      <c r="E69" s="3" t="str">
        <f>IF(Finance_Data!H65&gt;Finance_Data!G65,"Valid","Invalid")</f>
        <v>Valid</v>
      </c>
      <c r="F69" s="3" t="str" cm="1">
        <f t="array" ref="F69">_xlfn.IFS(Finance_Data!S65&lt;7,"Short",Finance_Data!S65&lt;=30,"Normal",Finance_Data!S65&lt;=60,"Long",Finance_Data!S65&gt;60,"Very Long")</f>
        <v>Normal</v>
      </c>
      <c r="G69" s="3" t="str">
        <f>IF(ABS(Finance_Data!I65*Finance_Data!J65)-Finance_Data!K65&lt;1,"Valid","Invalid")</f>
        <v>Valid</v>
      </c>
      <c r="H69" s="3" t="str">
        <f>IF(Finance_Data!L65&gt;0,"Valid","Invalid")</f>
        <v>Valid</v>
      </c>
      <c r="I69" s="3" t="str">
        <f>IF(Finance_Data!L65&gt;=Finance_Data!M65,"Valid","Invalid")</f>
        <v>Valid</v>
      </c>
      <c r="J69" s="3" t="str">
        <f>IF(AND(Finance_Data!I65&gt;=0,Finance_Data!K65&gt;=0),"Valid","Invalid")</f>
        <v>Valid</v>
      </c>
      <c r="K69" s="3" t="str">
        <f>IF(Finance_Data!N65&gt;=0,"Valid","Invalid")</f>
        <v>Valid</v>
      </c>
      <c r="L69" s="3" t="str">
        <f>IF(TEXT(Finance_Data!G65,"mmmm")=Finance_Data!P65,"Valid","Invalid")</f>
        <v>Valid</v>
      </c>
      <c r="M69" s="3" t="str">
        <f>IF("Q"&amp;ROUNDUP(MONTH(Finance_Data!G65)/3,0)=Finance_Data!Q65,"Valid","Invalid")</f>
        <v>Valid</v>
      </c>
      <c r="N69" s="7" t="str">
        <f t="shared" si="0"/>
        <v>Pass</v>
      </c>
    </row>
    <row r="70" spans="1:14" x14ac:dyDescent="0.35">
      <c r="A70" s="17" t="s">
        <v>57</v>
      </c>
      <c r="B70" s="3" t="str">
        <f>IF(ISBLANK(Table3[[#This Row],[Campaign_ID]]),"Invalid","Valid")</f>
        <v>Valid</v>
      </c>
      <c r="C70" s="3" t="str">
        <f>IF(COUNTA(Finance_Data!A66:R66)=18,"Valid","Missing")</f>
        <v>Valid</v>
      </c>
      <c r="D70" s="3" t="str">
        <f>IF(COUNTIF(Finance_Data!$T$2:$T$1001,Finance_Data!T66)&gt;1,"Duplicate","Valid")</f>
        <v>Valid</v>
      </c>
      <c r="E70" s="3" t="str">
        <f>IF(Finance_Data!H66&gt;Finance_Data!G66,"Valid","Invalid")</f>
        <v>Valid</v>
      </c>
      <c r="F70" s="3" t="str" cm="1">
        <f t="array" ref="F70">_xlfn.IFS(Finance_Data!S66&lt;7,"Short",Finance_Data!S66&lt;=30,"Normal",Finance_Data!S66&lt;=60,"Long",Finance_Data!S66&gt;60,"Very Long")</f>
        <v>Normal</v>
      </c>
      <c r="G70" s="3" t="str">
        <f>IF(ABS(Finance_Data!I66*Finance_Data!J66)-Finance_Data!K66&lt;1,"Valid","Invalid")</f>
        <v>Valid</v>
      </c>
      <c r="H70" s="3" t="str">
        <f>IF(Finance_Data!L66&gt;0,"Valid","Invalid")</f>
        <v>Valid</v>
      </c>
      <c r="I70" s="3" t="str">
        <f>IF(Finance_Data!L66&gt;=Finance_Data!M66,"Valid","Invalid")</f>
        <v>Valid</v>
      </c>
      <c r="J70" s="3" t="str">
        <f>IF(AND(Finance_Data!I66&gt;=0,Finance_Data!K66&gt;=0),"Valid","Invalid")</f>
        <v>Valid</v>
      </c>
      <c r="K70" s="3" t="str">
        <f>IF(Finance_Data!N66&gt;=0,"Valid","Invalid")</f>
        <v>Valid</v>
      </c>
      <c r="L70" s="3" t="str">
        <f>IF(TEXT(Finance_Data!G66,"mmmm")=Finance_Data!P66,"Valid","Invalid")</f>
        <v>Valid</v>
      </c>
      <c r="M70" s="3" t="str">
        <f>IF("Q"&amp;ROUNDUP(MONTH(Finance_Data!G66)/3,0)=Finance_Data!Q66,"Valid","Invalid")</f>
        <v>Valid</v>
      </c>
      <c r="N70" s="7" t="str">
        <f t="shared" ref="N70:N133" si="1">IF(AND(B70="Valid",E70="Valid",G70="Valid",H70="Valid",I70="Valid",J70="Valid",K70="Valid",L70="Valid",M70="Valid"),"Pass","Fail")</f>
        <v>Pass</v>
      </c>
    </row>
    <row r="71" spans="1:14" x14ac:dyDescent="0.35">
      <c r="A71" s="17" t="s">
        <v>107</v>
      </c>
      <c r="B71" s="3" t="str">
        <f>IF(ISBLANK(Table3[[#This Row],[Campaign_ID]]),"Invalid","Valid")</f>
        <v>Valid</v>
      </c>
      <c r="C71" s="3" t="str">
        <f>IF(COUNTA(Finance_Data!A67:R67)=18,"Valid","Missing")</f>
        <v>Valid</v>
      </c>
      <c r="D71" s="3" t="str">
        <f>IF(COUNTIF(Finance_Data!$T$2:$T$1001,Finance_Data!T67)&gt;1,"Duplicate","Valid")</f>
        <v>Valid</v>
      </c>
      <c r="E71" s="3" t="str">
        <f>IF(Finance_Data!H67&gt;Finance_Data!G67,"Valid","Invalid")</f>
        <v>Valid</v>
      </c>
      <c r="F71" s="3" t="str" cm="1">
        <f t="array" ref="F71">_xlfn.IFS(Finance_Data!S67&lt;7,"Short",Finance_Data!S67&lt;=30,"Normal",Finance_Data!S67&lt;=60,"Long",Finance_Data!S67&gt;60,"Very Long")</f>
        <v>Normal</v>
      </c>
      <c r="G71" s="3" t="str">
        <f>IF(ABS(Finance_Data!I67*Finance_Data!J67)-Finance_Data!K67&lt;1,"Valid","Invalid")</f>
        <v>Valid</v>
      </c>
      <c r="H71" s="3" t="str">
        <f>IF(Finance_Data!L67&gt;0,"Valid","Invalid")</f>
        <v>Valid</v>
      </c>
      <c r="I71" s="3" t="str">
        <f>IF(Finance_Data!L67&gt;=Finance_Data!M67,"Valid","Invalid")</f>
        <v>Valid</v>
      </c>
      <c r="J71" s="3" t="str">
        <f>IF(AND(Finance_Data!I67&gt;=0,Finance_Data!K67&gt;=0),"Valid","Invalid")</f>
        <v>Valid</v>
      </c>
      <c r="K71" s="3" t="str">
        <f>IF(Finance_Data!N67&gt;=0,"Valid","Invalid")</f>
        <v>Valid</v>
      </c>
      <c r="L71" s="3" t="str">
        <f>IF(TEXT(Finance_Data!G67,"mmmm")=Finance_Data!P67,"Valid","Invalid")</f>
        <v>Valid</v>
      </c>
      <c r="M71" s="3" t="str">
        <f>IF("Q"&amp;ROUNDUP(MONTH(Finance_Data!G67)/3,0)=Finance_Data!Q67,"Valid","Invalid")</f>
        <v>Valid</v>
      </c>
      <c r="N71" s="7" t="str">
        <f t="shared" si="1"/>
        <v>Pass</v>
      </c>
    </row>
    <row r="72" spans="1:14" x14ac:dyDescent="0.35">
      <c r="A72" s="17" t="s">
        <v>94</v>
      </c>
      <c r="B72" s="3" t="str">
        <f>IF(ISBLANK(Table3[[#This Row],[Campaign_ID]]),"Invalid","Valid")</f>
        <v>Valid</v>
      </c>
      <c r="C72" s="3" t="str">
        <f>IF(COUNTA(Finance_Data!A68:R68)=18,"Valid","Missing")</f>
        <v>Valid</v>
      </c>
      <c r="D72" s="3" t="str">
        <f>IF(COUNTIF(Finance_Data!$T$2:$T$1001,Finance_Data!T68)&gt;1,"Duplicate","Valid")</f>
        <v>Valid</v>
      </c>
      <c r="E72" s="3" t="str">
        <f>IF(Finance_Data!H68&gt;Finance_Data!G68,"Valid","Invalid")</f>
        <v>Valid</v>
      </c>
      <c r="F72" s="3" t="str" cm="1">
        <f t="array" ref="F72">_xlfn.IFS(Finance_Data!S68&lt;7,"Short",Finance_Data!S68&lt;=30,"Normal",Finance_Data!S68&lt;=60,"Long",Finance_Data!S68&gt;60,"Very Long")</f>
        <v>Short</v>
      </c>
      <c r="G72" s="3" t="str">
        <f>IF(ABS(Finance_Data!I68*Finance_Data!J68)-Finance_Data!K68&lt;1,"Valid","Invalid")</f>
        <v>Valid</v>
      </c>
      <c r="H72" s="3" t="str">
        <f>IF(Finance_Data!L68&gt;0,"Valid","Invalid")</f>
        <v>Valid</v>
      </c>
      <c r="I72" s="3" t="str">
        <f>IF(Finance_Data!L68&gt;=Finance_Data!M68,"Valid","Invalid")</f>
        <v>Valid</v>
      </c>
      <c r="J72" s="3" t="str">
        <f>IF(AND(Finance_Data!I68&gt;=0,Finance_Data!K68&gt;=0),"Valid","Invalid")</f>
        <v>Valid</v>
      </c>
      <c r="K72" s="3" t="str">
        <f>IF(Finance_Data!N68&gt;=0,"Valid","Invalid")</f>
        <v>Valid</v>
      </c>
      <c r="L72" s="3" t="str">
        <f>IF(TEXT(Finance_Data!G68,"mmmm")=Finance_Data!P68,"Valid","Invalid")</f>
        <v>Valid</v>
      </c>
      <c r="M72" s="3" t="str">
        <f>IF("Q"&amp;ROUNDUP(MONTH(Finance_Data!G68)/3,0)=Finance_Data!Q68,"Valid","Invalid")</f>
        <v>Valid</v>
      </c>
      <c r="N72" s="7" t="str">
        <f t="shared" si="1"/>
        <v>Pass</v>
      </c>
    </row>
    <row r="73" spans="1:14" x14ac:dyDescent="0.35">
      <c r="A73" s="17" t="s">
        <v>102</v>
      </c>
      <c r="B73" s="3" t="str">
        <f>IF(ISBLANK(Table3[[#This Row],[Campaign_ID]]),"Invalid","Valid")</f>
        <v>Valid</v>
      </c>
      <c r="C73" s="3" t="str">
        <f>IF(COUNTA(Finance_Data!A69:R69)=18,"Valid","Missing")</f>
        <v>Valid</v>
      </c>
      <c r="D73" s="3" t="str">
        <f>IF(COUNTIF(Finance_Data!$T$2:$T$1001,Finance_Data!T69)&gt;1,"Duplicate","Valid")</f>
        <v>Valid</v>
      </c>
      <c r="E73" s="3" t="str">
        <f>IF(Finance_Data!H69&gt;Finance_Data!G69,"Valid","Invalid")</f>
        <v>Valid</v>
      </c>
      <c r="F73" s="3" t="str" cm="1">
        <f t="array" ref="F73">_xlfn.IFS(Finance_Data!S69&lt;7,"Short",Finance_Data!S69&lt;=30,"Normal",Finance_Data!S69&lt;=60,"Long",Finance_Data!S69&gt;60,"Very Long")</f>
        <v>Very Long</v>
      </c>
      <c r="G73" s="3" t="str">
        <f>IF(ABS(Finance_Data!I69*Finance_Data!J69)-Finance_Data!K69&lt;1,"Valid","Invalid")</f>
        <v>Valid</v>
      </c>
      <c r="H73" s="3" t="str">
        <f>IF(Finance_Data!L69&gt;0,"Valid","Invalid")</f>
        <v>Valid</v>
      </c>
      <c r="I73" s="3" t="str">
        <f>IF(Finance_Data!L69&gt;=Finance_Data!M69,"Valid","Invalid")</f>
        <v>Valid</v>
      </c>
      <c r="J73" s="3" t="str">
        <f>IF(AND(Finance_Data!I69&gt;=0,Finance_Data!K69&gt;=0),"Valid","Invalid")</f>
        <v>Valid</v>
      </c>
      <c r="K73" s="3" t="str">
        <f>IF(Finance_Data!N69&gt;=0,"Valid","Invalid")</f>
        <v>Valid</v>
      </c>
      <c r="L73" s="3" t="str">
        <f>IF(TEXT(Finance_Data!G69,"mmmm")=Finance_Data!P69,"Valid","Invalid")</f>
        <v>Valid</v>
      </c>
      <c r="M73" s="3" t="str">
        <f>IF("Q"&amp;ROUNDUP(MONTH(Finance_Data!G69)/3,0)=Finance_Data!Q69,"Valid","Invalid")</f>
        <v>Valid</v>
      </c>
      <c r="N73" s="7" t="str">
        <f t="shared" si="1"/>
        <v>Pass</v>
      </c>
    </row>
    <row r="74" spans="1:14" x14ac:dyDescent="0.35">
      <c r="A74" s="17" t="s">
        <v>113</v>
      </c>
      <c r="B74" s="3" t="str">
        <f>IF(ISBLANK(Table3[[#This Row],[Campaign_ID]]),"Invalid","Valid")</f>
        <v>Valid</v>
      </c>
      <c r="C74" s="3" t="str">
        <f>IF(COUNTA(Finance_Data!A70:R70)=18,"Valid","Missing")</f>
        <v>Valid</v>
      </c>
      <c r="D74" s="3" t="str">
        <f>IF(COUNTIF(Finance_Data!$T$2:$T$1001,Finance_Data!T70)&gt;1,"Duplicate","Valid")</f>
        <v>Valid</v>
      </c>
      <c r="E74" s="3" t="str">
        <f>IF(Finance_Data!H70&gt;Finance_Data!G70,"Valid","Invalid")</f>
        <v>Valid</v>
      </c>
      <c r="F74" s="3" t="str" cm="1">
        <f t="array" ref="F74">_xlfn.IFS(Finance_Data!S70&lt;7,"Short",Finance_Data!S70&lt;=30,"Normal",Finance_Data!S70&lt;=60,"Long",Finance_Data!S70&gt;60,"Very Long")</f>
        <v>Long</v>
      </c>
      <c r="G74" s="3" t="str">
        <f>IF(ABS(Finance_Data!I70*Finance_Data!J70)-Finance_Data!K70&lt;1,"Valid","Invalid")</f>
        <v>Valid</v>
      </c>
      <c r="H74" s="3" t="str">
        <f>IF(Finance_Data!L70&gt;0,"Valid","Invalid")</f>
        <v>Valid</v>
      </c>
      <c r="I74" s="3" t="str">
        <f>IF(Finance_Data!L70&gt;=Finance_Data!M70,"Valid","Invalid")</f>
        <v>Valid</v>
      </c>
      <c r="J74" s="3" t="str">
        <f>IF(AND(Finance_Data!I70&gt;=0,Finance_Data!K70&gt;=0),"Valid","Invalid")</f>
        <v>Valid</v>
      </c>
      <c r="K74" s="3" t="str">
        <f>IF(Finance_Data!N70&gt;=0,"Valid","Invalid")</f>
        <v>Valid</v>
      </c>
      <c r="L74" s="3" t="str">
        <f>IF(TEXT(Finance_Data!G70,"mmmm")=Finance_Data!P70,"Valid","Invalid")</f>
        <v>Valid</v>
      </c>
      <c r="M74" s="3" t="str">
        <f>IF("Q"&amp;ROUNDUP(MONTH(Finance_Data!G70)/3,0)=Finance_Data!Q70,"Valid","Invalid")</f>
        <v>Valid</v>
      </c>
      <c r="N74" s="7" t="str">
        <f t="shared" si="1"/>
        <v>Pass</v>
      </c>
    </row>
    <row r="75" spans="1:14" x14ac:dyDescent="0.35">
      <c r="A75" s="17" t="s">
        <v>66</v>
      </c>
      <c r="B75" s="3" t="str">
        <f>IF(ISBLANK(Table3[[#This Row],[Campaign_ID]]),"Invalid","Valid")</f>
        <v>Valid</v>
      </c>
      <c r="C75" s="3" t="str">
        <f>IF(COUNTA(Finance_Data!A71:R71)=18,"Valid","Missing")</f>
        <v>Valid</v>
      </c>
      <c r="D75" s="3" t="str">
        <f>IF(COUNTIF(Finance_Data!$T$2:$T$1001,Finance_Data!T71)&gt;1,"Duplicate","Valid")</f>
        <v>Valid</v>
      </c>
      <c r="E75" s="3" t="str">
        <f>IF(Finance_Data!H71&gt;Finance_Data!G71,"Valid","Invalid")</f>
        <v>Valid</v>
      </c>
      <c r="F75" s="3" t="str" cm="1">
        <f t="array" ref="F75">_xlfn.IFS(Finance_Data!S71&lt;7,"Short",Finance_Data!S71&lt;=30,"Normal",Finance_Data!S71&lt;=60,"Long",Finance_Data!S71&gt;60,"Very Long")</f>
        <v>Long</v>
      </c>
      <c r="G75" s="3" t="str">
        <f>IF(ABS(Finance_Data!I71*Finance_Data!J71)-Finance_Data!K71&lt;1,"Valid","Invalid")</f>
        <v>Valid</v>
      </c>
      <c r="H75" s="3" t="str">
        <f>IF(Finance_Data!L71&gt;0,"Valid","Invalid")</f>
        <v>Valid</v>
      </c>
      <c r="I75" s="3" t="str">
        <f>IF(Finance_Data!L71&gt;=Finance_Data!M71,"Valid","Invalid")</f>
        <v>Valid</v>
      </c>
      <c r="J75" s="3" t="str">
        <f>IF(AND(Finance_Data!I71&gt;=0,Finance_Data!K71&gt;=0),"Valid","Invalid")</f>
        <v>Valid</v>
      </c>
      <c r="K75" s="3" t="str">
        <f>IF(Finance_Data!N71&gt;=0,"Valid","Invalid")</f>
        <v>Valid</v>
      </c>
      <c r="L75" s="3" t="str">
        <f>IF(TEXT(Finance_Data!G71,"mmmm")=Finance_Data!P71,"Valid","Invalid")</f>
        <v>Valid</v>
      </c>
      <c r="M75" s="3" t="str">
        <f>IF("Q"&amp;ROUNDUP(MONTH(Finance_Data!G71)/3,0)=Finance_Data!Q71,"Valid","Invalid")</f>
        <v>Valid</v>
      </c>
      <c r="N75" s="7" t="str">
        <f t="shared" si="1"/>
        <v>Pass</v>
      </c>
    </row>
    <row r="76" spans="1:14" x14ac:dyDescent="0.35">
      <c r="A76" s="17" t="s">
        <v>120</v>
      </c>
      <c r="B76" s="3" t="str">
        <f>IF(ISBLANK(Table3[[#This Row],[Campaign_ID]]),"Invalid","Valid")</f>
        <v>Valid</v>
      </c>
      <c r="C76" s="3" t="str">
        <f>IF(COUNTA(Finance_Data!A72:R72)=18,"Valid","Missing")</f>
        <v>Valid</v>
      </c>
      <c r="D76" s="3" t="str">
        <f>IF(COUNTIF(Finance_Data!$T$2:$T$1001,Finance_Data!T72)&gt;1,"Duplicate","Valid")</f>
        <v>Valid</v>
      </c>
      <c r="E76" s="3" t="str">
        <f>IF(Finance_Data!H72&gt;Finance_Data!G72,"Valid","Invalid")</f>
        <v>Valid</v>
      </c>
      <c r="F76" s="3" t="str" cm="1">
        <f t="array" ref="F76">_xlfn.IFS(Finance_Data!S72&lt;7,"Short",Finance_Data!S72&lt;=30,"Normal",Finance_Data!S72&lt;=60,"Long",Finance_Data!S72&gt;60,"Very Long")</f>
        <v>Long</v>
      </c>
      <c r="G76" s="3" t="str">
        <f>IF(ABS(Finance_Data!I72*Finance_Data!J72)-Finance_Data!K72&lt;1,"Valid","Invalid")</f>
        <v>Valid</v>
      </c>
      <c r="H76" s="3" t="str">
        <f>IF(Finance_Data!L72&gt;0,"Valid","Invalid")</f>
        <v>Valid</v>
      </c>
      <c r="I76" s="3" t="str">
        <f>IF(Finance_Data!L72&gt;=Finance_Data!M72,"Valid","Invalid")</f>
        <v>Valid</v>
      </c>
      <c r="J76" s="3" t="str">
        <f>IF(AND(Finance_Data!I72&gt;=0,Finance_Data!K72&gt;=0),"Valid","Invalid")</f>
        <v>Valid</v>
      </c>
      <c r="K76" s="3" t="str">
        <f>IF(Finance_Data!N72&gt;=0,"Valid","Invalid")</f>
        <v>Valid</v>
      </c>
      <c r="L76" s="3" t="str">
        <f>IF(TEXT(Finance_Data!G72,"mmmm")=Finance_Data!P72,"Valid","Invalid")</f>
        <v>Valid</v>
      </c>
      <c r="M76" s="3" t="str">
        <f>IF("Q"&amp;ROUNDUP(MONTH(Finance_Data!G72)/3,0)=Finance_Data!Q72,"Valid","Invalid")</f>
        <v>Valid</v>
      </c>
      <c r="N76" s="7" t="str">
        <f t="shared" si="1"/>
        <v>Pass</v>
      </c>
    </row>
    <row r="77" spans="1:14" x14ac:dyDescent="0.35">
      <c r="A77" s="17" t="s">
        <v>105</v>
      </c>
      <c r="B77" s="3" t="str">
        <f>IF(ISBLANK(Table3[[#This Row],[Campaign_ID]]),"Invalid","Valid")</f>
        <v>Valid</v>
      </c>
      <c r="C77" s="3" t="str">
        <f>IF(COUNTA(Finance_Data!A73:R73)=18,"Valid","Missing")</f>
        <v>Valid</v>
      </c>
      <c r="D77" s="3" t="str">
        <f>IF(COUNTIF(Finance_Data!$T$2:$T$1001,Finance_Data!T73)&gt;1,"Duplicate","Valid")</f>
        <v>Valid</v>
      </c>
      <c r="E77" s="3" t="str">
        <f>IF(Finance_Data!H73&gt;Finance_Data!G73,"Valid","Invalid")</f>
        <v>Valid</v>
      </c>
      <c r="F77" s="3" t="str" cm="1">
        <f t="array" ref="F77">_xlfn.IFS(Finance_Data!S73&lt;7,"Short",Finance_Data!S73&lt;=30,"Normal",Finance_Data!S73&lt;=60,"Long",Finance_Data!S73&gt;60,"Very Long")</f>
        <v>Normal</v>
      </c>
      <c r="G77" s="3" t="str">
        <f>IF(ABS(Finance_Data!I73*Finance_Data!J73)-Finance_Data!K73&lt;1,"Valid","Invalid")</f>
        <v>Valid</v>
      </c>
      <c r="H77" s="3" t="str">
        <f>IF(Finance_Data!L73&gt;0,"Valid","Invalid")</f>
        <v>Valid</v>
      </c>
      <c r="I77" s="3" t="str">
        <f>IF(Finance_Data!L73&gt;=Finance_Data!M73,"Valid","Invalid")</f>
        <v>Valid</v>
      </c>
      <c r="J77" s="3" t="str">
        <f>IF(AND(Finance_Data!I73&gt;=0,Finance_Data!K73&gt;=0),"Valid","Invalid")</f>
        <v>Valid</v>
      </c>
      <c r="K77" s="3" t="str">
        <f>IF(Finance_Data!N73&gt;=0,"Valid","Invalid")</f>
        <v>Valid</v>
      </c>
      <c r="L77" s="3" t="str">
        <f>IF(TEXT(Finance_Data!G73,"mmmm")=Finance_Data!P73,"Valid","Invalid")</f>
        <v>Valid</v>
      </c>
      <c r="M77" s="3" t="str">
        <f>IF("Q"&amp;ROUNDUP(MONTH(Finance_Data!G73)/3,0)=Finance_Data!Q73,"Valid","Invalid")</f>
        <v>Valid</v>
      </c>
      <c r="N77" s="7" t="str">
        <f t="shared" si="1"/>
        <v>Pass</v>
      </c>
    </row>
    <row r="78" spans="1:14" x14ac:dyDescent="0.35">
      <c r="A78" s="17" t="s">
        <v>111</v>
      </c>
      <c r="B78" s="3" t="str">
        <f>IF(ISBLANK(Table3[[#This Row],[Campaign_ID]]),"Invalid","Valid")</f>
        <v>Valid</v>
      </c>
      <c r="C78" s="3" t="str">
        <f>IF(COUNTA(Finance_Data!A74:R74)=18,"Valid","Missing")</f>
        <v>Valid</v>
      </c>
      <c r="D78" s="3" t="str">
        <f>IF(COUNTIF(Finance_Data!$T$2:$T$1001,Finance_Data!T74)&gt;1,"Duplicate","Valid")</f>
        <v>Valid</v>
      </c>
      <c r="E78" s="3" t="str">
        <f>IF(Finance_Data!H74&gt;Finance_Data!G74,"Valid","Invalid")</f>
        <v>Valid</v>
      </c>
      <c r="F78" s="3" t="str" cm="1">
        <f t="array" ref="F78">_xlfn.IFS(Finance_Data!S74&lt;7,"Short",Finance_Data!S74&lt;=30,"Normal",Finance_Data!S74&lt;=60,"Long",Finance_Data!S74&gt;60,"Very Long")</f>
        <v>Long</v>
      </c>
      <c r="G78" s="3" t="str">
        <f>IF(ABS(Finance_Data!I74*Finance_Data!J74)-Finance_Data!K74&lt;1,"Valid","Invalid")</f>
        <v>Valid</v>
      </c>
      <c r="H78" s="3" t="str">
        <f>IF(Finance_Data!L74&gt;0,"Valid","Invalid")</f>
        <v>Valid</v>
      </c>
      <c r="I78" s="3" t="str">
        <f>IF(Finance_Data!L74&gt;=Finance_Data!M74,"Valid","Invalid")</f>
        <v>Valid</v>
      </c>
      <c r="J78" s="3" t="str">
        <f>IF(AND(Finance_Data!I74&gt;=0,Finance_Data!K74&gt;=0),"Valid","Invalid")</f>
        <v>Valid</v>
      </c>
      <c r="K78" s="3" t="str">
        <f>IF(Finance_Data!N74&gt;=0,"Valid","Invalid")</f>
        <v>Valid</v>
      </c>
      <c r="L78" s="3" t="str">
        <f>IF(TEXT(Finance_Data!G74,"mmmm")=Finance_Data!P74,"Valid","Invalid")</f>
        <v>Valid</v>
      </c>
      <c r="M78" s="3" t="str">
        <f>IF("Q"&amp;ROUNDUP(MONTH(Finance_Data!G74)/3,0)=Finance_Data!Q74,"Valid","Invalid")</f>
        <v>Valid</v>
      </c>
      <c r="N78" s="7" t="str">
        <f t="shared" si="1"/>
        <v>Pass</v>
      </c>
    </row>
    <row r="79" spans="1:14" x14ac:dyDescent="0.35">
      <c r="A79" s="17" t="s">
        <v>81</v>
      </c>
      <c r="B79" s="3" t="str">
        <f>IF(ISBLANK(Table3[[#This Row],[Campaign_ID]]),"Invalid","Valid")</f>
        <v>Valid</v>
      </c>
      <c r="C79" s="3" t="str">
        <f>IF(COUNTA(Finance_Data!A75:R75)=18,"Valid","Missing")</f>
        <v>Valid</v>
      </c>
      <c r="D79" s="3" t="str">
        <f>IF(COUNTIF(Finance_Data!$T$2:$T$1001,Finance_Data!T75)&gt;1,"Duplicate","Valid")</f>
        <v>Valid</v>
      </c>
      <c r="E79" s="3" t="str">
        <f>IF(Finance_Data!H75&gt;Finance_Data!G75,"Valid","Invalid")</f>
        <v>Valid</v>
      </c>
      <c r="F79" s="3" t="str" cm="1">
        <f t="array" ref="F79">_xlfn.IFS(Finance_Data!S75&lt;7,"Short",Finance_Data!S75&lt;=30,"Normal",Finance_Data!S75&lt;=60,"Long",Finance_Data!S75&gt;60,"Very Long")</f>
        <v>Normal</v>
      </c>
      <c r="G79" s="3" t="str">
        <f>IF(ABS(Finance_Data!I75*Finance_Data!J75)-Finance_Data!K75&lt;1,"Valid","Invalid")</f>
        <v>Valid</v>
      </c>
      <c r="H79" s="3" t="str">
        <f>IF(Finance_Data!L75&gt;0,"Valid","Invalid")</f>
        <v>Valid</v>
      </c>
      <c r="I79" s="3" t="str">
        <f>IF(Finance_Data!L75&gt;=Finance_Data!M75,"Valid","Invalid")</f>
        <v>Valid</v>
      </c>
      <c r="J79" s="3" t="str">
        <f>IF(AND(Finance_Data!I75&gt;=0,Finance_Data!K75&gt;=0),"Valid","Invalid")</f>
        <v>Valid</v>
      </c>
      <c r="K79" s="3" t="str">
        <f>IF(Finance_Data!N75&gt;=0,"Valid","Invalid")</f>
        <v>Valid</v>
      </c>
      <c r="L79" s="3" t="str">
        <f>IF(TEXT(Finance_Data!G75,"mmmm")=Finance_Data!P75,"Valid","Invalid")</f>
        <v>Valid</v>
      </c>
      <c r="M79" s="3" t="str">
        <f>IF("Q"&amp;ROUNDUP(MONTH(Finance_Data!G75)/3,0)=Finance_Data!Q75,"Valid","Invalid")</f>
        <v>Valid</v>
      </c>
      <c r="N79" s="7" t="str">
        <f t="shared" si="1"/>
        <v>Pass</v>
      </c>
    </row>
    <row r="80" spans="1:14" x14ac:dyDescent="0.35">
      <c r="A80" s="17" t="s">
        <v>112</v>
      </c>
      <c r="B80" s="3" t="str">
        <f>IF(ISBLANK(Table3[[#This Row],[Campaign_ID]]),"Invalid","Valid")</f>
        <v>Valid</v>
      </c>
      <c r="C80" s="3" t="str">
        <f>IF(COUNTA(Finance_Data!A76:R76)=18,"Valid","Missing")</f>
        <v>Valid</v>
      </c>
      <c r="D80" s="3" t="str">
        <f>IF(COUNTIF(Finance_Data!$T$2:$T$1001,Finance_Data!T76)&gt;1,"Duplicate","Valid")</f>
        <v>Valid</v>
      </c>
      <c r="E80" s="3" t="str">
        <f>IF(Finance_Data!H76&gt;Finance_Data!G76,"Valid","Invalid")</f>
        <v>Valid</v>
      </c>
      <c r="F80" s="3" t="str" cm="1">
        <f t="array" ref="F80">_xlfn.IFS(Finance_Data!S76&lt;7,"Short",Finance_Data!S76&lt;=30,"Normal",Finance_Data!S76&lt;=60,"Long",Finance_Data!S76&gt;60,"Very Long")</f>
        <v>Normal</v>
      </c>
      <c r="G80" s="3" t="str">
        <f>IF(ABS(Finance_Data!I76*Finance_Data!J76)-Finance_Data!K76&lt;1,"Valid","Invalid")</f>
        <v>Valid</v>
      </c>
      <c r="H80" s="3" t="str">
        <f>IF(Finance_Data!L76&gt;0,"Valid","Invalid")</f>
        <v>Valid</v>
      </c>
      <c r="I80" s="3" t="str">
        <f>IF(Finance_Data!L76&gt;=Finance_Data!M76,"Valid","Invalid")</f>
        <v>Valid</v>
      </c>
      <c r="J80" s="3" t="str">
        <f>IF(AND(Finance_Data!I76&gt;=0,Finance_Data!K76&gt;=0),"Valid","Invalid")</f>
        <v>Valid</v>
      </c>
      <c r="K80" s="3" t="str">
        <f>IF(Finance_Data!N76&gt;=0,"Valid","Invalid")</f>
        <v>Valid</v>
      </c>
      <c r="L80" s="3" t="str">
        <f>IF(TEXT(Finance_Data!G76,"mmmm")=Finance_Data!P76,"Valid","Invalid")</f>
        <v>Valid</v>
      </c>
      <c r="M80" s="3" t="str">
        <f>IF("Q"&amp;ROUNDUP(MONTH(Finance_Data!G76)/3,0)=Finance_Data!Q76,"Valid","Invalid")</f>
        <v>Valid</v>
      </c>
      <c r="N80" s="7" t="str">
        <f t="shared" si="1"/>
        <v>Pass</v>
      </c>
    </row>
    <row r="81" spans="1:14" x14ac:dyDescent="0.35">
      <c r="A81" s="17" t="s">
        <v>87</v>
      </c>
      <c r="B81" s="3" t="str">
        <f>IF(ISBLANK(Table3[[#This Row],[Campaign_ID]]),"Invalid","Valid")</f>
        <v>Valid</v>
      </c>
      <c r="C81" s="3" t="str">
        <f>IF(COUNTA(Finance_Data!A77:R77)=18,"Valid","Missing")</f>
        <v>Valid</v>
      </c>
      <c r="D81" s="3" t="str">
        <f>IF(COUNTIF(Finance_Data!$T$2:$T$1001,Finance_Data!T77)&gt;1,"Duplicate","Valid")</f>
        <v>Valid</v>
      </c>
      <c r="E81" s="3" t="str">
        <f>IF(Finance_Data!H77&gt;Finance_Data!G77,"Valid","Invalid")</f>
        <v>Valid</v>
      </c>
      <c r="F81" s="3" t="str" cm="1">
        <f t="array" ref="F81">_xlfn.IFS(Finance_Data!S77&lt;7,"Short",Finance_Data!S77&lt;=30,"Normal",Finance_Data!S77&lt;=60,"Long",Finance_Data!S77&gt;60,"Very Long")</f>
        <v>Long</v>
      </c>
      <c r="G81" s="3" t="str">
        <f>IF(ABS(Finance_Data!I77*Finance_Data!J77)-Finance_Data!K77&lt;1,"Valid","Invalid")</f>
        <v>Valid</v>
      </c>
      <c r="H81" s="3" t="str">
        <f>IF(Finance_Data!L77&gt;0,"Valid","Invalid")</f>
        <v>Valid</v>
      </c>
      <c r="I81" s="3" t="str">
        <f>IF(Finance_Data!L77&gt;=Finance_Data!M77,"Valid","Invalid")</f>
        <v>Valid</v>
      </c>
      <c r="J81" s="3" t="str">
        <f>IF(AND(Finance_Data!I77&gt;=0,Finance_Data!K77&gt;=0),"Valid","Invalid")</f>
        <v>Valid</v>
      </c>
      <c r="K81" s="3" t="str">
        <f>IF(Finance_Data!N77&gt;=0,"Valid","Invalid")</f>
        <v>Valid</v>
      </c>
      <c r="L81" s="3" t="str">
        <f>IF(TEXT(Finance_Data!G77,"mmmm")=Finance_Data!P77,"Valid","Invalid")</f>
        <v>Valid</v>
      </c>
      <c r="M81" s="3" t="str">
        <f>IF("Q"&amp;ROUNDUP(MONTH(Finance_Data!G77)/3,0)=Finance_Data!Q77,"Valid","Invalid")</f>
        <v>Valid</v>
      </c>
      <c r="N81" s="7" t="str">
        <f t="shared" si="1"/>
        <v>Pass</v>
      </c>
    </row>
    <row r="82" spans="1:14" x14ac:dyDescent="0.35">
      <c r="A82" s="17" t="s">
        <v>81</v>
      </c>
      <c r="B82" s="3" t="str">
        <f>IF(ISBLANK(Table3[[#This Row],[Campaign_ID]]),"Invalid","Valid")</f>
        <v>Valid</v>
      </c>
      <c r="C82" s="3" t="str">
        <f>IF(COUNTA(Finance_Data!A78:R78)=18,"Valid","Missing")</f>
        <v>Valid</v>
      </c>
      <c r="D82" s="3" t="str">
        <f>IF(COUNTIF(Finance_Data!$T$2:$T$1001,Finance_Data!T78)&gt;1,"Duplicate","Valid")</f>
        <v>Valid</v>
      </c>
      <c r="E82" s="3" t="str">
        <f>IF(Finance_Data!H78&gt;Finance_Data!G78,"Valid","Invalid")</f>
        <v>Valid</v>
      </c>
      <c r="F82" s="3" t="str" cm="1">
        <f t="array" ref="F82">_xlfn.IFS(Finance_Data!S78&lt;7,"Short",Finance_Data!S78&lt;=30,"Normal",Finance_Data!S78&lt;=60,"Long",Finance_Data!S78&gt;60,"Very Long")</f>
        <v>Long</v>
      </c>
      <c r="G82" s="3" t="str">
        <f>IF(ABS(Finance_Data!I78*Finance_Data!J78)-Finance_Data!K78&lt;1,"Valid","Invalid")</f>
        <v>Valid</v>
      </c>
      <c r="H82" s="3" t="str">
        <f>IF(Finance_Data!L78&gt;0,"Valid","Invalid")</f>
        <v>Valid</v>
      </c>
      <c r="I82" s="3" t="str">
        <f>IF(Finance_Data!L78&gt;=Finance_Data!M78,"Valid","Invalid")</f>
        <v>Valid</v>
      </c>
      <c r="J82" s="3" t="str">
        <f>IF(AND(Finance_Data!I78&gt;=0,Finance_Data!K78&gt;=0),"Valid","Invalid")</f>
        <v>Valid</v>
      </c>
      <c r="K82" s="3" t="str">
        <f>IF(Finance_Data!N78&gt;=0,"Valid","Invalid")</f>
        <v>Valid</v>
      </c>
      <c r="L82" s="3" t="str">
        <f>IF(TEXT(Finance_Data!G78,"mmmm")=Finance_Data!P78,"Valid","Invalid")</f>
        <v>Valid</v>
      </c>
      <c r="M82" s="3" t="str">
        <f>IF("Q"&amp;ROUNDUP(MONTH(Finance_Data!G78)/3,0)=Finance_Data!Q78,"Valid","Invalid")</f>
        <v>Valid</v>
      </c>
      <c r="N82" s="7" t="str">
        <f t="shared" si="1"/>
        <v>Pass</v>
      </c>
    </row>
    <row r="83" spans="1:14" x14ac:dyDescent="0.35">
      <c r="A83" s="17" t="s">
        <v>78</v>
      </c>
      <c r="B83" s="3" t="str">
        <f>IF(ISBLANK(Table3[[#This Row],[Campaign_ID]]),"Invalid","Valid")</f>
        <v>Valid</v>
      </c>
      <c r="C83" s="3" t="str">
        <f>IF(COUNTA(Finance_Data!A79:R79)=18,"Valid","Missing")</f>
        <v>Valid</v>
      </c>
      <c r="D83" s="3" t="str">
        <f>IF(COUNTIF(Finance_Data!$T$2:$T$1001,Finance_Data!T79)&gt;1,"Duplicate","Valid")</f>
        <v>Valid</v>
      </c>
      <c r="E83" s="3" t="str">
        <f>IF(Finance_Data!H79&gt;Finance_Data!G79,"Valid","Invalid")</f>
        <v>Valid</v>
      </c>
      <c r="F83" s="3" t="str" cm="1">
        <f t="array" ref="F83">_xlfn.IFS(Finance_Data!S79&lt;7,"Short",Finance_Data!S79&lt;=30,"Normal",Finance_Data!S79&lt;=60,"Long",Finance_Data!S79&gt;60,"Very Long")</f>
        <v>Long</v>
      </c>
      <c r="G83" s="3" t="str">
        <f>IF(ABS(Finance_Data!I79*Finance_Data!J79)-Finance_Data!K79&lt;1,"Valid","Invalid")</f>
        <v>Valid</v>
      </c>
      <c r="H83" s="3" t="str">
        <f>IF(Finance_Data!L79&gt;0,"Valid","Invalid")</f>
        <v>Valid</v>
      </c>
      <c r="I83" s="3" t="str">
        <f>IF(Finance_Data!L79&gt;=Finance_Data!M79,"Valid","Invalid")</f>
        <v>Valid</v>
      </c>
      <c r="J83" s="3" t="str">
        <f>IF(AND(Finance_Data!I79&gt;=0,Finance_Data!K79&gt;=0),"Valid","Invalid")</f>
        <v>Valid</v>
      </c>
      <c r="K83" s="3" t="str">
        <f>IF(Finance_Data!N79&gt;=0,"Valid","Invalid")</f>
        <v>Valid</v>
      </c>
      <c r="L83" s="3" t="str">
        <f>IF(TEXT(Finance_Data!G79,"mmmm")=Finance_Data!P79,"Valid","Invalid")</f>
        <v>Valid</v>
      </c>
      <c r="M83" s="3" t="str">
        <f>IF("Q"&amp;ROUNDUP(MONTH(Finance_Data!G79)/3,0)=Finance_Data!Q79,"Valid","Invalid")</f>
        <v>Valid</v>
      </c>
      <c r="N83" s="7" t="str">
        <f t="shared" si="1"/>
        <v>Pass</v>
      </c>
    </row>
    <row r="84" spans="1:14" x14ac:dyDescent="0.35">
      <c r="A84" s="17" t="s">
        <v>83</v>
      </c>
      <c r="B84" s="3" t="str">
        <f>IF(ISBLANK(Table3[[#This Row],[Campaign_ID]]),"Invalid","Valid")</f>
        <v>Valid</v>
      </c>
      <c r="C84" s="3" t="str">
        <f>IF(COUNTA(Finance_Data!A80:R80)=18,"Valid","Missing")</f>
        <v>Valid</v>
      </c>
      <c r="D84" s="3" t="str">
        <f>IF(COUNTIF(Finance_Data!$T$2:$T$1001,Finance_Data!T80)&gt;1,"Duplicate","Valid")</f>
        <v>Valid</v>
      </c>
      <c r="E84" s="3" t="str">
        <f>IF(Finance_Data!H80&gt;Finance_Data!G80,"Valid","Invalid")</f>
        <v>Valid</v>
      </c>
      <c r="F84" s="3" t="str" cm="1">
        <f t="array" ref="F84">_xlfn.IFS(Finance_Data!S80&lt;7,"Short",Finance_Data!S80&lt;=30,"Normal",Finance_Data!S80&lt;=60,"Long",Finance_Data!S80&gt;60,"Very Long")</f>
        <v>Long</v>
      </c>
      <c r="G84" s="3" t="str">
        <f>IF(ABS(Finance_Data!I80*Finance_Data!J80)-Finance_Data!K80&lt;1,"Valid","Invalid")</f>
        <v>Valid</v>
      </c>
      <c r="H84" s="3" t="str">
        <f>IF(Finance_Data!L80&gt;0,"Valid","Invalid")</f>
        <v>Valid</v>
      </c>
      <c r="I84" s="3" t="str">
        <f>IF(Finance_Data!L80&gt;=Finance_Data!M80,"Valid","Invalid")</f>
        <v>Valid</v>
      </c>
      <c r="J84" s="3" t="str">
        <f>IF(AND(Finance_Data!I80&gt;=0,Finance_Data!K80&gt;=0),"Valid","Invalid")</f>
        <v>Valid</v>
      </c>
      <c r="K84" s="3" t="str">
        <f>IF(Finance_Data!N80&gt;=0,"Valid","Invalid")</f>
        <v>Valid</v>
      </c>
      <c r="L84" s="3" t="str">
        <f>IF(TEXT(Finance_Data!G80,"mmmm")=Finance_Data!P80,"Valid","Invalid")</f>
        <v>Valid</v>
      </c>
      <c r="M84" s="3" t="str">
        <f>IF("Q"&amp;ROUNDUP(MONTH(Finance_Data!G80)/3,0)=Finance_Data!Q80,"Valid","Invalid")</f>
        <v>Valid</v>
      </c>
      <c r="N84" s="7" t="str">
        <f t="shared" si="1"/>
        <v>Pass</v>
      </c>
    </row>
    <row r="85" spans="1:14" x14ac:dyDescent="0.35">
      <c r="A85" s="17" t="s">
        <v>91</v>
      </c>
      <c r="B85" s="3" t="str">
        <f>IF(ISBLANK(Table3[[#This Row],[Campaign_ID]]),"Invalid","Valid")</f>
        <v>Valid</v>
      </c>
      <c r="C85" s="3" t="str">
        <f>IF(COUNTA(Finance_Data!A81:R81)=18,"Valid","Missing")</f>
        <v>Valid</v>
      </c>
      <c r="D85" s="3" t="str">
        <f>IF(COUNTIF(Finance_Data!$T$2:$T$1001,Finance_Data!T81)&gt;1,"Duplicate","Valid")</f>
        <v>Valid</v>
      </c>
      <c r="E85" s="3" t="str">
        <f>IF(Finance_Data!H81&gt;Finance_Data!G81,"Valid","Invalid")</f>
        <v>Valid</v>
      </c>
      <c r="F85" s="3" t="str" cm="1">
        <f t="array" ref="F85">_xlfn.IFS(Finance_Data!S81&lt;7,"Short",Finance_Data!S81&lt;=30,"Normal",Finance_Data!S81&lt;=60,"Long",Finance_Data!S81&gt;60,"Very Long")</f>
        <v>Long</v>
      </c>
      <c r="G85" s="3" t="str">
        <f>IF(ABS(Finance_Data!I81*Finance_Data!J81)-Finance_Data!K81&lt;1,"Valid","Invalid")</f>
        <v>Valid</v>
      </c>
      <c r="H85" s="3" t="str">
        <f>IF(Finance_Data!L81&gt;0,"Valid","Invalid")</f>
        <v>Valid</v>
      </c>
      <c r="I85" s="3" t="str">
        <f>IF(Finance_Data!L81&gt;=Finance_Data!M81,"Valid","Invalid")</f>
        <v>Valid</v>
      </c>
      <c r="J85" s="3" t="str">
        <f>IF(AND(Finance_Data!I81&gt;=0,Finance_Data!K81&gt;=0),"Valid","Invalid")</f>
        <v>Valid</v>
      </c>
      <c r="K85" s="3" t="str">
        <f>IF(Finance_Data!N81&gt;=0,"Valid","Invalid")</f>
        <v>Valid</v>
      </c>
      <c r="L85" s="3" t="str">
        <f>IF(TEXT(Finance_Data!G81,"mmmm")=Finance_Data!P81,"Valid","Invalid")</f>
        <v>Valid</v>
      </c>
      <c r="M85" s="3" t="str">
        <f>IF("Q"&amp;ROUNDUP(MONTH(Finance_Data!G81)/3,0)=Finance_Data!Q81,"Valid","Invalid")</f>
        <v>Valid</v>
      </c>
      <c r="N85" s="7" t="str">
        <f t="shared" si="1"/>
        <v>Pass</v>
      </c>
    </row>
    <row r="86" spans="1:14" x14ac:dyDescent="0.35">
      <c r="A86" s="17" t="s">
        <v>116</v>
      </c>
      <c r="B86" s="3" t="str">
        <f>IF(ISBLANK(Table3[[#This Row],[Campaign_ID]]),"Invalid","Valid")</f>
        <v>Valid</v>
      </c>
      <c r="C86" s="3" t="str">
        <f>IF(COUNTA(Finance_Data!A82:R82)=18,"Valid","Missing")</f>
        <v>Valid</v>
      </c>
      <c r="D86" s="3" t="str">
        <f>IF(COUNTIF(Finance_Data!$T$2:$T$1001,Finance_Data!T82)&gt;1,"Duplicate","Valid")</f>
        <v>Valid</v>
      </c>
      <c r="E86" s="3" t="str">
        <f>IF(Finance_Data!H82&gt;Finance_Data!G82,"Valid","Invalid")</f>
        <v>Valid</v>
      </c>
      <c r="F86" s="3" t="str" cm="1">
        <f t="array" ref="F86">_xlfn.IFS(Finance_Data!S82&lt;7,"Short",Finance_Data!S82&lt;=30,"Normal",Finance_Data!S82&lt;=60,"Long",Finance_Data!S82&gt;60,"Very Long")</f>
        <v>Normal</v>
      </c>
      <c r="G86" s="3" t="str">
        <f>IF(ABS(Finance_Data!I82*Finance_Data!J82)-Finance_Data!K82&lt;1,"Valid","Invalid")</f>
        <v>Valid</v>
      </c>
      <c r="H86" s="3" t="str">
        <f>IF(Finance_Data!L82&gt;0,"Valid","Invalid")</f>
        <v>Valid</v>
      </c>
      <c r="I86" s="3" t="str">
        <f>IF(Finance_Data!L82&gt;=Finance_Data!M82,"Valid","Invalid")</f>
        <v>Valid</v>
      </c>
      <c r="J86" s="3" t="str">
        <f>IF(AND(Finance_Data!I82&gt;=0,Finance_Data!K82&gt;=0),"Valid","Invalid")</f>
        <v>Valid</v>
      </c>
      <c r="K86" s="3" t="str">
        <f>IF(Finance_Data!N82&gt;=0,"Valid","Invalid")</f>
        <v>Valid</v>
      </c>
      <c r="L86" s="3" t="str">
        <f>IF(TEXT(Finance_Data!G82,"mmmm")=Finance_Data!P82,"Valid","Invalid")</f>
        <v>Valid</v>
      </c>
      <c r="M86" s="3" t="str">
        <f>IF("Q"&amp;ROUNDUP(MONTH(Finance_Data!G82)/3,0)=Finance_Data!Q82,"Valid","Invalid")</f>
        <v>Valid</v>
      </c>
      <c r="N86" s="7" t="str">
        <f t="shared" si="1"/>
        <v>Pass</v>
      </c>
    </row>
    <row r="87" spans="1:14" x14ac:dyDescent="0.35">
      <c r="A87" s="17" t="s">
        <v>94</v>
      </c>
      <c r="B87" s="3" t="str">
        <f>IF(ISBLANK(Table3[[#This Row],[Campaign_ID]]),"Invalid","Valid")</f>
        <v>Valid</v>
      </c>
      <c r="C87" s="3" t="str">
        <f>IF(COUNTA(Finance_Data!A83:R83)=18,"Valid","Missing")</f>
        <v>Valid</v>
      </c>
      <c r="D87" s="3" t="str">
        <f>IF(COUNTIF(Finance_Data!$T$2:$T$1001,Finance_Data!T83)&gt;1,"Duplicate","Valid")</f>
        <v>Valid</v>
      </c>
      <c r="E87" s="3" t="str">
        <f>IF(Finance_Data!H83&gt;Finance_Data!G83,"Valid","Invalid")</f>
        <v>Valid</v>
      </c>
      <c r="F87" s="3" t="str" cm="1">
        <f t="array" ref="F87">_xlfn.IFS(Finance_Data!S83&lt;7,"Short",Finance_Data!S83&lt;=30,"Normal",Finance_Data!S83&lt;=60,"Long",Finance_Data!S83&gt;60,"Very Long")</f>
        <v>Long</v>
      </c>
      <c r="G87" s="3" t="str">
        <f>IF(ABS(Finance_Data!I83*Finance_Data!J83)-Finance_Data!K83&lt;1,"Valid","Invalid")</f>
        <v>Valid</v>
      </c>
      <c r="H87" s="3" t="str">
        <f>IF(Finance_Data!L83&gt;0,"Valid","Invalid")</f>
        <v>Valid</v>
      </c>
      <c r="I87" s="3" t="str">
        <f>IF(Finance_Data!L83&gt;=Finance_Data!M83,"Valid","Invalid")</f>
        <v>Valid</v>
      </c>
      <c r="J87" s="3" t="str">
        <f>IF(AND(Finance_Data!I83&gt;=0,Finance_Data!K83&gt;=0),"Valid","Invalid")</f>
        <v>Valid</v>
      </c>
      <c r="K87" s="3" t="str">
        <f>IF(Finance_Data!N83&gt;=0,"Valid","Invalid")</f>
        <v>Valid</v>
      </c>
      <c r="L87" s="3" t="str">
        <f>IF(TEXT(Finance_Data!G83,"mmmm")=Finance_Data!P83,"Valid","Invalid")</f>
        <v>Valid</v>
      </c>
      <c r="M87" s="3" t="str">
        <f>IF("Q"&amp;ROUNDUP(MONTH(Finance_Data!G83)/3,0)=Finance_Data!Q83,"Valid","Invalid")</f>
        <v>Valid</v>
      </c>
      <c r="N87" s="7" t="str">
        <f t="shared" si="1"/>
        <v>Pass</v>
      </c>
    </row>
    <row r="88" spans="1:14" x14ac:dyDescent="0.35">
      <c r="A88" s="17" t="s">
        <v>113</v>
      </c>
      <c r="B88" s="3" t="str">
        <f>IF(ISBLANK(Table3[[#This Row],[Campaign_ID]]),"Invalid","Valid")</f>
        <v>Valid</v>
      </c>
      <c r="C88" s="3" t="str">
        <f>IF(COUNTA(Finance_Data!A84:R84)=18,"Valid","Missing")</f>
        <v>Valid</v>
      </c>
      <c r="D88" s="3" t="str">
        <f>IF(COUNTIF(Finance_Data!$T$2:$T$1001,Finance_Data!T84)&gt;1,"Duplicate","Valid")</f>
        <v>Valid</v>
      </c>
      <c r="E88" s="3" t="str">
        <f>IF(Finance_Data!H84&gt;Finance_Data!G84,"Valid","Invalid")</f>
        <v>Valid</v>
      </c>
      <c r="F88" s="3" t="str" cm="1">
        <f t="array" ref="F88">_xlfn.IFS(Finance_Data!S84&lt;7,"Short",Finance_Data!S84&lt;=30,"Normal",Finance_Data!S84&lt;=60,"Long",Finance_Data!S84&gt;60,"Very Long")</f>
        <v>Long</v>
      </c>
      <c r="G88" s="3" t="str">
        <f>IF(ABS(Finance_Data!I84*Finance_Data!J84)-Finance_Data!K84&lt;1,"Valid","Invalid")</f>
        <v>Valid</v>
      </c>
      <c r="H88" s="3" t="str">
        <f>IF(Finance_Data!L84&gt;0,"Valid","Invalid")</f>
        <v>Valid</v>
      </c>
      <c r="I88" s="3" t="str">
        <f>IF(Finance_Data!L84&gt;=Finance_Data!M84,"Valid","Invalid")</f>
        <v>Valid</v>
      </c>
      <c r="J88" s="3" t="str">
        <f>IF(AND(Finance_Data!I84&gt;=0,Finance_Data!K84&gt;=0),"Valid","Invalid")</f>
        <v>Valid</v>
      </c>
      <c r="K88" s="3" t="str">
        <f>IF(Finance_Data!N84&gt;=0,"Valid","Invalid")</f>
        <v>Valid</v>
      </c>
      <c r="L88" s="3" t="str">
        <f>IF(TEXT(Finance_Data!G84,"mmmm")=Finance_Data!P84,"Valid","Invalid")</f>
        <v>Valid</v>
      </c>
      <c r="M88" s="3" t="str">
        <f>IF("Q"&amp;ROUNDUP(MONTH(Finance_Data!G84)/3,0)=Finance_Data!Q84,"Valid","Invalid")</f>
        <v>Valid</v>
      </c>
      <c r="N88" s="7" t="str">
        <f t="shared" si="1"/>
        <v>Pass</v>
      </c>
    </row>
    <row r="89" spans="1:14" x14ac:dyDescent="0.35">
      <c r="A89" s="17" t="s">
        <v>66</v>
      </c>
      <c r="B89" s="3" t="str">
        <f>IF(ISBLANK(Table3[[#This Row],[Campaign_ID]]),"Invalid","Valid")</f>
        <v>Valid</v>
      </c>
      <c r="C89" s="3" t="str">
        <f>IF(COUNTA(Finance_Data!A85:R85)=18,"Valid","Missing")</f>
        <v>Valid</v>
      </c>
      <c r="D89" s="3" t="str">
        <f>IF(COUNTIF(Finance_Data!$T$2:$T$1001,Finance_Data!T85)&gt;1,"Duplicate","Valid")</f>
        <v>Valid</v>
      </c>
      <c r="E89" s="3" t="str">
        <f>IF(Finance_Data!H85&gt;Finance_Data!G85,"Valid","Invalid")</f>
        <v>Valid</v>
      </c>
      <c r="F89" s="3" t="str" cm="1">
        <f t="array" ref="F89">_xlfn.IFS(Finance_Data!S85&lt;7,"Short",Finance_Data!S85&lt;=30,"Normal",Finance_Data!S85&lt;=60,"Long",Finance_Data!S85&gt;60,"Very Long")</f>
        <v>Long</v>
      </c>
      <c r="G89" s="3" t="str">
        <f>IF(ABS(Finance_Data!I85*Finance_Data!J85)-Finance_Data!K85&lt;1,"Valid","Invalid")</f>
        <v>Valid</v>
      </c>
      <c r="H89" s="3" t="str">
        <f>IF(Finance_Data!L85&gt;0,"Valid","Invalid")</f>
        <v>Valid</v>
      </c>
      <c r="I89" s="3" t="str">
        <f>IF(Finance_Data!L85&gt;=Finance_Data!M85,"Valid","Invalid")</f>
        <v>Valid</v>
      </c>
      <c r="J89" s="3" t="str">
        <f>IF(AND(Finance_Data!I85&gt;=0,Finance_Data!K85&gt;=0),"Valid","Invalid")</f>
        <v>Valid</v>
      </c>
      <c r="K89" s="3" t="str">
        <f>IF(Finance_Data!N85&gt;=0,"Valid","Invalid")</f>
        <v>Valid</v>
      </c>
      <c r="L89" s="3" t="str">
        <f>IF(TEXT(Finance_Data!G85,"mmmm")=Finance_Data!P85,"Valid","Invalid")</f>
        <v>Valid</v>
      </c>
      <c r="M89" s="3" t="str">
        <f>IF("Q"&amp;ROUNDUP(MONTH(Finance_Data!G85)/3,0)=Finance_Data!Q85,"Valid","Invalid")</f>
        <v>Valid</v>
      </c>
      <c r="N89" s="7" t="str">
        <f t="shared" si="1"/>
        <v>Pass</v>
      </c>
    </row>
    <row r="90" spans="1:14" x14ac:dyDescent="0.35">
      <c r="A90" s="17" t="s">
        <v>72</v>
      </c>
      <c r="B90" s="3" t="str">
        <f>IF(ISBLANK(Table3[[#This Row],[Campaign_ID]]),"Invalid","Valid")</f>
        <v>Valid</v>
      </c>
      <c r="C90" s="3" t="str">
        <f>IF(COUNTA(Finance_Data!A86:R86)=18,"Valid","Missing")</f>
        <v>Valid</v>
      </c>
      <c r="D90" s="3" t="str">
        <f>IF(COUNTIF(Finance_Data!$T$2:$T$1001,Finance_Data!T86)&gt;1,"Duplicate","Valid")</f>
        <v>Valid</v>
      </c>
      <c r="E90" s="3" t="str">
        <f>IF(Finance_Data!H86&gt;Finance_Data!G86,"Valid","Invalid")</f>
        <v>Valid</v>
      </c>
      <c r="F90" s="3" t="str" cm="1">
        <f t="array" ref="F90">_xlfn.IFS(Finance_Data!S86&lt;7,"Short",Finance_Data!S86&lt;=30,"Normal",Finance_Data!S86&lt;=60,"Long",Finance_Data!S86&gt;60,"Very Long")</f>
        <v>Long</v>
      </c>
      <c r="G90" s="3" t="str">
        <f>IF(ABS(Finance_Data!I86*Finance_Data!J86)-Finance_Data!K86&lt;1,"Valid","Invalid")</f>
        <v>Valid</v>
      </c>
      <c r="H90" s="3" t="str">
        <f>IF(Finance_Data!L86&gt;0,"Valid","Invalid")</f>
        <v>Valid</v>
      </c>
      <c r="I90" s="3" t="str">
        <f>IF(Finance_Data!L86&gt;=Finance_Data!M86,"Valid","Invalid")</f>
        <v>Valid</v>
      </c>
      <c r="J90" s="3" t="str">
        <f>IF(AND(Finance_Data!I86&gt;=0,Finance_Data!K86&gt;=0),"Valid","Invalid")</f>
        <v>Valid</v>
      </c>
      <c r="K90" s="3" t="str">
        <f>IF(Finance_Data!N86&gt;=0,"Valid","Invalid")</f>
        <v>Valid</v>
      </c>
      <c r="L90" s="3" t="str">
        <f>IF(TEXT(Finance_Data!G86,"mmmm")=Finance_Data!P86,"Valid","Invalid")</f>
        <v>Valid</v>
      </c>
      <c r="M90" s="3" t="str">
        <f>IF("Q"&amp;ROUNDUP(MONTH(Finance_Data!G86)/3,0)=Finance_Data!Q86,"Valid","Invalid")</f>
        <v>Valid</v>
      </c>
      <c r="N90" s="7" t="str">
        <f t="shared" si="1"/>
        <v>Pass</v>
      </c>
    </row>
    <row r="91" spans="1:14" x14ac:dyDescent="0.35">
      <c r="A91" s="17" t="s">
        <v>62</v>
      </c>
      <c r="B91" s="3" t="str">
        <f>IF(ISBLANK(Table3[[#This Row],[Campaign_ID]]),"Invalid","Valid")</f>
        <v>Valid</v>
      </c>
      <c r="C91" s="3" t="str">
        <f>IF(COUNTA(Finance_Data!A87:R87)=18,"Valid","Missing")</f>
        <v>Valid</v>
      </c>
      <c r="D91" s="3" t="str">
        <f>IF(COUNTIF(Finance_Data!$T$2:$T$1001,Finance_Data!T87)&gt;1,"Duplicate","Valid")</f>
        <v>Valid</v>
      </c>
      <c r="E91" s="3" t="str">
        <f>IF(Finance_Data!H87&gt;Finance_Data!G87,"Valid","Invalid")</f>
        <v>Valid</v>
      </c>
      <c r="F91" s="3" t="str" cm="1">
        <f t="array" ref="F91">_xlfn.IFS(Finance_Data!S87&lt;7,"Short",Finance_Data!S87&lt;=30,"Normal",Finance_Data!S87&lt;=60,"Long",Finance_Data!S87&gt;60,"Very Long")</f>
        <v>Normal</v>
      </c>
      <c r="G91" s="3" t="str">
        <f>IF(ABS(Finance_Data!I87*Finance_Data!J87)-Finance_Data!K87&lt;1,"Valid","Invalid")</f>
        <v>Valid</v>
      </c>
      <c r="H91" s="3" t="str">
        <f>IF(Finance_Data!L87&gt;0,"Valid","Invalid")</f>
        <v>Valid</v>
      </c>
      <c r="I91" s="3" t="str">
        <f>IF(Finance_Data!L87&gt;=Finance_Data!M87,"Valid","Invalid")</f>
        <v>Valid</v>
      </c>
      <c r="J91" s="3" t="str">
        <f>IF(AND(Finance_Data!I87&gt;=0,Finance_Data!K87&gt;=0),"Valid","Invalid")</f>
        <v>Valid</v>
      </c>
      <c r="K91" s="3" t="str">
        <f>IF(Finance_Data!N87&gt;=0,"Valid","Invalid")</f>
        <v>Valid</v>
      </c>
      <c r="L91" s="3" t="str">
        <f>IF(TEXT(Finance_Data!G87,"mmmm")=Finance_Data!P87,"Valid","Invalid")</f>
        <v>Valid</v>
      </c>
      <c r="M91" s="3" t="str">
        <f>IF("Q"&amp;ROUNDUP(MONTH(Finance_Data!G87)/3,0)=Finance_Data!Q87,"Valid","Invalid")</f>
        <v>Valid</v>
      </c>
      <c r="N91" s="7" t="str">
        <f t="shared" si="1"/>
        <v>Pass</v>
      </c>
    </row>
    <row r="92" spans="1:14" x14ac:dyDescent="0.35">
      <c r="A92" s="17" t="s">
        <v>98</v>
      </c>
      <c r="B92" s="3" t="str">
        <f>IF(ISBLANK(Table3[[#This Row],[Campaign_ID]]),"Invalid","Valid")</f>
        <v>Valid</v>
      </c>
      <c r="C92" s="3" t="str">
        <f>IF(COUNTA(Finance_Data!A88:R88)=18,"Valid","Missing")</f>
        <v>Valid</v>
      </c>
      <c r="D92" s="3" t="str">
        <f>IF(COUNTIF(Finance_Data!$T$2:$T$1001,Finance_Data!T88)&gt;1,"Duplicate","Valid")</f>
        <v>Valid</v>
      </c>
      <c r="E92" s="3" t="str">
        <f>IF(Finance_Data!H88&gt;Finance_Data!G88,"Valid","Invalid")</f>
        <v>Valid</v>
      </c>
      <c r="F92" s="3" t="str" cm="1">
        <f t="array" ref="F92">_xlfn.IFS(Finance_Data!S88&lt;7,"Short",Finance_Data!S88&lt;=30,"Normal",Finance_Data!S88&lt;=60,"Long",Finance_Data!S88&gt;60,"Very Long")</f>
        <v>Long</v>
      </c>
      <c r="G92" s="3" t="str">
        <f>IF(ABS(Finance_Data!I88*Finance_Data!J88)-Finance_Data!K88&lt;1,"Valid","Invalid")</f>
        <v>Valid</v>
      </c>
      <c r="H92" s="3" t="str">
        <f>IF(Finance_Data!L88&gt;0,"Valid","Invalid")</f>
        <v>Valid</v>
      </c>
      <c r="I92" s="3" t="str">
        <f>IF(Finance_Data!L88&gt;=Finance_Data!M88,"Valid","Invalid")</f>
        <v>Valid</v>
      </c>
      <c r="J92" s="3" t="str">
        <f>IF(AND(Finance_Data!I88&gt;=0,Finance_Data!K88&gt;=0),"Valid","Invalid")</f>
        <v>Valid</v>
      </c>
      <c r="K92" s="3" t="str">
        <f>IF(Finance_Data!N88&gt;=0,"Valid","Invalid")</f>
        <v>Valid</v>
      </c>
      <c r="L92" s="3" t="str">
        <f>IF(TEXT(Finance_Data!G88,"mmmm")=Finance_Data!P88,"Valid","Invalid")</f>
        <v>Valid</v>
      </c>
      <c r="M92" s="3" t="str">
        <f>IF("Q"&amp;ROUNDUP(MONTH(Finance_Data!G88)/3,0)=Finance_Data!Q88,"Valid","Invalid")</f>
        <v>Valid</v>
      </c>
      <c r="N92" s="7" t="str">
        <f t="shared" si="1"/>
        <v>Pass</v>
      </c>
    </row>
    <row r="93" spans="1:14" x14ac:dyDescent="0.35">
      <c r="A93" s="17" t="s">
        <v>111</v>
      </c>
      <c r="B93" s="3" t="str">
        <f>IF(ISBLANK(Table3[[#This Row],[Campaign_ID]]),"Invalid","Valid")</f>
        <v>Valid</v>
      </c>
      <c r="C93" s="3" t="str">
        <f>IF(COUNTA(Finance_Data!A89:R89)=18,"Valid","Missing")</f>
        <v>Valid</v>
      </c>
      <c r="D93" s="3" t="str">
        <f>IF(COUNTIF(Finance_Data!$T$2:$T$1001,Finance_Data!T89)&gt;1,"Duplicate","Valid")</f>
        <v>Valid</v>
      </c>
      <c r="E93" s="3" t="str">
        <f>IF(Finance_Data!H89&gt;Finance_Data!G89,"Valid","Invalid")</f>
        <v>Valid</v>
      </c>
      <c r="F93" s="3" t="str" cm="1">
        <f t="array" ref="F93">_xlfn.IFS(Finance_Data!S89&lt;7,"Short",Finance_Data!S89&lt;=30,"Normal",Finance_Data!S89&lt;=60,"Long",Finance_Data!S89&gt;60,"Very Long")</f>
        <v>Normal</v>
      </c>
      <c r="G93" s="3" t="str">
        <f>IF(ABS(Finance_Data!I89*Finance_Data!J89)-Finance_Data!K89&lt;1,"Valid","Invalid")</f>
        <v>Valid</v>
      </c>
      <c r="H93" s="3" t="str">
        <f>IF(Finance_Data!L89&gt;0,"Valid","Invalid")</f>
        <v>Valid</v>
      </c>
      <c r="I93" s="3" t="str">
        <f>IF(Finance_Data!L89&gt;=Finance_Data!M89,"Valid","Invalid")</f>
        <v>Valid</v>
      </c>
      <c r="J93" s="3" t="str">
        <f>IF(AND(Finance_Data!I89&gt;=0,Finance_Data!K89&gt;=0),"Valid","Invalid")</f>
        <v>Valid</v>
      </c>
      <c r="K93" s="3" t="str">
        <f>IF(Finance_Data!N89&gt;=0,"Valid","Invalid")</f>
        <v>Valid</v>
      </c>
      <c r="L93" s="3" t="str">
        <f>IF(TEXT(Finance_Data!G89,"mmmm")=Finance_Data!P89,"Valid","Invalid")</f>
        <v>Valid</v>
      </c>
      <c r="M93" s="3" t="str">
        <f>IF("Q"&amp;ROUNDUP(MONTH(Finance_Data!G89)/3,0)=Finance_Data!Q89,"Valid","Invalid")</f>
        <v>Valid</v>
      </c>
      <c r="N93" s="7" t="str">
        <f t="shared" si="1"/>
        <v>Pass</v>
      </c>
    </row>
    <row r="94" spans="1:14" x14ac:dyDescent="0.35">
      <c r="A94" s="17" t="s">
        <v>42</v>
      </c>
      <c r="B94" s="3" t="str">
        <f>IF(ISBLANK(Table3[[#This Row],[Campaign_ID]]),"Invalid","Valid")</f>
        <v>Valid</v>
      </c>
      <c r="C94" s="3" t="str">
        <f>IF(COUNTA(Finance_Data!A90:R90)=18,"Valid","Missing")</f>
        <v>Valid</v>
      </c>
      <c r="D94" s="3" t="str">
        <f>IF(COUNTIF(Finance_Data!$T$2:$T$1001,Finance_Data!T90)&gt;1,"Duplicate","Valid")</f>
        <v>Valid</v>
      </c>
      <c r="E94" s="3" t="str">
        <f>IF(Finance_Data!H90&gt;Finance_Data!G90,"Valid","Invalid")</f>
        <v>Valid</v>
      </c>
      <c r="F94" s="3" t="str" cm="1">
        <f t="array" ref="F94">_xlfn.IFS(Finance_Data!S90&lt;7,"Short",Finance_Data!S90&lt;=30,"Normal",Finance_Data!S90&lt;=60,"Long",Finance_Data!S90&gt;60,"Very Long")</f>
        <v>Normal</v>
      </c>
      <c r="G94" s="3" t="str">
        <f>IF(ABS(Finance_Data!I90*Finance_Data!J90)-Finance_Data!K90&lt;1,"Valid","Invalid")</f>
        <v>Valid</v>
      </c>
      <c r="H94" s="3" t="str">
        <f>IF(Finance_Data!L90&gt;0,"Valid","Invalid")</f>
        <v>Valid</v>
      </c>
      <c r="I94" s="3" t="str">
        <f>IF(Finance_Data!L90&gt;=Finance_Data!M90,"Valid","Invalid")</f>
        <v>Valid</v>
      </c>
      <c r="J94" s="3" t="str">
        <f>IF(AND(Finance_Data!I90&gt;=0,Finance_Data!K90&gt;=0),"Valid","Invalid")</f>
        <v>Valid</v>
      </c>
      <c r="K94" s="3" t="str">
        <f>IF(Finance_Data!N90&gt;=0,"Valid","Invalid")</f>
        <v>Valid</v>
      </c>
      <c r="L94" s="3" t="str">
        <f>IF(TEXT(Finance_Data!G90,"mmmm")=Finance_Data!P90,"Valid","Invalid")</f>
        <v>Valid</v>
      </c>
      <c r="M94" s="3" t="str">
        <f>IF("Q"&amp;ROUNDUP(MONTH(Finance_Data!G90)/3,0)=Finance_Data!Q90,"Valid","Invalid")</f>
        <v>Valid</v>
      </c>
      <c r="N94" s="7" t="str">
        <f t="shared" si="1"/>
        <v>Pass</v>
      </c>
    </row>
    <row r="95" spans="1:14" x14ac:dyDescent="0.35">
      <c r="A95" s="17" t="s">
        <v>88</v>
      </c>
      <c r="B95" s="3" t="str">
        <f>IF(ISBLANK(Table3[[#This Row],[Campaign_ID]]),"Invalid","Valid")</f>
        <v>Valid</v>
      </c>
      <c r="C95" s="3" t="str">
        <f>IF(COUNTA(Finance_Data!A91:R91)=18,"Valid","Missing")</f>
        <v>Valid</v>
      </c>
      <c r="D95" s="3" t="str">
        <f>IF(COUNTIF(Finance_Data!$T$2:$T$1001,Finance_Data!T91)&gt;1,"Duplicate","Valid")</f>
        <v>Valid</v>
      </c>
      <c r="E95" s="3" t="str">
        <f>IF(Finance_Data!H91&gt;Finance_Data!G91,"Valid","Invalid")</f>
        <v>Valid</v>
      </c>
      <c r="F95" s="3" t="str" cm="1">
        <f t="array" ref="F95">_xlfn.IFS(Finance_Data!S91&lt;7,"Short",Finance_Data!S91&lt;=30,"Normal",Finance_Data!S91&lt;=60,"Long",Finance_Data!S91&gt;60,"Very Long")</f>
        <v>Long</v>
      </c>
      <c r="G95" s="3" t="str">
        <f>IF(ABS(Finance_Data!I91*Finance_Data!J91)-Finance_Data!K91&lt;1,"Valid","Invalid")</f>
        <v>Valid</v>
      </c>
      <c r="H95" s="3" t="str">
        <f>IF(Finance_Data!L91&gt;0,"Valid","Invalid")</f>
        <v>Valid</v>
      </c>
      <c r="I95" s="3" t="str">
        <f>IF(Finance_Data!L91&gt;=Finance_Data!M91,"Valid","Invalid")</f>
        <v>Valid</v>
      </c>
      <c r="J95" s="3" t="str">
        <f>IF(AND(Finance_Data!I91&gt;=0,Finance_Data!K91&gt;=0),"Valid","Invalid")</f>
        <v>Valid</v>
      </c>
      <c r="K95" s="3" t="str">
        <f>IF(Finance_Data!N91&gt;=0,"Valid","Invalid")</f>
        <v>Valid</v>
      </c>
      <c r="L95" s="3" t="str">
        <f>IF(TEXT(Finance_Data!G91,"mmmm")=Finance_Data!P91,"Valid","Invalid")</f>
        <v>Valid</v>
      </c>
      <c r="M95" s="3" t="str">
        <f>IF("Q"&amp;ROUNDUP(MONTH(Finance_Data!G91)/3,0)=Finance_Data!Q91,"Valid","Invalid")</f>
        <v>Valid</v>
      </c>
      <c r="N95" s="7" t="str">
        <f t="shared" si="1"/>
        <v>Pass</v>
      </c>
    </row>
    <row r="96" spans="1:14" x14ac:dyDescent="0.35">
      <c r="A96" s="17" t="s">
        <v>104</v>
      </c>
      <c r="B96" s="3" t="str">
        <f>IF(ISBLANK(Table3[[#This Row],[Campaign_ID]]),"Invalid","Valid")</f>
        <v>Valid</v>
      </c>
      <c r="C96" s="3" t="str">
        <f>IF(COUNTA(Finance_Data!A92:R92)=18,"Valid","Missing")</f>
        <v>Valid</v>
      </c>
      <c r="D96" s="3" t="str">
        <f>IF(COUNTIF(Finance_Data!$T$2:$T$1001,Finance_Data!T92)&gt;1,"Duplicate","Valid")</f>
        <v>Valid</v>
      </c>
      <c r="E96" s="3" t="str">
        <f>IF(Finance_Data!H92&gt;Finance_Data!G92,"Valid","Invalid")</f>
        <v>Valid</v>
      </c>
      <c r="F96" s="3" t="str" cm="1">
        <f t="array" ref="F96">_xlfn.IFS(Finance_Data!S92&lt;7,"Short",Finance_Data!S92&lt;=30,"Normal",Finance_Data!S92&lt;=60,"Long",Finance_Data!S92&gt;60,"Very Long")</f>
        <v>Normal</v>
      </c>
      <c r="G96" s="3" t="str">
        <f>IF(ABS(Finance_Data!I92*Finance_Data!J92)-Finance_Data!K92&lt;1,"Valid","Invalid")</f>
        <v>Valid</v>
      </c>
      <c r="H96" s="3" t="str">
        <f>IF(Finance_Data!L92&gt;0,"Valid","Invalid")</f>
        <v>Valid</v>
      </c>
      <c r="I96" s="3" t="str">
        <f>IF(Finance_Data!L92&gt;=Finance_Data!M92,"Valid","Invalid")</f>
        <v>Valid</v>
      </c>
      <c r="J96" s="3" t="str">
        <f>IF(AND(Finance_Data!I92&gt;=0,Finance_Data!K92&gt;=0),"Valid","Invalid")</f>
        <v>Valid</v>
      </c>
      <c r="K96" s="3" t="str">
        <f>IF(Finance_Data!N92&gt;=0,"Valid","Invalid")</f>
        <v>Valid</v>
      </c>
      <c r="L96" s="3" t="str">
        <f>IF(TEXT(Finance_Data!G92,"mmmm")=Finance_Data!P92,"Valid","Invalid")</f>
        <v>Valid</v>
      </c>
      <c r="M96" s="3" t="str">
        <f>IF("Q"&amp;ROUNDUP(MONTH(Finance_Data!G92)/3,0)=Finance_Data!Q92,"Valid","Invalid")</f>
        <v>Valid</v>
      </c>
      <c r="N96" s="7" t="str">
        <f t="shared" si="1"/>
        <v>Pass</v>
      </c>
    </row>
    <row r="97" spans="1:14" x14ac:dyDescent="0.35">
      <c r="A97" s="17" t="s">
        <v>105</v>
      </c>
      <c r="B97" s="3" t="str">
        <f>IF(ISBLANK(Table3[[#This Row],[Campaign_ID]]),"Invalid","Valid")</f>
        <v>Valid</v>
      </c>
      <c r="C97" s="3" t="str">
        <f>IF(COUNTA(Finance_Data!A93:R93)=18,"Valid","Missing")</f>
        <v>Valid</v>
      </c>
      <c r="D97" s="3" t="str">
        <f>IF(COUNTIF(Finance_Data!$T$2:$T$1001,Finance_Data!T93)&gt;1,"Duplicate","Valid")</f>
        <v>Valid</v>
      </c>
      <c r="E97" s="3" t="str">
        <f>IF(Finance_Data!H93&gt;Finance_Data!G93,"Valid","Invalid")</f>
        <v>Valid</v>
      </c>
      <c r="F97" s="3" t="str" cm="1">
        <f t="array" ref="F97">_xlfn.IFS(Finance_Data!S93&lt;7,"Short",Finance_Data!S93&lt;=30,"Normal",Finance_Data!S93&lt;=60,"Long",Finance_Data!S93&gt;60,"Very Long")</f>
        <v>Long</v>
      </c>
      <c r="G97" s="3" t="str">
        <f>IF(ABS(Finance_Data!I93*Finance_Data!J93)-Finance_Data!K93&lt;1,"Valid","Invalid")</f>
        <v>Valid</v>
      </c>
      <c r="H97" s="3" t="str">
        <f>IF(Finance_Data!L93&gt;0,"Valid","Invalid")</f>
        <v>Valid</v>
      </c>
      <c r="I97" s="3" t="str">
        <f>IF(Finance_Data!L93&gt;=Finance_Data!M93,"Valid","Invalid")</f>
        <v>Valid</v>
      </c>
      <c r="J97" s="3" t="str">
        <f>IF(AND(Finance_Data!I93&gt;=0,Finance_Data!K93&gt;=0),"Valid","Invalid")</f>
        <v>Valid</v>
      </c>
      <c r="K97" s="3" t="str">
        <f>IF(Finance_Data!N93&gt;=0,"Valid","Invalid")</f>
        <v>Valid</v>
      </c>
      <c r="L97" s="3" t="str">
        <f>IF(TEXT(Finance_Data!G93,"mmmm")=Finance_Data!P93,"Valid","Invalid")</f>
        <v>Valid</v>
      </c>
      <c r="M97" s="3" t="str">
        <f>IF("Q"&amp;ROUNDUP(MONTH(Finance_Data!G93)/3,0)=Finance_Data!Q93,"Valid","Invalid")</f>
        <v>Valid</v>
      </c>
      <c r="N97" s="7" t="str">
        <f t="shared" si="1"/>
        <v>Pass</v>
      </c>
    </row>
    <row r="98" spans="1:14" x14ac:dyDescent="0.35">
      <c r="A98" s="17" t="s">
        <v>114</v>
      </c>
      <c r="B98" s="3" t="str">
        <f>IF(ISBLANK(Table3[[#This Row],[Campaign_ID]]),"Invalid","Valid")</f>
        <v>Valid</v>
      </c>
      <c r="C98" s="3" t="str">
        <f>IF(COUNTA(Finance_Data!A94:R94)=18,"Valid","Missing")</f>
        <v>Valid</v>
      </c>
      <c r="D98" s="3" t="str">
        <f>IF(COUNTIF(Finance_Data!$T$2:$T$1001,Finance_Data!T94)&gt;1,"Duplicate","Valid")</f>
        <v>Valid</v>
      </c>
      <c r="E98" s="3" t="str">
        <f>IF(Finance_Data!H94&gt;Finance_Data!G94,"Valid","Invalid")</f>
        <v>Valid</v>
      </c>
      <c r="F98" s="3" t="str" cm="1">
        <f t="array" ref="F98">_xlfn.IFS(Finance_Data!S94&lt;7,"Short",Finance_Data!S94&lt;=30,"Normal",Finance_Data!S94&lt;=60,"Long",Finance_Data!S94&gt;60,"Very Long")</f>
        <v>Normal</v>
      </c>
      <c r="G98" s="3" t="str">
        <f>IF(ABS(Finance_Data!I94*Finance_Data!J94)-Finance_Data!K94&lt;1,"Valid","Invalid")</f>
        <v>Valid</v>
      </c>
      <c r="H98" s="3" t="str">
        <f>IF(Finance_Data!L94&gt;0,"Valid","Invalid")</f>
        <v>Valid</v>
      </c>
      <c r="I98" s="3" t="str">
        <f>IF(Finance_Data!L94&gt;=Finance_Data!M94,"Valid","Invalid")</f>
        <v>Valid</v>
      </c>
      <c r="J98" s="3" t="str">
        <f>IF(AND(Finance_Data!I94&gt;=0,Finance_Data!K94&gt;=0),"Valid","Invalid")</f>
        <v>Valid</v>
      </c>
      <c r="K98" s="3" t="str">
        <f>IF(Finance_Data!N94&gt;=0,"Valid","Invalid")</f>
        <v>Valid</v>
      </c>
      <c r="L98" s="3" t="str">
        <f>IF(TEXT(Finance_Data!G94,"mmmm")=Finance_Data!P94,"Valid","Invalid")</f>
        <v>Valid</v>
      </c>
      <c r="M98" s="3" t="str">
        <f>IF("Q"&amp;ROUNDUP(MONTH(Finance_Data!G94)/3,0)=Finance_Data!Q94,"Valid","Invalid")</f>
        <v>Valid</v>
      </c>
      <c r="N98" s="7" t="str">
        <f t="shared" si="1"/>
        <v>Pass</v>
      </c>
    </row>
    <row r="99" spans="1:14" x14ac:dyDescent="0.35">
      <c r="A99" s="17" t="s">
        <v>106</v>
      </c>
      <c r="B99" s="3" t="str">
        <f>IF(ISBLANK(Table3[[#This Row],[Campaign_ID]]),"Invalid","Valid")</f>
        <v>Valid</v>
      </c>
      <c r="C99" s="3" t="str">
        <f>IF(COUNTA(Finance_Data!A95:R95)=18,"Valid","Missing")</f>
        <v>Valid</v>
      </c>
      <c r="D99" s="3" t="str">
        <f>IF(COUNTIF(Finance_Data!$T$2:$T$1001,Finance_Data!T95)&gt;1,"Duplicate","Valid")</f>
        <v>Valid</v>
      </c>
      <c r="E99" s="3" t="str">
        <f>IF(Finance_Data!H95&gt;Finance_Data!G95,"Valid","Invalid")</f>
        <v>Valid</v>
      </c>
      <c r="F99" s="3" t="str" cm="1">
        <f t="array" ref="F99">_xlfn.IFS(Finance_Data!S95&lt;7,"Short",Finance_Data!S95&lt;=30,"Normal",Finance_Data!S95&lt;=60,"Long",Finance_Data!S95&gt;60,"Very Long")</f>
        <v>Normal</v>
      </c>
      <c r="G99" s="3" t="str">
        <f>IF(ABS(Finance_Data!I95*Finance_Data!J95)-Finance_Data!K95&lt;1,"Valid","Invalid")</f>
        <v>Valid</v>
      </c>
      <c r="H99" s="3" t="str">
        <f>IF(Finance_Data!L95&gt;0,"Valid","Invalid")</f>
        <v>Valid</v>
      </c>
      <c r="I99" s="3" t="str">
        <f>IF(Finance_Data!L95&gt;=Finance_Data!M95,"Valid","Invalid")</f>
        <v>Valid</v>
      </c>
      <c r="J99" s="3" t="str">
        <f>IF(AND(Finance_Data!I95&gt;=0,Finance_Data!K95&gt;=0),"Valid","Invalid")</f>
        <v>Valid</v>
      </c>
      <c r="K99" s="3" t="str">
        <f>IF(Finance_Data!N95&gt;=0,"Valid","Invalid")</f>
        <v>Valid</v>
      </c>
      <c r="L99" s="3" t="str">
        <f>IF(TEXT(Finance_Data!G95,"mmmm")=Finance_Data!P95,"Valid","Invalid")</f>
        <v>Valid</v>
      </c>
      <c r="M99" s="3" t="str">
        <f>IF("Q"&amp;ROUNDUP(MONTH(Finance_Data!G95)/3,0)=Finance_Data!Q95,"Valid","Invalid")</f>
        <v>Valid</v>
      </c>
      <c r="N99" s="7" t="str">
        <f t="shared" si="1"/>
        <v>Pass</v>
      </c>
    </row>
    <row r="100" spans="1:14" x14ac:dyDescent="0.35">
      <c r="A100" s="17" t="s">
        <v>106</v>
      </c>
      <c r="B100" s="3" t="str">
        <f>IF(ISBLANK(Table3[[#This Row],[Campaign_ID]]),"Invalid","Valid")</f>
        <v>Valid</v>
      </c>
      <c r="C100" s="3" t="str">
        <f>IF(COUNTA(Finance_Data!A96:R96)=18,"Valid","Missing")</f>
        <v>Valid</v>
      </c>
      <c r="D100" s="3" t="str">
        <f>IF(COUNTIF(Finance_Data!$T$2:$T$1001,Finance_Data!T96)&gt;1,"Duplicate","Valid")</f>
        <v>Valid</v>
      </c>
      <c r="E100" s="3" t="str">
        <f>IF(Finance_Data!H96&gt;Finance_Data!G96,"Valid","Invalid")</f>
        <v>Valid</v>
      </c>
      <c r="F100" s="3" t="str" cm="1">
        <f t="array" ref="F100">_xlfn.IFS(Finance_Data!S96&lt;7,"Short",Finance_Data!S96&lt;=30,"Normal",Finance_Data!S96&lt;=60,"Long",Finance_Data!S96&gt;60,"Very Long")</f>
        <v>Long</v>
      </c>
      <c r="G100" s="3" t="str">
        <f>IF(ABS(Finance_Data!I96*Finance_Data!J96)-Finance_Data!K96&lt;1,"Valid","Invalid")</f>
        <v>Valid</v>
      </c>
      <c r="H100" s="3" t="str">
        <f>IF(Finance_Data!L96&gt;0,"Valid","Invalid")</f>
        <v>Valid</v>
      </c>
      <c r="I100" s="3" t="str">
        <f>IF(Finance_Data!L96&gt;=Finance_Data!M96,"Valid","Invalid")</f>
        <v>Valid</v>
      </c>
      <c r="J100" s="3" t="str">
        <f>IF(AND(Finance_Data!I96&gt;=0,Finance_Data!K96&gt;=0),"Valid","Invalid")</f>
        <v>Valid</v>
      </c>
      <c r="K100" s="3" t="str">
        <f>IF(Finance_Data!N96&gt;=0,"Valid","Invalid")</f>
        <v>Valid</v>
      </c>
      <c r="L100" s="3" t="str">
        <f>IF(TEXT(Finance_Data!G96,"mmmm")=Finance_Data!P96,"Valid","Invalid")</f>
        <v>Valid</v>
      </c>
      <c r="M100" s="3" t="str">
        <f>IF("Q"&amp;ROUNDUP(MONTH(Finance_Data!G96)/3,0)=Finance_Data!Q96,"Valid","Invalid")</f>
        <v>Valid</v>
      </c>
      <c r="N100" s="7" t="str">
        <f t="shared" si="1"/>
        <v>Pass</v>
      </c>
    </row>
    <row r="101" spans="1:14" x14ac:dyDescent="0.35">
      <c r="A101" s="17" t="s">
        <v>79</v>
      </c>
      <c r="B101" s="3" t="str">
        <f>IF(ISBLANK(Table3[[#This Row],[Campaign_ID]]),"Invalid","Valid")</f>
        <v>Valid</v>
      </c>
      <c r="C101" s="3" t="str">
        <f>IF(COUNTA(Finance_Data!A97:R97)=18,"Valid","Missing")</f>
        <v>Valid</v>
      </c>
      <c r="D101" s="3" t="str">
        <f>IF(COUNTIF(Finance_Data!$T$2:$T$1001,Finance_Data!T97)&gt;1,"Duplicate","Valid")</f>
        <v>Valid</v>
      </c>
      <c r="E101" s="3" t="str">
        <f>IF(Finance_Data!H97&gt;Finance_Data!G97,"Valid","Invalid")</f>
        <v>Valid</v>
      </c>
      <c r="F101" s="3" t="str" cm="1">
        <f t="array" ref="F101">_xlfn.IFS(Finance_Data!S97&lt;7,"Short",Finance_Data!S97&lt;=30,"Normal",Finance_Data!S97&lt;=60,"Long",Finance_Data!S97&gt;60,"Very Long")</f>
        <v>Long</v>
      </c>
      <c r="G101" s="3" t="str">
        <f>IF(ABS(Finance_Data!I97*Finance_Data!J97)-Finance_Data!K97&lt;1,"Valid","Invalid")</f>
        <v>Valid</v>
      </c>
      <c r="H101" s="3" t="str">
        <f>IF(Finance_Data!L97&gt;0,"Valid","Invalid")</f>
        <v>Valid</v>
      </c>
      <c r="I101" s="3" t="str">
        <f>IF(Finance_Data!L97&gt;=Finance_Data!M97,"Valid","Invalid")</f>
        <v>Valid</v>
      </c>
      <c r="J101" s="3" t="str">
        <f>IF(AND(Finance_Data!I97&gt;=0,Finance_Data!K97&gt;=0),"Valid","Invalid")</f>
        <v>Valid</v>
      </c>
      <c r="K101" s="3" t="str">
        <f>IF(Finance_Data!N97&gt;=0,"Valid","Invalid")</f>
        <v>Valid</v>
      </c>
      <c r="L101" s="3" t="str">
        <f>IF(TEXT(Finance_Data!G97,"mmmm")=Finance_Data!P97,"Valid","Invalid")</f>
        <v>Valid</v>
      </c>
      <c r="M101" s="3" t="str">
        <f>IF("Q"&amp;ROUNDUP(MONTH(Finance_Data!G97)/3,0)=Finance_Data!Q97,"Valid","Invalid")</f>
        <v>Valid</v>
      </c>
      <c r="N101" s="7" t="str">
        <f t="shared" si="1"/>
        <v>Pass</v>
      </c>
    </row>
    <row r="102" spans="1:14" x14ac:dyDescent="0.35">
      <c r="A102" s="17" t="s">
        <v>104</v>
      </c>
      <c r="B102" s="3" t="str">
        <f>IF(ISBLANK(Table3[[#This Row],[Campaign_ID]]),"Invalid","Valid")</f>
        <v>Valid</v>
      </c>
      <c r="C102" s="3" t="str">
        <f>IF(COUNTA(Finance_Data!A98:R98)=18,"Valid","Missing")</f>
        <v>Valid</v>
      </c>
      <c r="D102" s="3" t="str">
        <f>IF(COUNTIF(Finance_Data!$T$2:$T$1001,Finance_Data!T98)&gt;1,"Duplicate","Valid")</f>
        <v>Valid</v>
      </c>
      <c r="E102" s="3" t="str">
        <f>IF(Finance_Data!H98&gt;Finance_Data!G98,"Valid","Invalid")</f>
        <v>Valid</v>
      </c>
      <c r="F102" s="3" t="str" cm="1">
        <f t="array" ref="F102">_xlfn.IFS(Finance_Data!S98&lt;7,"Short",Finance_Data!S98&lt;=30,"Normal",Finance_Data!S98&lt;=60,"Long",Finance_Data!S98&gt;60,"Very Long")</f>
        <v>Normal</v>
      </c>
      <c r="G102" s="3" t="str">
        <f>IF(ABS(Finance_Data!I98*Finance_Data!J98)-Finance_Data!K98&lt;1,"Valid","Invalid")</f>
        <v>Valid</v>
      </c>
      <c r="H102" s="3" t="str">
        <f>IF(Finance_Data!L98&gt;0,"Valid","Invalid")</f>
        <v>Valid</v>
      </c>
      <c r="I102" s="3" t="str">
        <f>IF(Finance_Data!L98&gt;=Finance_Data!M98,"Valid","Invalid")</f>
        <v>Valid</v>
      </c>
      <c r="J102" s="3" t="str">
        <f>IF(AND(Finance_Data!I98&gt;=0,Finance_Data!K98&gt;=0),"Valid","Invalid")</f>
        <v>Valid</v>
      </c>
      <c r="K102" s="3" t="str">
        <f>IF(Finance_Data!N98&gt;=0,"Valid","Invalid")</f>
        <v>Valid</v>
      </c>
      <c r="L102" s="3" t="str">
        <f>IF(TEXT(Finance_Data!G98,"mmmm")=Finance_Data!P98,"Valid","Invalid")</f>
        <v>Valid</v>
      </c>
      <c r="M102" s="3" t="str">
        <f>IF("Q"&amp;ROUNDUP(MONTH(Finance_Data!G98)/3,0)=Finance_Data!Q98,"Valid","Invalid")</f>
        <v>Valid</v>
      </c>
      <c r="N102" s="7" t="str">
        <f t="shared" si="1"/>
        <v>Pass</v>
      </c>
    </row>
    <row r="103" spans="1:14" x14ac:dyDescent="0.35">
      <c r="A103" s="17" t="s">
        <v>68</v>
      </c>
      <c r="B103" s="3" t="str">
        <f>IF(ISBLANK(Table3[[#This Row],[Campaign_ID]]),"Invalid","Valid")</f>
        <v>Valid</v>
      </c>
      <c r="C103" s="3" t="str">
        <f>IF(COUNTA(Finance_Data!A99:R99)=18,"Valid","Missing")</f>
        <v>Valid</v>
      </c>
      <c r="D103" s="3" t="str">
        <f>IF(COUNTIF(Finance_Data!$T$2:$T$1001,Finance_Data!T99)&gt;1,"Duplicate","Valid")</f>
        <v>Valid</v>
      </c>
      <c r="E103" s="3" t="str">
        <f>IF(Finance_Data!H99&gt;Finance_Data!G99,"Valid","Invalid")</f>
        <v>Valid</v>
      </c>
      <c r="F103" s="3" t="str" cm="1">
        <f t="array" ref="F103">_xlfn.IFS(Finance_Data!S99&lt;7,"Short",Finance_Data!S99&lt;=30,"Normal",Finance_Data!S99&lt;=60,"Long",Finance_Data!S99&gt;60,"Very Long")</f>
        <v>Normal</v>
      </c>
      <c r="G103" s="3" t="str">
        <f>IF(ABS(Finance_Data!I99*Finance_Data!J99)-Finance_Data!K99&lt;1,"Valid","Invalid")</f>
        <v>Valid</v>
      </c>
      <c r="H103" s="3" t="str">
        <f>IF(Finance_Data!L99&gt;0,"Valid","Invalid")</f>
        <v>Valid</v>
      </c>
      <c r="I103" s="3" t="str">
        <f>IF(Finance_Data!L99&gt;=Finance_Data!M99,"Valid","Invalid")</f>
        <v>Valid</v>
      </c>
      <c r="J103" s="3" t="str">
        <f>IF(AND(Finance_Data!I99&gt;=0,Finance_Data!K99&gt;=0),"Valid","Invalid")</f>
        <v>Valid</v>
      </c>
      <c r="K103" s="3" t="str">
        <f>IF(Finance_Data!N99&gt;=0,"Valid","Invalid")</f>
        <v>Valid</v>
      </c>
      <c r="L103" s="3" t="str">
        <f>IF(TEXT(Finance_Data!G99,"mmmm")=Finance_Data!P99,"Valid","Invalid")</f>
        <v>Valid</v>
      </c>
      <c r="M103" s="3" t="str">
        <f>IF("Q"&amp;ROUNDUP(MONTH(Finance_Data!G99)/3,0)=Finance_Data!Q99,"Valid","Invalid")</f>
        <v>Valid</v>
      </c>
      <c r="N103" s="7" t="str">
        <f t="shared" si="1"/>
        <v>Pass</v>
      </c>
    </row>
    <row r="104" spans="1:14" x14ac:dyDescent="0.35">
      <c r="A104" s="17" t="s">
        <v>93</v>
      </c>
      <c r="B104" s="3" t="str">
        <f>IF(ISBLANK(Table3[[#This Row],[Campaign_ID]]),"Invalid","Valid")</f>
        <v>Valid</v>
      </c>
      <c r="C104" s="3" t="str">
        <f>IF(COUNTA(Finance_Data!A100:R100)=18,"Valid","Missing")</f>
        <v>Valid</v>
      </c>
      <c r="D104" s="3" t="str">
        <f>IF(COUNTIF(Finance_Data!$T$2:$T$1001,Finance_Data!T100)&gt;1,"Duplicate","Valid")</f>
        <v>Valid</v>
      </c>
      <c r="E104" s="3" t="str">
        <f>IF(Finance_Data!H100&gt;Finance_Data!G100,"Valid","Invalid")</f>
        <v>Valid</v>
      </c>
      <c r="F104" s="3" t="str" cm="1">
        <f t="array" ref="F104">_xlfn.IFS(Finance_Data!S100&lt;7,"Short",Finance_Data!S100&lt;=30,"Normal",Finance_Data!S100&lt;=60,"Long",Finance_Data!S100&gt;60,"Very Long")</f>
        <v>Normal</v>
      </c>
      <c r="G104" s="3" t="str">
        <f>IF(ABS(Finance_Data!I100*Finance_Data!J100)-Finance_Data!K100&lt;1,"Valid","Invalid")</f>
        <v>Valid</v>
      </c>
      <c r="H104" s="3" t="str">
        <f>IF(Finance_Data!L100&gt;0,"Valid","Invalid")</f>
        <v>Valid</v>
      </c>
      <c r="I104" s="3" t="str">
        <f>IF(Finance_Data!L100&gt;=Finance_Data!M100,"Valid","Invalid")</f>
        <v>Valid</v>
      </c>
      <c r="J104" s="3" t="str">
        <f>IF(AND(Finance_Data!I100&gt;=0,Finance_Data!K100&gt;=0),"Valid","Invalid")</f>
        <v>Valid</v>
      </c>
      <c r="K104" s="3" t="str">
        <f>IF(Finance_Data!N100&gt;=0,"Valid","Invalid")</f>
        <v>Valid</v>
      </c>
      <c r="L104" s="3" t="str">
        <f>IF(TEXT(Finance_Data!G100,"mmmm")=Finance_Data!P100,"Valid","Invalid")</f>
        <v>Valid</v>
      </c>
      <c r="M104" s="3" t="str">
        <f>IF("Q"&amp;ROUNDUP(MONTH(Finance_Data!G100)/3,0)=Finance_Data!Q100,"Valid","Invalid")</f>
        <v>Valid</v>
      </c>
      <c r="N104" s="7" t="str">
        <f t="shared" si="1"/>
        <v>Pass</v>
      </c>
    </row>
    <row r="105" spans="1:14" x14ac:dyDescent="0.35">
      <c r="A105" s="17" t="s">
        <v>87</v>
      </c>
      <c r="B105" s="3" t="str">
        <f>IF(ISBLANK(Table3[[#This Row],[Campaign_ID]]),"Invalid","Valid")</f>
        <v>Valid</v>
      </c>
      <c r="C105" s="3" t="str">
        <f>IF(COUNTA(Finance_Data!A101:R101)=18,"Valid","Missing")</f>
        <v>Valid</v>
      </c>
      <c r="D105" s="3" t="str">
        <f>IF(COUNTIF(Finance_Data!$T$2:$T$1001,Finance_Data!T101)&gt;1,"Duplicate","Valid")</f>
        <v>Valid</v>
      </c>
      <c r="E105" s="3" t="str">
        <f>IF(Finance_Data!H101&gt;Finance_Data!G101,"Valid","Invalid")</f>
        <v>Valid</v>
      </c>
      <c r="F105" s="3" t="str" cm="1">
        <f t="array" ref="F105">_xlfn.IFS(Finance_Data!S101&lt;7,"Short",Finance_Data!S101&lt;=30,"Normal",Finance_Data!S101&lt;=60,"Long",Finance_Data!S101&gt;60,"Very Long")</f>
        <v>Long</v>
      </c>
      <c r="G105" s="3" t="str">
        <f>IF(ABS(Finance_Data!I101*Finance_Data!J101)-Finance_Data!K101&lt;1,"Valid","Invalid")</f>
        <v>Valid</v>
      </c>
      <c r="H105" s="3" t="str">
        <f>IF(Finance_Data!L101&gt;0,"Valid","Invalid")</f>
        <v>Valid</v>
      </c>
      <c r="I105" s="3" t="str">
        <f>IF(Finance_Data!L101&gt;=Finance_Data!M101,"Valid","Invalid")</f>
        <v>Valid</v>
      </c>
      <c r="J105" s="3" t="str">
        <f>IF(AND(Finance_Data!I101&gt;=0,Finance_Data!K101&gt;=0),"Valid","Invalid")</f>
        <v>Valid</v>
      </c>
      <c r="K105" s="3" t="str">
        <f>IF(Finance_Data!N101&gt;=0,"Valid","Invalid")</f>
        <v>Valid</v>
      </c>
      <c r="L105" s="3" t="str">
        <f>IF(TEXT(Finance_Data!G101,"mmmm")=Finance_Data!P101,"Valid","Invalid")</f>
        <v>Valid</v>
      </c>
      <c r="M105" s="3" t="str">
        <f>IF("Q"&amp;ROUNDUP(MONTH(Finance_Data!G101)/3,0)=Finance_Data!Q101,"Valid","Invalid")</f>
        <v>Valid</v>
      </c>
      <c r="N105" s="7" t="str">
        <f t="shared" si="1"/>
        <v>Pass</v>
      </c>
    </row>
    <row r="106" spans="1:14" x14ac:dyDescent="0.35">
      <c r="A106" s="17" t="s">
        <v>116</v>
      </c>
      <c r="B106" s="3" t="str">
        <f>IF(ISBLANK(Table3[[#This Row],[Campaign_ID]]),"Invalid","Valid")</f>
        <v>Valid</v>
      </c>
      <c r="C106" s="3" t="str">
        <f>IF(COUNTA(Finance_Data!A102:R102)=18,"Valid","Missing")</f>
        <v>Valid</v>
      </c>
      <c r="D106" s="3" t="str">
        <f>IF(COUNTIF(Finance_Data!$T$2:$T$1001,Finance_Data!T102)&gt;1,"Duplicate","Valid")</f>
        <v>Valid</v>
      </c>
      <c r="E106" s="3" t="str">
        <f>IF(Finance_Data!H102&gt;Finance_Data!G102,"Valid","Invalid")</f>
        <v>Valid</v>
      </c>
      <c r="F106" s="3" t="str" cm="1">
        <f t="array" ref="F106">_xlfn.IFS(Finance_Data!S102&lt;7,"Short",Finance_Data!S102&lt;=30,"Normal",Finance_Data!S102&lt;=60,"Long",Finance_Data!S102&gt;60,"Very Long")</f>
        <v>Normal</v>
      </c>
      <c r="G106" s="3" t="str">
        <f>IF(ABS(Finance_Data!I102*Finance_Data!J102)-Finance_Data!K102&lt;1,"Valid","Invalid")</f>
        <v>Valid</v>
      </c>
      <c r="H106" s="3" t="str">
        <f>IF(Finance_Data!L102&gt;0,"Valid","Invalid")</f>
        <v>Valid</v>
      </c>
      <c r="I106" s="3" t="str">
        <f>IF(Finance_Data!L102&gt;=Finance_Data!M102,"Valid","Invalid")</f>
        <v>Valid</v>
      </c>
      <c r="J106" s="3" t="str">
        <f>IF(AND(Finance_Data!I102&gt;=0,Finance_Data!K102&gt;=0),"Valid","Invalid")</f>
        <v>Valid</v>
      </c>
      <c r="K106" s="3" t="str">
        <f>IF(Finance_Data!N102&gt;=0,"Valid","Invalid")</f>
        <v>Valid</v>
      </c>
      <c r="L106" s="3" t="str">
        <f>IF(TEXT(Finance_Data!G102,"mmmm")=Finance_Data!P102,"Valid","Invalid")</f>
        <v>Valid</v>
      </c>
      <c r="M106" s="3" t="str">
        <f>IF("Q"&amp;ROUNDUP(MONTH(Finance_Data!G102)/3,0)=Finance_Data!Q102,"Valid","Invalid")</f>
        <v>Valid</v>
      </c>
      <c r="N106" s="7" t="str">
        <f t="shared" si="1"/>
        <v>Pass</v>
      </c>
    </row>
    <row r="107" spans="1:14" x14ac:dyDescent="0.35">
      <c r="A107" s="17" t="s">
        <v>57</v>
      </c>
      <c r="B107" s="3" t="str">
        <f>IF(ISBLANK(Table3[[#This Row],[Campaign_ID]]),"Invalid","Valid")</f>
        <v>Valid</v>
      </c>
      <c r="C107" s="3" t="str">
        <f>IF(COUNTA(Finance_Data!A103:R103)=18,"Valid","Missing")</f>
        <v>Valid</v>
      </c>
      <c r="D107" s="3" t="str">
        <f>IF(COUNTIF(Finance_Data!$T$2:$T$1001,Finance_Data!T103)&gt;1,"Duplicate","Valid")</f>
        <v>Valid</v>
      </c>
      <c r="E107" s="3" t="str">
        <f>IF(Finance_Data!H103&gt;Finance_Data!G103,"Valid","Invalid")</f>
        <v>Valid</v>
      </c>
      <c r="F107" s="3" t="str" cm="1">
        <f t="array" ref="F107">_xlfn.IFS(Finance_Data!S103&lt;7,"Short",Finance_Data!S103&lt;=30,"Normal",Finance_Data!S103&lt;=60,"Long",Finance_Data!S103&gt;60,"Very Long")</f>
        <v>Normal</v>
      </c>
      <c r="G107" s="3" t="str">
        <f>IF(ABS(Finance_Data!I103*Finance_Data!J103)-Finance_Data!K103&lt;1,"Valid","Invalid")</f>
        <v>Valid</v>
      </c>
      <c r="H107" s="3" t="str">
        <f>IF(Finance_Data!L103&gt;0,"Valid","Invalid")</f>
        <v>Valid</v>
      </c>
      <c r="I107" s="3" t="str">
        <f>IF(Finance_Data!L103&gt;=Finance_Data!M103,"Valid","Invalid")</f>
        <v>Valid</v>
      </c>
      <c r="J107" s="3" t="str">
        <f>IF(AND(Finance_Data!I103&gt;=0,Finance_Data!K103&gt;=0),"Valid","Invalid")</f>
        <v>Valid</v>
      </c>
      <c r="K107" s="3" t="str">
        <f>IF(Finance_Data!N103&gt;=0,"Valid","Invalid")</f>
        <v>Valid</v>
      </c>
      <c r="L107" s="3" t="str">
        <f>IF(TEXT(Finance_Data!G103,"mmmm")=Finance_Data!P103,"Valid","Invalid")</f>
        <v>Valid</v>
      </c>
      <c r="M107" s="3" t="str">
        <f>IF("Q"&amp;ROUNDUP(MONTH(Finance_Data!G103)/3,0)=Finance_Data!Q103,"Valid","Invalid")</f>
        <v>Valid</v>
      </c>
      <c r="N107" s="7" t="str">
        <f t="shared" si="1"/>
        <v>Pass</v>
      </c>
    </row>
    <row r="108" spans="1:14" x14ac:dyDescent="0.35">
      <c r="A108" s="17" t="s">
        <v>106</v>
      </c>
      <c r="B108" s="3" t="str">
        <f>IF(ISBLANK(Table3[[#This Row],[Campaign_ID]]),"Invalid","Valid")</f>
        <v>Valid</v>
      </c>
      <c r="C108" s="3" t="str">
        <f>IF(COUNTA(Finance_Data!A104:R104)=18,"Valid","Missing")</f>
        <v>Valid</v>
      </c>
      <c r="D108" s="3" t="str">
        <f>IF(COUNTIF(Finance_Data!$T$2:$T$1001,Finance_Data!T104)&gt;1,"Duplicate","Valid")</f>
        <v>Valid</v>
      </c>
      <c r="E108" s="3" t="str">
        <f>IF(Finance_Data!H104&gt;Finance_Data!G104,"Valid","Invalid")</f>
        <v>Valid</v>
      </c>
      <c r="F108" s="3" t="str" cm="1">
        <f t="array" ref="F108">_xlfn.IFS(Finance_Data!S104&lt;7,"Short",Finance_Data!S104&lt;=30,"Normal",Finance_Data!S104&lt;=60,"Long",Finance_Data!S104&gt;60,"Very Long")</f>
        <v>Long</v>
      </c>
      <c r="G108" s="3" t="str">
        <f>IF(ABS(Finance_Data!I104*Finance_Data!J104)-Finance_Data!K104&lt;1,"Valid","Invalid")</f>
        <v>Valid</v>
      </c>
      <c r="H108" s="3" t="str">
        <f>IF(Finance_Data!L104&gt;0,"Valid","Invalid")</f>
        <v>Valid</v>
      </c>
      <c r="I108" s="3" t="str">
        <f>IF(Finance_Data!L104&gt;=Finance_Data!M104,"Valid","Invalid")</f>
        <v>Valid</v>
      </c>
      <c r="J108" s="3" t="str">
        <f>IF(AND(Finance_Data!I104&gt;=0,Finance_Data!K104&gt;=0),"Valid","Invalid")</f>
        <v>Valid</v>
      </c>
      <c r="K108" s="3" t="str">
        <f>IF(Finance_Data!N104&gt;=0,"Valid","Invalid")</f>
        <v>Valid</v>
      </c>
      <c r="L108" s="3" t="str">
        <f>IF(TEXT(Finance_Data!G104,"mmmm")=Finance_Data!P104,"Valid","Invalid")</f>
        <v>Valid</v>
      </c>
      <c r="M108" s="3" t="str">
        <f>IF("Q"&amp;ROUNDUP(MONTH(Finance_Data!G104)/3,0)=Finance_Data!Q104,"Valid","Invalid")</f>
        <v>Valid</v>
      </c>
      <c r="N108" s="7" t="str">
        <f t="shared" si="1"/>
        <v>Pass</v>
      </c>
    </row>
    <row r="109" spans="1:14" x14ac:dyDescent="0.35">
      <c r="A109" s="17" t="s">
        <v>108</v>
      </c>
      <c r="B109" s="3" t="str">
        <f>IF(ISBLANK(Table3[[#This Row],[Campaign_ID]]),"Invalid","Valid")</f>
        <v>Valid</v>
      </c>
      <c r="C109" s="3" t="str">
        <f>IF(COUNTA(Finance_Data!A105:R105)=18,"Valid","Missing")</f>
        <v>Valid</v>
      </c>
      <c r="D109" s="3" t="str">
        <f>IF(COUNTIF(Finance_Data!$T$2:$T$1001,Finance_Data!T105)&gt;1,"Duplicate","Valid")</f>
        <v>Valid</v>
      </c>
      <c r="E109" s="3" t="str">
        <f>IF(Finance_Data!H105&gt;Finance_Data!G105,"Valid","Invalid")</f>
        <v>Valid</v>
      </c>
      <c r="F109" s="3" t="str" cm="1">
        <f t="array" ref="F109">_xlfn.IFS(Finance_Data!S105&lt;7,"Short",Finance_Data!S105&lt;=30,"Normal",Finance_Data!S105&lt;=60,"Long",Finance_Data!S105&gt;60,"Very Long")</f>
        <v>Long</v>
      </c>
      <c r="G109" s="3" t="str">
        <f>IF(ABS(Finance_Data!I105*Finance_Data!J105)-Finance_Data!K105&lt;1,"Valid","Invalid")</f>
        <v>Valid</v>
      </c>
      <c r="H109" s="3" t="str">
        <f>IF(Finance_Data!L105&gt;0,"Valid","Invalid")</f>
        <v>Valid</v>
      </c>
      <c r="I109" s="3" t="str">
        <f>IF(Finance_Data!L105&gt;=Finance_Data!M105,"Valid","Invalid")</f>
        <v>Valid</v>
      </c>
      <c r="J109" s="3" t="str">
        <f>IF(AND(Finance_Data!I105&gt;=0,Finance_Data!K105&gt;=0),"Valid","Invalid")</f>
        <v>Valid</v>
      </c>
      <c r="K109" s="3" t="str">
        <f>IF(Finance_Data!N105&gt;=0,"Valid","Invalid")</f>
        <v>Valid</v>
      </c>
      <c r="L109" s="3" t="str">
        <f>IF(TEXT(Finance_Data!G105,"mmmm")=Finance_Data!P105,"Valid","Invalid")</f>
        <v>Valid</v>
      </c>
      <c r="M109" s="3" t="str">
        <f>IF("Q"&amp;ROUNDUP(MONTH(Finance_Data!G105)/3,0)=Finance_Data!Q105,"Valid","Invalid")</f>
        <v>Valid</v>
      </c>
      <c r="N109" s="7" t="str">
        <f t="shared" si="1"/>
        <v>Pass</v>
      </c>
    </row>
    <row r="110" spans="1:14" x14ac:dyDescent="0.35">
      <c r="A110" s="17" t="s">
        <v>112</v>
      </c>
      <c r="B110" s="3" t="str">
        <f>IF(ISBLANK(Table3[[#This Row],[Campaign_ID]]),"Invalid","Valid")</f>
        <v>Valid</v>
      </c>
      <c r="C110" s="3" t="str">
        <f>IF(COUNTA(Finance_Data!A106:R106)=18,"Valid","Missing")</f>
        <v>Valid</v>
      </c>
      <c r="D110" s="3" t="str">
        <f>IF(COUNTIF(Finance_Data!$T$2:$T$1001,Finance_Data!T106)&gt;1,"Duplicate","Valid")</f>
        <v>Valid</v>
      </c>
      <c r="E110" s="3" t="str">
        <f>IF(Finance_Data!H106&gt;Finance_Data!G106,"Valid","Invalid")</f>
        <v>Valid</v>
      </c>
      <c r="F110" s="3" t="str" cm="1">
        <f t="array" ref="F110">_xlfn.IFS(Finance_Data!S106&lt;7,"Short",Finance_Data!S106&lt;=30,"Normal",Finance_Data!S106&lt;=60,"Long",Finance_Data!S106&gt;60,"Very Long")</f>
        <v>Long</v>
      </c>
      <c r="G110" s="3" t="str">
        <f>IF(ABS(Finance_Data!I106*Finance_Data!J106)-Finance_Data!K106&lt;1,"Valid","Invalid")</f>
        <v>Valid</v>
      </c>
      <c r="H110" s="3" t="str">
        <f>IF(Finance_Data!L106&gt;0,"Valid","Invalid")</f>
        <v>Valid</v>
      </c>
      <c r="I110" s="3" t="str">
        <f>IF(Finance_Data!L106&gt;=Finance_Data!M106,"Valid","Invalid")</f>
        <v>Valid</v>
      </c>
      <c r="J110" s="3" t="str">
        <f>IF(AND(Finance_Data!I106&gt;=0,Finance_Data!K106&gt;=0),"Valid","Invalid")</f>
        <v>Valid</v>
      </c>
      <c r="K110" s="3" t="str">
        <f>IF(Finance_Data!N106&gt;=0,"Valid","Invalid")</f>
        <v>Valid</v>
      </c>
      <c r="L110" s="3" t="str">
        <f>IF(TEXT(Finance_Data!G106,"mmmm")=Finance_Data!P106,"Valid","Invalid")</f>
        <v>Valid</v>
      </c>
      <c r="M110" s="3" t="str">
        <f>IF("Q"&amp;ROUNDUP(MONTH(Finance_Data!G106)/3,0)=Finance_Data!Q106,"Valid","Invalid")</f>
        <v>Valid</v>
      </c>
      <c r="N110" s="7" t="str">
        <f t="shared" si="1"/>
        <v>Pass</v>
      </c>
    </row>
    <row r="111" spans="1:14" x14ac:dyDescent="0.35">
      <c r="A111" s="17" t="s">
        <v>50</v>
      </c>
      <c r="B111" s="3" t="str">
        <f>IF(ISBLANK(Table3[[#This Row],[Campaign_ID]]),"Invalid","Valid")</f>
        <v>Valid</v>
      </c>
      <c r="C111" s="3" t="str">
        <f>IF(COUNTA(Finance_Data!A107:R107)=18,"Valid","Missing")</f>
        <v>Valid</v>
      </c>
      <c r="D111" s="3" t="str">
        <f>IF(COUNTIF(Finance_Data!$T$2:$T$1001,Finance_Data!T107)&gt;1,"Duplicate","Valid")</f>
        <v>Valid</v>
      </c>
      <c r="E111" s="3" t="str">
        <f>IF(Finance_Data!H107&gt;Finance_Data!G107,"Valid","Invalid")</f>
        <v>Valid</v>
      </c>
      <c r="F111" s="3" t="str" cm="1">
        <f t="array" ref="F111">_xlfn.IFS(Finance_Data!S107&lt;7,"Short",Finance_Data!S107&lt;=30,"Normal",Finance_Data!S107&lt;=60,"Long",Finance_Data!S107&gt;60,"Very Long")</f>
        <v>Long</v>
      </c>
      <c r="G111" s="3" t="str">
        <f>IF(ABS(Finance_Data!I107*Finance_Data!J107)-Finance_Data!K107&lt;1,"Valid","Invalid")</f>
        <v>Valid</v>
      </c>
      <c r="H111" s="3" t="str">
        <f>IF(Finance_Data!L107&gt;0,"Valid","Invalid")</f>
        <v>Valid</v>
      </c>
      <c r="I111" s="3" t="str">
        <f>IF(Finance_Data!L107&gt;=Finance_Data!M107,"Valid","Invalid")</f>
        <v>Valid</v>
      </c>
      <c r="J111" s="3" t="str">
        <f>IF(AND(Finance_Data!I107&gt;=0,Finance_Data!K107&gt;=0),"Valid","Invalid")</f>
        <v>Valid</v>
      </c>
      <c r="K111" s="3" t="str">
        <f>IF(Finance_Data!N107&gt;=0,"Valid","Invalid")</f>
        <v>Valid</v>
      </c>
      <c r="L111" s="3" t="str">
        <f>IF(TEXT(Finance_Data!G107,"mmmm")=Finance_Data!P107,"Valid","Invalid")</f>
        <v>Valid</v>
      </c>
      <c r="M111" s="3" t="str">
        <f>IF("Q"&amp;ROUNDUP(MONTH(Finance_Data!G107)/3,0)=Finance_Data!Q107,"Valid","Invalid")</f>
        <v>Valid</v>
      </c>
      <c r="N111" s="7" t="str">
        <f t="shared" si="1"/>
        <v>Pass</v>
      </c>
    </row>
    <row r="112" spans="1:14" x14ac:dyDescent="0.35">
      <c r="A112" s="17" t="s">
        <v>66</v>
      </c>
      <c r="B112" s="3" t="str">
        <f>IF(ISBLANK(Table3[[#This Row],[Campaign_ID]]),"Invalid","Valid")</f>
        <v>Valid</v>
      </c>
      <c r="C112" s="3" t="str">
        <f>IF(COUNTA(Finance_Data!A108:R108)=18,"Valid","Missing")</f>
        <v>Valid</v>
      </c>
      <c r="D112" s="3" t="str">
        <f>IF(COUNTIF(Finance_Data!$T$2:$T$1001,Finance_Data!T108)&gt;1,"Duplicate","Valid")</f>
        <v>Valid</v>
      </c>
      <c r="E112" s="3" t="str">
        <f>IF(Finance_Data!H108&gt;Finance_Data!G108,"Valid","Invalid")</f>
        <v>Valid</v>
      </c>
      <c r="F112" s="3" t="str" cm="1">
        <f t="array" ref="F112">_xlfn.IFS(Finance_Data!S108&lt;7,"Short",Finance_Data!S108&lt;=30,"Normal",Finance_Data!S108&lt;=60,"Long",Finance_Data!S108&gt;60,"Very Long")</f>
        <v>Long</v>
      </c>
      <c r="G112" s="3" t="str">
        <f>IF(ABS(Finance_Data!I108*Finance_Data!J108)-Finance_Data!K108&lt;1,"Valid","Invalid")</f>
        <v>Valid</v>
      </c>
      <c r="H112" s="3" t="str">
        <f>IF(Finance_Data!L108&gt;0,"Valid","Invalid")</f>
        <v>Valid</v>
      </c>
      <c r="I112" s="3" t="str">
        <f>IF(Finance_Data!L108&gt;=Finance_Data!M108,"Valid","Invalid")</f>
        <v>Valid</v>
      </c>
      <c r="J112" s="3" t="str">
        <f>IF(AND(Finance_Data!I108&gt;=0,Finance_Data!K108&gt;=0),"Valid","Invalid")</f>
        <v>Valid</v>
      </c>
      <c r="K112" s="3" t="str">
        <f>IF(Finance_Data!N108&gt;=0,"Valid","Invalid")</f>
        <v>Valid</v>
      </c>
      <c r="L112" s="3" t="str">
        <f>IF(TEXT(Finance_Data!G108,"mmmm")=Finance_Data!P108,"Valid","Invalid")</f>
        <v>Valid</v>
      </c>
      <c r="M112" s="3" t="str">
        <f>IF("Q"&amp;ROUNDUP(MONTH(Finance_Data!G108)/3,0)=Finance_Data!Q108,"Valid","Invalid")</f>
        <v>Valid</v>
      </c>
      <c r="N112" s="7" t="str">
        <f t="shared" si="1"/>
        <v>Pass</v>
      </c>
    </row>
    <row r="113" spans="1:14" x14ac:dyDescent="0.35">
      <c r="A113" s="17" t="s">
        <v>75</v>
      </c>
      <c r="B113" s="3" t="str">
        <f>IF(ISBLANK(Table3[[#This Row],[Campaign_ID]]),"Invalid","Valid")</f>
        <v>Valid</v>
      </c>
      <c r="C113" s="3" t="str">
        <f>IF(COUNTA(Finance_Data!A109:R109)=18,"Valid","Missing")</f>
        <v>Valid</v>
      </c>
      <c r="D113" s="3" t="str">
        <f>IF(COUNTIF(Finance_Data!$T$2:$T$1001,Finance_Data!T109)&gt;1,"Duplicate","Valid")</f>
        <v>Valid</v>
      </c>
      <c r="E113" s="3" t="str">
        <f>IF(Finance_Data!H109&gt;Finance_Data!G109,"Valid","Invalid")</f>
        <v>Valid</v>
      </c>
      <c r="F113" s="3" t="str" cm="1">
        <f t="array" ref="F113">_xlfn.IFS(Finance_Data!S109&lt;7,"Short",Finance_Data!S109&lt;=30,"Normal",Finance_Data!S109&lt;=60,"Long",Finance_Data!S109&gt;60,"Very Long")</f>
        <v>Long</v>
      </c>
      <c r="G113" s="3" t="str">
        <f>IF(ABS(Finance_Data!I109*Finance_Data!J109)-Finance_Data!K109&lt;1,"Valid","Invalid")</f>
        <v>Valid</v>
      </c>
      <c r="H113" s="3" t="str">
        <f>IF(Finance_Data!L109&gt;0,"Valid","Invalid")</f>
        <v>Valid</v>
      </c>
      <c r="I113" s="3" t="str">
        <f>IF(Finance_Data!L109&gt;=Finance_Data!M109,"Valid","Invalid")</f>
        <v>Valid</v>
      </c>
      <c r="J113" s="3" t="str">
        <f>IF(AND(Finance_Data!I109&gt;=0,Finance_Data!K109&gt;=0),"Valid","Invalid")</f>
        <v>Valid</v>
      </c>
      <c r="K113" s="3" t="str">
        <f>IF(Finance_Data!N109&gt;=0,"Valid","Invalid")</f>
        <v>Valid</v>
      </c>
      <c r="L113" s="3" t="str">
        <f>IF(TEXT(Finance_Data!G109,"mmmm")=Finance_Data!P109,"Valid","Invalid")</f>
        <v>Valid</v>
      </c>
      <c r="M113" s="3" t="str">
        <f>IF("Q"&amp;ROUNDUP(MONTH(Finance_Data!G109)/3,0)=Finance_Data!Q109,"Valid","Invalid")</f>
        <v>Valid</v>
      </c>
      <c r="N113" s="7" t="str">
        <f t="shared" si="1"/>
        <v>Pass</v>
      </c>
    </row>
    <row r="114" spans="1:14" x14ac:dyDescent="0.35">
      <c r="A114" s="17" t="s">
        <v>66</v>
      </c>
      <c r="B114" s="3" t="str">
        <f>IF(ISBLANK(Table3[[#This Row],[Campaign_ID]]),"Invalid","Valid")</f>
        <v>Valid</v>
      </c>
      <c r="C114" s="3" t="str">
        <f>IF(COUNTA(Finance_Data!A110:R110)=18,"Valid","Missing")</f>
        <v>Valid</v>
      </c>
      <c r="D114" s="3" t="str">
        <f>IF(COUNTIF(Finance_Data!$T$2:$T$1001,Finance_Data!T110)&gt;1,"Duplicate","Valid")</f>
        <v>Valid</v>
      </c>
      <c r="E114" s="3" t="str">
        <f>IF(Finance_Data!H110&gt;Finance_Data!G110,"Valid","Invalid")</f>
        <v>Valid</v>
      </c>
      <c r="F114" s="3" t="str" cm="1">
        <f t="array" ref="F114">_xlfn.IFS(Finance_Data!S110&lt;7,"Short",Finance_Data!S110&lt;=30,"Normal",Finance_Data!S110&lt;=60,"Long",Finance_Data!S110&gt;60,"Very Long")</f>
        <v>Normal</v>
      </c>
      <c r="G114" s="3" t="str">
        <f>IF(ABS(Finance_Data!I110*Finance_Data!J110)-Finance_Data!K110&lt;1,"Valid","Invalid")</f>
        <v>Valid</v>
      </c>
      <c r="H114" s="3" t="str">
        <f>IF(Finance_Data!L110&gt;0,"Valid","Invalid")</f>
        <v>Valid</v>
      </c>
      <c r="I114" s="3" t="str">
        <f>IF(Finance_Data!L110&gt;=Finance_Data!M110,"Valid","Invalid")</f>
        <v>Valid</v>
      </c>
      <c r="J114" s="3" t="str">
        <f>IF(AND(Finance_Data!I110&gt;=0,Finance_Data!K110&gt;=0),"Valid","Invalid")</f>
        <v>Valid</v>
      </c>
      <c r="K114" s="3" t="str">
        <f>IF(Finance_Data!N110&gt;=0,"Valid","Invalid")</f>
        <v>Valid</v>
      </c>
      <c r="L114" s="3" t="str">
        <f>IF(TEXT(Finance_Data!G110,"mmmm")=Finance_Data!P110,"Valid","Invalid")</f>
        <v>Valid</v>
      </c>
      <c r="M114" s="3" t="str">
        <f>IF("Q"&amp;ROUNDUP(MONTH(Finance_Data!G110)/3,0)=Finance_Data!Q110,"Valid","Invalid")</f>
        <v>Valid</v>
      </c>
      <c r="N114" s="7" t="str">
        <f t="shared" si="1"/>
        <v>Pass</v>
      </c>
    </row>
    <row r="115" spans="1:14" x14ac:dyDescent="0.35">
      <c r="A115" s="17" t="s">
        <v>107</v>
      </c>
      <c r="B115" s="3" t="str">
        <f>IF(ISBLANK(Table3[[#This Row],[Campaign_ID]]),"Invalid","Valid")</f>
        <v>Valid</v>
      </c>
      <c r="C115" s="3" t="str">
        <f>IF(COUNTA(Finance_Data!A111:R111)=18,"Valid","Missing")</f>
        <v>Valid</v>
      </c>
      <c r="D115" s="3" t="str">
        <f>IF(COUNTIF(Finance_Data!$T$2:$T$1001,Finance_Data!T111)&gt;1,"Duplicate","Valid")</f>
        <v>Valid</v>
      </c>
      <c r="E115" s="3" t="str">
        <f>IF(Finance_Data!H111&gt;Finance_Data!G111,"Valid","Invalid")</f>
        <v>Valid</v>
      </c>
      <c r="F115" s="3" t="str" cm="1">
        <f t="array" ref="F115">_xlfn.IFS(Finance_Data!S111&lt;7,"Short",Finance_Data!S111&lt;=30,"Normal",Finance_Data!S111&lt;=60,"Long",Finance_Data!S111&gt;60,"Very Long")</f>
        <v>Normal</v>
      </c>
      <c r="G115" s="3" t="str">
        <f>IF(ABS(Finance_Data!I111*Finance_Data!J111)-Finance_Data!K111&lt;1,"Valid","Invalid")</f>
        <v>Valid</v>
      </c>
      <c r="H115" s="3" t="str">
        <f>IF(Finance_Data!L111&gt;0,"Valid","Invalid")</f>
        <v>Valid</v>
      </c>
      <c r="I115" s="3" t="str">
        <f>IF(Finance_Data!L111&gt;=Finance_Data!M111,"Valid","Invalid")</f>
        <v>Valid</v>
      </c>
      <c r="J115" s="3" t="str">
        <f>IF(AND(Finance_Data!I111&gt;=0,Finance_Data!K111&gt;=0),"Valid","Invalid")</f>
        <v>Valid</v>
      </c>
      <c r="K115" s="3" t="str">
        <f>IF(Finance_Data!N111&gt;=0,"Valid","Invalid")</f>
        <v>Valid</v>
      </c>
      <c r="L115" s="3" t="str">
        <f>IF(TEXT(Finance_Data!G111,"mmmm")=Finance_Data!P111,"Valid","Invalid")</f>
        <v>Valid</v>
      </c>
      <c r="M115" s="3" t="str">
        <f>IF("Q"&amp;ROUNDUP(MONTH(Finance_Data!G111)/3,0)=Finance_Data!Q111,"Valid","Invalid")</f>
        <v>Valid</v>
      </c>
      <c r="N115" s="7" t="str">
        <f t="shared" si="1"/>
        <v>Pass</v>
      </c>
    </row>
    <row r="116" spans="1:14" x14ac:dyDescent="0.35">
      <c r="A116" s="17" t="s">
        <v>57</v>
      </c>
      <c r="B116" s="3" t="str">
        <f>IF(ISBLANK(Table3[[#This Row],[Campaign_ID]]),"Invalid","Valid")</f>
        <v>Valid</v>
      </c>
      <c r="C116" s="3" t="str">
        <f>IF(COUNTA(Finance_Data!A112:R112)=18,"Valid","Missing")</f>
        <v>Valid</v>
      </c>
      <c r="D116" s="3" t="str">
        <f>IF(COUNTIF(Finance_Data!$T$2:$T$1001,Finance_Data!T112)&gt;1,"Duplicate","Valid")</f>
        <v>Valid</v>
      </c>
      <c r="E116" s="3" t="str">
        <f>IF(Finance_Data!H112&gt;Finance_Data!G112,"Valid","Invalid")</f>
        <v>Valid</v>
      </c>
      <c r="F116" s="3" t="str" cm="1">
        <f t="array" ref="F116">_xlfn.IFS(Finance_Data!S112&lt;7,"Short",Finance_Data!S112&lt;=30,"Normal",Finance_Data!S112&lt;=60,"Long",Finance_Data!S112&gt;60,"Very Long")</f>
        <v>Normal</v>
      </c>
      <c r="G116" s="3" t="str">
        <f>IF(ABS(Finance_Data!I112*Finance_Data!J112)-Finance_Data!K112&lt;1,"Valid","Invalid")</f>
        <v>Valid</v>
      </c>
      <c r="H116" s="3" t="str">
        <f>IF(Finance_Data!L112&gt;0,"Valid","Invalid")</f>
        <v>Valid</v>
      </c>
      <c r="I116" s="3" t="str">
        <f>IF(Finance_Data!L112&gt;=Finance_Data!M112,"Valid","Invalid")</f>
        <v>Valid</v>
      </c>
      <c r="J116" s="3" t="str">
        <f>IF(AND(Finance_Data!I112&gt;=0,Finance_Data!K112&gt;=0),"Valid","Invalid")</f>
        <v>Valid</v>
      </c>
      <c r="K116" s="3" t="str">
        <f>IF(Finance_Data!N112&gt;=0,"Valid","Invalid")</f>
        <v>Valid</v>
      </c>
      <c r="L116" s="3" t="str">
        <f>IF(TEXT(Finance_Data!G112,"mmmm")=Finance_Data!P112,"Valid","Invalid")</f>
        <v>Valid</v>
      </c>
      <c r="M116" s="3" t="str">
        <f>IF("Q"&amp;ROUNDUP(MONTH(Finance_Data!G112)/3,0)=Finance_Data!Q112,"Valid","Invalid")</f>
        <v>Valid</v>
      </c>
      <c r="N116" s="7" t="str">
        <f t="shared" si="1"/>
        <v>Pass</v>
      </c>
    </row>
    <row r="117" spans="1:14" x14ac:dyDescent="0.35">
      <c r="A117" s="17" t="s">
        <v>67</v>
      </c>
      <c r="B117" s="3" t="str">
        <f>IF(ISBLANK(Table3[[#This Row],[Campaign_ID]]),"Invalid","Valid")</f>
        <v>Valid</v>
      </c>
      <c r="C117" s="3" t="str">
        <f>IF(COUNTA(Finance_Data!A113:R113)=18,"Valid","Missing")</f>
        <v>Valid</v>
      </c>
      <c r="D117" s="3" t="str">
        <f>IF(COUNTIF(Finance_Data!$T$2:$T$1001,Finance_Data!T113)&gt;1,"Duplicate","Valid")</f>
        <v>Valid</v>
      </c>
      <c r="E117" s="3" t="str">
        <f>IF(Finance_Data!H113&gt;Finance_Data!G113,"Valid","Invalid")</f>
        <v>Valid</v>
      </c>
      <c r="F117" s="3" t="str" cm="1">
        <f t="array" ref="F117">_xlfn.IFS(Finance_Data!S113&lt;7,"Short",Finance_Data!S113&lt;=30,"Normal",Finance_Data!S113&lt;=60,"Long",Finance_Data!S113&gt;60,"Very Long")</f>
        <v>Normal</v>
      </c>
      <c r="G117" s="3" t="str">
        <f>IF(ABS(Finance_Data!I113*Finance_Data!J113)-Finance_Data!K113&lt;1,"Valid","Invalid")</f>
        <v>Valid</v>
      </c>
      <c r="H117" s="3" t="str">
        <f>IF(Finance_Data!L113&gt;0,"Valid","Invalid")</f>
        <v>Valid</v>
      </c>
      <c r="I117" s="3" t="str">
        <f>IF(Finance_Data!L113&gt;=Finance_Data!M113,"Valid","Invalid")</f>
        <v>Valid</v>
      </c>
      <c r="J117" s="3" t="str">
        <f>IF(AND(Finance_Data!I113&gt;=0,Finance_Data!K113&gt;=0),"Valid","Invalid")</f>
        <v>Valid</v>
      </c>
      <c r="K117" s="3" t="str">
        <f>IF(Finance_Data!N113&gt;=0,"Valid","Invalid")</f>
        <v>Valid</v>
      </c>
      <c r="L117" s="3" t="str">
        <f>IF(TEXT(Finance_Data!G113,"mmmm")=Finance_Data!P113,"Valid","Invalid")</f>
        <v>Valid</v>
      </c>
      <c r="M117" s="3" t="str">
        <f>IF("Q"&amp;ROUNDUP(MONTH(Finance_Data!G113)/3,0)=Finance_Data!Q113,"Valid","Invalid")</f>
        <v>Valid</v>
      </c>
      <c r="N117" s="7" t="str">
        <f t="shared" si="1"/>
        <v>Pass</v>
      </c>
    </row>
    <row r="118" spans="1:14" x14ac:dyDescent="0.35">
      <c r="A118" s="17" t="s">
        <v>71</v>
      </c>
      <c r="B118" s="3" t="str">
        <f>IF(ISBLANK(Table3[[#This Row],[Campaign_ID]]),"Invalid","Valid")</f>
        <v>Valid</v>
      </c>
      <c r="C118" s="3" t="str">
        <f>IF(COUNTA(Finance_Data!A114:R114)=18,"Valid","Missing")</f>
        <v>Valid</v>
      </c>
      <c r="D118" s="3" t="str">
        <f>IF(COUNTIF(Finance_Data!$T$2:$T$1001,Finance_Data!T114)&gt;1,"Duplicate","Valid")</f>
        <v>Valid</v>
      </c>
      <c r="E118" s="3" t="str">
        <f>IF(Finance_Data!H114&gt;Finance_Data!G114,"Valid","Invalid")</f>
        <v>Valid</v>
      </c>
      <c r="F118" s="3" t="str" cm="1">
        <f t="array" ref="F118">_xlfn.IFS(Finance_Data!S114&lt;7,"Short",Finance_Data!S114&lt;=30,"Normal",Finance_Data!S114&lt;=60,"Long",Finance_Data!S114&gt;60,"Very Long")</f>
        <v>Long</v>
      </c>
      <c r="G118" s="3" t="str">
        <f>IF(ABS(Finance_Data!I114*Finance_Data!J114)-Finance_Data!K114&lt;1,"Valid","Invalid")</f>
        <v>Valid</v>
      </c>
      <c r="H118" s="3" t="str">
        <f>IF(Finance_Data!L114&gt;0,"Valid","Invalid")</f>
        <v>Valid</v>
      </c>
      <c r="I118" s="3" t="str">
        <f>IF(Finance_Data!L114&gt;=Finance_Data!M114,"Valid","Invalid")</f>
        <v>Valid</v>
      </c>
      <c r="J118" s="3" t="str">
        <f>IF(AND(Finance_Data!I114&gt;=0,Finance_Data!K114&gt;=0),"Valid","Invalid")</f>
        <v>Valid</v>
      </c>
      <c r="K118" s="3" t="str">
        <f>IF(Finance_Data!N114&gt;=0,"Valid","Invalid")</f>
        <v>Valid</v>
      </c>
      <c r="L118" s="3" t="str">
        <f>IF(TEXT(Finance_Data!G114,"mmmm")=Finance_Data!P114,"Valid","Invalid")</f>
        <v>Valid</v>
      </c>
      <c r="M118" s="3" t="str">
        <f>IF("Q"&amp;ROUNDUP(MONTH(Finance_Data!G114)/3,0)=Finance_Data!Q114,"Valid","Invalid")</f>
        <v>Valid</v>
      </c>
      <c r="N118" s="7" t="str">
        <f t="shared" si="1"/>
        <v>Pass</v>
      </c>
    </row>
    <row r="119" spans="1:14" x14ac:dyDescent="0.35">
      <c r="A119" s="17" t="s">
        <v>72</v>
      </c>
      <c r="B119" s="3" t="str">
        <f>IF(ISBLANK(Table3[[#This Row],[Campaign_ID]]),"Invalid","Valid")</f>
        <v>Valid</v>
      </c>
      <c r="C119" s="3" t="str">
        <f>IF(COUNTA(Finance_Data!A115:R115)=18,"Valid","Missing")</f>
        <v>Valid</v>
      </c>
      <c r="D119" s="3" t="str">
        <f>IF(COUNTIF(Finance_Data!$T$2:$T$1001,Finance_Data!T115)&gt;1,"Duplicate","Valid")</f>
        <v>Valid</v>
      </c>
      <c r="E119" s="3" t="str">
        <f>IF(Finance_Data!H115&gt;Finance_Data!G115,"Valid","Invalid")</f>
        <v>Valid</v>
      </c>
      <c r="F119" s="3" t="str" cm="1">
        <f t="array" ref="F119">_xlfn.IFS(Finance_Data!S115&lt;7,"Short",Finance_Data!S115&lt;=30,"Normal",Finance_Data!S115&lt;=60,"Long",Finance_Data!S115&gt;60,"Very Long")</f>
        <v>Normal</v>
      </c>
      <c r="G119" s="3" t="str">
        <f>IF(ABS(Finance_Data!I115*Finance_Data!J115)-Finance_Data!K115&lt;1,"Valid","Invalid")</f>
        <v>Valid</v>
      </c>
      <c r="H119" s="3" t="str">
        <f>IF(Finance_Data!L115&gt;0,"Valid","Invalid")</f>
        <v>Valid</v>
      </c>
      <c r="I119" s="3" t="str">
        <f>IF(Finance_Data!L115&gt;=Finance_Data!M115,"Valid","Invalid")</f>
        <v>Valid</v>
      </c>
      <c r="J119" s="3" t="str">
        <f>IF(AND(Finance_Data!I115&gt;=0,Finance_Data!K115&gt;=0),"Valid","Invalid")</f>
        <v>Valid</v>
      </c>
      <c r="K119" s="3" t="str">
        <f>IF(Finance_Data!N115&gt;=0,"Valid","Invalid")</f>
        <v>Valid</v>
      </c>
      <c r="L119" s="3" t="str">
        <f>IF(TEXT(Finance_Data!G115,"mmmm")=Finance_Data!P115,"Valid","Invalid")</f>
        <v>Valid</v>
      </c>
      <c r="M119" s="3" t="str">
        <f>IF("Q"&amp;ROUNDUP(MONTH(Finance_Data!G115)/3,0)=Finance_Data!Q115,"Valid","Invalid")</f>
        <v>Valid</v>
      </c>
      <c r="N119" s="7" t="str">
        <f t="shared" si="1"/>
        <v>Pass</v>
      </c>
    </row>
    <row r="120" spans="1:14" x14ac:dyDescent="0.35">
      <c r="A120" s="17" t="s">
        <v>62</v>
      </c>
      <c r="B120" s="3" t="str">
        <f>IF(ISBLANK(Table3[[#This Row],[Campaign_ID]]),"Invalid","Valid")</f>
        <v>Valid</v>
      </c>
      <c r="C120" s="3" t="str">
        <f>IF(COUNTA(Finance_Data!A116:R116)=18,"Valid","Missing")</f>
        <v>Valid</v>
      </c>
      <c r="D120" s="3" t="str">
        <f>IF(COUNTIF(Finance_Data!$T$2:$T$1001,Finance_Data!T116)&gt;1,"Duplicate","Valid")</f>
        <v>Valid</v>
      </c>
      <c r="E120" s="3" t="str">
        <f>IF(Finance_Data!H116&gt;Finance_Data!G116,"Valid","Invalid")</f>
        <v>Valid</v>
      </c>
      <c r="F120" s="3" t="str" cm="1">
        <f t="array" ref="F120">_xlfn.IFS(Finance_Data!S116&lt;7,"Short",Finance_Data!S116&lt;=30,"Normal",Finance_Data!S116&lt;=60,"Long",Finance_Data!S116&gt;60,"Very Long")</f>
        <v>Long</v>
      </c>
      <c r="G120" s="3" t="str">
        <f>IF(ABS(Finance_Data!I116*Finance_Data!J116)-Finance_Data!K116&lt;1,"Valid","Invalid")</f>
        <v>Valid</v>
      </c>
      <c r="H120" s="3" t="str">
        <f>IF(Finance_Data!L116&gt;0,"Valid","Invalid")</f>
        <v>Valid</v>
      </c>
      <c r="I120" s="3" t="str">
        <f>IF(Finance_Data!L116&gt;=Finance_Data!M116,"Valid","Invalid")</f>
        <v>Valid</v>
      </c>
      <c r="J120" s="3" t="str">
        <f>IF(AND(Finance_Data!I116&gt;=0,Finance_Data!K116&gt;=0),"Valid","Invalid")</f>
        <v>Valid</v>
      </c>
      <c r="K120" s="3" t="str">
        <f>IF(Finance_Data!N116&gt;=0,"Valid","Invalid")</f>
        <v>Valid</v>
      </c>
      <c r="L120" s="3" t="str">
        <f>IF(TEXT(Finance_Data!G116,"mmmm")=Finance_Data!P116,"Valid","Invalid")</f>
        <v>Valid</v>
      </c>
      <c r="M120" s="3" t="str">
        <f>IF("Q"&amp;ROUNDUP(MONTH(Finance_Data!G116)/3,0)=Finance_Data!Q116,"Valid","Invalid")</f>
        <v>Valid</v>
      </c>
      <c r="N120" s="7" t="str">
        <f t="shared" si="1"/>
        <v>Pass</v>
      </c>
    </row>
    <row r="121" spans="1:14" x14ac:dyDescent="0.35">
      <c r="A121" s="17" t="s">
        <v>68</v>
      </c>
      <c r="B121" s="3" t="str">
        <f>IF(ISBLANK(Table3[[#This Row],[Campaign_ID]]),"Invalid","Valid")</f>
        <v>Valid</v>
      </c>
      <c r="C121" s="3" t="str">
        <f>IF(COUNTA(Finance_Data!A117:R117)=18,"Valid","Missing")</f>
        <v>Valid</v>
      </c>
      <c r="D121" s="3" t="str">
        <f>IF(COUNTIF(Finance_Data!$T$2:$T$1001,Finance_Data!T117)&gt;1,"Duplicate","Valid")</f>
        <v>Valid</v>
      </c>
      <c r="E121" s="3" t="str">
        <f>IF(Finance_Data!H117&gt;Finance_Data!G117,"Valid","Invalid")</f>
        <v>Valid</v>
      </c>
      <c r="F121" s="3" t="str" cm="1">
        <f t="array" ref="F121">_xlfn.IFS(Finance_Data!S117&lt;7,"Short",Finance_Data!S117&lt;=30,"Normal",Finance_Data!S117&lt;=60,"Long",Finance_Data!S117&gt;60,"Very Long")</f>
        <v>Normal</v>
      </c>
      <c r="G121" s="3" t="str">
        <f>IF(ABS(Finance_Data!I117*Finance_Data!J117)-Finance_Data!K117&lt;1,"Valid","Invalid")</f>
        <v>Valid</v>
      </c>
      <c r="H121" s="3" t="str">
        <f>IF(Finance_Data!L117&gt;0,"Valid","Invalid")</f>
        <v>Valid</v>
      </c>
      <c r="I121" s="3" t="str">
        <f>IF(Finance_Data!L117&gt;=Finance_Data!M117,"Valid","Invalid")</f>
        <v>Valid</v>
      </c>
      <c r="J121" s="3" t="str">
        <f>IF(AND(Finance_Data!I117&gt;=0,Finance_Data!K117&gt;=0),"Valid","Invalid")</f>
        <v>Valid</v>
      </c>
      <c r="K121" s="3" t="str">
        <f>IF(Finance_Data!N117&gt;=0,"Valid","Invalid")</f>
        <v>Valid</v>
      </c>
      <c r="L121" s="3" t="str">
        <f>IF(TEXT(Finance_Data!G117,"mmmm")=Finance_Data!P117,"Valid","Invalid")</f>
        <v>Valid</v>
      </c>
      <c r="M121" s="3" t="str">
        <f>IF("Q"&amp;ROUNDUP(MONTH(Finance_Data!G117)/3,0)=Finance_Data!Q117,"Valid","Invalid")</f>
        <v>Valid</v>
      </c>
      <c r="N121" s="7" t="str">
        <f t="shared" si="1"/>
        <v>Pass</v>
      </c>
    </row>
    <row r="122" spans="1:14" x14ac:dyDescent="0.35">
      <c r="A122" s="17" t="s">
        <v>111</v>
      </c>
      <c r="B122" s="3" t="str">
        <f>IF(ISBLANK(Table3[[#This Row],[Campaign_ID]]),"Invalid","Valid")</f>
        <v>Valid</v>
      </c>
      <c r="C122" s="3" t="str">
        <f>IF(COUNTA(Finance_Data!A118:R118)=18,"Valid","Missing")</f>
        <v>Valid</v>
      </c>
      <c r="D122" s="3" t="str">
        <f>IF(COUNTIF(Finance_Data!$T$2:$T$1001,Finance_Data!T118)&gt;1,"Duplicate","Valid")</f>
        <v>Valid</v>
      </c>
      <c r="E122" s="3" t="str">
        <f>IF(Finance_Data!H118&gt;Finance_Data!G118,"Valid","Invalid")</f>
        <v>Valid</v>
      </c>
      <c r="F122" s="3" t="str" cm="1">
        <f t="array" ref="F122">_xlfn.IFS(Finance_Data!S118&lt;7,"Short",Finance_Data!S118&lt;=30,"Normal",Finance_Data!S118&lt;=60,"Long",Finance_Data!S118&gt;60,"Very Long")</f>
        <v>Long</v>
      </c>
      <c r="G122" s="3" t="str">
        <f>IF(ABS(Finance_Data!I118*Finance_Data!J118)-Finance_Data!K118&lt;1,"Valid","Invalid")</f>
        <v>Valid</v>
      </c>
      <c r="H122" s="3" t="str">
        <f>IF(Finance_Data!L118&gt;0,"Valid","Invalid")</f>
        <v>Valid</v>
      </c>
      <c r="I122" s="3" t="str">
        <f>IF(Finance_Data!L118&gt;=Finance_Data!M118,"Valid","Invalid")</f>
        <v>Valid</v>
      </c>
      <c r="J122" s="3" t="str">
        <f>IF(AND(Finance_Data!I118&gt;=0,Finance_Data!K118&gt;=0),"Valid","Invalid")</f>
        <v>Valid</v>
      </c>
      <c r="K122" s="3" t="str">
        <f>IF(Finance_Data!N118&gt;=0,"Valid","Invalid")</f>
        <v>Valid</v>
      </c>
      <c r="L122" s="3" t="str">
        <f>IF(TEXT(Finance_Data!G118,"mmmm")=Finance_Data!P118,"Valid","Invalid")</f>
        <v>Valid</v>
      </c>
      <c r="M122" s="3" t="str">
        <f>IF("Q"&amp;ROUNDUP(MONTH(Finance_Data!G118)/3,0)=Finance_Data!Q118,"Valid","Invalid")</f>
        <v>Valid</v>
      </c>
      <c r="N122" s="7" t="str">
        <f t="shared" si="1"/>
        <v>Pass</v>
      </c>
    </row>
    <row r="123" spans="1:14" x14ac:dyDescent="0.35">
      <c r="A123" s="17" t="s">
        <v>75</v>
      </c>
      <c r="B123" s="3" t="str">
        <f>IF(ISBLANK(Table3[[#This Row],[Campaign_ID]]),"Invalid","Valid")</f>
        <v>Valid</v>
      </c>
      <c r="C123" s="3" t="str">
        <f>IF(COUNTA(Finance_Data!A119:R119)=18,"Valid","Missing")</f>
        <v>Valid</v>
      </c>
      <c r="D123" s="3" t="str">
        <f>IF(COUNTIF(Finance_Data!$T$2:$T$1001,Finance_Data!T119)&gt;1,"Duplicate","Valid")</f>
        <v>Valid</v>
      </c>
      <c r="E123" s="3" t="str">
        <f>IF(Finance_Data!H119&gt;Finance_Data!G119,"Valid","Invalid")</f>
        <v>Valid</v>
      </c>
      <c r="F123" s="3" t="str" cm="1">
        <f t="array" ref="F123">_xlfn.IFS(Finance_Data!S119&lt;7,"Short",Finance_Data!S119&lt;=30,"Normal",Finance_Data!S119&lt;=60,"Long",Finance_Data!S119&gt;60,"Very Long")</f>
        <v>Long</v>
      </c>
      <c r="G123" s="3" t="str">
        <f>IF(ABS(Finance_Data!I119*Finance_Data!J119)-Finance_Data!K119&lt;1,"Valid","Invalid")</f>
        <v>Valid</v>
      </c>
      <c r="H123" s="3" t="str">
        <f>IF(Finance_Data!L119&gt;0,"Valid","Invalid")</f>
        <v>Valid</v>
      </c>
      <c r="I123" s="3" t="str">
        <f>IF(Finance_Data!L119&gt;=Finance_Data!M119,"Valid","Invalid")</f>
        <v>Valid</v>
      </c>
      <c r="J123" s="3" t="str">
        <f>IF(AND(Finance_Data!I119&gt;=0,Finance_Data!K119&gt;=0),"Valid","Invalid")</f>
        <v>Valid</v>
      </c>
      <c r="K123" s="3" t="str">
        <f>IF(Finance_Data!N119&gt;=0,"Valid","Invalid")</f>
        <v>Valid</v>
      </c>
      <c r="L123" s="3" t="str">
        <f>IF(TEXT(Finance_Data!G119,"mmmm")=Finance_Data!P119,"Valid","Invalid")</f>
        <v>Valid</v>
      </c>
      <c r="M123" s="3" t="str">
        <f>IF("Q"&amp;ROUNDUP(MONTH(Finance_Data!G119)/3,0)=Finance_Data!Q119,"Valid","Invalid")</f>
        <v>Valid</v>
      </c>
      <c r="N123" s="7" t="str">
        <f t="shared" si="1"/>
        <v>Pass</v>
      </c>
    </row>
    <row r="124" spans="1:14" x14ac:dyDescent="0.35">
      <c r="A124" s="17" t="s">
        <v>90</v>
      </c>
      <c r="B124" s="3" t="str">
        <f>IF(ISBLANK(Table3[[#This Row],[Campaign_ID]]),"Invalid","Valid")</f>
        <v>Valid</v>
      </c>
      <c r="C124" s="3" t="str">
        <f>IF(COUNTA(Finance_Data!A120:R120)=18,"Valid","Missing")</f>
        <v>Valid</v>
      </c>
      <c r="D124" s="3" t="str">
        <f>IF(COUNTIF(Finance_Data!$T$2:$T$1001,Finance_Data!T120)&gt;1,"Duplicate","Valid")</f>
        <v>Valid</v>
      </c>
      <c r="E124" s="3" t="str">
        <f>IF(Finance_Data!H120&gt;Finance_Data!G120,"Valid","Invalid")</f>
        <v>Valid</v>
      </c>
      <c r="F124" s="3" t="str" cm="1">
        <f t="array" ref="F124">_xlfn.IFS(Finance_Data!S120&lt;7,"Short",Finance_Data!S120&lt;=30,"Normal",Finance_Data!S120&lt;=60,"Long",Finance_Data!S120&gt;60,"Very Long")</f>
        <v>Normal</v>
      </c>
      <c r="G124" s="3" t="str">
        <f>IF(ABS(Finance_Data!I120*Finance_Data!J120)-Finance_Data!K120&lt;1,"Valid","Invalid")</f>
        <v>Valid</v>
      </c>
      <c r="H124" s="3" t="str">
        <f>IF(Finance_Data!L120&gt;0,"Valid","Invalid")</f>
        <v>Valid</v>
      </c>
      <c r="I124" s="3" t="str">
        <f>IF(Finance_Data!L120&gt;=Finance_Data!M120,"Valid","Invalid")</f>
        <v>Valid</v>
      </c>
      <c r="J124" s="3" t="str">
        <f>IF(AND(Finance_Data!I120&gt;=0,Finance_Data!K120&gt;=0),"Valid","Invalid")</f>
        <v>Valid</v>
      </c>
      <c r="K124" s="3" t="str">
        <f>IF(Finance_Data!N120&gt;=0,"Valid","Invalid")</f>
        <v>Valid</v>
      </c>
      <c r="L124" s="3" t="str">
        <f>IF(TEXT(Finance_Data!G120,"mmmm")=Finance_Data!P120,"Valid","Invalid")</f>
        <v>Valid</v>
      </c>
      <c r="M124" s="3" t="str">
        <f>IF("Q"&amp;ROUNDUP(MONTH(Finance_Data!G120)/3,0)=Finance_Data!Q120,"Valid","Invalid")</f>
        <v>Valid</v>
      </c>
      <c r="N124" s="7" t="str">
        <f t="shared" si="1"/>
        <v>Pass</v>
      </c>
    </row>
    <row r="125" spans="1:14" x14ac:dyDescent="0.35">
      <c r="A125" s="17" t="s">
        <v>81</v>
      </c>
      <c r="B125" s="3" t="str">
        <f>IF(ISBLANK(Table3[[#This Row],[Campaign_ID]]),"Invalid","Valid")</f>
        <v>Valid</v>
      </c>
      <c r="C125" s="3" t="str">
        <f>IF(COUNTA(Finance_Data!A121:R121)=18,"Valid","Missing")</f>
        <v>Valid</v>
      </c>
      <c r="D125" s="3" t="str">
        <f>IF(COUNTIF(Finance_Data!$T$2:$T$1001,Finance_Data!T121)&gt;1,"Duplicate","Valid")</f>
        <v>Valid</v>
      </c>
      <c r="E125" s="3" t="str">
        <f>IF(Finance_Data!H121&gt;Finance_Data!G121,"Valid","Invalid")</f>
        <v>Valid</v>
      </c>
      <c r="F125" s="3" t="str" cm="1">
        <f t="array" ref="F125">_xlfn.IFS(Finance_Data!S121&lt;7,"Short",Finance_Data!S121&lt;=30,"Normal",Finance_Data!S121&lt;=60,"Long",Finance_Data!S121&gt;60,"Very Long")</f>
        <v>Normal</v>
      </c>
      <c r="G125" s="3" t="str">
        <f>IF(ABS(Finance_Data!I121*Finance_Data!J121)-Finance_Data!K121&lt;1,"Valid","Invalid")</f>
        <v>Valid</v>
      </c>
      <c r="H125" s="3" t="str">
        <f>IF(Finance_Data!L121&gt;0,"Valid","Invalid")</f>
        <v>Valid</v>
      </c>
      <c r="I125" s="3" t="str">
        <f>IF(Finance_Data!L121&gt;=Finance_Data!M121,"Valid","Invalid")</f>
        <v>Valid</v>
      </c>
      <c r="J125" s="3" t="str">
        <f>IF(AND(Finance_Data!I121&gt;=0,Finance_Data!K121&gt;=0),"Valid","Invalid")</f>
        <v>Valid</v>
      </c>
      <c r="K125" s="3" t="str">
        <f>IF(Finance_Data!N121&gt;=0,"Valid","Invalid")</f>
        <v>Valid</v>
      </c>
      <c r="L125" s="3" t="str">
        <f>IF(TEXT(Finance_Data!G121,"mmmm")=Finance_Data!P121,"Valid","Invalid")</f>
        <v>Valid</v>
      </c>
      <c r="M125" s="3" t="str">
        <f>IF("Q"&amp;ROUNDUP(MONTH(Finance_Data!G121)/3,0)=Finance_Data!Q121,"Valid","Invalid")</f>
        <v>Valid</v>
      </c>
      <c r="N125" s="7" t="str">
        <f t="shared" si="1"/>
        <v>Pass</v>
      </c>
    </row>
    <row r="126" spans="1:14" x14ac:dyDescent="0.35">
      <c r="A126" s="17" t="s">
        <v>89</v>
      </c>
      <c r="B126" s="3" t="str">
        <f>IF(ISBLANK(Table3[[#This Row],[Campaign_ID]]),"Invalid","Valid")</f>
        <v>Valid</v>
      </c>
      <c r="C126" s="3" t="str">
        <f>IF(COUNTA(Finance_Data!A122:R122)=18,"Valid","Missing")</f>
        <v>Valid</v>
      </c>
      <c r="D126" s="3" t="str">
        <f>IF(COUNTIF(Finance_Data!$T$2:$T$1001,Finance_Data!T122)&gt;1,"Duplicate","Valid")</f>
        <v>Valid</v>
      </c>
      <c r="E126" s="3" t="str">
        <f>IF(Finance_Data!H122&gt;Finance_Data!G122,"Valid","Invalid")</f>
        <v>Valid</v>
      </c>
      <c r="F126" s="3" t="str" cm="1">
        <f t="array" ref="F126">_xlfn.IFS(Finance_Data!S122&lt;7,"Short",Finance_Data!S122&lt;=30,"Normal",Finance_Data!S122&lt;=60,"Long",Finance_Data!S122&gt;60,"Very Long")</f>
        <v>Normal</v>
      </c>
      <c r="G126" s="3" t="str">
        <f>IF(ABS(Finance_Data!I122*Finance_Data!J122)-Finance_Data!K122&lt;1,"Valid","Invalid")</f>
        <v>Valid</v>
      </c>
      <c r="H126" s="3" t="str">
        <f>IF(Finance_Data!L122&gt;0,"Valid","Invalid")</f>
        <v>Valid</v>
      </c>
      <c r="I126" s="3" t="str">
        <f>IF(Finance_Data!L122&gt;=Finance_Data!M122,"Valid","Invalid")</f>
        <v>Valid</v>
      </c>
      <c r="J126" s="3" t="str">
        <f>IF(AND(Finance_Data!I122&gt;=0,Finance_Data!K122&gt;=0),"Valid","Invalid")</f>
        <v>Valid</v>
      </c>
      <c r="K126" s="3" t="str">
        <f>IF(Finance_Data!N122&gt;=0,"Valid","Invalid")</f>
        <v>Valid</v>
      </c>
      <c r="L126" s="3" t="str">
        <f>IF(TEXT(Finance_Data!G122,"mmmm")=Finance_Data!P122,"Valid","Invalid")</f>
        <v>Valid</v>
      </c>
      <c r="M126" s="3" t="str">
        <f>IF("Q"&amp;ROUNDUP(MONTH(Finance_Data!G122)/3,0)=Finance_Data!Q122,"Valid","Invalid")</f>
        <v>Valid</v>
      </c>
      <c r="N126" s="7" t="str">
        <f t="shared" si="1"/>
        <v>Pass</v>
      </c>
    </row>
    <row r="127" spans="1:14" x14ac:dyDescent="0.35">
      <c r="A127" s="17" t="s">
        <v>27</v>
      </c>
      <c r="B127" s="3" t="str">
        <f>IF(ISBLANK(Table3[[#This Row],[Campaign_ID]]),"Invalid","Valid")</f>
        <v>Valid</v>
      </c>
      <c r="C127" s="3" t="str">
        <f>IF(COUNTA(Finance_Data!A123:R123)=18,"Valid","Missing")</f>
        <v>Valid</v>
      </c>
      <c r="D127" s="3" t="str">
        <f>IF(COUNTIF(Finance_Data!$T$2:$T$1001,Finance_Data!T123)&gt;1,"Duplicate","Valid")</f>
        <v>Valid</v>
      </c>
      <c r="E127" s="3" t="str">
        <f>IF(Finance_Data!H123&gt;Finance_Data!G123,"Valid","Invalid")</f>
        <v>Valid</v>
      </c>
      <c r="F127" s="3" t="str" cm="1">
        <f t="array" ref="F127">_xlfn.IFS(Finance_Data!S123&lt;7,"Short",Finance_Data!S123&lt;=30,"Normal",Finance_Data!S123&lt;=60,"Long",Finance_Data!S123&gt;60,"Very Long")</f>
        <v>Normal</v>
      </c>
      <c r="G127" s="3" t="str">
        <f>IF(ABS(Finance_Data!I123*Finance_Data!J123)-Finance_Data!K123&lt;1,"Valid","Invalid")</f>
        <v>Valid</v>
      </c>
      <c r="H127" s="3" t="str">
        <f>IF(Finance_Data!L123&gt;0,"Valid","Invalid")</f>
        <v>Valid</v>
      </c>
      <c r="I127" s="3" t="str">
        <f>IF(Finance_Data!L123&gt;=Finance_Data!M123,"Valid","Invalid")</f>
        <v>Valid</v>
      </c>
      <c r="J127" s="3" t="str">
        <f>IF(AND(Finance_Data!I123&gt;=0,Finance_Data!K123&gt;=0),"Valid","Invalid")</f>
        <v>Valid</v>
      </c>
      <c r="K127" s="3" t="str">
        <f>IF(Finance_Data!N123&gt;=0,"Valid","Invalid")</f>
        <v>Valid</v>
      </c>
      <c r="L127" s="3" t="str">
        <f>IF(TEXT(Finance_Data!G123,"mmmm")=Finance_Data!P123,"Valid","Invalid")</f>
        <v>Valid</v>
      </c>
      <c r="M127" s="3" t="str">
        <f>IF("Q"&amp;ROUNDUP(MONTH(Finance_Data!G123)/3,0)=Finance_Data!Q123,"Valid","Invalid")</f>
        <v>Valid</v>
      </c>
      <c r="N127" s="7" t="str">
        <f t="shared" si="1"/>
        <v>Pass</v>
      </c>
    </row>
    <row r="128" spans="1:14" x14ac:dyDescent="0.35">
      <c r="A128" s="17" t="s">
        <v>18</v>
      </c>
      <c r="B128" s="3" t="str">
        <f>IF(ISBLANK(Table3[[#This Row],[Campaign_ID]]),"Invalid","Valid")</f>
        <v>Valid</v>
      </c>
      <c r="C128" s="3" t="str">
        <f>IF(COUNTA(Finance_Data!A124:R124)=18,"Valid","Missing")</f>
        <v>Valid</v>
      </c>
      <c r="D128" s="3" t="str">
        <f>IF(COUNTIF(Finance_Data!$T$2:$T$1001,Finance_Data!T124)&gt;1,"Duplicate","Valid")</f>
        <v>Valid</v>
      </c>
      <c r="E128" s="3" t="str">
        <f>IF(Finance_Data!H124&gt;Finance_Data!G124,"Valid","Invalid")</f>
        <v>Valid</v>
      </c>
      <c r="F128" s="3" t="str" cm="1">
        <f t="array" ref="F128">_xlfn.IFS(Finance_Data!S124&lt;7,"Short",Finance_Data!S124&lt;=30,"Normal",Finance_Data!S124&lt;=60,"Long",Finance_Data!S124&gt;60,"Very Long")</f>
        <v>Normal</v>
      </c>
      <c r="G128" s="3" t="str">
        <f>IF(ABS(Finance_Data!I124*Finance_Data!J124)-Finance_Data!K124&lt;1,"Valid","Invalid")</f>
        <v>Valid</v>
      </c>
      <c r="H128" s="3" t="str">
        <f>IF(Finance_Data!L124&gt;0,"Valid","Invalid")</f>
        <v>Valid</v>
      </c>
      <c r="I128" s="3" t="str">
        <f>IF(Finance_Data!L124&gt;=Finance_Data!M124,"Valid","Invalid")</f>
        <v>Valid</v>
      </c>
      <c r="J128" s="3" t="str">
        <f>IF(AND(Finance_Data!I124&gt;=0,Finance_Data!K124&gt;=0),"Valid","Invalid")</f>
        <v>Valid</v>
      </c>
      <c r="K128" s="3" t="str">
        <f>IF(Finance_Data!N124&gt;=0,"Valid","Invalid")</f>
        <v>Valid</v>
      </c>
      <c r="L128" s="3" t="str">
        <f>IF(TEXT(Finance_Data!G124,"mmmm")=Finance_Data!P124,"Valid","Invalid")</f>
        <v>Valid</v>
      </c>
      <c r="M128" s="3" t="str">
        <f>IF("Q"&amp;ROUNDUP(MONTH(Finance_Data!G124)/3,0)=Finance_Data!Q124,"Valid","Invalid")</f>
        <v>Valid</v>
      </c>
      <c r="N128" s="7" t="str">
        <f t="shared" si="1"/>
        <v>Pass</v>
      </c>
    </row>
    <row r="129" spans="1:14" x14ac:dyDescent="0.35">
      <c r="A129" s="17" t="s">
        <v>70</v>
      </c>
      <c r="B129" s="3" t="str">
        <f>IF(ISBLANK(Table3[[#This Row],[Campaign_ID]]),"Invalid","Valid")</f>
        <v>Valid</v>
      </c>
      <c r="C129" s="3" t="str">
        <f>IF(COUNTA(Finance_Data!A125:R125)=18,"Valid","Missing")</f>
        <v>Valid</v>
      </c>
      <c r="D129" s="3" t="str">
        <f>IF(COUNTIF(Finance_Data!$T$2:$T$1001,Finance_Data!T125)&gt;1,"Duplicate","Valid")</f>
        <v>Valid</v>
      </c>
      <c r="E129" s="3" t="str">
        <f>IF(Finance_Data!H125&gt;Finance_Data!G125,"Valid","Invalid")</f>
        <v>Valid</v>
      </c>
      <c r="F129" s="3" t="str" cm="1">
        <f t="array" ref="F129">_xlfn.IFS(Finance_Data!S125&lt;7,"Short",Finance_Data!S125&lt;=30,"Normal",Finance_Data!S125&lt;=60,"Long",Finance_Data!S125&gt;60,"Very Long")</f>
        <v>Long</v>
      </c>
      <c r="G129" s="3" t="str">
        <f>IF(ABS(Finance_Data!I125*Finance_Data!J125)-Finance_Data!K125&lt;1,"Valid","Invalid")</f>
        <v>Valid</v>
      </c>
      <c r="H129" s="3" t="str">
        <f>IF(Finance_Data!L125&gt;0,"Valid","Invalid")</f>
        <v>Valid</v>
      </c>
      <c r="I129" s="3" t="str">
        <f>IF(Finance_Data!L125&gt;=Finance_Data!M125,"Valid","Invalid")</f>
        <v>Valid</v>
      </c>
      <c r="J129" s="3" t="str">
        <f>IF(AND(Finance_Data!I125&gt;=0,Finance_Data!K125&gt;=0),"Valid","Invalid")</f>
        <v>Valid</v>
      </c>
      <c r="K129" s="3" t="str">
        <f>IF(Finance_Data!N125&gt;=0,"Valid","Invalid")</f>
        <v>Valid</v>
      </c>
      <c r="L129" s="3" t="str">
        <f>IF(TEXT(Finance_Data!G125,"mmmm")=Finance_Data!P125,"Valid","Invalid")</f>
        <v>Valid</v>
      </c>
      <c r="M129" s="3" t="str">
        <f>IF("Q"&amp;ROUNDUP(MONTH(Finance_Data!G125)/3,0)=Finance_Data!Q125,"Valid","Invalid")</f>
        <v>Valid</v>
      </c>
      <c r="N129" s="7" t="str">
        <f t="shared" si="1"/>
        <v>Pass</v>
      </c>
    </row>
    <row r="130" spans="1:14" x14ac:dyDescent="0.35">
      <c r="A130" s="17" t="s">
        <v>100</v>
      </c>
      <c r="B130" s="3" t="str">
        <f>IF(ISBLANK(Table3[[#This Row],[Campaign_ID]]),"Invalid","Valid")</f>
        <v>Valid</v>
      </c>
      <c r="C130" s="3" t="str">
        <f>IF(COUNTA(Finance_Data!A126:R126)=18,"Valid","Missing")</f>
        <v>Valid</v>
      </c>
      <c r="D130" s="3" t="str">
        <f>IF(COUNTIF(Finance_Data!$T$2:$T$1001,Finance_Data!T126)&gt;1,"Duplicate","Valid")</f>
        <v>Valid</v>
      </c>
      <c r="E130" s="3" t="str">
        <f>IF(Finance_Data!H126&gt;Finance_Data!G126,"Valid","Invalid")</f>
        <v>Valid</v>
      </c>
      <c r="F130" s="3" t="str" cm="1">
        <f t="array" ref="F130">_xlfn.IFS(Finance_Data!S126&lt;7,"Short",Finance_Data!S126&lt;=30,"Normal",Finance_Data!S126&lt;=60,"Long",Finance_Data!S126&gt;60,"Very Long")</f>
        <v>Normal</v>
      </c>
      <c r="G130" s="3" t="str">
        <f>IF(ABS(Finance_Data!I126*Finance_Data!J126)-Finance_Data!K126&lt;1,"Valid","Invalid")</f>
        <v>Valid</v>
      </c>
      <c r="H130" s="3" t="str">
        <f>IF(Finance_Data!L126&gt;0,"Valid","Invalid")</f>
        <v>Valid</v>
      </c>
      <c r="I130" s="3" t="str">
        <f>IF(Finance_Data!L126&gt;=Finance_Data!M126,"Valid","Invalid")</f>
        <v>Valid</v>
      </c>
      <c r="J130" s="3" t="str">
        <f>IF(AND(Finance_Data!I126&gt;=0,Finance_Data!K126&gt;=0),"Valid","Invalid")</f>
        <v>Valid</v>
      </c>
      <c r="K130" s="3" t="str">
        <f>IF(Finance_Data!N126&gt;=0,"Valid","Invalid")</f>
        <v>Valid</v>
      </c>
      <c r="L130" s="3" t="str">
        <f>IF(TEXT(Finance_Data!G126,"mmmm")=Finance_Data!P126,"Valid","Invalid")</f>
        <v>Valid</v>
      </c>
      <c r="M130" s="3" t="str">
        <f>IF("Q"&amp;ROUNDUP(MONTH(Finance_Data!G126)/3,0)=Finance_Data!Q126,"Valid","Invalid")</f>
        <v>Valid</v>
      </c>
      <c r="N130" s="7" t="str">
        <f t="shared" si="1"/>
        <v>Pass</v>
      </c>
    </row>
    <row r="131" spans="1:14" x14ac:dyDescent="0.35">
      <c r="A131" s="17" t="s">
        <v>68</v>
      </c>
      <c r="B131" s="3" t="str">
        <f>IF(ISBLANK(Table3[[#This Row],[Campaign_ID]]),"Invalid","Valid")</f>
        <v>Valid</v>
      </c>
      <c r="C131" s="3" t="str">
        <f>IF(COUNTA(Finance_Data!A127:R127)=18,"Valid","Missing")</f>
        <v>Valid</v>
      </c>
      <c r="D131" s="3" t="str">
        <f>IF(COUNTIF(Finance_Data!$T$2:$T$1001,Finance_Data!T127)&gt;1,"Duplicate","Valid")</f>
        <v>Valid</v>
      </c>
      <c r="E131" s="3" t="str">
        <f>IF(Finance_Data!H127&gt;Finance_Data!G127,"Valid","Invalid")</f>
        <v>Valid</v>
      </c>
      <c r="F131" s="3" t="str" cm="1">
        <f t="array" ref="F131">_xlfn.IFS(Finance_Data!S127&lt;7,"Short",Finance_Data!S127&lt;=30,"Normal",Finance_Data!S127&lt;=60,"Long",Finance_Data!S127&gt;60,"Very Long")</f>
        <v>Long</v>
      </c>
      <c r="G131" s="3" t="str">
        <f>IF(ABS(Finance_Data!I127*Finance_Data!J127)-Finance_Data!K127&lt;1,"Valid","Invalid")</f>
        <v>Valid</v>
      </c>
      <c r="H131" s="3" t="str">
        <f>IF(Finance_Data!L127&gt;0,"Valid","Invalid")</f>
        <v>Valid</v>
      </c>
      <c r="I131" s="3" t="str">
        <f>IF(Finance_Data!L127&gt;=Finance_Data!M127,"Valid","Invalid")</f>
        <v>Invalid</v>
      </c>
      <c r="J131" s="3" t="str">
        <f>IF(AND(Finance_Data!I127&gt;=0,Finance_Data!K127&gt;=0),"Valid","Invalid")</f>
        <v>Valid</v>
      </c>
      <c r="K131" s="3" t="str">
        <f>IF(Finance_Data!N127&gt;=0,"Valid","Invalid")</f>
        <v>Valid</v>
      </c>
      <c r="L131" s="3" t="str">
        <f>IF(TEXT(Finance_Data!G127,"mmmm")=Finance_Data!P127,"Valid","Invalid")</f>
        <v>Valid</v>
      </c>
      <c r="M131" s="3" t="str">
        <f>IF("Q"&amp;ROUNDUP(MONTH(Finance_Data!G127)/3,0)=Finance_Data!Q127,"Valid","Invalid")</f>
        <v>Valid</v>
      </c>
      <c r="N131" s="7" t="str">
        <f t="shared" si="1"/>
        <v>Fail</v>
      </c>
    </row>
    <row r="132" spans="1:14" x14ac:dyDescent="0.35">
      <c r="A132" s="17" t="s">
        <v>107</v>
      </c>
      <c r="B132" s="3" t="str">
        <f>IF(ISBLANK(Table3[[#This Row],[Campaign_ID]]),"Invalid","Valid")</f>
        <v>Valid</v>
      </c>
      <c r="C132" s="3" t="str">
        <f>IF(COUNTA(Finance_Data!A128:R128)=18,"Valid","Missing")</f>
        <v>Valid</v>
      </c>
      <c r="D132" s="3" t="str">
        <f>IF(COUNTIF(Finance_Data!$T$2:$T$1001,Finance_Data!T128)&gt;1,"Duplicate","Valid")</f>
        <v>Valid</v>
      </c>
      <c r="E132" s="3" t="str">
        <f>IF(Finance_Data!H128&gt;Finance_Data!G128,"Valid","Invalid")</f>
        <v>Valid</v>
      </c>
      <c r="F132" s="3" t="str" cm="1">
        <f t="array" ref="F132">_xlfn.IFS(Finance_Data!S128&lt;7,"Short",Finance_Data!S128&lt;=30,"Normal",Finance_Data!S128&lt;=60,"Long",Finance_Data!S128&gt;60,"Very Long")</f>
        <v>Long</v>
      </c>
      <c r="G132" s="3" t="str">
        <f>IF(ABS(Finance_Data!I128*Finance_Data!J128)-Finance_Data!K128&lt;1,"Valid","Invalid")</f>
        <v>Valid</v>
      </c>
      <c r="H132" s="3" t="str">
        <f>IF(Finance_Data!L128&gt;0,"Valid","Invalid")</f>
        <v>Valid</v>
      </c>
      <c r="I132" s="3" t="str">
        <f>IF(Finance_Data!L128&gt;=Finance_Data!M128,"Valid","Invalid")</f>
        <v>Valid</v>
      </c>
      <c r="J132" s="3" t="str">
        <f>IF(AND(Finance_Data!I128&gt;=0,Finance_Data!K128&gt;=0),"Valid","Invalid")</f>
        <v>Valid</v>
      </c>
      <c r="K132" s="3" t="str">
        <f>IF(Finance_Data!N128&gt;=0,"Valid","Invalid")</f>
        <v>Valid</v>
      </c>
      <c r="L132" s="3" t="str">
        <f>IF(TEXT(Finance_Data!G128,"mmmm")=Finance_Data!P128,"Valid","Invalid")</f>
        <v>Valid</v>
      </c>
      <c r="M132" s="3" t="str">
        <f>IF("Q"&amp;ROUNDUP(MONTH(Finance_Data!G128)/3,0)=Finance_Data!Q128,"Valid","Invalid")</f>
        <v>Valid</v>
      </c>
      <c r="N132" s="7" t="str">
        <f t="shared" si="1"/>
        <v>Pass</v>
      </c>
    </row>
    <row r="133" spans="1:14" x14ac:dyDescent="0.35">
      <c r="A133" s="17" t="s">
        <v>81</v>
      </c>
      <c r="B133" s="3" t="str">
        <f>IF(ISBLANK(Table3[[#This Row],[Campaign_ID]]),"Invalid","Valid")</f>
        <v>Valid</v>
      </c>
      <c r="C133" s="3" t="str">
        <f>IF(COUNTA(Finance_Data!A129:R129)=18,"Valid","Missing")</f>
        <v>Valid</v>
      </c>
      <c r="D133" s="3" t="str">
        <f>IF(COUNTIF(Finance_Data!$T$2:$T$1001,Finance_Data!T129)&gt;1,"Duplicate","Valid")</f>
        <v>Valid</v>
      </c>
      <c r="E133" s="3" t="str">
        <f>IF(Finance_Data!H129&gt;Finance_Data!G129,"Valid","Invalid")</f>
        <v>Valid</v>
      </c>
      <c r="F133" s="3" t="str" cm="1">
        <f t="array" ref="F133">_xlfn.IFS(Finance_Data!S129&lt;7,"Short",Finance_Data!S129&lt;=30,"Normal",Finance_Data!S129&lt;=60,"Long",Finance_Data!S129&gt;60,"Very Long")</f>
        <v>Long</v>
      </c>
      <c r="G133" s="3" t="str">
        <f>IF(ABS(Finance_Data!I129*Finance_Data!J129)-Finance_Data!K129&lt;1,"Valid","Invalid")</f>
        <v>Valid</v>
      </c>
      <c r="H133" s="3" t="str">
        <f>IF(Finance_Data!L129&gt;0,"Valid","Invalid")</f>
        <v>Valid</v>
      </c>
      <c r="I133" s="3" t="str">
        <f>IF(Finance_Data!L129&gt;=Finance_Data!M129,"Valid","Invalid")</f>
        <v>Valid</v>
      </c>
      <c r="J133" s="3" t="str">
        <f>IF(AND(Finance_Data!I129&gt;=0,Finance_Data!K129&gt;=0),"Valid","Invalid")</f>
        <v>Valid</v>
      </c>
      <c r="K133" s="3" t="str">
        <f>IF(Finance_Data!N129&gt;=0,"Valid","Invalid")</f>
        <v>Valid</v>
      </c>
      <c r="L133" s="3" t="str">
        <f>IF(TEXT(Finance_Data!G129,"mmmm")=Finance_Data!P129,"Valid","Invalid")</f>
        <v>Valid</v>
      </c>
      <c r="M133" s="3" t="str">
        <f>IF("Q"&amp;ROUNDUP(MONTH(Finance_Data!G129)/3,0)=Finance_Data!Q129,"Valid","Invalid")</f>
        <v>Valid</v>
      </c>
      <c r="N133" s="7" t="str">
        <f t="shared" si="1"/>
        <v>Pass</v>
      </c>
    </row>
    <row r="134" spans="1:14" x14ac:dyDescent="0.35">
      <c r="A134" s="17" t="s">
        <v>97</v>
      </c>
      <c r="B134" s="3" t="str">
        <f>IF(ISBLANK(Table3[[#This Row],[Campaign_ID]]),"Invalid","Valid")</f>
        <v>Valid</v>
      </c>
      <c r="C134" s="3" t="str">
        <f>IF(COUNTA(Finance_Data!A130:R130)=18,"Valid","Missing")</f>
        <v>Valid</v>
      </c>
      <c r="D134" s="3" t="str">
        <f>IF(COUNTIF(Finance_Data!$T$2:$T$1001,Finance_Data!T130)&gt;1,"Duplicate","Valid")</f>
        <v>Valid</v>
      </c>
      <c r="E134" s="3" t="str">
        <f>IF(Finance_Data!H130&gt;Finance_Data!G130,"Valid","Invalid")</f>
        <v>Valid</v>
      </c>
      <c r="F134" s="3" t="str" cm="1">
        <f t="array" ref="F134">_xlfn.IFS(Finance_Data!S130&lt;7,"Short",Finance_Data!S130&lt;=30,"Normal",Finance_Data!S130&lt;=60,"Long",Finance_Data!S130&gt;60,"Very Long")</f>
        <v>Long</v>
      </c>
      <c r="G134" s="3" t="str">
        <f>IF(ABS(Finance_Data!I130*Finance_Data!J130)-Finance_Data!K130&lt;1,"Valid","Invalid")</f>
        <v>Valid</v>
      </c>
      <c r="H134" s="3" t="str">
        <f>IF(Finance_Data!L130&gt;0,"Valid","Invalid")</f>
        <v>Valid</v>
      </c>
      <c r="I134" s="3" t="str">
        <f>IF(Finance_Data!L130&gt;=Finance_Data!M130,"Valid","Invalid")</f>
        <v>Valid</v>
      </c>
      <c r="J134" s="3" t="str">
        <f>IF(AND(Finance_Data!I130&gt;=0,Finance_Data!K130&gt;=0),"Valid","Invalid")</f>
        <v>Valid</v>
      </c>
      <c r="K134" s="3" t="str">
        <f>IF(Finance_Data!N130&gt;=0,"Valid","Invalid")</f>
        <v>Valid</v>
      </c>
      <c r="L134" s="3" t="str">
        <f>IF(TEXT(Finance_Data!G130,"mmmm")=Finance_Data!P130,"Valid","Invalid")</f>
        <v>Valid</v>
      </c>
      <c r="M134" s="3" t="str">
        <f>IF("Q"&amp;ROUNDUP(MONTH(Finance_Data!G130)/3,0)=Finance_Data!Q130,"Valid","Invalid")</f>
        <v>Valid</v>
      </c>
      <c r="N134" s="7" t="str">
        <f t="shared" ref="N134:N197" si="2">IF(AND(B134="Valid",E134="Valid",G134="Valid",H134="Valid",I134="Valid",J134="Valid",K134="Valid",L134="Valid",M134="Valid"),"Pass","Fail")</f>
        <v>Pass</v>
      </c>
    </row>
    <row r="135" spans="1:14" x14ac:dyDescent="0.35">
      <c r="A135" s="17" t="s">
        <v>106</v>
      </c>
      <c r="B135" s="3" t="str">
        <f>IF(ISBLANK(Table3[[#This Row],[Campaign_ID]]),"Invalid","Valid")</f>
        <v>Valid</v>
      </c>
      <c r="C135" s="3" t="str">
        <f>IF(COUNTA(Finance_Data!A131:R131)=18,"Valid","Missing")</f>
        <v>Valid</v>
      </c>
      <c r="D135" s="3" t="str">
        <f>IF(COUNTIF(Finance_Data!$T$2:$T$1001,Finance_Data!T131)&gt;1,"Duplicate","Valid")</f>
        <v>Valid</v>
      </c>
      <c r="E135" s="3" t="str">
        <f>IF(Finance_Data!H131&gt;Finance_Data!G131,"Valid","Invalid")</f>
        <v>Valid</v>
      </c>
      <c r="F135" s="3" t="str" cm="1">
        <f t="array" ref="F135">_xlfn.IFS(Finance_Data!S131&lt;7,"Short",Finance_Data!S131&lt;=30,"Normal",Finance_Data!S131&lt;=60,"Long",Finance_Data!S131&gt;60,"Very Long")</f>
        <v>Normal</v>
      </c>
      <c r="G135" s="3" t="str">
        <f>IF(ABS(Finance_Data!I131*Finance_Data!J131)-Finance_Data!K131&lt;1,"Valid","Invalid")</f>
        <v>Valid</v>
      </c>
      <c r="H135" s="3" t="str">
        <f>IF(Finance_Data!L131&gt;0,"Valid","Invalid")</f>
        <v>Valid</v>
      </c>
      <c r="I135" s="3" t="str">
        <f>IF(Finance_Data!L131&gt;=Finance_Data!M131,"Valid","Invalid")</f>
        <v>Valid</v>
      </c>
      <c r="J135" s="3" t="str">
        <f>IF(AND(Finance_Data!I131&gt;=0,Finance_Data!K131&gt;=0),"Valid","Invalid")</f>
        <v>Valid</v>
      </c>
      <c r="K135" s="3" t="str">
        <f>IF(Finance_Data!N131&gt;=0,"Valid","Invalid")</f>
        <v>Valid</v>
      </c>
      <c r="L135" s="3" t="str">
        <f>IF(TEXT(Finance_Data!G131,"mmmm")=Finance_Data!P131,"Valid","Invalid")</f>
        <v>Valid</v>
      </c>
      <c r="M135" s="3" t="str">
        <f>IF("Q"&amp;ROUNDUP(MONTH(Finance_Data!G131)/3,0)=Finance_Data!Q131,"Valid","Invalid")</f>
        <v>Valid</v>
      </c>
      <c r="N135" s="7" t="str">
        <f t="shared" si="2"/>
        <v>Pass</v>
      </c>
    </row>
    <row r="136" spans="1:14" x14ac:dyDescent="0.35">
      <c r="A136" s="17" t="s">
        <v>116</v>
      </c>
      <c r="B136" s="3" t="str">
        <f>IF(ISBLANK(Table3[[#This Row],[Campaign_ID]]),"Invalid","Valid")</f>
        <v>Valid</v>
      </c>
      <c r="C136" s="3" t="str">
        <f>IF(COUNTA(Finance_Data!A132:R132)=18,"Valid","Missing")</f>
        <v>Valid</v>
      </c>
      <c r="D136" s="3" t="str">
        <f>IF(COUNTIF(Finance_Data!$T$2:$T$1001,Finance_Data!T132)&gt;1,"Duplicate","Valid")</f>
        <v>Valid</v>
      </c>
      <c r="E136" s="3" t="str">
        <f>IF(Finance_Data!H132&gt;Finance_Data!G132,"Valid","Invalid")</f>
        <v>Valid</v>
      </c>
      <c r="F136" s="3" t="str" cm="1">
        <f t="array" ref="F136">_xlfn.IFS(Finance_Data!S132&lt;7,"Short",Finance_Data!S132&lt;=30,"Normal",Finance_Data!S132&lt;=60,"Long",Finance_Data!S132&gt;60,"Very Long")</f>
        <v>Long</v>
      </c>
      <c r="G136" s="3" t="str">
        <f>IF(ABS(Finance_Data!I132*Finance_Data!J132)-Finance_Data!K132&lt;1,"Valid","Invalid")</f>
        <v>Valid</v>
      </c>
      <c r="H136" s="3" t="str">
        <f>IF(Finance_Data!L132&gt;0,"Valid","Invalid")</f>
        <v>Valid</v>
      </c>
      <c r="I136" s="3" t="str">
        <f>IF(Finance_Data!L132&gt;=Finance_Data!M132,"Valid","Invalid")</f>
        <v>Valid</v>
      </c>
      <c r="J136" s="3" t="str">
        <f>IF(AND(Finance_Data!I132&gt;=0,Finance_Data!K132&gt;=0),"Valid","Invalid")</f>
        <v>Valid</v>
      </c>
      <c r="K136" s="3" t="str">
        <f>IF(Finance_Data!N132&gt;=0,"Valid","Invalid")</f>
        <v>Valid</v>
      </c>
      <c r="L136" s="3" t="str">
        <f>IF(TEXT(Finance_Data!G132,"mmmm")=Finance_Data!P132,"Valid","Invalid")</f>
        <v>Valid</v>
      </c>
      <c r="M136" s="3" t="str">
        <f>IF("Q"&amp;ROUNDUP(MONTH(Finance_Data!G132)/3,0)=Finance_Data!Q132,"Valid","Invalid")</f>
        <v>Valid</v>
      </c>
      <c r="N136" s="7" t="str">
        <f t="shared" si="2"/>
        <v>Pass</v>
      </c>
    </row>
    <row r="137" spans="1:14" x14ac:dyDescent="0.35">
      <c r="A137" s="17" t="s">
        <v>77</v>
      </c>
      <c r="B137" s="3" t="str">
        <f>IF(ISBLANK(Table3[[#This Row],[Campaign_ID]]),"Invalid","Valid")</f>
        <v>Valid</v>
      </c>
      <c r="C137" s="3" t="str">
        <f>IF(COUNTA(Finance_Data!A133:R133)=18,"Valid","Missing")</f>
        <v>Valid</v>
      </c>
      <c r="D137" s="3" t="str">
        <f>IF(COUNTIF(Finance_Data!$T$2:$T$1001,Finance_Data!T133)&gt;1,"Duplicate","Valid")</f>
        <v>Valid</v>
      </c>
      <c r="E137" s="3" t="str">
        <f>IF(Finance_Data!H133&gt;Finance_Data!G133,"Valid","Invalid")</f>
        <v>Valid</v>
      </c>
      <c r="F137" s="3" t="str" cm="1">
        <f t="array" ref="F137">_xlfn.IFS(Finance_Data!S133&lt;7,"Short",Finance_Data!S133&lt;=30,"Normal",Finance_Data!S133&lt;=60,"Long",Finance_Data!S133&gt;60,"Very Long")</f>
        <v>Long</v>
      </c>
      <c r="G137" s="3" t="str">
        <f>IF(ABS(Finance_Data!I133*Finance_Data!J133)-Finance_Data!K133&lt;1,"Valid","Invalid")</f>
        <v>Valid</v>
      </c>
      <c r="H137" s="3" t="str">
        <f>IF(Finance_Data!L133&gt;0,"Valid","Invalid")</f>
        <v>Valid</v>
      </c>
      <c r="I137" s="3" t="str">
        <f>IF(Finance_Data!L133&gt;=Finance_Data!M133,"Valid","Invalid")</f>
        <v>Valid</v>
      </c>
      <c r="J137" s="3" t="str">
        <f>IF(AND(Finance_Data!I133&gt;=0,Finance_Data!K133&gt;=0),"Valid","Invalid")</f>
        <v>Valid</v>
      </c>
      <c r="K137" s="3" t="str">
        <f>IF(Finance_Data!N133&gt;=0,"Valid","Invalid")</f>
        <v>Valid</v>
      </c>
      <c r="L137" s="3" t="str">
        <f>IF(TEXT(Finance_Data!G133,"mmmm")=Finance_Data!P133,"Valid","Invalid")</f>
        <v>Valid</v>
      </c>
      <c r="M137" s="3" t="str">
        <f>IF("Q"&amp;ROUNDUP(MONTH(Finance_Data!G133)/3,0)=Finance_Data!Q133,"Valid","Invalid")</f>
        <v>Valid</v>
      </c>
      <c r="N137" s="7" t="str">
        <f t="shared" si="2"/>
        <v>Pass</v>
      </c>
    </row>
    <row r="138" spans="1:14" x14ac:dyDescent="0.35">
      <c r="A138" s="17" t="s">
        <v>94</v>
      </c>
      <c r="B138" s="3" t="str">
        <f>IF(ISBLANK(Table3[[#This Row],[Campaign_ID]]),"Invalid","Valid")</f>
        <v>Valid</v>
      </c>
      <c r="C138" s="3" t="str">
        <f>IF(COUNTA(Finance_Data!A134:R134)=18,"Valid","Missing")</f>
        <v>Valid</v>
      </c>
      <c r="D138" s="3" t="str">
        <f>IF(COUNTIF(Finance_Data!$T$2:$T$1001,Finance_Data!T134)&gt;1,"Duplicate","Valid")</f>
        <v>Valid</v>
      </c>
      <c r="E138" s="3" t="str">
        <f>IF(Finance_Data!H134&gt;Finance_Data!G134,"Valid","Invalid")</f>
        <v>Valid</v>
      </c>
      <c r="F138" s="3" t="str" cm="1">
        <f t="array" ref="F138">_xlfn.IFS(Finance_Data!S134&lt;7,"Short",Finance_Data!S134&lt;=30,"Normal",Finance_Data!S134&lt;=60,"Long",Finance_Data!S134&gt;60,"Very Long")</f>
        <v>Normal</v>
      </c>
      <c r="G138" s="3" t="str">
        <f>IF(ABS(Finance_Data!I134*Finance_Data!J134)-Finance_Data!K134&lt;1,"Valid","Invalid")</f>
        <v>Valid</v>
      </c>
      <c r="H138" s="3" t="str">
        <f>IF(Finance_Data!L134&gt;0,"Valid","Invalid")</f>
        <v>Valid</v>
      </c>
      <c r="I138" s="3" t="str">
        <f>IF(Finance_Data!L134&gt;=Finance_Data!M134,"Valid","Invalid")</f>
        <v>Valid</v>
      </c>
      <c r="J138" s="3" t="str">
        <f>IF(AND(Finance_Data!I134&gt;=0,Finance_Data!K134&gt;=0),"Valid","Invalid")</f>
        <v>Valid</v>
      </c>
      <c r="K138" s="3" t="str">
        <f>IF(Finance_Data!N134&gt;=0,"Valid","Invalid")</f>
        <v>Valid</v>
      </c>
      <c r="L138" s="3" t="str">
        <f>IF(TEXT(Finance_Data!G134,"mmmm")=Finance_Data!P134,"Valid","Invalid")</f>
        <v>Valid</v>
      </c>
      <c r="M138" s="3" t="str">
        <f>IF("Q"&amp;ROUNDUP(MONTH(Finance_Data!G134)/3,0)=Finance_Data!Q134,"Valid","Invalid")</f>
        <v>Valid</v>
      </c>
      <c r="N138" s="7" t="str">
        <f t="shared" si="2"/>
        <v>Pass</v>
      </c>
    </row>
    <row r="139" spans="1:14" x14ac:dyDescent="0.35">
      <c r="A139" s="17" t="s">
        <v>119</v>
      </c>
      <c r="B139" s="3" t="str">
        <f>IF(ISBLANK(Table3[[#This Row],[Campaign_ID]]),"Invalid","Valid")</f>
        <v>Valid</v>
      </c>
      <c r="C139" s="3" t="str">
        <f>IF(COUNTA(Finance_Data!A135:R135)=18,"Valid","Missing")</f>
        <v>Valid</v>
      </c>
      <c r="D139" s="3" t="str">
        <f>IF(COUNTIF(Finance_Data!$T$2:$T$1001,Finance_Data!T135)&gt;1,"Duplicate","Valid")</f>
        <v>Valid</v>
      </c>
      <c r="E139" s="3" t="str">
        <f>IF(Finance_Data!H135&gt;Finance_Data!G135,"Valid","Invalid")</f>
        <v>Valid</v>
      </c>
      <c r="F139" s="3" t="str" cm="1">
        <f t="array" ref="F139">_xlfn.IFS(Finance_Data!S135&lt;7,"Short",Finance_Data!S135&lt;=30,"Normal",Finance_Data!S135&lt;=60,"Long",Finance_Data!S135&gt;60,"Very Long")</f>
        <v>Normal</v>
      </c>
      <c r="G139" s="3" t="str">
        <f>IF(ABS(Finance_Data!I135*Finance_Data!J135)-Finance_Data!K135&lt;1,"Valid","Invalid")</f>
        <v>Valid</v>
      </c>
      <c r="H139" s="3" t="str">
        <f>IF(Finance_Data!L135&gt;0,"Valid","Invalid")</f>
        <v>Valid</v>
      </c>
      <c r="I139" s="3" t="str">
        <f>IF(Finance_Data!L135&gt;=Finance_Data!M135,"Valid","Invalid")</f>
        <v>Valid</v>
      </c>
      <c r="J139" s="3" t="str">
        <f>IF(AND(Finance_Data!I135&gt;=0,Finance_Data!K135&gt;=0),"Valid","Invalid")</f>
        <v>Valid</v>
      </c>
      <c r="K139" s="3" t="str">
        <f>IF(Finance_Data!N135&gt;=0,"Valid","Invalid")</f>
        <v>Valid</v>
      </c>
      <c r="L139" s="3" t="str">
        <f>IF(TEXT(Finance_Data!G135,"mmmm")=Finance_Data!P135,"Valid","Invalid")</f>
        <v>Valid</v>
      </c>
      <c r="M139" s="3" t="str">
        <f>IF("Q"&amp;ROUNDUP(MONTH(Finance_Data!G135)/3,0)=Finance_Data!Q135,"Valid","Invalid")</f>
        <v>Valid</v>
      </c>
      <c r="N139" s="7" t="str">
        <f t="shared" si="2"/>
        <v>Pass</v>
      </c>
    </row>
    <row r="140" spans="1:14" x14ac:dyDescent="0.35">
      <c r="A140" s="17" t="s">
        <v>79</v>
      </c>
      <c r="B140" s="3" t="str">
        <f>IF(ISBLANK(Table3[[#This Row],[Campaign_ID]]),"Invalid","Valid")</f>
        <v>Valid</v>
      </c>
      <c r="C140" s="3" t="str">
        <f>IF(COUNTA(Finance_Data!A136:R136)=18,"Valid","Missing")</f>
        <v>Valid</v>
      </c>
      <c r="D140" s="3" t="str">
        <f>IF(COUNTIF(Finance_Data!$T$2:$T$1001,Finance_Data!T136)&gt;1,"Duplicate","Valid")</f>
        <v>Valid</v>
      </c>
      <c r="E140" s="3" t="str">
        <f>IF(Finance_Data!H136&gt;Finance_Data!G136,"Valid","Invalid")</f>
        <v>Valid</v>
      </c>
      <c r="F140" s="3" t="str" cm="1">
        <f t="array" ref="F140">_xlfn.IFS(Finance_Data!S136&lt;7,"Short",Finance_Data!S136&lt;=30,"Normal",Finance_Data!S136&lt;=60,"Long",Finance_Data!S136&gt;60,"Very Long")</f>
        <v>Normal</v>
      </c>
      <c r="G140" s="3" t="str">
        <f>IF(ABS(Finance_Data!I136*Finance_Data!J136)-Finance_Data!K136&lt;1,"Valid","Invalid")</f>
        <v>Valid</v>
      </c>
      <c r="H140" s="3" t="str">
        <f>IF(Finance_Data!L136&gt;0,"Valid","Invalid")</f>
        <v>Valid</v>
      </c>
      <c r="I140" s="3" t="str">
        <f>IF(Finance_Data!L136&gt;=Finance_Data!M136,"Valid","Invalid")</f>
        <v>Valid</v>
      </c>
      <c r="J140" s="3" t="str">
        <f>IF(AND(Finance_Data!I136&gt;=0,Finance_Data!K136&gt;=0),"Valid","Invalid")</f>
        <v>Valid</v>
      </c>
      <c r="K140" s="3" t="str">
        <f>IF(Finance_Data!N136&gt;=0,"Valid","Invalid")</f>
        <v>Valid</v>
      </c>
      <c r="L140" s="3" t="str">
        <f>IF(TEXT(Finance_Data!G136,"mmmm")=Finance_Data!P136,"Valid","Invalid")</f>
        <v>Valid</v>
      </c>
      <c r="M140" s="3" t="str">
        <f>IF("Q"&amp;ROUNDUP(MONTH(Finance_Data!G136)/3,0)=Finance_Data!Q136,"Valid","Invalid")</f>
        <v>Valid</v>
      </c>
      <c r="N140" s="7" t="str">
        <f t="shared" si="2"/>
        <v>Pass</v>
      </c>
    </row>
    <row r="141" spans="1:14" x14ac:dyDescent="0.35">
      <c r="A141" s="17" t="s">
        <v>115</v>
      </c>
      <c r="B141" s="3" t="str">
        <f>IF(ISBLANK(Table3[[#This Row],[Campaign_ID]]),"Invalid","Valid")</f>
        <v>Valid</v>
      </c>
      <c r="C141" s="3" t="str">
        <f>IF(COUNTA(Finance_Data!A137:R137)=18,"Valid","Missing")</f>
        <v>Valid</v>
      </c>
      <c r="D141" s="3" t="str">
        <f>IF(COUNTIF(Finance_Data!$T$2:$T$1001,Finance_Data!T137)&gt;1,"Duplicate","Valid")</f>
        <v>Valid</v>
      </c>
      <c r="E141" s="3" t="str">
        <f>IF(Finance_Data!H137&gt;Finance_Data!G137,"Valid","Invalid")</f>
        <v>Valid</v>
      </c>
      <c r="F141" s="3" t="str" cm="1">
        <f t="array" ref="F141">_xlfn.IFS(Finance_Data!S137&lt;7,"Short",Finance_Data!S137&lt;=30,"Normal",Finance_Data!S137&lt;=60,"Long",Finance_Data!S137&gt;60,"Very Long")</f>
        <v>Long</v>
      </c>
      <c r="G141" s="3" t="str">
        <f>IF(ABS(Finance_Data!I137*Finance_Data!J137)-Finance_Data!K137&lt;1,"Valid","Invalid")</f>
        <v>Valid</v>
      </c>
      <c r="H141" s="3" t="str">
        <f>IF(Finance_Data!L137&gt;0,"Valid","Invalid")</f>
        <v>Valid</v>
      </c>
      <c r="I141" s="3" t="str">
        <f>IF(Finance_Data!L137&gt;=Finance_Data!M137,"Valid","Invalid")</f>
        <v>Valid</v>
      </c>
      <c r="J141" s="3" t="str">
        <f>IF(AND(Finance_Data!I137&gt;=0,Finance_Data!K137&gt;=0),"Valid","Invalid")</f>
        <v>Valid</v>
      </c>
      <c r="K141" s="3" t="str">
        <f>IF(Finance_Data!N137&gt;=0,"Valid","Invalid")</f>
        <v>Valid</v>
      </c>
      <c r="L141" s="3" t="str">
        <f>IF(TEXT(Finance_Data!G137,"mmmm")=Finance_Data!P137,"Valid","Invalid")</f>
        <v>Valid</v>
      </c>
      <c r="M141" s="3" t="str">
        <f>IF("Q"&amp;ROUNDUP(MONTH(Finance_Data!G137)/3,0)=Finance_Data!Q137,"Valid","Invalid")</f>
        <v>Valid</v>
      </c>
      <c r="N141" s="7" t="str">
        <f t="shared" si="2"/>
        <v>Pass</v>
      </c>
    </row>
    <row r="142" spans="1:14" x14ac:dyDescent="0.35">
      <c r="A142" s="17" t="s">
        <v>71</v>
      </c>
      <c r="B142" s="3" t="str">
        <f>IF(ISBLANK(Table3[[#This Row],[Campaign_ID]]),"Invalid","Valid")</f>
        <v>Valid</v>
      </c>
      <c r="C142" s="3" t="str">
        <f>IF(COUNTA(Finance_Data!A138:R138)=18,"Valid","Missing")</f>
        <v>Valid</v>
      </c>
      <c r="D142" s="3" t="str">
        <f>IF(COUNTIF(Finance_Data!$T$2:$T$1001,Finance_Data!T138)&gt;1,"Duplicate","Valid")</f>
        <v>Valid</v>
      </c>
      <c r="E142" s="3" t="str">
        <f>IF(Finance_Data!H138&gt;Finance_Data!G138,"Valid","Invalid")</f>
        <v>Valid</v>
      </c>
      <c r="F142" s="3" t="str" cm="1">
        <f t="array" ref="F142">_xlfn.IFS(Finance_Data!S138&lt;7,"Short",Finance_Data!S138&lt;=30,"Normal",Finance_Data!S138&lt;=60,"Long",Finance_Data!S138&gt;60,"Very Long")</f>
        <v>Long</v>
      </c>
      <c r="G142" s="3" t="str">
        <f>IF(ABS(Finance_Data!I138*Finance_Data!J138)-Finance_Data!K138&lt;1,"Valid","Invalid")</f>
        <v>Valid</v>
      </c>
      <c r="H142" s="3" t="str">
        <f>IF(Finance_Data!L138&gt;0,"Valid","Invalid")</f>
        <v>Valid</v>
      </c>
      <c r="I142" s="3" t="str">
        <f>IF(Finance_Data!L138&gt;=Finance_Data!M138,"Valid","Invalid")</f>
        <v>Valid</v>
      </c>
      <c r="J142" s="3" t="str">
        <f>IF(AND(Finance_Data!I138&gt;=0,Finance_Data!K138&gt;=0),"Valid","Invalid")</f>
        <v>Valid</v>
      </c>
      <c r="K142" s="3" t="str">
        <f>IF(Finance_Data!N138&gt;=0,"Valid","Invalid")</f>
        <v>Valid</v>
      </c>
      <c r="L142" s="3" t="str">
        <f>IF(TEXT(Finance_Data!G138,"mmmm")=Finance_Data!P138,"Valid","Invalid")</f>
        <v>Valid</v>
      </c>
      <c r="M142" s="3" t="str">
        <f>IF("Q"&amp;ROUNDUP(MONTH(Finance_Data!G138)/3,0)=Finance_Data!Q138,"Valid","Invalid")</f>
        <v>Valid</v>
      </c>
      <c r="N142" s="7" t="str">
        <f t="shared" si="2"/>
        <v>Pass</v>
      </c>
    </row>
    <row r="143" spans="1:14" x14ac:dyDescent="0.35">
      <c r="A143" s="17" t="s">
        <v>100</v>
      </c>
      <c r="B143" s="3" t="str">
        <f>IF(ISBLANK(Table3[[#This Row],[Campaign_ID]]),"Invalid","Valid")</f>
        <v>Valid</v>
      </c>
      <c r="C143" s="3" t="str">
        <f>IF(COUNTA(Finance_Data!A139:R139)=18,"Valid","Missing")</f>
        <v>Valid</v>
      </c>
      <c r="D143" s="3" t="str">
        <f>IF(COUNTIF(Finance_Data!$T$2:$T$1001,Finance_Data!T139)&gt;1,"Duplicate","Valid")</f>
        <v>Valid</v>
      </c>
      <c r="E143" s="3" t="str">
        <f>IF(Finance_Data!H139&gt;Finance_Data!G139,"Valid","Invalid")</f>
        <v>Valid</v>
      </c>
      <c r="F143" s="3" t="str" cm="1">
        <f t="array" ref="F143">_xlfn.IFS(Finance_Data!S139&lt;7,"Short",Finance_Data!S139&lt;=30,"Normal",Finance_Data!S139&lt;=60,"Long",Finance_Data!S139&gt;60,"Very Long")</f>
        <v>Long</v>
      </c>
      <c r="G143" s="3" t="str">
        <f>IF(ABS(Finance_Data!I139*Finance_Data!J139)-Finance_Data!K139&lt;1,"Valid","Invalid")</f>
        <v>Valid</v>
      </c>
      <c r="H143" s="3" t="str">
        <f>IF(Finance_Data!L139&gt;0,"Valid","Invalid")</f>
        <v>Valid</v>
      </c>
      <c r="I143" s="3" t="str">
        <f>IF(Finance_Data!L139&gt;=Finance_Data!M139,"Valid","Invalid")</f>
        <v>Valid</v>
      </c>
      <c r="J143" s="3" t="str">
        <f>IF(AND(Finance_Data!I139&gt;=0,Finance_Data!K139&gt;=0),"Valid","Invalid")</f>
        <v>Valid</v>
      </c>
      <c r="K143" s="3" t="str">
        <f>IF(Finance_Data!N139&gt;=0,"Valid","Invalid")</f>
        <v>Valid</v>
      </c>
      <c r="L143" s="3" t="str">
        <f>IF(TEXT(Finance_Data!G139,"mmmm")=Finance_Data!P139,"Valid","Invalid")</f>
        <v>Valid</v>
      </c>
      <c r="M143" s="3" t="str">
        <f>IF("Q"&amp;ROUNDUP(MONTH(Finance_Data!G139)/3,0)=Finance_Data!Q139,"Valid","Invalid")</f>
        <v>Valid</v>
      </c>
      <c r="N143" s="7" t="str">
        <f t="shared" si="2"/>
        <v>Pass</v>
      </c>
    </row>
    <row r="144" spans="1:14" x14ac:dyDescent="0.35">
      <c r="A144" s="17" t="s">
        <v>96</v>
      </c>
      <c r="B144" s="3" t="str">
        <f>IF(ISBLANK(Table3[[#This Row],[Campaign_ID]]),"Invalid","Valid")</f>
        <v>Valid</v>
      </c>
      <c r="C144" s="3" t="str">
        <f>IF(COUNTA(Finance_Data!A140:R140)=18,"Valid","Missing")</f>
        <v>Valid</v>
      </c>
      <c r="D144" s="3" t="str">
        <f>IF(COUNTIF(Finance_Data!$T$2:$T$1001,Finance_Data!T140)&gt;1,"Duplicate","Valid")</f>
        <v>Valid</v>
      </c>
      <c r="E144" s="3" t="str">
        <f>IF(Finance_Data!H140&gt;Finance_Data!G140,"Valid","Invalid")</f>
        <v>Valid</v>
      </c>
      <c r="F144" s="3" t="str" cm="1">
        <f t="array" ref="F144">_xlfn.IFS(Finance_Data!S140&lt;7,"Short",Finance_Data!S140&lt;=30,"Normal",Finance_Data!S140&lt;=60,"Long",Finance_Data!S140&gt;60,"Very Long")</f>
        <v>Long</v>
      </c>
      <c r="G144" s="3" t="str">
        <f>IF(ABS(Finance_Data!I140*Finance_Data!J140)-Finance_Data!K140&lt;1,"Valid","Invalid")</f>
        <v>Valid</v>
      </c>
      <c r="H144" s="3" t="str">
        <f>IF(Finance_Data!L140&gt;0,"Valid","Invalid")</f>
        <v>Valid</v>
      </c>
      <c r="I144" s="3" t="str">
        <f>IF(Finance_Data!L140&gt;=Finance_Data!M140,"Valid","Invalid")</f>
        <v>Valid</v>
      </c>
      <c r="J144" s="3" t="str">
        <f>IF(AND(Finance_Data!I140&gt;=0,Finance_Data!K140&gt;=0),"Valid","Invalid")</f>
        <v>Valid</v>
      </c>
      <c r="K144" s="3" t="str">
        <f>IF(Finance_Data!N140&gt;=0,"Valid","Invalid")</f>
        <v>Valid</v>
      </c>
      <c r="L144" s="3" t="str">
        <f>IF(TEXT(Finance_Data!G140,"mmmm")=Finance_Data!P140,"Valid","Invalid")</f>
        <v>Valid</v>
      </c>
      <c r="M144" s="3" t="str">
        <f>IF("Q"&amp;ROUNDUP(MONTH(Finance_Data!G140)/3,0)=Finance_Data!Q140,"Valid","Invalid")</f>
        <v>Valid</v>
      </c>
      <c r="N144" s="7" t="str">
        <f t="shared" si="2"/>
        <v>Pass</v>
      </c>
    </row>
    <row r="145" spans="1:14" x14ac:dyDescent="0.35">
      <c r="A145" s="17" t="s">
        <v>86</v>
      </c>
      <c r="B145" s="3" t="str">
        <f>IF(ISBLANK(Table3[[#This Row],[Campaign_ID]]),"Invalid","Valid")</f>
        <v>Valid</v>
      </c>
      <c r="C145" s="3" t="str">
        <f>IF(COUNTA(Finance_Data!A141:R141)=18,"Valid","Missing")</f>
        <v>Valid</v>
      </c>
      <c r="D145" s="3" t="str">
        <f>IF(COUNTIF(Finance_Data!$T$2:$T$1001,Finance_Data!T141)&gt;1,"Duplicate","Valid")</f>
        <v>Valid</v>
      </c>
      <c r="E145" s="3" t="str">
        <f>IF(Finance_Data!H141&gt;Finance_Data!G141,"Valid","Invalid")</f>
        <v>Valid</v>
      </c>
      <c r="F145" s="3" t="str" cm="1">
        <f t="array" ref="F145">_xlfn.IFS(Finance_Data!S141&lt;7,"Short",Finance_Data!S141&lt;=30,"Normal",Finance_Data!S141&lt;=60,"Long",Finance_Data!S141&gt;60,"Very Long")</f>
        <v>Long</v>
      </c>
      <c r="G145" s="3" t="str">
        <f>IF(ABS(Finance_Data!I141*Finance_Data!J141)-Finance_Data!K141&lt;1,"Valid","Invalid")</f>
        <v>Valid</v>
      </c>
      <c r="H145" s="3" t="str">
        <f>IF(Finance_Data!L141&gt;0,"Valid","Invalid")</f>
        <v>Valid</v>
      </c>
      <c r="I145" s="3" t="str">
        <f>IF(Finance_Data!L141&gt;=Finance_Data!M141,"Valid","Invalid")</f>
        <v>Valid</v>
      </c>
      <c r="J145" s="3" t="str">
        <f>IF(AND(Finance_Data!I141&gt;=0,Finance_Data!K141&gt;=0),"Valid","Invalid")</f>
        <v>Valid</v>
      </c>
      <c r="K145" s="3" t="str">
        <f>IF(Finance_Data!N141&gt;=0,"Valid","Invalid")</f>
        <v>Valid</v>
      </c>
      <c r="L145" s="3" t="str">
        <f>IF(TEXT(Finance_Data!G141,"mmmm")=Finance_Data!P141,"Valid","Invalid")</f>
        <v>Valid</v>
      </c>
      <c r="M145" s="3" t="str">
        <f>IF("Q"&amp;ROUNDUP(MONTH(Finance_Data!G141)/3,0)=Finance_Data!Q141,"Valid","Invalid")</f>
        <v>Valid</v>
      </c>
      <c r="N145" s="7" t="str">
        <f t="shared" si="2"/>
        <v>Pass</v>
      </c>
    </row>
    <row r="146" spans="1:14" x14ac:dyDescent="0.35">
      <c r="A146" s="17" t="s">
        <v>95</v>
      </c>
      <c r="B146" s="3" t="str">
        <f>IF(ISBLANK(Table3[[#This Row],[Campaign_ID]]),"Invalid","Valid")</f>
        <v>Valid</v>
      </c>
      <c r="C146" s="3" t="str">
        <f>IF(COUNTA(Finance_Data!A142:R142)=18,"Valid","Missing")</f>
        <v>Valid</v>
      </c>
      <c r="D146" s="3" t="str">
        <f>IF(COUNTIF(Finance_Data!$T$2:$T$1001,Finance_Data!T142)&gt;1,"Duplicate","Valid")</f>
        <v>Valid</v>
      </c>
      <c r="E146" s="3" t="str">
        <f>IF(Finance_Data!H142&gt;Finance_Data!G142,"Valid","Invalid")</f>
        <v>Valid</v>
      </c>
      <c r="F146" s="3" t="str" cm="1">
        <f t="array" ref="F146">_xlfn.IFS(Finance_Data!S142&lt;7,"Short",Finance_Data!S142&lt;=30,"Normal",Finance_Data!S142&lt;=60,"Long",Finance_Data!S142&gt;60,"Very Long")</f>
        <v>Normal</v>
      </c>
      <c r="G146" s="3" t="str">
        <f>IF(ABS(Finance_Data!I142*Finance_Data!J142)-Finance_Data!K142&lt;1,"Valid","Invalid")</f>
        <v>Valid</v>
      </c>
      <c r="H146" s="3" t="str">
        <f>IF(Finance_Data!L142&gt;0,"Valid","Invalid")</f>
        <v>Valid</v>
      </c>
      <c r="I146" s="3" t="str">
        <f>IF(Finance_Data!L142&gt;=Finance_Data!M142,"Valid","Invalid")</f>
        <v>Valid</v>
      </c>
      <c r="J146" s="3" t="str">
        <f>IF(AND(Finance_Data!I142&gt;=0,Finance_Data!K142&gt;=0),"Valid","Invalid")</f>
        <v>Valid</v>
      </c>
      <c r="K146" s="3" t="str">
        <f>IF(Finance_Data!N142&gt;=0,"Valid","Invalid")</f>
        <v>Valid</v>
      </c>
      <c r="L146" s="3" t="str">
        <f>IF(TEXT(Finance_Data!G142,"mmmm")=Finance_Data!P142,"Valid","Invalid")</f>
        <v>Valid</v>
      </c>
      <c r="M146" s="3" t="str">
        <f>IF("Q"&amp;ROUNDUP(MONTH(Finance_Data!G142)/3,0)=Finance_Data!Q142,"Valid","Invalid")</f>
        <v>Valid</v>
      </c>
      <c r="N146" s="7" t="str">
        <f t="shared" si="2"/>
        <v>Pass</v>
      </c>
    </row>
    <row r="147" spans="1:14" x14ac:dyDescent="0.35">
      <c r="A147" s="17" t="s">
        <v>81</v>
      </c>
      <c r="B147" s="3" t="str">
        <f>IF(ISBLANK(Table3[[#This Row],[Campaign_ID]]),"Invalid","Valid")</f>
        <v>Valid</v>
      </c>
      <c r="C147" s="3" t="str">
        <f>IF(COUNTA(Finance_Data!A143:R143)=18,"Valid","Missing")</f>
        <v>Valid</v>
      </c>
      <c r="D147" s="3" t="str">
        <f>IF(COUNTIF(Finance_Data!$T$2:$T$1001,Finance_Data!T143)&gt;1,"Duplicate","Valid")</f>
        <v>Valid</v>
      </c>
      <c r="E147" s="3" t="str">
        <f>IF(Finance_Data!H143&gt;Finance_Data!G143,"Valid","Invalid")</f>
        <v>Valid</v>
      </c>
      <c r="F147" s="3" t="str" cm="1">
        <f t="array" ref="F147">_xlfn.IFS(Finance_Data!S143&lt;7,"Short",Finance_Data!S143&lt;=30,"Normal",Finance_Data!S143&lt;=60,"Long",Finance_Data!S143&gt;60,"Very Long")</f>
        <v>Normal</v>
      </c>
      <c r="G147" s="3" t="str">
        <f>IF(ABS(Finance_Data!I143*Finance_Data!J143)-Finance_Data!K143&lt;1,"Valid","Invalid")</f>
        <v>Valid</v>
      </c>
      <c r="H147" s="3" t="str">
        <f>IF(Finance_Data!L143&gt;0,"Valid","Invalid")</f>
        <v>Valid</v>
      </c>
      <c r="I147" s="3" t="str">
        <f>IF(Finance_Data!L143&gt;=Finance_Data!M143,"Valid","Invalid")</f>
        <v>Valid</v>
      </c>
      <c r="J147" s="3" t="str">
        <f>IF(AND(Finance_Data!I143&gt;=0,Finance_Data!K143&gt;=0),"Valid","Invalid")</f>
        <v>Valid</v>
      </c>
      <c r="K147" s="3" t="str">
        <f>IF(Finance_Data!N143&gt;=0,"Valid","Invalid")</f>
        <v>Valid</v>
      </c>
      <c r="L147" s="3" t="str">
        <f>IF(TEXT(Finance_Data!G143,"mmmm")=Finance_Data!P143,"Valid","Invalid")</f>
        <v>Valid</v>
      </c>
      <c r="M147" s="3" t="str">
        <f>IF("Q"&amp;ROUNDUP(MONTH(Finance_Data!G143)/3,0)=Finance_Data!Q143,"Valid","Invalid")</f>
        <v>Valid</v>
      </c>
      <c r="N147" s="7" t="str">
        <f t="shared" si="2"/>
        <v>Pass</v>
      </c>
    </row>
    <row r="148" spans="1:14" x14ac:dyDescent="0.35">
      <c r="A148" s="17" t="s">
        <v>64</v>
      </c>
      <c r="B148" s="3" t="str">
        <f>IF(ISBLANK(Table3[[#This Row],[Campaign_ID]]),"Invalid","Valid")</f>
        <v>Valid</v>
      </c>
      <c r="C148" s="3" t="str">
        <f>IF(COUNTA(Finance_Data!A144:R144)=18,"Valid","Missing")</f>
        <v>Valid</v>
      </c>
      <c r="D148" s="3" t="str">
        <f>IF(COUNTIF(Finance_Data!$T$2:$T$1001,Finance_Data!T144)&gt;1,"Duplicate","Valid")</f>
        <v>Valid</v>
      </c>
      <c r="E148" s="3" t="str">
        <f>IF(Finance_Data!H144&gt;Finance_Data!G144,"Valid","Invalid")</f>
        <v>Valid</v>
      </c>
      <c r="F148" s="3" t="str" cm="1">
        <f t="array" ref="F148">_xlfn.IFS(Finance_Data!S144&lt;7,"Short",Finance_Data!S144&lt;=30,"Normal",Finance_Data!S144&lt;=60,"Long",Finance_Data!S144&gt;60,"Very Long")</f>
        <v>Normal</v>
      </c>
      <c r="G148" s="3" t="str">
        <f>IF(ABS(Finance_Data!I144*Finance_Data!J144)-Finance_Data!K144&lt;1,"Valid","Invalid")</f>
        <v>Valid</v>
      </c>
      <c r="H148" s="3" t="str">
        <f>IF(Finance_Data!L144&gt;0,"Valid","Invalid")</f>
        <v>Valid</v>
      </c>
      <c r="I148" s="3" t="str">
        <f>IF(Finance_Data!L144&gt;=Finance_Data!M144,"Valid","Invalid")</f>
        <v>Valid</v>
      </c>
      <c r="J148" s="3" t="str">
        <f>IF(AND(Finance_Data!I144&gt;=0,Finance_Data!K144&gt;=0),"Valid","Invalid")</f>
        <v>Valid</v>
      </c>
      <c r="K148" s="3" t="str">
        <f>IF(Finance_Data!N144&gt;=0,"Valid","Invalid")</f>
        <v>Valid</v>
      </c>
      <c r="L148" s="3" t="str">
        <f>IF(TEXT(Finance_Data!G144,"mmmm")=Finance_Data!P144,"Valid","Invalid")</f>
        <v>Valid</v>
      </c>
      <c r="M148" s="3" t="str">
        <f>IF("Q"&amp;ROUNDUP(MONTH(Finance_Data!G144)/3,0)=Finance_Data!Q144,"Valid","Invalid")</f>
        <v>Valid</v>
      </c>
      <c r="N148" s="7" t="str">
        <f t="shared" si="2"/>
        <v>Pass</v>
      </c>
    </row>
    <row r="149" spans="1:14" x14ac:dyDescent="0.35">
      <c r="A149" s="17" t="s">
        <v>110</v>
      </c>
      <c r="B149" s="3" t="str">
        <f>IF(ISBLANK(Table3[[#This Row],[Campaign_ID]]),"Invalid","Valid")</f>
        <v>Valid</v>
      </c>
      <c r="C149" s="3" t="str">
        <f>IF(COUNTA(Finance_Data!A145:R145)=18,"Valid","Missing")</f>
        <v>Valid</v>
      </c>
      <c r="D149" s="3" t="str">
        <f>IF(COUNTIF(Finance_Data!$T$2:$T$1001,Finance_Data!T145)&gt;1,"Duplicate","Valid")</f>
        <v>Valid</v>
      </c>
      <c r="E149" s="3" t="str">
        <f>IF(Finance_Data!H145&gt;Finance_Data!G145,"Valid","Invalid")</f>
        <v>Valid</v>
      </c>
      <c r="F149" s="3" t="str" cm="1">
        <f t="array" ref="F149">_xlfn.IFS(Finance_Data!S145&lt;7,"Short",Finance_Data!S145&lt;=30,"Normal",Finance_Data!S145&lt;=60,"Long",Finance_Data!S145&gt;60,"Very Long")</f>
        <v>Normal</v>
      </c>
      <c r="G149" s="3" t="str">
        <f>IF(ABS(Finance_Data!I145*Finance_Data!J145)-Finance_Data!K145&lt;1,"Valid","Invalid")</f>
        <v>Valid</v>
      </c>
      <c r="H149" s="3" t="str">
        <f>IF(Finance_Data!L145&gt;0,"Valid","Invalid")</f>
        <v>Valid</v>
      </c>
      <c r="I149" s="3" t="str">
        <f>IF(Finance_Data!L145&gt;=Finance_Data!M145,"Valid","Invalid")</f>
        <v>Valid</v>
      </c>
      <c r="J149" s="3" t="str">
        <f>IF(AND(Finance_Data!I145&gt;=0,Finance_Data!K145&gt;=0),"Valid","Invalid")</f>
        <v>Valid</v>
      </c>
      <c r="K149" s="3" t="str">
        <f>IF(Finance_Data!N145&gt;=0,"Valid","Invalid")</f>
        <v>Valid</v>
      </c>
      <c r="L149" s="3" t="str">
        <f>IF(TEXT(Finance_Data!G145,"mmmm")=Finance_Data!P145,"Valid","Invalid")</f>
        <v>Valid</v>
      </c>
      <c r="M149" s="3" t="str">
        <f>IF("Q"&amp;ROUNDUP(MONTH(Finance_Data!G145)/3,0)=Finance_Data!Q145,"Valid","Invalid")</f>
        <v>Valid</v>
      </c>
      <c r="N149" s="7" t="str">
        <f t="shared" si="2"/>
        <v>Pass</v>
      </c>
    </row>
    <row r="150" spans="1:14" x14ac:dyDescent="0.35">
      <c r="A150" s="17" t="s">
        <v>64</v>
      </c>
      <c r="B150" s="3" t="str">
        <f>IF(ISBLANK(Table3[[#This Row],[Campaign_ID]]),"Invalid","Valid")</f>
        <v>Valid</v>
      </c>
      <c r="C150" s="3" t="str">
        <f>IF(COUNTA(Finance_Data!A146:R146)=18,"Valid","Missing")</f>
        <v>Valid</v>
      </c>
      <c r="D150" s="3" t="str">
        <f>IF(COUNTIF(Finance_Data!$T$2:$T$1001,Finance_Data!T146)&gt;1,"Duplicate","Valid")</f>
        <v>Valid</v>
      </c>
      <c r="E150" s="3" t="str">
        <f>IF(Finance_Data!H146&gt;Finance_Data!G146,"Valid","Invalid")</f>
        <v>Valid</v>
      </c>
      <c r="F150" s="3" t="str" cm="1">
        <f t="array" ref="F150">_xlfn.IFS(Finance_Data!S146&lt;7,"Short",Finance_Data!S146&lt;=30,"Normal",Finance_Data!S146&lt;=60,"Long",Finance_Data!S146&gt;60,"Very Long")</f>
        <v>Normal</v>
      </c>
      <c r="G150" s="3" t="str">
        <f>IF(ABS(Finance_Data!I146*Finance_Data!J146)-Finance_Data!K146&lt;1,"Valid","Invalid")</f>
        <v>Valid</v>
      </c>
      <c r="H150" s="3" t="str">
        <f>IF(Finance_Data!L146&gt;0,"Valid","Invalid")</f>
        <v>Valid</v>
      </c>
      <c r="I150" s="3" t="str">
        <f>IF(Finance_Data!L146&gt;=Finance_Data!M146,"Valid","Invalid")</f>
        <v>Valid</v>
      </c>
      <c r="J150" s="3" t="str">
        <f>IF(AND(Finance_Data!I146&gt;=0,Finance_Data!K146&gt;=0),"Valid","Invalid")</f>
        <v>Valid</v>
      </c>
      <c r="K150" s="3" t="str">
        <f>IF(Finance_Data!N146&gt;=0,"Valid","Invalid")</f>
        <v>Valid</v>
      </c>
      <c r="L150" s="3" t="str">
        <f>IF(TEXT(Finance_Data!G146,"mmmm")=Finance_Data!P146,"Valid","Invalid")</f>
        <v>Valid</v>
      </c>
      <c r="M150" s="3" t="str">
        <f>IF("Q"&amp;ROUNDUP(MONTH(Finance_Data!G146)/3,0)=Finance_Data!Q146,"Valid","Invalid")</f>
        <v>Valid</v>
      </c>
      <c r="N150" s="7" t="str">
        <f t="shared" si="2"/>
        <v>Pass</v>
      </c>
    </row>
    <row r="151" spans="1:14" x14ac:dyDescent="0.35">
      <c r="A151" s="17" t="s">
        <v>106</v>
      </c>
      <c r="B151" s="3" t="str">
        <f>IF(ISBLANK(Table3[[#This Row],[Campaign_ID]]),"Invalid","Valid")</f>
        <v>Valid</v>
      </c>
      <c r="C151" s="3" t="str">
        <f>IF(COUNTA(Finance_Data!A147:R147)=18,"Valid","Missing")</f>
        <v>Valid</v>
      </c>
      <c r="D151" s="3" t="str">
        <f>IF(COUNTIF(Finance_Data!$T$2:$T$1001,Finance_Data!T147)&gt;1,"Duplicate","Valid")</f>
        <v>Valid</v>
      </c>
      <c r="E151" s="3" t="str">
        <f>IF(Finance_Data!H147&gt;Finance_Data!G147,"Valid","Invalid")</f>
        <v>Valid</v>
      </c>
      <c r="F151" s="3" t="str" cm="1">
        <f t="array" ref="F151">_xlfn.IFS(Finance_Data!S147&lt;7,"Short",Finance_Data!S147&lt;=30,"Normal",Finance_Data!S147&lt;=60,"Long",Finance_Data!S147&gt;60,"Very Long")</f>
        <v>Long</v>
      </c>
      <c r="G151" s="3" t="str">
        <f>IF(ABS(Finance_Data!I147*Finance_Data!J147)-Finance_Data!K147&lt;1,"Valid","Invalid")</f>
        <v>Valid</v>
      </c>
      <c r="H151" s="3" t="str">
        <f>IF(Finance_Data!L147&gt;0,"Valid","Invalid")</f>
        <v>Valid</v>
      </c>
      <c r="I151" s="3" t="str">
        <f>IF(Finance_Data!L147&gt;=Finance_Data!M147,"Valid","Invalid")</f>
        <v>Valid</v>
      </c>
      <c r="J151" s="3" t="str">
        <f>IF(AND(Finance_Data!I147&gt;=0,Finance_Data!K147&gt;=0),"Valid","Invalid")</f>
        <v>Valid</v>
      </c>
      <c r="K151" s="3" t="str">
        <f>IF(Finance_Data!N147&gt;=0,"Valid","Invalid")</f>
        <v>Valid</v>
      </c>
      <c r="L151" s="3" t="str">
        <f>IF(TEXT(Finance_Data!G147,"mmmm")=Finance_Data!P147,"Valid","Invalid")</f>
        <v>Valid</v>
      </c>
      <c r="M151" s="3" t="str">
        <f>IF("Q"&amp;ROUNDUP(MONTH(Finance_Data!G147)/3,0)=Finance_Data!Q147,"Valid","Invalid")</f>
        <v>Valid</v>
      </c>
      <c r="N151" s="7" t="str">
        <f t="shared" si="2"/>
        <v>Pass</v>
      </c>
    </row>
    <row r="152" spans="1:14" x14ac:dyDescent="0.35">
      <c r="A152" s="17" t="s">
        <v>105</v>
      </c>
      <c r="B152" s="3" t="str">
        <f>IF(ISBLANK(Table3[[#This Row],[Campaign_ID]]),"Invalid","Valid")</f>
        <v>Valid</v>
      </c>
      <c r="C152" s="3" t="str">
        <f>IF(COUNTA(Finance_Data!A148:R148)=18,"Valid","Missing")</f>
        <v>Valid</v>
      </c>
      <c r="D152" s="3" t="str">
        <f>IF(COUNTIF(Finance_Data!$T$2:$T$1001,Finance_Data!T148)&gt;1,"Duplicate","Valid")</f>
        <v>Valid</v>
      </c>
      <c r="E152" s="3" t="str">
        <f>IF(Finance_Data!H148&gt;Finance_Data!G148,"Valid","Invalid")</f>
        <v>Valid</v>
      </c>
      <c r="F152" s="3" t="str" cm="1">
        <f t="array" ref="F152">_xlfn.IFS(Finance_Data!S148&lt;7,"Short",Finance_Data!S148&lt;=30,"Normal",Finance_Data!S148&lt;=60,"Long",Finance_Data!S148&gt;60,"Very Long")</f>
        <v>Long</v>
      </c>
      <c r="G152" s="3" t="str">
        <f>IF(ABS(Finance_Data!I148*Finance_Data!J148)-Finance_Data!K148&lt;1,"Valid","Invalid")</f>
        <v>Valid</v>
      </c>
      <c r="H152" s="3" t="str">
        <f>IF(Finance_Data!L148&gt;0,"Valid","Invalid")</f>
        <v>Valid</v>
      </c>
      <c r="I152" s="3" t="str">
        <f>IF(Finance_Data!L148&gt;=Finance_Data!M148,"Valid","Invalid")</f>
        <v>Valid</v>
      </c>
      <c r="J152" s="3" t="str">
        <f>IF(AND(Finance_Data!I148&gt;=0,Finance_Data!K148&gt;=0),"Valid","Invalid")</f>
        <v>Valid</v>
      </c>
      <c r="K152" s="3" t="str">
        <f>IF(Finance_Data!N148&gt;=0,"Valid","Invalid")</f>
        <v>Valid</v>
      </c>
      <c r="L152" s="3" t="str">
        <f>IF(TEXT(Finance_Data!G148,"mmmm")=Finance_Data!P148,"Valid","Invalid")</f>
        <v>Valid</v>
      </c>
      <c r="M152" s="3" t="str">
        <f>IF("Q"&amp;ROUNDUP(MONTH(Finance_Data!G148)/3,0)=Finance_Data!Q148,"Valid","Invalid")</f>
        <v>Valid</v>
      </c>
      <c r="N152" s="7" t="str">
        <f t="shared" si="2"/>
        <v>Pass</v>
      </c>
    </row>
    <row r="153" spans="1:14" x14ac:dyDescent="0.35">
      <c r="A153" s="17" t="s">
        <v>90</v>
      </c>
      <c r="B153" s="3" t="str">
        <f>IF(ISBLANK(Table3[[#This Row],[Campaign_ID]]),"Invalid","Valid")</f>
        <v>Valid</v>
      </c>
      <c r="C153" s="3" t="str">
        <f>IF(COUNTA(Finance_Data!A149:R149)=18,"Valid","Missing")</f>
        <v>Valid</v>
      </c>
      <c r="D153" s="3" t="str">
        <f>IF(COUNTIF(Finance_Data!$T$2:$T$1001,Finance_Data!T149)&gt;1,"Duplicate","Valid")</f>
        <v>Valid</v>
      </c>
      <c r="E153" s="3" t="str">
        <f>IF(Finance_Data!H149&gt;Finance_Data!G149,"Valid","Invalid")</f>
        <v>Valid</v>
      </c>
      <c r="F153" s="3" t="str" cm="1">
        <f t="array" ref="F153">_xlfn.IFS(Finance_Data!S149&lt;7,"Short",Finance_Data!S149&lt;=30,"Normal",Finance_Data!S149&lt;=60,"Long",Finance_Data!S149&gt;60,"Very Long")</f>
        <v>Long</v>
      </c>
      <c r="G153" s="3" t="str">
        <f>IF(ABS(Finance_Data!I149*Finance_Data!J149)-Finance_Data!K149&lt;1,"Valid","Invalid")</f>
        <v>Valid</v>
      </c>
      <c r="H153" s="3" t="str">
        <f>IF(Finance_Data!L149&gt;0,"Valid","Invalid")</f>
        <v>Valid</v>
      </c>
      <c r="I153" s="3" t="str">
        <f>IF(Finance_Data!L149&gt;=Finance_Data!M149,"Valid","Invalid")</f>
        <v>Valid</v>
      </c>
      <c r="J153" s="3" t="str">
        <f>IF(AND(Finance_Data!I149&gt;=0,Finance_Data!K149&gt;=0),"Valid","Invalid")</f>
        <v>Valid</v>
      </c>
      <c r="K153" s="3" t="str">
        <f>IF(Finance_Data!N149&gt;=0,"Valid","Invalid")</f>
        <v>Valid</v>
      </c>
      <c r="L153" s="3" t="str">
        <f>IF(TEXT(Finance_Data!G149,"mmmm")=Finance_Data!P149,"Valid","Invalid")</f>
        <v>Valid</v>
      </c>
      <c r="M153" s="3" t="str">
        <f>IF("Q"&amp;ROUNDUP(MONTH(Finance_Data!G149)/3,0)=Finance_Data!Q149,"Valid","Invalid")</f>
        <v>Valid</v>
      </c>
      <c r="N153" s="7" t="str">
        <f t="shared" si="2"/>
        <v>Pass</v>
      </c>
    </row>
    <row r="154" spans="1:14" x14ac:dyDescent="0.35">
      <c r="A154" s="17" t="s">
        <v>67</v>
      </c>
      <c r="B154" s="3" t="str">
        <f>IF(ISBLANK(Table3[[#This Row],[Campaign_ID]]),"Invalid","Valid")</f>
        <v>Valid</v>
      </c>
      <c r="C154" s="3" t="str">
        <f>IF(COUNTA(Finance_Data!A150:R150)=18,"Valid","Missing")</f>
        <v>Valid</v>
      </c>
      <c r="D154" s="3" t="str">
        <f>IF(COUNTIF(Finance_Data!$T$2:$T$1001,Finance_Data!T150)&gt;1,"Duplicate","Valid")</f>
        <v>Valid</v>
      </c>
      <c r="E154" s="3" t="str">
        <f>IF(Finance_Data!H150&gt;Finance_Data!G150,"Valid","Invalid")</f>
        <v>Valid</v>
      </c>
      <c r="F154" s="3" t="str" cm="1">
        <f t="array" ref="F154">_xlfn.IFS(Finance_Data!S150&lt;7,"Short",Finance_Data!S150&lt;=30,"Normal",Finance_Data!S150&lt;=60,"Long",Finance_Data!S150&gt;60,"Very Long")</f>
        <v>Long</v>
      </c>
      <c r="G154" s="3" t="str">
        <f>IF(ABS(Finance_Data!I150*Finance_Data!J150)-Finance_Data!K150&lt;1,"Valid","Invalid")</f>
        <v>Valid</v>
      </c>
      <c r="H154" s="3" t="str">
        <f>IF(Finance_Data!L150&gt;0,"Valid","Invalid")</f>
        <v>Valid</v>
      </c>
      <c r="I154" s="3" t="str">
        <f>IF(Finance_Data!L150&gt;=Finance_Data!M150,"Valid","Invalid")</f>
        <v>Valid</v>
      </c>
      <c r="J154" s="3" t="str">
        <f>IF(AND(Finance_Data!I150&gt;=0,Finance_Data!K150&gt;=0),"Valid","Invalid")</f>
        <v>Valid</v>
      </c>
      <c r="K154" s="3" t="str">
        <f>IF(Finance_Data!N150&gt;=0,"Valid","Invalid")</f>
        <v>Valid</v>
      </c>
      <c r="L154" s="3" t="str">
        <f>IF(TEXT(Finance_Data!G150,"mmmm")=Finance_Data!P150,"Valid","Invalid")</f>
        <v>Valid</v>
      </c>
      <c r="M154" s="3" t="str">
        <f>IF("Q"&amp;ROUNDUP(MONTH(Finance_Data!G150)/3,0)=Finance_Data!Q150,"Valid","Invalid")</f>
        <v>Valid</v>
      </c>
      <c r="N154" s="7" t="str">
        <f t="shared" si="2"/>
        <v>Pass</v>
      </c>
    </row>
    <row r="155" spans="1:14" x14ac:dyDescent="0.35">
      <c r="A155" s="17" t="s">
        <v>82</v>
      </c>
      <c r="B155" s="3" t="str">
        <f>IF(ISBLANK(Table3[[#This Row],[Campaign_ID]]),"Invalid","Valid")</f>
        <v>Valid</v>
      </c>
      <c r="C155" s="3" t="str">
        <f>IF(COUNTA(Finance_Data!A151:R151)=18,"Valid","Missing")</f>
        <v>Valid</v>
      </c>
      <c r="D155" s="3" t="str">
        <f>IF(COUNTIF(Finance_Data!$T$2:$T$1001,Finance_Data!T151)&gt;1,"Duplicate","Valid")</f>
        <v>Valid</v>
      </c>
      <c r="E155" s="3" t="str">
        <f>IF(Finance_Data!H151&gt;Finance_Data!G151,"Valid","Invalid")</f>
        <v>Valid</v>
      </c>
      <c r="F155" s="3" t="str" cm="1">
        <f t="array" ref="F155">_xlfn.IFS(Finance_Data!S151&lt;7,"Short",Finance_Data!S151&lt;=30,"Normal",Finance_Data!S151&lt;=60,"Long",Finance_Data!S151&gt;60,"Very Long")</f>
        <v>Long</v>
      </c>
      <c r="G155" s="3" t="str">
        <f>IF(ABS(Finance_Data!I151*Finance_Data!J151)-Finance_Data!K151&lt;1,"Valid","Invalid")</f>
        <v>Valid</v>
      </c>
      <c r="H155" s="3" t="str">
        <f>IF(Finance_Data!L151&gt;0,"Valid","Invalid")</f>
        <v>Valid</v>
      </c>
      <c r="I155" s="3" t="str">
        <f>IF(Finance_Data!L151&gt;=Finance_Data!M151,"Valid","Invalid")</f>
        <v>Valid</v>
      </c>
      <c r="J155" s="3" t="str">
        <f>IF(AND(Finance_Data!I151&gt;=0,Finance_Data!K151&gt;=0),"Valid","Invalid")</f>
        <v>Valid</v>
      </c>
      <c r="K155" s="3" t="str">
        <f>IF(Finance_Data!N151&gt;=0,"Valid","Invalid")</f>
        <v>Valid</v>
      </c>
      <c r="L155" s="3" t="str">
        <f>IF(TEXT(Finance_Data!G151,"mmmm")=Finance_Data!P151,"Valid","Invalid")</f>
        <v>Valid</v>
      </c>
      <c r="M155" s="3" t="str">
        <f>IF("Q"&amp;ROUNDUP(MONTH(Finance_Data!G151)/3,0)=Finance_Data!Q151,"Valid","Invalid")</f>
        <v>Valid</v>
      </c>
      <c r="N155" s="7" t="str">
        <f t="shared" si="2"/>
        <v>Pass</v>
      </c>
    </row>
    <row r="156" spans="1:14" x14ac:dyDescent="0.35">
      <c r="A156" s="17" t="s">
        <v>95</v>
      </c>
      <c r="B156" s="3" t="str">
        <f>IF(ISBLANK(Table3[[#This Row],[Campaign_ID]]),"Invalid","Valid")</f>
        <v>Valid</v>
      </c>
      <c r="C156" s="3" t="str">
        <f>IF(COUNTA(Finance_Data!A152:R152)=18,"Valid","Missing")</f>
        <v>Valid</v>
      </c>
      <c r="D156" s="3" t="str">
        <f>IF(COUNTIF(Finance_Data!$T$2:$T$1001,Finance_Data!T152)&gt;1,"Duplicate","Valid")</f>
        <v>Valid</v>
      </c>
      <c r="E156" s="3" t="str">
        <f>IF(Finance_Data!H152&gt;Finance_Data!G152,"Valid","Invalid")</f>
        <v>Valid</v>
      </c>
      <c r="F156" s="3" t="str" cm="1">
        <f t="array" ref="F156">_xlfn.IFS(Finance_Data!S152&lt;7,"Short",Finance_Data!S152&lt;=30,"Normal",Finance_Data!S152&lt;=60,"Long",Finance_Data!S152&gt;60,"Very Long")</f>
        <v>Long</v>
      </c>
      <c r="G156" s="3" t="str">
        <f>IF(ABS(Finance_Data!I152*Finance_Data!J152)-Finance_Data!K152&lt;1,"Valid","Invalid")</f>
        <v>Valid</v>
      </c>
      <c r="H156" s="3" t="str">
        <f>IF(Finance_Data!L152&gt;0,"Valid","Invalid")</f>
        <v>Valid</v>
      </c>
      <c r="I156" s="3" t="str">
        <f>IF(Finance_Data!L152&gt;=Finance_Data!M152,"Valid","Invalid")</f>
        <v>Valid</v>
      </c>
      <c r="J156" s="3" t="str">
        <f>IF(AND(Finance_Data!I152&gt;=0,Finance_Data!K152&gt;=0),"Valid","Invalid")</f>
        <v>Valid</v>
      </c>
      <c r="K156" s="3" t="str">
        <f>IF(Finance_Data!N152&gt;=0,"Valid","Invalid")</f>
        <v>Valid</v>
      </c>
      <c r="L156" s="3" t="str">
        <f>IF(TEXT(Finance_Data!G152,"mmmm")=Finance_Data!P152,"Valid","Invalid")</f>
        <v>Valid</v>
      </c>
      <c r="M156" s="3" t="str">
        <f>IF("Q"&amp;ROUNDUP(MONTH(Finance_Data!G152)/3,0)=Finance_Data!Q152,"Valid","Invalid")</f>
        <v>Valid</v>
      </c>
      <c r="N156" s="7" t="str">
        <f t="shared" si="2"/>
        <v>Pass</v>
      </c>
    </row>
    <row r="157" spans="1:14" x14ac:dyDescent="0.35">
      <c r="A157" s="17" t="s">
        <v>107</v>
      </c>
      <c r="B157" s="3" t="str">
        <f>IF(ISBLANK(Table3[[#This Row],[Campaign_ID]]),"Invalid","Valid")</f>
        <v>Valid</v>
      </c>
      <c r="C157" s="3" t="str">
        <f>IF(COUNTA(Finance_Data!A153:R153)=18,"Valid","Missing")</f>
        <v>Valid</v>
      </c>
      <c r="D157" s="3" t="str">
        <f>IF(COUNTIF(Finance_Data!$T$2:$T$1001,Finance_Data!T153)&gt;1,"Duplicate","Valid")</f>
        <v>Valid</v>
      </c>
      <c r="E157" s="3" t="str">
        <f>IF(Finance_Data!H153&gt;Finance_Data!G153,"Valid","Invalid")</f>
        <v>Valid</v>
      </c>
      <c r="F157" s="3" t="str" cm="1">
        <f t="array" ref="F157">_xlfn.IFS(Finance_Data!S153&lt;7,"Short",Finance_Data!S153&lt;=30,"Normal",Finance_Data!S153&lt;=60,"Long",Finance_Data!S153&gt;60,"Very Long")</f>
        <v>Normal</v>
      </c>
      <c r="G157" s="3" t="str">
        <f>IF(ABS(Finance_Data!I153*Finance_Data!J153)-Finance_Data!K153&lt;1,"Valid","Invalid")</f>
        <v>Valid</v>
      </c>
      <c r="H157" s="3" t="str">
        <f>IF(Finance_Data!L153&gt;0,"Valid","Invalid")</f>
        <v>Valid</v>
      </c>
      <c r="I157" s="3" t="str">
        <f>IF(Finance_Data!L153&gt;=Finance_Data!M153,"Valid","Invalid")</f>
        <v>Valid</v>
      </c>
      <c r="J157" s="3" t="str">
        <f>IF(AND(Finance_Data!I153&gt;=0,Finance_Data!K153&gt;=0),"Valid","Invalid")</f>
        <v>Valid</v>
      </c>
      <c r="K157" s="3" t="str">
        <f>IF(Finance_Data!N153&gt;=0,"Valid","Invalid")</f>
        <v>Valid</v>
      </c>
      <c r="L157" s="3" t="str">
        <f>IF(TEXT(Finance_Data!G153,"mmmm")=Finance_Data!P153,"Valid","Invalid")</f>
        <v>Valid</v>
      </c>
      <c r="M157" s="3" t="str">
        <f>IF("Q"&amp;ROUNDUP(MONTH(Finance_Data!G153)/3,0)=Finance_Data!Q153,"Valid","Invalid")</f>
        <v>Valid</v>
      </c>
      <c r="N157" s="7" t="str">
        <f t="shared" si="2"/>
        <v>Pass</v>
      </c>
    </row>
    <row r="158" spans="1:14" x14ac:dyDescent="0.35">
      <c r="A158" s="17" t="s">
        <v>92</v>
      </c>
      <c r="B158" s="3" t="str">
        <f>IF(ISBLANK(Table3[[#This Row],[Campaign_ID]]),"Invalid","Valid")</f>
        <v>Valid</v>
      </c>
      <c r="C158" s="3" t="str">
        <f>IF(COUNTA(Finance_Data!A154:R154)=18,"Valid","Missing")</f>
        <v>Valid</v>
      </c>
      <c r="D158" s="3" t="str">
        <f>IF(COUNTIF(Finance_Data!$T$2:$T$1001,Finance_Data!T154)&gt;1,"Duplicate","Valid")</f>
        <v>Valid</v>
      </c>
      <c r="E158" s="3" t="str">
        <f>IF(Finance_Data!H154&gt;Finance_Data!G154,"Valid","Invalid")</f>
        <v>Valid</v>
      </c>
      <c r="F158" s="3" t="str" cm="1">
        <f t="array" ref="F158">_xlfn.IFS(Finance_Data!S154&lt;7,"Short",Finance_Data!S154&lt;=30,"Normal",Finance_Data!S154&lt;=60,"Long",Finance_Data!S154&gt;60,"Very Long")</f>
        <v>Long</v>
      </c>
      <c r="G158" s="3" t="str">
        <f>IF(ABS(Finance_Data!I154*Finance_Data!J154)-Finance_Data!K154&lt;1,"Valid","Invalid")</f>
        <v>Valid</v>
      </c>
      <c r="H158" s="3" t="str">
        <f>IF(Finance_Data!L154&gt;0,"Valid","Invalid")</f>
        <v>Valid</v>
      </c>
      <c r="I158" s="3" t="str">
        <f>IF(Finance_Data!L154&gt;=Finance_Data!M154,"Valid","Invalid")</f>
        <v>Valid</v>
      </c>
      <c r="J158" s="3" t="str">
        <f>IF(AND(Finance_Data!I154&gt;=0,Finance_Data!K154&gt;=0),"Valid","Invalid")</f>
        <v>Valid</v>
      </c>
      <c r="K158" s="3" t="str">
        <f>IF(Finance_Data!N154&gt;=0,"Valid","Invalid")</f>
        <v>Valid</v>
      </c>
      <c r="L158" s="3" t="str">
        <f>IF(TEXT(Finance_Data!G154,"mmmm")=Finance_Data!P154,"Valid","Invalid")</f>
        <v>Valid</v>
      </c>
      <c r="M158" s="3" t="str">
        <f>IF("Q"&amp;ROUNDUP(MONTH(Finance_Data!G154)/3,0)=Finance_Data!Q154,"Valid","Invalid")</f>
        <v>Valid</v>
      </c>
      <c r="N158" s="7" t="str">
        <f t="shared" si="2"/>
        <v>Pass</v>
      </c>
    </row>
    <row r="159" spans="1:14" x14ac:dyDescent="0.35">
      <c r="A159" s="17" t="s">
        <v>27</v>
      </c>
      <c r="B159" s="3" t="str">
        <f>IF(ISBLANK(Table3[[#This Row],[Campaign_ID]]),"Invalid","Valid")</f>
        <v>Valid</v>
      </c>
      <c r="C159" s="3" t="str">
        <f>IF(COUNTA(Finance_Data!A155:R155)=18,"Valid","Missing")</f>
        <v>Valid</v>
      </c>
      <c r="D159" s="3" t="str">
        <f>IF(COUNTIF(Finance_Data!$T$2:$T$1001,Finance_Data!T155)&gt;1,"Duplicate","Valid")</f>
        <v>Valid</v>
      </c>
      <c r="E159" s="3" t="str">
        <f>IF(Finance_Data!H155&gt;Finance_Data!G155,"Valid","Invalid")</f>
        <v>Valid</v>
      </c>
      <c r="F159" s="3" t="str" cm="1">
        <f t="array" ref="F159">_xlfn.IFS(Finance_Data!S155&lt;7,"Short",Finance_Data!S155&lt;=30,"Normal",Finance_Data!S155&lt;=60,"Long",Finance_Data!S155&gt;60,"Very Long")</f>
        <v>Normal</v>
      </c>
      <c r="G159" s="3" t="str">
        <f>IF(ABS(Finance_Data!I155*Finance_Data!J155)-Finance_Data!K155&lt;1,"Valid","Invalid")</f>
        <v>Valid</v>
      </c>
      <c r="H159" s="3" t="str">
        <f>IF(Finance_Data!L155&gt;0,"Valid","Invalid")</f>
        <v>Valid</v>
      </c>
      <c r="I159" s="3" t="str">
        <f>IF(Finance_Data!L155&gt;=Finance_Data!M155,"Valid","Invalid")</f>
        <v>Valid</v>
      </c>
      <c r="J159" s="3" t="str">
        <f>IF(AND(Finance_Data!I155&gt;=0,Finance_Data!K155&gt;=0),"Valid","Invalid")</f>
        <v>Valid</v>
      </c>
      <c r="K159" s="3" t="str">
        <f>IF(Finance_Data!N155&gt;=0,"Valid","Invalid")</f>
        <v>Valid</v>
      </c>
      <c r="L159" s="3" t="str">
        <f>IF(TEXT(Finance_Data!G155,"mmmm")=Finance_Data!P155,"Valid","Invalid")</f>
        <v>Valid</v>
      </c>
      <c r="M159" s="3" t="str">
        <f>IF("Q"&amp;ROUNDUP(MONTH(Finance_Data!G155)/3,0)=Finance_Data!Q155,"Valid","Invalid")</f>
        <v>Valid</v>
      </c>
      <c r="N159" s="7" t="str">
        <f t="shared" si="2"/>
        <v>Pass</v>
      </c>
    </row>
    <row r="160" spans="1:14" x14ac:dyDescent="0.35">
      <c r="A160" s="17" t="s">
        <v>66</v>
      </c>
      <c r="B160" s="3" t="str">
        <f>IF(ISBLANK(Table3[[#This Row],[Campaign_ID]]),"Invalid","Valid")</f>
        <v>Valid</v>
      </c>
      <c r="C160" s="3" t="str">
        <f>IF(COUNTA(Finance_Data!A156:R156)=18,"Valid","Missing")</f>
        <v>Valid</v>
      </c>
      <c r="D160" s="3" t="str">
        <f>IF(COUNTIF(Finance_Data!$T$2:$T$1001,Finance_Data!T156)&gt;1,"Duplicate","Valid")</f>
        <v>Valid</v>
      </c>
      <c r="E160" s="3" t="str">
        <f>IF(Finance_Data!H156&gt;Finance_Data!G156,"Valid","Invalid")</f>
        <v>Valid</v>
      </c>
      <c r="F160" s="3" t="str" cm="1">
        <f t="array" ref="F160">_xlfn.IFS(Finance_Data!S156&lt;7,"Short",Finance_Data!S156&lt;=30,"Normal",Finance_Data!S156&lt;=60,"Long",Finance_Data!S156&gt;60,"Very Long")</f>
        <v>Normal</v>
      </c>
      <c r="G160" s="3" t="str">
        <f>IF(ABS(Finance_Data!I156*Finance_Data!J156)-Finance_Data!K156&lt;1,"Valid","Invalid")</f>
        <v>Valid</v>
      </c>
      <c r="H160" s="3" t="str">
        <f>IF(Finance_Data!L156&gt;0,"Valid","Invalid")</f>
        <v>Valid</v>
      </c>
      <c r="I160" s="3" t="str">
        <f>IF(Finance_Data!L156&gt;=Finance_Data!M156,"Valid","Invalid")</f>
        <v>Valid</v>
      </c>
      <c r="J160" s="3" t="str">
        <f>IF(AND(Finance_Data!I156&gt;=0,Finance_Data!K156&gt;=0),"Valid","Invalid")</f>
        <v>Valid</v>
      </c>
      <c r="K160" s="3" t="str">
        <f>IF(Finance_Data!N156&gt;=0,"Valid","Invalid")</f>
        <v>Valid</v>
      </c>
      <c r="L160" s="3" t="str">
        <f>IF(TEXT(Finance_Data!G156,"mmmm")=Finance_Data!P156,"Valid","Invalid")</f>
        <v>Valid</v>
      </c>
      <c r="M160" s="3" t="str">
        <f>IF("Q"&amp;ROUNDUP(MONTH(Finance_Data!G156)/3,0)=Finance_Data!Q156,"Valid","Invalid")</f>
        <v>Valid</v>
      </c>
      <c r="N160" s="7" t="str">
        <f t="shared" si="2"/>
        <v>Pass</v>
      </c>
    </row>
    <row r="161" spans="1:14" x14ac:dyDescent="0.35">
      <c r="A161" s="17" t="s">
        <v>90</v>
      </c>
      <c r="B161" s="3" t="str">
        <f>IF(ISBLANK(Table3[[#This Row],[Campaign_ID]]),"Invalid","Valid")</f>
        <v>Valid</v>
      </c>
      <c r="C161" s="3" t="str">
        <f>IF(COUNTA(Finance_Data!A157:R157)=18,"Valid","Missing")</f>
        <v>Valid</v>
      </c>
      <c r="D161" s="3" t="str">
        <f>IF(COUNTIF(Finance_Data!$T$2:$T$1001,Finance_Data!T157)&gt;1,"Duplicate","Valid")</f>
        <v>Valid</v>
      </c>
      <c r="E161" s="3" t="str">
        <f>IF(Finance_Data!H157&gt;Finance_Data!G157,"Valid","Invalid")</f>
        <v>Valid</v>
      </c>
      <c r="F161" s="3" t="str" cm="1">
        <f t="array" ref="F161">_xlfn.IFS(Finance_Data!S157&lt;7,"Short",Finance_Data!S157&lt;=30,"Normal",Finance_Data!S157&lt;=60,"Long",Finance_Data!S157&gt;60,"Very Long")</f>
        <v>Normal</v>
      </c>
      <c r="G161" s="3" t="str">
        <f>IF(ABS(Finance_Data!I157*Finance_Data!J157)-Finance_Data!K157&lt;1,"Valid","Invalid")</f>
        <v>Valid</v>
      </c>
      <c r="H161" s="3" t="str">
        <f>IF(Finance_Data!L157&gt;0,"Valid","Invalid")</f>
        <v>Valid</v>
      </c>
      <c r="I161" s="3" t="str">
        <f>IF(Finance_Data!L157&gt;=Finance_Data!M157,"Valid","Invalid")</f>
        <v>Valid</v>
      </c>
      <c r="J161" s="3" t="str">
        <f>IF(AND(Finance_Data!I157&gt;=0,Finance_Data!K157&gt;=0),"Valid","Invalid")</f>
        <v>Valid</v>
      </c>
      <c r="K161" s="3" t="str">
        <f>IF(Finance_Data!N157&gt;=0,"Valid","Invalid")</f>
        <v>Valid</v>
      </c>
      <c r="L161" s="3" t="str">
        <f>IF(TEXT(Finance_Data!G157,"mmmm")=Finance_Data!P157,"Valid","Invalid")</f>
        <v>Valid</v>
      </c>
      <c r="M161" s="3" t="str">
        <f>IF("Q"&amp;ROUNDUP(MONTH(Finance_Data!G157)/3,0)=Finance_Data!Q157,"Valid","Invalid")</f>
        <v>Valid</v>
      </c>
      <c r="N161" s="7" t="str">
        <f t="shared" si="2"/>
        <v>Pass</v>
      </c>
    </row>
    <row r="162" spans="1:14" x14ac:dyDescent="0.35">
      <c r="A162" s="17" t="s">
        <v>103</v>
      </c>
      <c r="B162" s="3" t="str">
        <f>IF(ISBLANK(Table3[[#This Row],[Campaign_ID]]),"Invalid","Valid")</f>
        <v>Valid</v>
      </c>
      <c r="C162" s="3" t="str">
        <f>IF(COUNTA(Finance_Data!A158:R158)=18,"Valid","Missing")</f>
        <v>Valid</v>
      </c>
      <c r="D162" s="3" t="str">
        <f>IF(COUNTIF(Finance_Data!$T$2:$T$1001,Finance_Data!T158)&gt;1,"Duplicate","Valid")</f>
        <v>Valid</v>
      </c>
      <c r="E162" s="3" t="str">
        <f>IF(Finance_Data!H158&gt;Finance_Data!G158,"Valid","Invalid")</f>
        <v>Valid</v>
      </c>
      <c r="F162" s="3" t="str" cm="1">
        <f t="array" ref="F162">_xlfn.IFS(Finance_Data!S158&lt;7,"Short",Finance_Data!S158&lt;=30,"Normal",Finance_Data!S158&lt;=60,"Long",Finance_Data!S158&gt;60,"Very Long")</f>
        <v>Long</v>
      </c>
      <c r="G162" s="3" t="str">
        <f>IF(ABS(Finance_Data!I158*Finance_Data!J158)-Finance_Data!K158&lt;1,"Valid","Invalid")</f>
        <v>Valid</v>
      </c>
      <c r="H162" s="3" t="str">
        <f>IF(Finance_Data!L158&gt;0,"Valid","Invalid")</f>
        <v>Valid</v>
      </c>
      <c r="I162" s="3" t="str">
        <f>IF(Finance_Data!L158&gt;=Finance_Data!M158,"Valid","Invalid")</f>
        <v>Valid</v>
      </c>
      <c r="J162" s="3" t="str">
        <f>IF(AND(Finance_Data!I158&gt;=0,Finance_Data!K158&gt;=0),"Valid","Invalid")</f>
        <v>Valid</v>
      </c>
      <c r="K162" s="3" t="str">
        <f>IF(Finance_Data!N158&gt;=0,"Valid","Invalid")</f>
        <v>Valid</v>
      </c>
      <c r="L162" s="3" t="str">
        <f>IF(TEXT(Finance_Data!G158,"mmmm")=Finance_Data!P158,"Valid","Invalid")</f>
        <v>Valid</v>
      </c>
      <c r="M162" s="3" t="str">
        <f>IF("Q"&amp;ROUNDUP(MONTH(Finance_Data!G158)/3,0)=Finance_Data!Q158,"Valid","Invalid")</f>
        <v>Valid</v>
      </c>
      <c r="N162" s="7" t="str">
        <f t="shared" si="2"/>
        <v>Pass</v>
      </c>
    </row>
    <row r="163" spans="1:14" x14ac:dyDescent="0.35">
      <c r="A163" s="17" t="s">
        <v>87</v>
      </c>
      <c r="B163" s="3" t="str">
        <f>IF(ISBLANK(Table3[[#This Row],[Campaign_ID]]),"Invalid","Valid")</f>
        <v>Valid</v>
      </c>
      <c r="C163" s="3" t="str">
        <f>IF(COUNTA(Finance_Data!A159:R159)=18,"Valid","Missing")</f>
        <v>Valid</v>
      </c>
      <c r="D163" s="3" t="str">
        <f>IF(COUNTIF(Finance_Data!$T$2:$T$1001,Finance_Data!T159)&gt;1,"Duplicate","Valid")</f>
        <v>Valid</v>
      </c>
      <c r="E163" s="3" t="str">
        <f>IF(Finance_Data!H159&gt;Finance_Data!G159,"Valid","Invalid")</f>
        <v>Valid</v>
      </c>
      <c r="F163" s="3" t="str" cm="1">
        <f t="array" ref="F163">_xlfn.IFS(Finance_Data!S159&lt;7,"Short",Finance_Data!S159&lt;=30,"Normal",Finance_Data!S159&lt;=60,"Long",Finance_Data!S159&gt;60,"Very Long")</f>
        <v>Long</v>
      </c>
      <c r="G163" s="3" t="str">
        <f>IF(ABS(Finance_Data!I159*Finance_Data!J159)-Finance_Data!K159&lt;1,"Valid","Invalid")</f>
        <v>Valid</v>
      </c>
      <c r="H163" s="3" t="str">
        <f>IF(Finance_Data!L159&gt;0,"Valid","Invalid")</f>
        <v>Valid</v>
      </c>
      <c r="I163" s="3" t="str">
        <f>IF(Finance_Data!L159&gt;=Finance_Data!M159,"Valid","Invalid")</f>
        <v>Valid</v>
      </c>
      <c r="J163" s="3" t="str">
        <f>IF(AND(Finance_Data!I159&gt;=0,Finance_Data!K159&gt;=0),"Valid","Invalid")</f>
        <v>Valid</v>
      </c>
      <c r="K163" s="3" t="str">
        <f>IF(Finance_Data!N159&gt;=0,"Valid","Invalid")</f>
        <v>Valid</v>
      </c>
      <c r="L163" s="3" t="str">
        <f>IF(TEXT(Finance_Data!G159,"mmmm")=Finance_Data!P159,"Valid","Invalid")</f>
        <v>Valid</v>
      </c>
      <c r="M163" s="3" t="str">
        <f>IF("Q"&amp;ROUNDUP(MONTH(Finance_Data!G159)/3,0)=Finance_Data!Q159,"Valid","Invalid")</f>
        <v>Valid</v>
      </c>
      <c r="N163" s="7" t="str">
        <f t="shared" si="2"/>
        <v>Pass</v>
      </c>
    </row>
    <row r="164" spans="1:14" x14ac:dyDescent="0.35">
      <c r="A164" s="17" t="s">
        <v>113</v>
      </c>
      <c r="B164" s="3" t="str">
        <f>IF(ISBLANK(Table3[[#This Row],[Campaign_ID]]),"Invalid","Valid")</f>
        <v>Valid</v>
      </c>
      <c r="C164" s="3" t="str">
        <f>IF(COUNTA(Finance_Data!A160:R160)=18,"Valid","Missing")</f>
        <v>Valid</v>
      </c>
      <c r="D164" s="3" t="str">
        <f>IF(COUNTIF(Finance_Data!$T$2:$T$1001,Finance_Data!T160)&gt;1,"Duplicate","Valid")</f>
        <v>Valid</v>
      </c>
      <c r="E164" s="3" t="str">
        <f>IF(Finance_Data!H160&gt;Finance_Data!G160,"Valid","Invalid")</f>
        <v>Valid</v>
      </c>
      <c r="F164" s="3" t="str" cm="1">
        <f t="array" ref="F164">_xlfn.IFS(Finance_Data!S160&lt;7,"Short",Finance_Data!S160&lt;=30,"Normal",Finance_Data!S160&lt;=60,"Long",Finance_Data!S160&gt;60,"Very Long")</f>
        <v>Long</v>
      </c>
      <c r="G164" s="3" t="str">
        <f>IF(ABS(Finance_Data!I160*Finance_Data!J160)-Finance_Data!K160&lt;1,"Valid","Invalid")</f>
        <v>Valid</v>
      </c>
      <c r="H164" s="3" t="str">
        <f>IF(Finance_Data!L160&gt;0,"Valid","Invalid")</f>
        <v>Valid</v>
      </c>
      <c r="I164" s="3" t="str">
        <f>IF(Finance_Data!L160&gt;=Finance_Data!M160,"Valid","Invalid")</f>
        <v>Valid</v>
      </c>
      <c r="J164" s="3" t="str">
        <f>IF(AND(Finance_Data!I160&gt;=0,Finance_Data!K160&gt;=0),"Valid","Invalid")</f>
        <v>Valid</v>
      </c>
      <c r="K164" s="3" t="str">
        <f>IF(Finance_Data!N160&gt;=0,"Valid","Invalid")</f>
        <v>Valid</v>
      </c>
      <c r="L164" s="3" t="str">
        <f>IF(TEXT(Finance_Data!G160,"mmmm")=Finance_Data!P160,"Valid","Invalid")</f>
        <v>Valid</v>
      </c>
      <c r="M164" s="3" t="str">
        <f>IF("Q"&amp;ROUNDUP(MONTH(Finance_Data!G160)/3,0)=Finance_Data!Q160,"Valid","Invalid")</f>
        <v>Valid</v>
      </c>
      <c r="N164" s="7" t="str">
        <f t="shared" si="2"/>
        <v>Pass</v>
      </c>
    </row>
    <row r="165" spans="1:14" x14ac:dyDescent="0.35">
      <c r="A165" s="17" t="s">
        <v>91</v>
      </c>
      <c r="B165" s="3" t="str">
        <f>IF(ISBLANK(Table3[[#This Row],[Campaign_ID]]),"Invalid","Valid")</f>
        <v>Valid</v>
      </c>
      <c r="C165" s="3" t="str">
        <f>IF(COUNTA(Finance_Data!A161:R161)=18,"Valid","Missing")</f>
        <v>Valid</v>
      </c>
      <c r="D165" s="3" t="str">
        <f>IF(COUNTIF(Finance_Data!$T$2:$T$1001,Finance_Data!T161)&gt;1,"Duplicate","Valid")</f>
        <v>Valid</v>
      </c>
      <c r="E165" s="3" t="str">
        <f>IF(Finance_Data!H161&gt;Finance_Data!G161,"Valid","Invalid")</f>
        <v>Valid</v>
      </c>
      <c r="F165" s="3" t="str" cm="1">
        <f t="array" ref="F165">_xlfn.IFS(Finance_Data!S161&lt;7,"Short",Finance_Data!S161&lt;=30,"Normal",Finance_Data!S161&lt;=60,"Long",Finance_Data!S161&gt;60,"Very Long")</f>
        <v>Long</v>
      </c>
      <c r="G165" s="3" t="str">
        <f>IF(ABS(Finance_Data!I161*Finance_Data!J161)-Finance_Data!K161&lt;1,"Valid","Invalid")</f>
        <v>Valid</v>
      </c>
      <c r="H165" s="3" t="str">
        <f>IF(Finance_Data!L161&gt;0,"Valid","Invalid")</f>
        <v>Valid</v>
      </c>
      <c r="I165" s="3" t="str">
        <f>IF(Finance_Data!L161&gt;=Finance_Data!M161,"Valid","Invalid")</f>
        <v>Valid</v>
      </c>
      <c r="J165" s="3" t="str">
        <f>IF(AND(Finance_Data!I161&gt;=0,Finance_Data!K161&gt;=0),"Valid","Invalid")</f>
        <v>Valid</v>
      </c>
      <c r="K165" s="3" t="str">
        <f>IF(Finance_Data!N161&gt;=0,"Valid","Invalid")</f>
        <v>Valid</v>
      </c>
      <c r="L165" s="3" t="str">
        <f>IF(TEXT(Finance_Data!G161,"mmmm")=Finance_Data!P161,"Valid","Invalid")</f>
        <v>Valid</v>
      </c>
      <c r="M165" s="3" t="str">
        <f>IF("Q"&amp;ROUNDUP(MONTH(Finance_Data!G161)/3,0)=Finance_Data!Q161,"Valid","Invalid")</f>
        <v>Valid</v>
      </c>
      <c r="N165" s="7" t="str">
        <f t="shared" si="2"/>
        <v>Pass</v>
      </c>
    </row>
    <row r="166" spans="1:14" x14ac:dyDescent="0.35">
      <c r="A166" s="17" t="s">
        <v>100</v>
      </c>
      <c r="B166" s="3" t="str">
        <f>IF(ISBLANK(Table3[[#This Row],[Campaign_ID]]),"Invalid","Valid")</f>
        <v>Valid</v>
      </c>
      <c r="C166" s="3" t="str">
        <f>IF(COUNTA(Finance_Data!A162:R162)=18,"Valid","Missing")</f>
        <v>Valid</v>
      </c>
      <c r="D166" s="3" t="str">
        <f>IF(COUNTIF(Finance_Data!$T$2:$T$1001,Finance_Data!T162)&gt;1,"Duplicate","Valid")</f>
        <v>Valid</v>
      </c>
      <c r="E166" s="3" t="str">
        <f>IF(Finance_Data!H162&gt;Finance_Data!G162,"Valid","Invalid")</f>
        <v>Valid</v>
      </c>
      <c r="F166" s="3" t="str" cm="1">
        <f t="array" ref="F166">_xlfn.IFS(Finance_Data!S162&lt;7,"Short",Finance_Data!S162&lt;=30,"Normal",Finance_Data!S162&lt;=60,"Long",Finance_Data!S162&gt;60,"Very Long")</f>
        <v>Long</v>
      </c>
      <c r="G166" s="3" t="str">
        <f>IF(ABS(Finance_Data!I162*Finance_Data!J162)-Finance_Data!K162&lt;1,"Valid","Invalid")</f>
        <v>Valid</v>
      </c>
      <c r="H166" s="3" t="str">
        <f>IF(Finance_Data!L162&gt;0,"Valid","Invalid")</f>
        <v>Valid</v>
      </c>
      <c r="I166" s="3" t="str">
        <f>IF(Finance_Data!L162&gt;=Finance_Data!M162,"Valid","Invalid")</f>
        <v>Valid</v>
      </c>
      <c r="J166" s="3" t="str">
        <f>IF(AND(Finance_Data!I162&gt;=0,Finance_Data!K162&gt;=0),"Valid","Invalid")</f>
        <v>Valid</v>
      </c>
      <c r="K166" s="3" t="str">
        <f>IF(Finance_Data!N162&gt;=0,"Valid","Invalid")</f>
        <v>Valid</v>
      </c>
      <c r="L166" s="3" t="str">
        <f>IF(TEXT(Finance_Data!G162,"mmmm")=Finance_Data!P162,"Valid","Invalid")</f>
        <v>Valid</v>
      </c>
      <c r="M166" s="3" t="str">
        <f>IF("Q"&amp;ROUNDUP(MONTH(Finance_Data!G162)/3,0)=Finance_Data!Q162,"Valid","Invalid")</f>
        <v>Valid</v>
      </c>
      <c r="N166" s="7" t="str">
        <f t="shared" si="2"/>
        <v>Pass</v>
      </c>
    </row>
    <row r="167" spans="1:14" x14ac:dyDescent="0.35">
      <c r="A167" s="17" t="s">
        <v>68</v>
      </c>
      <c r="B167" s="3" t="str">
        <f>IF(ISBLANK(Table3[[#This Row],[Campaign_ID]]),"Invalid","Valid")</f>
        <v>Valid</v>
      </c>
      <c r="C167" s="3" t="str">
        <f>IF(COUNTA(Finance_Data!A163:R163)=18,"Valid","Missing")</f>
        <v>Valid</v>
      </c>
      <c r="D167" s="3" t="str">
        <f>IF(COUNTIF(Finance_Data!$T$2:$T$1001,Finance_Data!T163)&gt;1,"Duplicate","Valid")</f>
        <v>Valid</v>
      </c>
      <c r="E167" s="3" t="str">
        <f>IF(Finance_Data!H163&gt;Finance_Data!G163,"Valid","Invalid")</f>
        <v>Valid</v>
      </c>
      <c r="F167" s="3" t="str" cm="1">
        <f t="array" ref="F167">_xlfn.IFS(Finance_Data!S163&lt;7,"Short",Finance_Data!S163&lt;=30,"Normal",Finance_Data!S163&lt;=60,"Long",Finance_Data!S163&gt;60,"Very Long")</f>
        <v>Long</v>
      </c>
      <c r="G167" s="3" t="str">
        <f>IF(ABS(Finance_Data!I163*Finance_Data!J163)-Finance_Data!K163&lt;1,"Valid","Invalid")</f>
        <v>Valid</v>
      </c>
      <c r="H167" s="3" t="str">
        <f>IF(Finance_Data!L163&gt;0,"Valid","Invalid")</f>
        <v>Valid</v>
      </c>
      <c r="I167" s="3" t="str">
        <f>IF(Finance_Data!L163&gt;=Finance_Data!M163,"Valid","Invalid")</f>
        <v>Valid</v>
      </c>
      <c r="J167" s="3" t="str">
        <f>IF(AND(Finance_Data!I163&gt;=0,Finance_Data!K163&gt;=0),"Valid","Invalid")</f>
        <v>Valid</v>
      </c>
      <c r="K167" s="3" t="str">
        <f>IF(Finance_Data!N163&gt;=0,"Valid","Invalid")</f>
        <v>Valid</v>
      </c>
      <c r="L167" s="3" t="str">
        <f>IF(TEXT(Finance_Data!G163,"mmmm")=Finance_Data!P163,"Valid","Invalid")</f>
        <v>Valid</v>
      </c>
      <c r="M167" s="3" t="str">
        <f>IF("Q"&amp;ROUNDUP(MONTH(Finance_Data!G163)/3,0)=Finance_Data!Q163,"Valid","Invalid")</f>
        <v>Valid</v>
      </c>
      <c r="N167" s="7" t="str">
        <f t="shared" si="2"/>
        <v>Pass</v>
      </c>
    </row>
    <row r="168" spans="1:14" x14ac:dyDescent="0.35">
      <c r="A168" s="17" t="s">
        <v>34</v>
      </c>
      <c r="B168" s="3" t="str">
        <f>IF(ISBLANK(Table3[[#This Row],[Campaign_ID]]),"Invalid","Valid")</f>
        <v>Valid</v>
      </c>
      <c r="C168" s="3" t="str">
        <f>IF(COUNTA(Finance_Data!A164:R164)=18,"Valid","Missing")</f>
        <v>Valid</v>
      </c>
      <c r="D168" s="3" t="str">
        <f>IF(COUNTIF(Finance_Data!$T$2:$T$1001,Finance_Data!T164)&gt;1,"Duplicate","Valid")</f>
        <v>Valid</v>
      </c>
      <c r="E168" s="3" t="str">
        <f>IF(Finance_Data!H164&gt;Finance_Data!G164,"Valid","Invalid")</f>
        <v>Valid</v>
      </c>
      <c r="F168" s="3" t="str" cm="1">
        <f t="array" ref="F168">_xlfn.IFS(Finance_Data!S164&lt;7,"Short",Finance_Data!S164&lt;=30,"Normal",Finance_Data!S164&lt;=60,"Long",Finance_Data!S164&gt;60,"Very Long")</f>
        <v>Normal</v>
      </c>
      <c r="G168" s="3" t="str">
        <f>IF(ABS(Finance_Data!I164*Finance_Data!J164)-Finance_Data!K164&lt;1,"Valid","Invalid")</f>
        <v>Valid</v>
      </c>
      <c r="H168" s="3" t="str">
        <f>IF(Finance_Data!L164&gt;0,"Valid","Invalid")</f>
        <v>Valid</v>
      </c>
      <c r="I168" s="3" t="str">
        <f>IF(Finance_Data!L164&gt;=Finance_Data!M164,"Valid","Invalid")</f>
        <v>Valid</v>
      </c>
      <c r="J168" s="3" t="str">
        <f>IF(AND(Finance_Data!I164&gt;=0,Finance_Data!K164&gt;=0),"Valid","Invalid")</f>
        <v>Valid</v>
      </c>
      <c r="K168" s="3" t="str">
        <f>IF(Finance_Data!N164&gt;=0,"Valid","Invalid")</f>
        <v>Valid</v>
      </c>
      <c r="L168" s="3" t="str">
        <f>IF(TEXT(Finance_Data!G164,"mmmm")=Finance_Data!P164,"Valid","Invalid")</f>
        <v>Valid</v>
      </c>
      <c r="M168" s="3" t="str">
        <f>IF("Q"&amp;ROUNDUP(MONTH(Finance_Data!G164)/3,0)=Finance_Data!Q164,"Valid","Invalid")</f>
        <v>Valid</v>
      </c>
      <c r="N168" s="7" t="str">
        <f t="shared" si="2"/>
        <v>Pass</v>
      </c>
    </row>
    <row r="169" spans="1:14" x14ac:dyDescent="0.35">
      <c r="A169" s="17" t="s">
        <v>70</v>
      </c>
      <c r="B169" s="3" t="str">
        <f>IF(ISBLANK(Table3[[#This Row],[Campaign_ID]]),"Invalid","Valid")</f>
        <v>Valid</v>
      </c>
      <c r="C169" s="3" t="str">
        <f>IF(COUNTA(Finance_Data!A165:R165)=18,"Valid","Missing")</f>
        <v>Valid</v>
      </c>
      <c r="D169" s="3" t="str">
        <f>IF(COUNTIF(Finance_Data!$T$2:$T$1001,Finance_Data!T165)&gt;1,"Duplicate","Valid")</f>
        <v>Valid</v>
      </c>
      <c r="E169" s="3" t="str">
        <f>IF(Finance_Data!H165&gt;Finance_Data!G165,"Valid","Invalid")</f>
        <v>Valid</v>
      </c>
      <c r="F169" s="3" t="str" cm="1">
        <f t="array" ref="F169">_xlfn.IFS(Finance_Data!S165&lt;7,"Short",Finance_Data!S165&lt;=30,"Normal",Finance_Data!S165&lt;=60,"Long",Finance_Data!S165&gt;60,"Very Long")</f>
        <v>Long</v>
      </c>
      <c r="G169" s="3" t="str">
        <f>IF(ABS(Finance_Data!I165*Finance_Data!J165)-Finance_Data!K165&lt;1,"Valid","Invalid")</f>
        <v>Valid</v>
      </c>
      <c r="H169" s="3" t="str">
        <f>IF(Finance_Data!L165&gt;0,"Valid","Invalid")</f>
        <v>Valid</v>
      </c>
      <c r="I169" s="3" t="str">
        <f>IF(Finance_Data!L165&gt;=Finance_Data!M165,"Valid","Invalid")</f>
        <v>Valid</v>
      </c>
      <c r="J169" s="3" t="str">
        <f>IF(AND(Finance_Data!I165&gt;=0,Finance_Data!K165&gt;=0),"Valid","Invalid")</f>
        <v>Valid</v>
      </c>
      <c r="K169" s="3" t="str">
        <f>IF(Finance_Data!N165&gt;=0,"Valid","Invalid")</f>
        <v>Valid</v>
      </c>
      <c r="L169" s="3" t="str">
        <f>IF(TEXT(Finance_Data!G165,"mmmm")=Finance_Data!P165,"Valid","Invalid")</f>
        <v>Valid</v>
      </c>
      <c r="M169" s="3" t="str">
        <f>IF("Q"&amp;ROUNDUP(MONTH(Finance_Data!G165)/3,0)=Finance_Data!Q165,"Valid","Invalid")</f>
        <v>Valid</v>
      </c>
      <c r="N169" s="7" t="str">
        <f t="shared" si="2"/>
        <v>Pass</v>
      </c>
    </row>
    <row r="170" spans="1:14" x14ac:dyDescent="0.35">
      <c r="A170" s="17" t="s">
        <v>85</v>
      </c>
      <c r="B170" s="3" t="str">
        <f>IF(ISBLANK(Table3[[#This Row],[Campaign_ID]]),"Invalid","Valid")</f>
        <v>Valid</v>
      </c>
      <c r="C170" s="3" t="str">
        <f>IF(COUNTA(Finance_Data!A166:R166)=18,"Valid","Missing")</f>
        <v>Valid</v>
      </c>
      <c r="D170" s="3" t="str">
        <f>IF(COUNTIF(Finance_Data!$T$2:$T$1001,Finance_Data!T166)&gt;1,"Duplicate","Valid")</f>
        <v>Valid</v>
      </c>
      <c r="E170" s="3" t="str">
        <f>IF(Finance_Data!H166&gt;Finance_Data!G166,"Valid","Invalid")</f>
        <v>Valid</v>
      </c>
      <c r="F170" s="3" t="str" cm="1">
        <f t="array" ref="F170">_xlfn.IFS(Finance_Data!S166&lt;7,"Short",Finance_Data!S166&lt;=30,"Normal",Finance_Data!S166&lt;=60,"Long",Finance_Data!S166&gt;60,"Very Long")</f>
        <v>Long</v>
      </c>
      <c r="G170" s="3" t="str">
        <f>IF(ABS(Finance_Data!I166*Finance_Data!J166)-Finance_Data!K166&lt;1,"Valid","Invalid")</f>
        <v>Valid</v>
      </c>
      <c r="H170" s="3" t="str">
        <f>IF(Finance_Data!L166&gt;0,"Valid","Invalid")</f>
        <v>Valid</v>
      </c>
      <c r="I170" s="3" t="str">
        <f>IF(Finance_Data!L166&gt;=Finance_Data!M166,"Valid","Invalid")</f>
        <v>Valid</v>
      </c>
      <c r="J170" s="3" t="str">
        <f>IF(AND(Finance_Data!I166&gt;=0,Finance_Data!K166&gt;=0),"Valid","Invalid")</f>
        <v>Valid</v>
      </c>
      <c r="K170" s="3" t="str">
        <f>IF(Finance_Data!N166&gt;=0,"Valid","Invalid")</f>
        <v>Valid</v>
      </c>
      <c r="L170" s="3" t="str">
        <f>IF(TEXT(Finance_Data!G166,"mmmm")=Finance_Data!P166,"Valid","Invalid")</f>
        <v>Valid</v>
      </c>
      <c r="M170" s="3" t="str">
        <f>IF("Q"&amp;ROUNDUP(MONTH(Finance_Data!G166)/3,0)=Finance_Data!Q166,"Valid","Invalid")</f>
        <v>Valid</v>
      </c>
      <c r="N170" s="7" t="str">
        <f t="shared" si="2"/>
        <v>Pass</v>
      </c>
    </row>
    <row r="171" spans="1:14" x14ac:dyDescent="0.35">
      <c r="A171" s="17" t="s">
        <v>95</v>
      </c>
      <c r="B171" s="3" t="str">
        <f>IF(ISBLANK(Table3[[#This Row],[Campaign_ID]]),"Invalid","Valid")</f>
        <v>Valid</v>
      </c>
      <c r="C171" s="3" t="str">
        <f>IF(COUNTA(Finance_Data!A167:R167)=18,"Valid","Missing")</f>
        <v>Valid</v>
      </c>
      <c r="D171" s="3" t="str">
        <f>IF(COUNTIF(Finance_Data!$T$2:$T$1001,Finance_Data!T167)&gt;1,"Duplicate","Valid")</f>
        <v>Valid</v>
      </c>
      <c r="E171" s="3" t="str">
        <f>IF(Finance_Data!H167&gt;Finance_Data!G167,"Valid","Invalid")</f>
        <v>Valid</v>
      </c>
      <c r="F171" s="3" t="str" cm="1">
        <f t="array" ref="F171">_xlfn.IFS(Finance_Data!S167&lt;7,"Short",Finance_Data!S167&lt;=30,"Normal",Finance_Data!S167&lt;=60,"Long",Finance_Data!S167&gt;60,"Very Long")</f>
        <v>Normal</v>
      </c>
      <c r="G171" s="3" t="str">
        <f>IF(ABS(Finance_Data!I167*Finance_Data!J167)-Finance_Data!K167&lt;1,"Valid","Invalid")</f>
        <v>Valid</v>
      </c>
      <c r="H171" s="3" t="str">
        <f>IF(Finance_Data!L167&gt;0,"Valid","Invalid")</f>
        <v>Valid</v>
      </c>
      <c r="I171" s="3" t="str">
        <f>IF(Finance_Data!L167&gt;=Finance_Data!M167,"Valid","Invalid")</f>
        <v>Valid</v>
      </c>
      <c r="J171" s="3" t="str">
        <f>IF(AND(Finance_Data!I167&gt;=0,Finance_Data!K167&gt;=0),"Valid","Invalid")</f>
        <v>Valid</v>
      </c>
      <c r="K171" s="3" t="str">
        <f>IF(Finance_Data!N167&gt;=0,"Valid","Invalid")</f>
        <v>Valid</v>
      </c>
      <c r="L171" s="3" t="str">
        <f>IF(TEXT(Finance_Data!G167,"mmmm")=Finance_Data!P167,"Valid","Invalid")</f>
        <v>Valid</v>
      </c>
      <c r="M171" s="3" t="str">
        <f>IF("Q"&amp;ROUNDUP(MONTH(Finance_Data!G167)/3,0)=Finance_Data!Q167,"Valid","Invalid")</f>
        <v>Valid</v>
      </c>
      <c r="N171" s="7" t="str">
        <f t="shared" si="2"/>
        <v>Pass</v>
      </c>
    </row>
    <row r="172" spans="1:14" x14ac:dyDescent="0.35">
      <c r="A172" s="17" t="s">
        <v>111</v>
      </c>
      <c r="B172" s="3" t="str">
        <f>IF(ISBLANK(Table3[[#This Row],[Campaign_ID]]),"Invalid","Valid")</f>
        <v>Valid</v>
      </c>
      <c r="C172" s="3" t="str">
        <f>IF(COUNTA(Finance_Data!A168:R168)=18,"Valid","Missing")</f>
        <v>Valid</v>
      </c>
      <c r="D172" s="3" t="str">
        <f>IF(COUNTIF(Finance_Data!$T$2:$T$1001,Finance_Data!T168)&gt;1,"Duplicate","Valid")</f>
        <v>Valid</v>
      </c>
      <c r="E172" s="3" t="str">
        <f>IF(Finance_Data!H168&gt;Finance_Data!G168,"Valid","Invalid")</f>
        <v>Valid</v>
      </c>
      <c r="F172" s="3" t="str" cm="1">
        <f t="array" ref="F172">_xlfn.IFS(Finance_Data!S168&lt;7,"Short",Finance_Data!S168&lt;=30,"Normal",Finance_Data!S168&lt;=60,"Long",Finance_Data!S168&gt;60,"Very Long")</f>
        <v>Normal</v>
      </c>
      <c r="G172" s="3" t="str">
        <f>IF(ABS(Finance_Data!I168*Finance_Data!J168)-Finance_Data!K168&lt;1,"Valid","Invalid")</f>
        <v>Valid</v>
      </c>
      <c r="H172" s="3" t="str">
        <f>IF(Finance_Data!L168&gt;0,"Valid","Invalid")</f>
        <v>Valid</v>
      </c>
      <c r="I172" s="3" t="str">
        <f>IF(Finance_Data!L168&gt;=Finance_Data!M168,"Valid","Invalid")</f>
        <v>Valid</v>
      </c>
      <c r="J172" s="3" t="str">
        <f>IF(AND(Finance_Data!I168&gt;=0,Finance_Data!K168&gt;=0),"Valid","Invalid")</f>
        <v>Valid</v>
      </c>
      <c r="K172" s="3" t="str">
        <f>IF(Finance_Data!N168&gt;=0,"Valid","Invalid")</f>
        <v>Valid</v>
      </c>
      <c r="L172" s="3" t="str">
        <f>IF(TEXT(Finance_Data!G168,"mmmm")=Finance_Data!P168,"Valid","Invalid")</f>
        <v>Valid</v>
      </c>
      <c r="M172" s="3" t="str">
        <f>IF("Q"&amp;ROUNDUP(MONTH(Finance_Data!G168)/3,0)=Finance_Data!Q168,"Valid","Invalid")</f>
        <v>Valid</v>
      </c>
      <c r="N172" s="7" t="str">
        <f t="shared" si="2"/>
        <v>Pass</v>
      </c>
    </row>
    <row r="173" spans="1:14" x14ac:dyDescent="0.35">
      <c r="A173" s="17" t="s">
        <v>120</v>
      </c>
      <c r="B173" s="3" t="str">
        <f>IF(ISBLANK(Table3[[#This Row],[Campaign_ID]]),"Invalid","Valid")</f>
        <v>Valid</v>
      </c>
      <c r="C173" s="3" t="str">
        <f>IF(COUNTA(Finance_Data!A169:R169)=18,"Valid","Missing")</f>
        <v>Valid</v>
      </c>
      <c r="D173" s="3" t="str">
        <f>IF(COUNTIF(Finance_Data!$T$2:$T$1001,Finance_Data!T169)&gt;1,"Duplicate","Valid")</f>
        <v>Valid</v>
      </c>
      <c r="E173" s="3" t="str">
        <f>IF(Finance_Data!H169&gt;Finance_Data!G169,"Valid","Invalid")</f>
        <v>Valid</v>
      </c>
      <c r="F173" s="3" t="str" cm="1">
        <f t="array" ref="F173">_xlfn.IFS(Finance_Data!S169&lt;7,"Short",Finance_Data!S169&lt;=30,"Normal",Finance_Data!S169&lt;=60,"Long",Finance_Data!S169&gt;60,"Very Long")</f>
        <v>Normal</v>
      </c>
      <c r="G173" s="3" t="str">
        <f>IF(ABS(Finance_Data!I169*Finance_Data!J169)-Finance_Data!K169&lt;1,"Valid","Invalid")</f>
        <v>Valid</v>
      </c>
      <c r="H173" s="3" t="str">
        <f>IF(Finance_Data!L169&gt;0,"Valid","Invalid")</f>
        <v>Valid</v>
      </c>
      <c r="I173" s="3" t="str">
        <f>IF(Finance_Data!L169&gt;=Finance_Data!M169,"Valid","Invalid")</f>
        <v>Valid</v>
      </c>
      <c r="J173" s="3" t="str">
        <f>IF(AND(Finance_Data!I169&gt;=0,Finance_Data!K169&gt;=0),"Valid","Invalid")</f>
        <v>Valid</v>
      </c>
      <c r="K173" s="3" t="str">
        <f>IF(Finance_Data!N169&gt;=0,"Valid","Invalid")</f>
        <v>Valid</v>
      </c>
      <c r="L173" s="3" t="str">
        <f>IF(TEXT(Finance_Data!G169,"mmmm")=Finance_Data!P169,"Valid","Invalid")</f>
        <v>Valid</v>
      </c>
      <c r="M173" s="3" t="str">
        <f>IF("Q"&amp;ROUNDUP(MONTH(Finance_Data!G169)/3,0)=Finance_Data!Q169,"Valid","Invalid")</f>
        <v>Valid</v>
      </c>
      <c r="N173" s="7" t="str">
        <f t="shared" si="2"/>
        <v>Pass</v>
      </c>
    </row>
    <row r="174" spans="1:14" x14ac:dyDescent="0.35">
      <c r="A174" s="17" t="s">
        <v>110</v>
      </c>
      <c r="B174" s="3" t="str">
        <f>IF(ISBLANK(Table3[[#This Row],[Campaign_ID]]),"Invalid","Valid")</f>
        <v>Valid</v>
      </c>
      <c r="C174" s="3" t="str">
        <f>IF(COUNTA(Finance_Data!A170:R170)=18,"Valid","Missing")</f>
        <v>Valid</v>
      </c>
      <c r="D174" s="3" t="str">
        <f>IF(COUNTIF(Finance_Data!$T$2:$T$1001,Finance_Data!T170)&gt;1,"Duplicate","Valid")</f>
        <v>Valid</v>
      </c>
      <c r="E174" s="3" t="str">
        <f>IF(Finance_Data!H170&gt;Finance_Data!G170,"Valid","Invalid")</f>
        <v>Valid</v>
      </c>
      <c r="F174" s="3" t="str" cm="1">
        <f t="array" ref="F174">_xlfn.IFS(Finance_Data!S170&lt;7,"Short",Finance_Data!S170&lt;=30,"Normal",Finance_Data!S170&lt;=60,"Long",Finance_Data!S170&gt;60,"Very Long")</f>
        <v>Long</v>
      </c>
      <c r="G174" s="3" t="str">
        <f>IF(ABS(Finance_Data!I170*Finance_Data!J170)-Finance_Data!K170&lt;1,"Valid","Invalid")</f>
        <v>Valid</v>
      </c>
      <c r="H174" s="3" t="str">
        <f>IF(Finance_Data!L170&gt;0,"Valid","Invalid")</f>
        <v>Valid</v>
      </c>
      <c r="I174" s="3" t="str">
        <f>IF(Finance_Data!L170&gt;=Finance_Data!M170,"Valid","Invalid")</f>
        <v>Invalid</v>
      </c>
      <c r="J174" s="3" t="str">
        <f>IF(AND(Finance_Data!I170&gt;=0,Finance_Data!K170&gt;=0),"Valid","Invalid")</f>
        <v>Valid</v>
      </c>
      <c r="K174" s="3" t="str">
        <f>IF(Finance_Data!N170&gt;=0,"Valid","Invalid")</f>
        <v>Valid</v>
      </c>
      <c r="L174" s="3" t="str">
        <f>IF(TEXT(Finance_Data!G170,"mmmm")=Finance_Data!P170,"Valid","Invalid")</f>
        <v>Valid</v>
      </c>
      <c r="M174" s="3" t="str">
        <f>IF("Q"&amp;ROUNDUP(MONTH(Finance_Data!G170)/3,0)=Finance_Data!Q170,"Valid","Invalid")</f>
        <v>Valid</v>
      </c>
      <c r="N174" s="7" t="str">
        <f t="shared" si="2"/>
        <v>Fail</v>
      </c>
    </row>
    <row r="175" spans="1:14" x14ac:dyDescent="0.35">
      <c r="A175" s="17" t="s">
        <v>79</v>
      </c>
      <c r="B175" s="3" t="str">
        <f>IF(ISBLANK(Table3[[#This Row],[Campaign_ID]]),"Invalid","Valid")</f>
        <v>Valid</v>
      </c>
      <c r="C175" s="3" t="str">
        <f>IF(COUNTA(Finance_Data!A171:R171)=18,"Valid","Missing")</f>
        <v>Valid</v>
      </c>
      <c r="D175" s="3" t="str">
        <f>IF(COUNTIF(Finance_Data!$T$2:$T$1001,Finance_Data!T171)&gt;1,"Duplicate","Valid")</f>
        <v>Valid</v>
      </c>
      <c r="E175" s="3" t="str">
        <f>IF(Finance_Data!H171&gt;Finance_Data!G171,"Valid","Invalid")</f>
        <v>Valid</v>
      </c>
      <c r="F175" s="3" t="str" cm="1">
        <f t="array" ref="F175">_xlfn.IFS(Finance_Data!S171&lt;7,"Short",Finance_Data!S171&lt;=30,"Normal",Finance_Data!S171&lt;=60,"Long",Finance_Data!S171&gt;60,"Very Long")</f>
        <v>Long</v>
      </c>
      <c r="G175" s="3" t="str">
        <f>IF(ABS(Finance_Data!I171*Finance_Data!J171)-Finance_Data!K171&lt;1,"Valid","Invalid")</f>
        <v>Valid</v>
      </c>
      <c r="H175" s="3" t="str">
        <f>IF(Finance_Data!L171&gt;0,"Valid","Invalid")</f>
        <v>Valid</v>
      </c>
      <c r="I175" s="3" t="str">
        <f>IF(Finance_Data!L171&gt;=Finance_Data!M171,"Valid","Invalid")</f>
        <v>Valid</v>
      </c>
      <c r="J175" s="3" t="str">
        <f>IF(AND(Finance_Data!I171&gt;=0,Finance_Data!K171&gt;=0),"Valid","Invalid")</f>
        <v>Valid</v>
      </c>
      <c r="K175" s="3" t="str">
        <f>IF(Finance_Data!N171&gt;=0,"Valid","Invalid")</f>
        <v>Valid</v>
      </c>
      <c r="L175" s="3" t="str">
        <f>IF(TEXT(Finance_Data!G171,"mmmm")=Finance_Data!P171,"Valid","Invalid")</f>
        <v>Valid</v>
      </c>
      <c r="M175" s="3" t="str">
        <f>IF("Q"&amp;ROUNDUP(MONTH(Finance_Data!G171)/3,0)=Finance_Data!Q171,"Valid","Invalid")</f>
        <v>Valid</v>
      </c>
      <c r="N175" s="7" t="str">
        <f t="shared" si="2"/>
        <v>Pass</v>
      </c>
    </row>
    <row r="176" spans="1:14" x14ac:dyDescent="0.35">
      <c r="A176" s="17" t="s">
        <v>79</v>
      </c>
      <c r="B176" s="3" t="str">
        <f>IF(ISBLANK(Table3[[#This Row],[Campaign_ID]]),"Invalid","Valid")</f>
        <v>Valid</v>
      </c>
      <c r="C176" s="3" t="str">
        <f>IF(COUNTA(Finance_Data!A172:R172)=18,"Valid","Missing")</f>
        <v>Valid</v>
      </c>
      <c r="D176" s="3" t="str">
        <f>IF(COUNTIF(Finance_Data!$T$2:$T$1001,Finance_Data!T172)&gt;1,"Duplicate","Valid")</f>
        <v>Valid</v>
      </c>
      <c r="E176" s="3" t="str">
        <f>IF(Finance_Data!H172&gt;Finance_Data!G172,"Valid","Invalid")</f>
        <v>Valid</v>
      </c>
      <c r="F176" s="3" t="str" cm="1">
        <f t="array" ref="F176">_xlfn.IFS(Finance_Data!S172&lt;7,"Short",Finance_Data!S172&lt;=30,"Normal",Finance_Data!S172&lt;=60,"Long",Finance_Data!S172&gt;60,"Very Long")</f>
        <v>Normal</v>
      </c>
      <c r="G176" s="3" t="str">
        <f>IF(ABS(Finance_Data!I172*Finance_Data!J172)-Finance_Data!K172&lt;1,"Valid","Invalid")</f>
        <v>Valid</v>
      </c>
      <c r="H176" s="3" t="str">
        <f>IF(Finance_Data!L172&gt;0,"Valid","Invalid")</f>
        <v>Valid</v>
      </c>
      <c r="I176" s="3" t="str">
        <f>IF(Finance_Data!L172&gt;=Finance_Data!M172,"Valid","Invalid")</f>
        <v>Valid</v>
      </c>
      <c r="J176" s="3" t="str">
        <f>IF(AND(Finance_Data!I172&gt;=0,Finance_Data!K172&gt;=0),"Valid","Invalid")</f>
        <v>Valid</v>
      </c>
      <c r="K176" s="3" t="str">
        <f>IF(Finance_Data!N172&gt;=0,"Valid","Invalid")</f>
        <v>Valid</v>
      </c>
      <c r="L176" s="3" t="str">
        <f>IF(TEXT(Finance_Data!G172,"mmmm")=Finance_Data!P172,"Valid","Invalid")</f>
        <v>Valid</v>
      </c>
      <c r="M176" s="3" t="str">
        <f>IF("Q"&amp;ROUNDUP(MONTH(Finance_Data!G172)/3,0)=Finance_Data!Q172,"Valid","Invalid")</f>
        <v>Valid</v>
      </c>
      <c r="N176" s="7" t="str">
        <f t="shared" si="2"/>
        <v>Pass</v>
      </c>
    </row>
    <row r="177" spans="1:14" x14ac:dyDescent="0.35">
      <c r="A177" s="17" t="s">
        <v>78</v>
      </c>
      <c r="B177" s="3" t="str">
        <f>IF(ISBLANK(Table3[[#This Row],[Campaign_ID]]),"Invalid","Valid")</f>
        <v>Valid</v>
      </c>
      <c r="C177" s="3" t="str">
        <f>IF(COUNTA(Finance_Data!A173:R173)=18,"Valid","Missing")</f>
        <v>Valid</v>
      </c>
      <c r="D177" s="3" t="str">
        <f>IF(COUNTIF(Finance_Data!$T$2:$T$1001,Finance_Data!T173)&gt;1,"Duplicate","Valid")</f>
        <v>Valid</v>
      </c>
      <c r="E177" s="3" t="str">
        <f>IF(Finance_Data!H173&gt;Finance_Data!G173,"Valid","Invalid")</f>
        <v>Valid</v>
      </c>
      <c r="F177" s="3" t="str" cm="1">
        <f t="array" ref="F177">_xlfn.IFS(Finance_Data!S173&lt;7,"Short",Finance_Data!S173&lt;=30,"Normal",Finance_Data!S173&lt;=60,"Long",Finance_Data!S173&gt;60,"Very Long")</f>
        <v>Normal</v>
      </c>
      <c r="G177" s="3" t="str">
        <f>IF(ABS(Finance_Data!I173*Finance_Data!J173)-Finance_Data!K173&lt;1,"Valid","Invalid")</f>
        <v>Valid</v>
      </c>
      <c r="H177" s="3" t="str">
        <f>IF(Finance_Data!L173&gt;0,"Valid","Invalid")</f>
        <v>Valid</v>
      </c>
      <c r="I177" s="3" t="str">
        <f>IF(Finance_Data!L173&gt;=Finance_Data!M173,"Valid","Invalid")</f>
        <v>Valid</v>
      </c>
      <c r="J177" s="3" t="str">
        <f>IF(AND(Finance_Data!I173&gt;=0,Finance_Data!K173&gt;=0),"Valid","Invalid")</f>
        <v>Valid</v>
      </c>
      <c r="K177" s="3" t="str">
        <f>IF(Finance_Data!N173&gt;=0,"Valid","Invalid")</f>
        <v>Valid</v>
      </c>
      <c r="L177" s="3" t="str">
        <f>IF(TEXT(Finance_Data!G173,"mmmm")=Finance_Data!P173,"Valid","Invalid")</f>
        <v>Valid</v>
      </c>
      <c r="M177" s="3" t="str">
        <f>IF("Q"&amp;ROUNDUP(MONTH(Finance_Data!G173)/3,0)=Finance_Data!Q173,"Valid","Invalid")</f>
        <v>Valid</v>
      </c>
      <c r="N177" s="7" t="str">
        <f t="shared" si="2"/>
        <v>Pass</v>
      </c>
    </row>
    <row r="178" spans="1:14" x14ac:dyDescent="0.35">
      <c r="A178" s="17" t="s">
        <v>70</v>
      </c>
      <c r="B178" s="3" t="str">
        <f>IF(ISBLANK(Table3[[#This Row],[Campaign_ID]]),"Invalid","Valid")</f>
        <v>Valid</v>
      </c>
      <c r="C178" s="3" t="str">
        <f>IF(COUNTA(Finance_Data!A174:R174)=18,"Valid","Missing")</f>
        <v>Valid</v>
      </c>
      <c r="D178" s="3" t="str">
        <f>IF(COUNTIF(Finance_Data!$T$2:$T$1001,Finance_Data!T174)&gt;1,"Duplicate","Valid")</f>
        <v>Valid</v>
      </c>
      <c r="E178" s="3" t="str">
        <f>IF(Finance_Data!H174&gt;Finance_Data!G174,"Valid","Invalid")</f>
        <v>Valid</v>
      </c>
      <c r="F178" s="3" t="str" cm="1">
        <f t="array" ref="F178">_xlfn.IFS(Finance_Data!S174&lt;7,"Short",Finance_Data!S174&lt;=30,"Normal",Finance_Data!S174&lt;=60,"Long",Finance_Data!S174&gt;60,"Very Long")</f>
        <v>Normal</v>
      </c>
      <c r="G178" s="3" t="str">
        <f>IF(ABS(Finance_Data!I174*Finance_Data!J174)-Finance_Data!K174&lt;1,"Valid","Invalid")</f>
        <v>Valid</v>
      </c>
      <c r="H178" s="3" t="str">
        <f>IF(Finance_Data!L174&gt;0,"Valid","Invalid")</f>
        <v>Valid</v>
      </c>
      <c r="I178" s="3" t="str">
        <f>IF(Finance_Data!L174&gt;=Finance_Data!M174,"Valid","Invalid")</f>
        <v>Valid</v>
      </c>
      <c r="J178" s="3" t="str">
        <f>IF(AND(Finance_Data!I174&gt;=0,Finance_Data!K174&gt;=0),"Valid","Invalid")</f>
        <v>Valid</v>
      </c>
      <c r="K178" s="3" t="str">
        <f>IF(Finance_Data!N174&gt;=0,"Valid","Invalid")</f>
        <v>Valid</v>
      </c>
      <c r="L178" s="3" t="str">
        <f>IF(TEXT(Finance_Data!G174,"mmmm")=Finance_Data!P174,"Valid","Invalid")</f>
        <v>Valid</v>
      </c>
      <c r="M178" s="3" t="str">
        <f>IF("Q"&amp;ROUNDUP(MONTH(Finance_Data!G174)/3,0)=Finance_Data!Q174,"Valid","Invalid")</f>
        <v>Valid</v>
      </c>
      <c r="N178" s="7" t="str">
        <f t="shared" si="2"/>
        <v>Pass</v>
      </c>
    </row>
    <row r="179" spans="1:14" x14ac:dyDescent="0.35">
      <c r="A179" s="17" t="s">
        <v>97</v>
      </c>
      <c r="B179" s="3" t="str">
        <f>IF(ISBLANK(Table3[[#This Row],[Campaign_ID]]),"Invalid","Valid")</f>
        <v>Valid</v>
      </c>
      <c r="C179" s="3" t="str">
        <f>IF(COUNTA(Finance_Data!A175:R175)=18,"Valid","Missing")</f>
        <v>Valid</v>
      </c>
      <c r="D179" s="3" t="str">
        <f>IF(COUNTIF(Finance_Data!$T$2:$T$1001,Finance_Data!T175)&gt;1,"Duplicate","Valid")</f>
        <v>Valid</v>
      </c>
      <c r="E179" s="3" t="str">
        <f>IF(Finance_Data!H175&gt;Finance_Data!G175,"Valid","Invalid")</f>
        <v>Valid</v>
      </c>
      <c r="F179" s="3" t="str" cm="1">
        <f t="array" ref="F179">_xlfn.IFS(Finance_Data!S175&lt;7,"Short",Finance_Data!S175&lt;=30,"Normal",Finance_Data!S175&lt;=60,"Long",Finance_Data!S175&gt;60,"Very Long")</f>
        <v>Long</v>
      </c>
      <c r="G179" s="3" t="str">
        <f>IF(ABS(Finance_Data!I175*Finance_Data!J175)-Finance_Data!K175&lt;1,"Valid","Invalid")</f>
        <v>Valid</v>
      </c>
      <c r="H179" s="3" t="str">
        <f>IF(Finance_Data!L175&gt;0,"Valid","Invalid")</f>
        <v>Valid</v>
      </c>
      <c r="I179" s="3" t="str">
        <f>IF(Finance_Data!L175&gt;=Finance_Data!M175,"Valid","Invalid")</f>
        <v>Valid</v>
      </c>
      <c r="J179" s="3" t="str">
        <f>IF(AND(Finance_Data!I175&gt;=0,Finance_Data!K175&gt;=0),"Valid","Invalid")</f>
        <v>Valid</v>
      </c>
      <c r="K179" s="3" t="str">
        <f>IF(Finance_Data!N175&gt;=0,"Valid","Invalid")</f>
        <v>Valid</v>
      </c>
      <c r="L179" s="3" t="str">
        <f>IF(TEXT(Finance_Data!G175,"mmmm")=Finance_Data!P175,"Valid","Invalid")</f>
        <v>Valid</v>
      </c>
      <c r="M179" s="3" t="str">
        <f>IF("Q"&amp;ROUNDUP(MONTH(Finance_Data!G175)/3,0)=Finance_Data!Q175,"Valid","Invalid")</f>
        <v>Valid</v>
      </c>
      <c r="N179" s="7" t="str">
        <f t="shared" si="2"/>
        <v>Pass</v>
      </c>
    </row>
    <row r="180" spans="1:14" x14ac:dyDescent="0.35">
      <c r="A180" s="17" t="s">
        <v>120</v>
      </c>
      <c r="B180" s="3" t="str">
        <f>IF(ISBLANK(Table3[[#This Row],[Campaign_ID]]),"Invalid","Valid")</f>
        <v>Valid</v>
      </c>
      <c r="C180" s="3" t="str">
        <f>IF(COUNTA(Finance_Data!A176:R176)=18,"Valid","Missing")</f>
        <v>Valid</v>
      </c>
      <c r="D180" s="3" t="str">
        <f>IF(COUNTIF(Finance_Data!$T$2:$T$1001,Finance_Data!T176)&gt;1,"Duplicate","Valid")</f>
        <v>Valid</v>
      </c>
      <c r="E180" s="3" t="str">
        <f>IF(Finance_Data!H176&gt;Finance_Data!G176,"Valid","Invalid")</f>
        <v>Valid</v>
      </c>
      <c r="F180" s="3" t="str" cm="1">
        <f t="array" ref="F180">_xlfn.IFS(Finance_Data!S176&lt;7,"Short",Finance_Data!S176&lt;=30,"Normal",Finance_Data!S176&lt;=60,"Long",Finance_Data!S176&gt;60,"Very Long")</f>
        <v>Normal</v>
      </c>
      <c r="G180" s="3" t="str">
        <f>IF(ABS(Finance_Data!I176*Finance_Data!J176)-Finance_Data!K176&lt;1,"Valid","Invalid")</f>
        <v>Valid</v>
      </c>
      <c r="H180" s="3" t="str">
        <f>IF(Finance_Data!L176&gt;0,"Valid","Invalid")</f>
        <v>Valid</v>
      </c>
      <c r="I180" s="3" t="str">
        <f>IF(Finance_Data!L176&gt;=Finance_Data!M176,"Valid","Invalid")</f>
        <v>Valid</v>
      </c>
      <c r="J180" s="3" t="str">
        <f>IF(AND(Finance_Data!I176&gt;=0,Finance_Data!K176&gt;=0),"Valid","Invalid")</f>
        <v>Valid</v>
      </c>
      <c r="K180" s="3" t="str">
        <f>IF(Finance_Data!N176&gt;=0,"Valid","Invalid")</f>
        <v>Valid</v>
      </c>
      <c r="L180" s="3" t="str">
        <f>IF(TEXT(Finance_Data!G176,"mmmm")=Finance_Data!P176,"Valid","Invalid")</f>
        <v>Valid</v>
      </c>
      <c r="M180" s="3" t="str">
        <f>IF("Q"&amp;ROUNDUP(MONTH(Finance_Data!G176)/3,0)=Finance_Data!Q176,"Valid","Invalid")</f>
        <v>Valid</v>
      </c>
      <c r="N180" s="7" t="str">
        <f t="shared" si="2"/>
        <v>Pass</v>
      </c>
    </row>
    <row r="181" spans="1:14" x14ac:dyDescent="0.35">
      <c r="A181" s="17" t="s">
        <v>115</v>
      </c>
      <c r="B181" s="3" t="str">
        <f>IF(ISBLANK(Table3[[#This Row],[Campaign_ID]]),"Invalid","Valid")</f>
        <v>Valid</v>
      </c>
      <c r="C181" s="3" t="str">
        <f>IF(COUNTA(Finance_Data!A177:R177)=18,"Valid","Missing")</f>
        <v>Valid</v>
      </c>
      <c r="D181" s="3" t="str">
        <f>IF(COUNTIF(Finance_Data!$T$2:$T$1001,Finance_Data!T177)&gt;1,"Duplicate","Valid")</f>
        <v>Valid</v>
      </c>
      <c r="E181" s="3" t="str">
        <f>IF(Finance_Data!H177&gt;Finance_Data!G177,"Valid","Invalid")</f>
        <v>Valid</v>
      </c>
      <c r="F181" s="3" t="str" cm="1">
        <f t="array" ref="F181">_xlfn.IFS(Finance_Data!S177&lt;7,"Short",Finance_Data!S177&lt;=30,"Normal",Finance_Data!S177&lt;=60,"Long",Finance_Data!S177&gt;60,"Very Long")</f>
        <v>Long</v>
      </c>
      <c r="G181" s="3" t="str">
        <f>IF(ABS(Finance_Data!I177*Finance_Data!J177)-Finance_Data!K177&lt;1,"Valid","Invalid")</f>
        <v>Valid</v>
      </c>
      <c r="H181" s="3" t="str">
        <f>IF(Finance_Data!L177&gt;0,"Valid","Invalid")</f>
        <v>Valid</v>
      </c>
      <c r="I181" s="3" t="str">
        <f>IF(Finance_Data!L177&gt;=Finance_Data!M177,"Valid","Invalid")</f>
        <v>Valid</v>
      </c>
      <c r="J181" s="3" t="str">
        <f>IF(AND(Finance_Data!I177&gt;=0,Finance_Data!K177&gt;=0),"Valid","Invalid")</f>
        <v>Valid</v>
      </c>
      <c r="K181" s="3" t="str">
        <f>IF(Finance_Data!N177&gt;=0,"Valid","Invalid")</f>
        <v>Valid</v>
      </c>
      <c r="L181" s="3" t="str">
        <f>IF(TEXT(Finance_Data!G177,"mmmm")=Finance_Data!P177,"Valid","Invalid")</f>
        <v>Valid</v>
      </c>
      <c r="M181" s="3" t="str">
        <f>IF("Q"&amp;ROUNDUP(MONTH(Finance_Data!G177)/3,0)=Finance_Data!Q177,"Valid","Invalid")</f>
        <v>Valid</v>
      </c>
      <c r="N181" s="7" t="str">
        <f t="shared" si="2"/>
        <v>Pass</v>
      </c>
    </row>
    <row r="182" spans="1:14" x14ac:dyDescent="0.35">
      <c r="A182" s="17" t="s">
        <v>91</v>
      </c>
      <c r="B182" s="3" t="str">
        <f>IF(ISBLANK(Table3[[#This Row],[Campaign_ID]]),"Invalid","Valid")</f>
        <v>Valid</v>
      </c>
      <c r="C182" s="3" t="str">
        <f>IF(COUNTA(Finance_Data!A178:R178)=18,"Valid","Missing")</f>
        <v>Valid</v>
      </c>
      <c r="D182" s="3" t="str">
        <f>IF(COUNTIF(Finance_Data!$T$2:$T$1001,Finance_Data!T178)&gt;1,"Duplicate","Valid")</f>
        <v>Valid</v>
      </c>
      <c r="E182" s="3" t="str">
        <f>IF(Finance_Data!H178&gt;Finance_Data!G178,"Valid","Invalid")</f>
        <v>Valid</v>
      </c>
      <c r="F182" s="3" t="str" cm="1">
        <f t="array" ref="F182">_xlfn.IFS(Finance_Data!S178&lt;7,"Short",Finance_Data!S178&lt;=30,"Normal",Finance_Data!S178&lt;=60,"Long",Finance_Data!S178&gt;60,"Very Long")</f>
        <v>Long</v>
      </c>
      <c r="G182" s="3" t="str">
        <f>IF(ABS(Finance_Data!I178*Finance_Data!J178)-Finance_Data!K178&lt;1,"Valid","Invalid")</f>
        <v>Valid</v>
      </c>
      <c r="H182" s="3" t="str">
        <f>IF(Finance_Data!L178&gt;0,"Valid","Invalid")</f>
        <v>Valid</v>
      </c>
      <c r="I182" s="3" t="str">
        <f>IF(Finance_Data!L178&gt;=Finance_Data!M178,"Valid","Invalid")</f>
        <v>Valid</v>
      </c>
      <c r="J182" s="3" t="str">
        <f>IF(AND(Finance_Data!I178&gt;=0,Finance_Data!K178&gt;=0),"Valid","Invalid")</f>
        <v>Valid</v>
      </c>
      <c r="K182" s="3" t="str">
        <f>IF(Finance_Data!N178&gt;=0,"Valid","Invalid")</f>
        <v>Valid</v>
      </c>
      <c r="L182" s="3" t="str">
        <f>IF(TEXT(Finance_Data!G178,"mmmm")=Finance_Data!P178,"Valid","Invalid")</f>
        <v>Valid</v>
      </c>
      <c r="M182" s="3" t="str">
        <f>IF("Q"&amp;ROUNDUP(MONTH(Finance_Data!G178)/3,0)=Finance_Data!Q178,"Valid","Invalid")</f>
        <v>Valid</v>
      </c>
      <c r="N182" s="7" t="str">
        <f t="shared" si="2"/>
        <v>Pass</v>
      </c>
    </row>
    <row r="183" spans="1:14" x14ac:dyDescent="0.35">
      <c r="A183" s="17" t="s">
        <v>115</v>
      </c>
      <c r="B183" s="3" t="str">
        <f>IF(ISBLANK(Table3[[#This Row],[Campaign_ID]]),"Invalid","Valid")</f>
        <v>Valid</v>
      </c>
      <c r="C183" s="3" t="str">
        <f>IF(COUNTA(Finance_Data!A179:R179)=18,"Valid","Missing")</f>
        <v>Valid</v>
      </c>
      <c r="D183" s="3" t="str">
        <f>IF(COUNTIF(Finance_Data!$T$2:$T$1001,Finance_Data!T179)&gt;1,"Duplicate","Valid")</f>
        <v>Valid</v>
      </c>
      <c r="E183" s="3" t="str">
        <f>IF(Finance_Data!H179&gt;Finance_Data!G179,"Valid","Invalid")</f>
        <v>Valid</v>
      </c>
      <c r="F183" s="3" t="str" cm="1">
        <f t="array" ref="F183">_xlfn.IFS(Finance_Data!S179&lt;7,"Short",Finance_Data!S179&lt;=30,"Normal",Finance_Data!S179&lt;=60,"Long",Finance_Data!S179&gt;60,"Very Long")</f>
        <v>Normal</v>
      </c>
      <c r="G183" s="3" t="str">
        <f>IF(ABS(Finance_Data!I179*Finance_Data!J179)-Finance_Data!K179&lt;1,"Valid","Invalid")</f>
        <v>Valid</v>
      </c>
      <c r="H183" s="3" t="str">
        <f>IF(Finance_Data!L179&gt;0,"Valid","Invalid")</f>
        <v>Valid</v>
      </c>
      <c r="I183" s="3" t="str">
        <f>IF(Finance_Data!L179&gt;=Finance_Data!M179,"Valid","Invalid")</f>
        <v>Valid</v>
      </c>
      <c r="J183" s="3" t="str">
        <f>IF(AND(Finance_Data!I179&gt;=0,Finance_Data!K179&gt;=0),"Valid","Invalid")</f>
        <v>Valid</v>
      </c>
      <c r="K183" s="3" t="str">
        <f>IF(Finance_Data!N179&gt;=0,"Valid","Invalid")</f>
        <v>Valid</v>
      </c>
      <c r="L183" s="3" t="str">
        <f>IF(TEXT(Finance_Data!G179,"mmmm")=Finance_Data!P179,"Valid","Invalid")</f>
        <v>Valid</v>
      </c>
      <c r="M183" s="3" t="str">
        <f>IF("Q"&amp;ROUNDUP(MONTH(Finance_Data!G179)/3,0)=Finance_Data!Q179,"Valid","Invalid")</f>
        <v>Valid</v>
      </c>
      <c r="N183" s="7" t="str">
        <f t="shared" si="2"/>
        <v>Pass</v>
      </c>
    </row>
    <row r="184" spans="1:14" x14ac:dyDescent="0.35">
      <c r="A184" s="17" t="s">
        <v>110</v>
      </c>
      <c r="B184" s="3" t="str">
        <f>IF(ISBLANK(Table3[[#This Row],[Campaign_ID]]),"Invalid","Valid")</f>
        <v>Valid</v>
      </c>
      <c r="C184" s="3" t="str">
        <f>IF(COUNTA(Finance_Data!A180:R180)=18,"Valid","Missing")</f>
        <v>Valid</v>
      </c>
      <c r="D184" s="3" t="str">
        <f>IF(COUNTIF(Finance_Data!$T$2:$T$1001,Finance_Data!T180)&gt;1,"Duplicate","Valid")</f>
        <v>Valid</v>
      </c>
      <c r="E184" s="3" t="str">
        <f>IF(Finance_Data!H180&gt;Finance_Data!G180,"Valid","Invalid")</f>
        <v>Valid</v>
      </c>
      <c r="F184" s="3" t="str" cm="1">
        <f t="array" ref="F184">_xlfn.IFS(Finance_Data!S180&lt;7,"Short",Finance_Data!S180&lt;=30,"Normal",Finance_Data!S180&lt;=60,"Long",Finance_Data!S180&gt;60,"Very Long")</f>
        <v>Normal</v>
      </c>
      <c r="G184" s="3" t="str">
        <f>IF(ABS(Finance_Data!I180*Finance_Data!J180)-Finance_Data!K180&lt;1,"Valid","Invalid")</f>
        <v>Valid</v>
      </c>
      <c r="H184" s="3" t="str">
        <f>IF(Finance_Data!L180&gt;0,"Valid","Invalid")</f>
        <v>Valid</v>
      </c>
      <c r="I184" s="3" t="str">
        <f>IF(Finance_Data!L180&gt;=Finance_Data!M180,"Valid","Invalid")</f>
        <v>Valid</v>
      </c>
      <c r="J184" s="3" t="str">
        <f>IF(AND(Finance_Data!I180&gt;=0,Finance_Data!K180&gt;=0),"Valid","Invalid")</f>
        <v>Valid</v>
      </c>
      <c r="K184" s="3" t="str">
        <f>IF(Finance_Data!N180&gt;=0,"Valid","Invalid")</f>
        <v>Valid</v>
      </c>
      <c r="L184" s="3" t="str">
        <f>IF(TEXT(Finance_Data!G180,"mmmm")=Finance_Data!P180,"Valid","Invalid")</f>
        <v>Valid</v>
      </c>
      <c r="M184" s="3" t="str">
        <f>IF("Q"&amp;ROUNDUP(MONTH(Finance_Data!G180)/3,0)=Finance_Data!Q180,"Valid","Invalid")</f>
        <v>Valid</v>
      </c>
      <c r="N184" s="7" t="str">
        <f t="shared" si="2"/>
        <v>Pass</v>
      </c>
    </row>
    <row r="185" spans="1:14" x14ac:dyDescent="0.35">
      <c r="A185" s="17" t="s">
        <v>91</v>
      </c>
      <c r="B185" s="3" t="str">
        <f>IF(ISBLANK(Table3[[#This Row],[Campaign_ID]]),"Invalid","Valid")</f>
        <v>Valid</v>
      </c>
      <c r="C185" s="3" t="str">
        <f>IF(COUNTA(Finance_Data!A181:R181)=18,"Valid","Missing")</f>
        <v>Valid</v>
      </c>
      <c r="D185" s="3" t="str">
        <f>IF(COUNTIF(Finance_Data!$T$2:$T$1001,Finance_Data!T181)&gt;1,"Duplicate","Valid")</f>
        <v>Valid</v>
      </c>
      <c r="E185" s="3" t="str">
        <f>IF(Finance_Data!H181&gt;Finance_Data!G181,"Valid","Invalid")</f>
        <v>Valid</v>
      </c>
      <c r="F185" s="3" t="str" cm="1">
        <f t="array" ref="F185">_xlfn.IFS(Finance_Data!S181&lt;7,"Short",Finance_Data!S181&lt;=30,"Normal",Finance_Data!S181&lt;=60,"Long",Finance_Data!S181&gt;60,"Very Long")</f>
        <v>Long</v>
      </c>
      <c r="G185" s="3" t="str">
        <f>IF(ABS(Finance_Data!I181*Finance_Data!J181)-Finance_Data!K181&lt;1,"Valid","Invalid")</f>
        <v>Valid</v>
      </c>
      <c r="H185" s="3" t="str">
        <f>IF(Finance_Data!L181&gt;0,"Valid","Invalid")</f>
        <v>Valid</v>
      </c>
      <c r="I185" s="3" t="str">
        <f>IF(Finance_Data!L181&gt;=Finance_Data!M181,"Valid","Invalid")</f>
        <v>Valid</v>
      </c>
      <c r="J185" s="3" t="str">
        <f>IF(AND(Finance_Data!I181&gt;=0,Finance_Data!K181&gt;=0),"Valid","Invalid")</f>
        <v>Valid</v>
      </c>
      <c r="K185" s="3" t="str">
        <f>IF(Finance_Data!N181&gt;=0,"Valid","Invalid")</f>
        <v>Valid</v>
      </c>
      <c r="L185" s="3" t="str">
        <f>IF(TEXT(Finance_Data!G181,"mmmm")=Finance_Data!P181,"Valid","Invalid")</f>
        <v>Valid</v>
      </c>
      <c r="M185" s="3" t="str">
        <f>IF("Q"&amp;ROUNDUP(MONTH(Finance_Data!G181)/3,0)=Finance_Data!Q181,"Valid","Invalid")</f>
        <v>Valid</v>
      </c>
      <c r="N185" s="7" t="str">
        <f t="shared" si="2"/>
        <v>Pass</v>
      </c>
    </row>
    <row r="186" spans="1:14" x14ac:dyDescent="0.35">
      <c r="A186" s="17" t="s">
        <v>27</v>
      </c>
      <c r="B186" s="3" t="str">
        <f>IF(ISBLANK(Table3[[#This Row],[Campaign_ID]]),"Invalid","Valid")</f>
        <v>Valid</v>
      </c>
      <c r="C186" s="3" t="str">
        <f>IF(COUNTA(Finance_Data!A182:R182)=18,"Valid","Missing")</f>
        <v>Valid</v>
      </c>
      <c r="D186" s="3" t="str">
        <f>IF(COUNTIF(Finance_Data!$T$2:$T$1001,Finance_Data!T182)&gt;1,"Duplicate","Valid")</f>
        <v>Valid</v>
      </c>
      <c r="E186" s="3" t="str">
        <f>IF(Finance_Data!H182&gt;Finance_Data!G182,"Valid","Invalid")</f>
        <v>Valid</v>
      </c>
      <c r="F186" s="3" t="str" cm="1">
        <f t="array" ref="F186">_xlfn.IFS(Finance_Data!S182&lt;7,"Short",Finance_Data!S182&lt;=30,"Normal",Finance_Data!S182&lt;=60,"Long",Finance_Data!S182&gt;60,"Very Long")</f>
        <v>Long</v>
      </c>
      <c r="G186" s="3" t="str">
        <f>IF(ABS(Finance_Data!I182*Finance_Data!J182)-Finance_Data!K182&lt;1,"Valid","Invalid")</f>
        <v>Valid</v>
      </c>
      <c r="H186" s="3" t="str">
        <f>IF(Finance_Data!L182&gt;0,"Valid","Invalid")</f>
        <v>Valid</v>
      </c>
      <c r="I186" s="3" t="str">
        <f>IF(Finance_Data!L182&gt;=Finance_Data!M182,"Valid","Invalid")</f>
        <v>Valid</v>
      </c>
      <c r="J186" s="3" t="str">
        <f>IF(AND(Finance_Data!I182&gt;=0,Finance_Data!K182&gt;=0),"Valid","Invalid")</f>
        <v>Valid</v>
      </c>
      <c r="K186" s="3" t="str">
        <f>IF(Finance_Data!N182&gt;=0,"Valid","Invalid")</f>
        <v>Valid</v>
      </c>
      <c r="L186" s="3" t="str">
        <f>IF(TEXT(Finance_Data!G182,"mmmm")=Finance_Data!P182,"Valid","Invalid")</f>
        <v>Valid</v>
      </c>
      <c r="M186" s="3" t="str">
        <f>IF("Q"&amp;ROUNDUP(MONTH(Finance_Data!G182)/3,0)=Finance_Data!Q182,"Valid","Invalid")</f>
        <v>Valid</v>
      </c>
      <c r="N186" s="7" t="str">
        <f t="shared" si="2"/>
        <v>Pass</v>
      </c>
    </row>
    <row r="187" spans="1:14" x14ac:dyDescent="0.35">
      <c r="A187" s="17" t="s">
        <v>119</v>
      </c>
      <c r="B187" s="3" t="str">
        <f>IF(ISBLANK(Table3[[#This Row],[Campaign_ID]]),"Invalid","Valid")</f>
        <v>Valid</v>
      </c>
      <c r="C187" s="3" t="str">
        <f>IF(COUNTA(Finance_Data!A183:R183)=18,"Valid","Missing")</f>
        <v>Valid</v>
      </c>
      <c r="D187" s="3" t="str">
        <f>IF(COUNTIF(Finance_Data!$T$2:$T$1001,Finance_Data!T183)&gt;1,"Duplicate","Valid")</f>
        <v>Valid</v>
      </c>
      <c r="E187" s="3" t="str">
        <f>IF(Finance_Data!H183&gt;Finance_Data!G183,"Valid","Invalid")</f>
        <v>Valid</v>
      </c>
      <c r="F187" s="3" t="str" cm="1">
        <f t="array" ref="F187">_xlfn.IFS(Finance_Data!S183&lt;7,"Short",Finance_Data!S183&lt;=30,"Normal",Finance_Data!S183&lt;=60,"Long",Finance_Data!S183&gt;60,"Very Long")</f>
        <v>Long</v>
      </c>
      <c r="G187" s="3" t="str">
        <f>IF(ABS(Finance_Data!I183*Finance_Data!J183)-Finance_Data!K183&lt;1,"Valid","Invalid")</f>
        <v>Valid</v>
      </c>
      <c r="H187" s="3" t="str">
        <f>IF(Finance_Data!L183&gt;0,"Valid","Invalid")</f>
        <v>Valid</v>
      </c>
      <c r="I187" s="3" t="str">
        <f>IF(Finance_Data!L183&gt;=Finance_Data!M183,"Valid","Invalid")</f>
        <v>Valid</v>
      </c>
      <c r="J187" s="3" t="str">
        <f>IF(AND(Finance_Data!I183&gt;=0,Finance_Data!K183&gt;=0),"Valid","Invalid")</f>
        <v>Valid</v>
      </c>
      <c r="K187" s="3" t="str">
        <f>IF(Finance_Data!N183&gt;=0,"Valid","Invalid")</f>
        <v>Valid</v>
      </c>
      <c r="L187" s="3" t="str">
        <f>IF(TEXT(Finance_Data!G183,"mmmm")=Finance_Data!P183,"Valid","Invalid")</f>
        <v>Valid</v>
      </c>
      <c r="M187" s="3" t="str">
        <f>IF("Q"&amp;ROUNDUP(MONTH(Finance_Data!G183)/3,0)=Finance_Data!Q183,"Valid","Invalid")</f>
        <v>Valid</v>
      </c>
      <c r="N187" s="7" t="str">
        <f t="shared" si="2"/>
        <v>Pass</v>
      </c>
    </row>
    <row r="188" spans="1:14" x14ac:dyDescent="0.35">
      <c r="A188" s="17" t="s">
        <v>97</v>
      </c>
      <c r="B188" s="3" t="str">
        <f>IF(ISBLANK(Table3[[#This Row],[Campaign_ID]]),"Invalid","Valid")</f>
        <v>Valid</v>
      </c>
      <c r="C188" s="3" t="str">
        <f>IF(COUNTA(Finance_Data!A184:R184)=18,"Valid","Missing")</f>
        <v>Valid</v>
      </c>
      <c r="D188" s="3" t="str">
        <f>IF(COUNTIF(Finance_Data!$T$2:$T$1001,Finance_Data!T184)&gt;1,"Duplicate","Valid")</f>
        <v>Valid</v>
      </c>
      <c r="E188" s="3" t="str">
        <f>IF(Finance_Data!H184&gt;Finance_Data!G184,"Valid","Invalid")</f>
        <v>Valid</v>
      </c>
      <c r="F188" s="3" t="str" cm="1">
        <f t="array" ref="F188">_xlfn.IFS(Finance_Data!S184&lt;7,"Short",Finance_Data!S184&lt;=30,"Normal",Finance_Data!S184&lt;=60,"Long",Finance_Data!S184&gt;60,"Very Long")</f>
        <v>Long</v>
      </c>
      <c r="G188" s="3" t="str">
        <f>IF(ABS(Finance_Data!I184*Finance_Data!J184)-Finance_Data!K184&lt;1,"Valid","Invalid")</f>
        <v>Valid</v>
      </c>
      <c r="H188" s="3" t="str">
        <f>IF(Finance_Data!L184&gt;0,"Valid","Invalid")</f>
        <v>Valid</v>
      </c>
      <c r="I188" s="3" t="str">
        <f>IF(Finance_Data!L184&gt;=Finance_Data!M184,"Valid","Invalid")</f>
        <v>Valid</v>
      </c>
      <c r="J188" s="3" t="str">
        <f>IF(AND(Finance_Data!I184&gt;=0,Finance_Data!K184&gt;=0),"Valid","Invalid")</f>
        <v>Valid</v>
      </c>
      <c r="K188" s="3" t="str">
        <f>IF(Finance_Data!N184&gt;=0,"Valid","Invalid")</f>
        <v>Valid</v>
      </c>
      <c r="L188" s="3" t="str">
        <f>IF(TEXT(Finance_Data!G184,"mmmm")=Finance_Data!P184,"Valid","Invalid")</f>
        <v>Valid</v>
      </c>
      <c r="M188" s="3" t="str">
        <f>IF("Q"&amp;ROUNDUP(MONTH(Finance_Data!G184)/3,0)=Finance_Data!Q184,"Valid","Invalid")</f>
        <v>Valid</v>
      </c>
      <c r="N188" s="7" t="str">
        <f t="shared" si="2"/>
        <v>Pass</v>
      </c>
    </row>
    <row r="189" spans="1:14" x14ac:dyDescent="0.35">
      <c r="A189" s="17" t="s">
        <v>92</v>
      </c>
      <c r="B189" s="3" t="str">
        <f>IF(ISBLANK(Table3[[#This Row],[Campaign_ID]]),"Invalid","Valid")</f>
        <v>Valid</v>
      </c>
      <c r="C189" s="3" t="str">
        <f>IF(COUNTA(Finance_Data!A185:R185)=18,"Valid","Missing")</f>
        <v>Valid</v>
      </c>
      <c r="D189" s="3" t="str">
        <f>IF(COUNTIF(Finance_Data!$T$2:$T$1001,Finance_Data!T185)&gt;1,"Duplicate","Valid")</f>
        <v>Valid</v>
      </c>
      <c r="E189" s="3" t="str">
        <f>IF(Finance_Data!H185&gt;Finance_Data!G185,"Valid","Invalid")</f>
        <v>Valid</v>
      </c>
      <c r="F189" s="3" t="str" cm="1">
        <f t="array" ref="F189">_xlfn.IFS(Finance_Data!S185&lt;7,"Short",Finance_Data!S185&lt;=30,"Normal",Finance_Data!S185&lt;=60,"Long",Finance_Data!S185&gt;60,"Very Long")</f>
        <v>Long</v>
      </c>
      <c r="G189" s="3" t="str">
        <f>IF(ABS(Finance_Data!I185*Finance_Data!J185)-Finance_Data!K185&lt;1,"Valid","Invalid")</f>
        <v>Valid</v>
      </c>
      <c r="H189" s="3" t="str">
        <f>IF(Finance_Data!L185&gt;0,"Valid","Invalid")</f>
        <v>Valid</v>
      </c>
      <c r="I189" s="3" t="str">
        <f>IF(Finance_Data!L185&gt;=Finance_Data!M185,"Valid","Invalid")</f>
        <v>Valid</v>
      </c>
      <c r="J189" s="3" t="str">
        <f>IF(AND(Finance_Data!I185&gt;=0,Finance_Data!K185&gt;=0),"Valid","Invalid")</f>
        <v>Valid</v>
      </c>
      <c r="K189" s="3" t="str">
        <f>IF(Finance_Data!N185&gt;=0,"Valid","Invalid")</f>
        <v>Valid</v>
      </c>
      <c r="L189" s="3" t="str">
        <f>IF(TEXT(Finance_Data!G185,"mmmm")=Finance_Data!P185,"Valid","Invalid")</f>
        <v>Valid</v>
      </c>
      <c r="M189" s="3" t="str">
        <f>IF("Q"&amp;ROUNDUP(MONTH(Finance_Data!G185)/3,0)=Finance_Data!Q185,"Valid","Invalid")</f>
        <v>Valid</v>
      </c>
      <c r="N189" s="7" t="str">
        <f t="shared" si="2"/>
        <v>Pass</v>
      </c>
    </row>
    <row r="190" spans="1:14" x14ac:dyDescent="0.35">
      <c r="A190" s="17" t="s">
        <v>77</v>
      </c>
      <c r="B190" s="3" t="str">
        <f>IF(ISBLANK(Table3[[#This Row],[Campaign_ID]]),"Invalid","Valid")</f>
        <v>Valid</v>
      </c>
      <c r="C190" s="3" t="str">
        <f>IF(COUNTA(Finance_Data!A186:R186)=18,"Valid","Missing")</f>
        <v>Valid</v>
      </c>
      <c r="D190" s="3" t="str">
        <f>IF(COUNTIF(Finance_Data!$T$2:$T$1001,Finance_Data!T186)&gt;1,"Duplicate","Valid")</f>
        <v>Valid</v>
      </c>
      <c r="E190" s="3" t="str">
        <f>IF(Finance_Data!H186&gt;Finance_Data!G186,"Valid","Invalid")</f>
        <v>Valid</v>
      </c>
      <c r="F190" s="3" t="str" cm="1">
        <f t="array" ref="F190">_xlfn.IFS(Finance_Data!S186&lt;7,"Short",Finance_Data!S186&lt;=30,"Normal",Finance_Data!S186&lt;=60,"Long",Finance_Data!S186&gt;60,"Very Long")</f>
        <v>Long</v>
      </c>
      <c r="G190" s="3" t="str">
        <f>IF(ABS(Finance_Data!I186*Finance_Data!J186)-Finance_Data!K186&lt;1,"Valid","Invalid")</f>
        <v>Valid</v>
      </c>
      <c r="H190" s="3" t="str">
        <f>IF(Finance_Data!L186&gt;0,"Valid","Invalid")</f>
        <v>Valid</v>
      </c>
      <c r="I190" s="3" t="str">
        <f>IF(Finance_Data!L186&gt;=Finance_Data!M186,"Valid","Invalid")</f>
        <v>Valid</v>
      </c>
      <c r="J190" s="3" t="str">
        <f>IF(AND(Finance_Data!I186&gt;=0,Finance_Data!K186&gt;=0),"Valid","Invalid")</f>
        <v>Valid</v>
      </c>
      <c r="K190" s="3" t="str">
        <f>IF(Finance_Data!N186&gt;=0,"Valid","Invalid")</f>
        <v>Valid</v>
      </c>
      <c r="L190" s="3" t="str">
        <f>IF(TEXT(Finance_Data!G186,"mmmm")=Finance_Data!P186,"Valid","Invalid")</f>
        <v>Valid</v>
      </c>
      <c r="M190" s="3" t="str">
        <f>IF("Q"&amp;ROUNDUP(MONTH(Finance_Data!G186)/3,0)=Finance_Data!Q186,"Valid","Invalid")</f>
        <v>Valid</v>
      </c>
      <c r="N190" s="7" t="str">
        <f t="shared" si="2"/>
        <v>Pass</v>
      </c>
    </row>
    <row r="191" spans="1:14" x14ac:dyDescent="0.35">
      <c r="A191" s="17" t="s">
        <v>101</v>
      </c>
      <c r="B191" s="3" t="str">
        <f>IF(ISBLANK(Table3[[#This Row],[Campaign_ID]]),"Invalid","Valid")</f>
        <v>Valid</v>
      </c>
      <c r="C191" s="3" t="str">
        <f>IF(COUNTA(Finance_Data!A187:R187)=18,"Valid","Missing")</f>
        <v>Valid</v>
      </c>
      <c r="D191" s="3" t="str">
        <f>IF(COUNTIF(Finance_Data!$T$2:$T$1001,Finance_Data!T187)&gt;1,"Duplicate","Valid")</f>
        <v>Valid</v>
      </c>
      <c r="E191" s="3" t="str">
        <f>IF(Finance_Data!H187&gt;Finance_Data!G187,"Valid","Invalid")</f>
        <v>Valid</v>
      </c>
      <c r="F191" s="3" t="str" cm="1">
        <f t="array" ref="F191">_xlfn.IFS(Finance_Data!S187&lt;7,"Short",Finance_Data!S187&lt;=30,"Normal",Finance_Data!S187&lt;=60,"Long",Finance_Data!S187&gt;60,"Very Long")</f>
        <v>Long</v>
      </c>
      <c r="G191" s="3" t="str">
        <f>IF(ABS(Finance_Data!I187*Finance_Data!J187)-Finance_Data!K187&lt;1,"Valid","Invalid")</f>
        <v>Valid</v>
      </c>
      <c r="H191" s="3" t="str">
        <f>IF(Finance_Data!L187&gt;0,"Valid","Invalid")</f>
        <v>Valid</v>
      </c>
      <c r="I191" s="3" t="str">
        <f>IF(Finance_Data!L187&gt;=Finance_Data!M187,"Valid","Invalid")</f>
        <v>Valid</v>
      </c>
      <c r="J191" s="3" t="str">
        <f>IF(AND(Finance_Data!I187&gt;=0,Finance_Data!K187&gt;=0),"Valid","Invalid")</f>
        <v>Valid</v>
      </c>
      <c r="K191" s="3" t="str">
        <f>IF(Finance_Data!N187&gt;=0,"Valid","Invalid")</f>
        <v>Valid</v>
      </c>
      <c r="L191" s="3" t="str">
        <f>IF(TEXT(Finance_Data!G187,"mmmm")=Finance_Data!P187,"Valid","Invalid")</f>
        <v>Valid</v>
      </c>
      <c r="M191" s="3" t="str">
        <f>IF("Q"&amp;ROUNDUP(MONTH(Finance_Data!G187)/3,0)=Finance_Data!Q187,"Valid","Invalid")</f>
        <v>Valid</v>
      </c>
      <c r="N191" s="7" t="str">
        <f t="shared" si="2"/>
        <v>Pass</v>
      </c>
    </row>
    <row r="192" spans="1:14" x14ac:dyDescent="0.35">
      <c r="A192" s="17" t="s">
        <v>50</v>
      </c>
      <c r="B192" s="3" t="str">
        <f>IF(ISBLANK(Table3[[#This Row],[Campaign_ID]]),"Invalid","Valid")</f>
        <v>Valid</v>
      </c>
      <c r="C192" s="3" t="str">
        <f>IF(COUNTA(Finance_Data!A188:R188)=18,"Valid","Missing")</f>
        <v>Valid</v>
      </c>
      <c r="D192" s="3" t="str">
        <f>IF(COUNTIF(Finance_Data!$T$2:$T$1001,Finance_Data!T188)&gt;1,"Duplicate","Valid")</f>
        <v>Valid</v>
      </c>
      <c r="E192" s="3" t="str">
        <f>IF(Finance_Data!H188&gt;Finance_Data!G188,"Valid","Invalid")</f>
        <v>Valid</v>
      </c>
      <c r="F192" s="3" t="str" cm="1">
        <f t="array" ref="F192">_xlfn.IFS(Finance_Data!S188&lt;7,"Short",Finance_Data!S188&lt;=30,"Normal",Finance_Data!S188&lt;=60,"Long",Finance_Data!S188&gt;60,"Very Long")</f>
        <v>Normal</v>
      </c>
      <c r="G192" s="3" t="str">
        <f>IF(ABS(Finance_Data!I188*Finance_Data!J188)-Finance_Data!K188&lt;1,"Valid","Invalid")</f>
        <v>Valid</v>
      </c>
      <c r="H192" s="3" t="str">
        <f>IF(Finance_Data!L188&gt;0,"Valid","Invalid")</f>
        <v>Valid</v>
      </c>
      <c r="I192" s="3" t="str">
        <f>IF(Finance_Data!L188&gt;=Finance_Data!M188,"Valid","Invalid")</f>
        <v>Valid</v>
      </c>
      <c r="J192" s="3" t="str">
        <f>IF(AND(Finance_Data!I188&gt;=0,Finance_Data!K188&gt;=0),"Valid","Invalid")</f>
        <v>Valid</v>
      </c>
      <c r="K192" s="3" t="str">
        <f>IF(Finance_Data!N188&gt;=0,"Valid","Invalid")</f>
        <v>Valid</v>
      </c>
      <c r="L192" s="3" t="str">
        <f>IF(TEXT(Finance_Data!G188,"mmmm")=Finance_Data!P188,"Valid","Invalid")</f>
        <v>Valid</v>
      </c>
      <c r="M192" s="3" t="str">
        <f>IF("Q"&amp;ROUNDUP(MONTH(Finance_Data!G188)/3,0)=Finance_Data!Q188,"Valid","Invalid")</f>
        <v>Valid</v>
      </c>
      <c r="N192" s="7" t="str">
        <f t="shared" si="2"/>
        <v>Pass</v>
      </c>
    </row>
    <row r="193" spans="1:14" x14ac:dyDescent="0.35">
      <c r="A193" s="17" t="s">
        <v>116</v>
      </c>
      <c r="B193" s="3" t="str">
        <f>IF(ISBLANK(Table3[[#This Row],[Campaign_ID]]),"Invalid","Valid")</f>
        <v>Valid</v>
      </c>
      <c r="C193" s="3" t="str">
        <f>IF(COUNTA(Finance_Data!A189:R189)=18,"Valid","Missing")</f>
        <v>Valid</v>
      </c>
      <c r="D193" s="3" t="str">
        <f>IF(COUNTIF(Finance_Data!$T$2:$T$1001,Finance_Data!T189)&gt;1,"Duplicate","Valid")</f>
        <v>Valid</v>
      </c>
      <c r="E193" s="3" t="str">
        <f>IF(Finance_Data!H189&gt;Finance_Data!G189,"Valid","Invalid")</f>
        <v>Valid</v>
      </c>
      <c r="F193" s="3" t="str" cm="1">
        <f t="array" ref="F193">_xlfn.IFS(Finance_Data!S189&lt;7,"Short",Finance_Data!S189&lt;=30,"Normal",Finance_Data!S189&lt;=60,"Long",Finance_Data!S189&gt;60,"Very Long")</f>
        <v>Long</v>
      </c>
      <c r="G193" s="3" t="str">
        <f>IF(ABS(Finance_Data!I189*Finance_Data!J189)-Finance_Data!K189&lt;1,"Valid","Invalid")</f>
        <v>Valid</v>
      </c>
      <c r="H193" s="3" t="str">
        <f>IF(Finance_Data!L189&gt;0,"Valid","Invalid")</f>
        <v>Valid</v>
      </c>
      <c r="I193" s="3" t="str">
        <f>IF(Finance_Data!L189&gt;=Finance_Data!M189,"Valid","Invalid")</f>
        <v>Valid</v>
      </c>
      <c r="J193" s="3" t="str">
        <f>IF(AND(Finance_Data!I189&gt;=0,Finance_Data!K189&gt;=0),"Valid","Invalid")</f>
        <v>Valid</v>
      </c>
      <c r="K193" s="3" t="str">
        <f>IF(Finance_Data!N189&gt;=0,"Valid","Invalid")</f>
        <v>Valid</v>
      </c>
      <c r="L193" s="3" t="str">
        <f>IF(TEXT(Finance_Data!G189,"mmmm")=Finance_Data!P189,"Valid","Invalid")</f>
        <v>Valid</v>
      </c>
      <c r="M193" s="3" t="str">
        <f>IF("Q"&amp;ROUNDUP(MONTH(Finance_Data!G189)/3,0)=Finance_Data!Q189,"Valid","Invalid")</f>
        <v>Valid</v>
      </c>
      <c r="N193" s="7" t="str">
        <f t="shared" si="2"/>
        <v>Pass</v>
      </c>
    </row>
    <row r="194" spans="1:14" x14ac:dyDescent="0.35">
      <c r="A194" s="17" t="s">
        <v>96</v>
      </c>
      <c r="B194" s="3" t="str">
        <f>IF(ISBLANK(Table3[[#This Row],[Campaign_ID]]),"Invalid","Valid")</f>
        <v>Valid</v>
      </c>
      <c r="C194" s="3" t="str">
        <f>IF(COUNTA(Finance_Data!A190:R190)=18,"Valid","Missing")</f>
        <v>Valid</v>
      </c>
      <c r="D194" s="3" t="str">
        <f>IF(COUNTIF(Finance_Data!$T$2:$T$1001,Finance_Data!T190)&gt;1,"Duplicate","Valid")</f>
        <v>Valid</v>
      </c>
      <c r="E194" s="3" t="str">
        <f>IF(Finance_Data!H190&gt;Finance_Data!G190,"Valid","Invalid")</f>
        <v>Valid</v>
      </c>
      <c r="F194" s="3" t="str" cm="1">
        <f t="array" ref="F194">_xlfn.IFS(Finance_Data!S190&lt;7,"Short",Finance_Data!S190&lt;=30,"Normal",Finance_Data!S190&lt;=60,"Long",Finance_Data!S190&gt;60,"Very Long")</f>
        <v>Normal</v>
      </c>
      <c r="G194" s="3" t="str">
        <f>IF(ABS(Finance_Data!I190*Finance_Data!J190)-Finance_Data!K190&lt;1,"Valid","Invalid")</f>
        <v>Valid</v>
      </c>
      <c r="H194" s="3" t="str">
        <f>IF(Finance_Data!L190&gt;0,"Valid","Invalid")</f>
        <v>Valid</v>
      </c>
      <c r="I194" s="3" t="str">
        <f>IF(Finance_Data!L190&gt;=Finance_Data!M190,"Valid","Invalid")</f>
        <v>Valid</v>
      </c>
      <c r="J194" s="3" t="str">
        <f>IF(AND(Finance_Data!I190&gt;=0,Finance_Data!K190&gt;=0),"Valid","Invalid")</f>
        <v>Valid</v>
      </c>
      <c r="K194" s="3" t="str">
        <f>IF(Finance_Data!N190&gt;=0,"Valid","Invalid")</f>
        <v>Valid</v>
      </c>
      <c r="L194" s="3" t="str">
        <f>IF(TEXT(Finance_Data!G190,"mmmm")=Finance_Data!P190,"Valid","Invalid")</f>
        <v>Valid</v>
      </c>
      <c r="M194" s="3" t="str">
        <f>IF("Q"&amp;ROUNDUP(MONTH(Finance_Data!G190)/3,0)=Finance_Data!Q190,"Valid","Invalid")</f>
        <v>Valid</v>
      </c>
      <c r="N194" s="7" t="str">
        <f t="shared" si="2"/>
        <v>Pass</v>
      </c>
    </row>
    <row r="195" spans="1:14" x14ac:dyDescent="0.35">
      <c r="A195" s="17" t="s">
        <v>95</v>
      </c>
      <c r="B195" s="3" t="str">
        <f>IF(ISBLANK(Table3[[#This Row],[Campaign_ID]]),"Invalid","Valid")</f>
        <v>Valid</v>
      </c>
      <c r="C195" s="3" t="str">
        <f>IF(COUNTA(Finance_Data!A191:R191)=18,"Valid","Missing")</f>
        <v>Valid</v>
      </c>
      <c r="D195" s="3" t="str">
        <f>IF(COUNTIF(Finance_Data!$T$2:$T$1001,Finance_Data!T191)&gt;1,"Duplicate","Valid")</f>
        <v>Valid</v>
      </c>
      <c r="E195" s="3" t="str">
        <f>IF(Finance_Data!H191&gt;Finance_Data!G191,"Valid","Invalid")</f>
        <v>Valid</v>
      </c>
      <c r="F195" s="3" t="str" cm="1">
        <f t="array" ref="F195">_xlfn.IFS(Finance_Data!S191&lt;7,"Short",Finance_Data!S191&lt;=30,"Normal",Finance_Data!S191&lt;=60,"Long",Finance_Data!S191&gt;60,"Very Long")</f>
        <v>Long</v>
      </c>
      <c r="G195" s="3" t="str">
        <f>IF(ABS(Finance_Data!I191*Finance_Data!J191)-Finance_Data!K191&lt;1,"Valid","Invalid")</f>
        <v>Valid</v>
      </c>
      <c r="H195" s="3" t="str">
        <f>IF(Finance_Data!L191&gt;0,"Valid","Invalid")</f>
        <v>Valid</v>
      </c>
      <c r="I195" s="3" t="str">
        <f>IF(Finance_Data!L191&gt;=Finance_Data!M191,"Valid","Invalid")</f>
        <v>Valid</v>
      </c>
      <c r="J195" s="3" t="str">
        <f>IF(AND(Finance_Data!I191&gt;=0,Finance_Data!K191&gt;=0),"Valid","Invalid")</f>
        <v>Valid</v>
      </c>
      <c r="K195" s="3" t="str">
        <f>IF(Finance_Data!N191&gt;=0,"Valid","Invalid")</f>
        <v>Valid</v>
      </c>
      <c r="L195" s="3" t="str">
        <f>IF(TEXT(Finance_Data!G191,"mmmm")=Finance_Data!P191,"Valid","Invalid")</f>
        <v>Valid</v>
      </c>
      <c r="M195" s="3" t="str">
        <f>IF("Q"&amp;ROUNDUP(MONTH(Finance_Data!G191)/3,0)=Finance_Data!Q191,"Valid","Invalid")</f>
        <v>Valid</v>
      </c>
      <c r="N195" s="7" t="str">
        <f t="shared" si="2"/>
        <v>Pass</v>
      </c>
    </row>
    <row r="196" spans="1:14" x14ac:dyDescent="0.35">
      <c r="A196" s="17" t="s">
        <v>70</v>
      </c>
      <c r="B196" s="3" t="str">
        <f>IF(ISBLANK(Table3[[#This Row],[Campaign_ID]]),"Invalid","Valid")</f>
        <v>Valid</v>
      </c>
      <c r="C196" s="3" t="str">
        <f>IF(COUNTA(Finance_Data!A192:R192)=18,"Valid","Missing")</f>
        <v>Valid</v>
      </c>
      <c r="D196" s="3" t="str">
        <f>IF(COUNTIF(Finance_Data!$T$2:$T$1001,Finance_Data!T192)&gt;1,"Duplicate","Valid")</f>
        <v>Valid</v>
      </c>
      <c r="E196" s="3" t="str">
        <f>IF(Finance_Data!H192&gt;Finance_Data!G192,"Valid","Invalid")</f>
        <v>Valid</v>
      </c>
      <c r="F196" s="3" t="str" cm="1">
        <f t="array" ref="F196">_xlfn.IFS(Finance_Data!S192&lt;7,"Short",Finance_Data!S192&lt;=30,"Normal",Finance_Data!S192&lt;=60,"Long",Finance_Data!S192&gt;60,"Very Long")</f>
        <v>Long</v>
      </c>
      <c r="G196" s="3" t="str">
        <f>IF(ABS(Finance_Data!I192*Finance_Data!J192)-Finance_Data!K192&lt;1,"Valid","Invalid")</f>
        <v>Valid</v>
      </c>
      <c r="H196" s="3" t="str">
        <f>IF(Finance_Data!L192&gt;0,"Valid","Invalid")</f>
        <v>Valid</v>
      </c>
      <c r="I196" s="3" t="str">
        <f>IF(Finance_Data!L192&gt;=Finance_Data!M192,"Valid","Invalid")</f>
        <v>Valid</v>
      </c>
      <c r="J196" s="3" t="str">
        <f>IF(AND(Finance_Data!I192&gt;=0,Finance_Data!K192&gt;=0),"Valid","Invalid")</f>
        <v>Valid</v>
      </c>
      <c r="K196" s="3" t="str">
        <f>IF(Finance_Data!N192&gt;=0,"Valid","Invalid")</f>
        <v>Valid</v>
      </c>
      <c r="L196" s="3" t="str">
        <f>IF(TEXT(Finance_Data!G192,"mmmm")=Finance_Data!P192,"Valid","Invalid")</f>
        <v>Valid</v>
      </c>
      <c r="M196" s="3" t="str">
        <f>IF("Q"&amp;ROUNDUP(MONTH(Finance_Data!G192)/3,0)=Finance_Data!Q192,"Valid","Invalid")</f>
        <v>Valid</v>
      </c>
      <c r="N196" s="7" t="str">
        <f t="shared" si="2"/>
        <v>Pass</v>
      </c>
    </row>
    <row r="197" spans="1:14" x14ac:dyDescent="0.35">
      <c r="A197" s="17" t="s">
        <v>110</v>
      </c>
      <c r="B197" s="3" t="str">
        <f>IF(ISBLANK(Table3[[#This Row],[Campaign_ID]]),"Invalid","Valid")</f>
        <v>Valid</v>
      </c>
      <c r="C197" s="3" t="str">
        <f>IF(COUNTA(Finance_Data!A193:R193)=18,"Valid","Missing")</f>
        <v>Valid</v>
      </c>
      <c r="D197" s="3" t="str">
        <f>IF(COUNTIF(Finance_Data!$T$2:$T$1001,Finance_Data!T193)&gt;1,"Duplicate","Valid")</f>
        <v>Valid</v>
      </c>
      <c r="E197" s="3" t="str">
        <f>IF(Finance_Data!H193&gt;Finance_Data!G193,"Valid","Invalid")</f>
        <v>Valid</v>
      </c>
      <c r="F197" s="3" t="str" cm="1">
        <f t="array" ref="F197">_xlfn.IFS(Finance_Data!S193&lt;7,"Short",Finance_Data!S193&lt;=30,"Normal",Finance_Data!S193&lt;=60,"Long",Finance_Data!S193&gt;60,"Very Long")</f>
        <v>Normal</v>
      </c>
      <c r="G197" s="3" t="str">
        <f>IF(ABS(Finance_Data!I193*Finance_Data!J193)-Finance_Data!K193&lt;1,"Valid","Invalid")</f>
        <v>Valid</v>
      </c>
      <c r="H197" s="3" t="str">
        <f>IF(Finance_Data!L193&gt;0,"Valid","Invalid")</f>
        <v>Valid</v>
      </c>
      <c r="I197" s="3" t="str">
        <f>IF(Finance_Data!L193&gt;=Finance_Data!M193,"Valid","Invalid")</f>
        <v>Valid</v>
      </c>
      <c r="J197" s="3" t="str">
        <f>IF(AND(Finance_Data!I193&gt;=0,Finance_Data!K193&gt;=0),"Valid","Invalid")</f>
        <v>Valid</v>
      </c>
      <c r="K197" s="3" t="str">
        <f>IF(Finance_Data!N193&gt;=0,"Valid","Invalid")</f>
        <v>Valid</v>
      </c>
      <c r="L197" s="3" t="str">
        <f>IF(TEXT(Finance_Data!G193,"mmmm")=Finance_Data!P193,"Valid","Invalid")</f>
        <v>Valid</v>
      </c>
      <c r="M197" s="3" t="str">
        <f>IF("Q"&amp;ROUNDUP(MONTH(Finance_Data!G193)/3,0)=Finance_Data!Q193,"Valid","Invalid")</f>
        <v>Valid</v>
      </c>
      <c r="N197" s="7" t="str">
        <f t="shared" si="2"/>
        <v>Pass</v>
      </c>
    </row>
    <row r="198" spans="1:14" x14ac:dyDescent="0.35">
      <c r="A198" s="17" t="s">
        <v>118</v>
      </c>
      <c r="B198" s="3" t="str">
        <f>IF(ISBLANK(Table3[[#This Row],[Campaign_ID]]),"Invalid","Valid")</f>
        <v>Valid</v>
      </c>
      <c r="C198" s="3" t="str">
        <f>IF(COUNTA(Finance_Data!A194:R194)=18,"Valid","Missing")</f>
        <v>Valid</v>
      </c>
      <c r="D198" s="3" t="str">
        <f>IF(COUNTIF(Finance_Data!$T$2:$T$1001,Finance_Data!T194)&gt;1,"Duplicate","Valid")</f>
        <v>Valid</v>
      </c>
      <c r="E198" s="3" t="str">
        <f>IF(Finance_Data!H194&gt;Finance_Data!G194,"Valid","Invalid")</f>
        <v>Valid</v>
      </c>
      <c r="F198" s="3" t="str" cm="1">
        <f t="array" ref="F198">_xlfn.IFS(Finance_Data!S194&lt;7,"Short",Finance_Data!S194&lt;=30,"Normal",Finance_Data!S194&lt;=60,"Long",Finance_Data!S194&gt;60,"Very Long")</f>
        <v>Long</v>
      </c>
      <c r="G198" s="3" t="str">
        <f>IF(ABS(Finance_Data!I194*Finance_Data!J194)-Finance_Data!K194&lt;1,"Valid","Invalid")</f>
        <v>Valid</v>
      </c>
      <c r="H198" s="3" t="str">
        <f>IF(Finance_Data!L194&gt;0,"Valid","Invalid")</f>
        <v>Valid</v>
      </c>
      <c r="I198" s="3" t="str">
        <f>IF(Finance_Data!L194&gt;=Finance_Data!M194,"Valid","Invalid")</f>
        <v>Valid</v>
      </c>
      <c r="J198" s="3" t="str">
        <f>IF(AND(Finance_Data!I194&gt;=0,Finance_Data!K194&gt;=0),"Valid","Invalid")</f>
        <v>Valid</v>
      </c>
      <c r="K198" s="3" t="str">
        <f>IF(Finance_Data!N194&gt;=0,"Valid","Invalid")</f>
        <v>Valid</v>
      </c>
      <c r="L198" s="3" t="str">
        <f>IF(TEXT(Finance_Data!G194,"mmmm")=Finance_Data!P194,"Valid","Invalid")</f>
        <v>Valid</v>
      </c>
      <c r="M198" s="3" t="str">
        <f>IF("Q"&amp;ROUNDUP(MONTH(Finance_Data!G194)/3,0)=Finance_Data!Q194,"Valid","Invalid")</f>
        <v>Valid</v>
      </c>
      <c r="N198" s="7" t="str">
        <f t="shared" ref="N198:N261" si="3">IF(AND(B198="Valid",E198="Valid",G198="Valid",H198="Valid",I198="Valid",J198="Valid",K198="Valid",L198="Valid",M198="Valid"),"Pass","Fail")</f>
        <v>Pass</v>
      </c>
    </row>
    <row r="199" spans="1:14" x14ac:dyDescent="0.35">
      <c r="A199" s="17" t="s">
        <v>115</v>
      </c>
      <c r="B199" s="3" t="str">
        <f>IF(ISBLANK(Table3[[#This Row],[Campaign_ID]]),"Invalid","Valid")</f>
        <v>Valid</v>
      </c>
      <c r="C199" s="3" t="str">
        <f>IF(COUNTA(Finance_Data!A195:R195)=18,"Valid","Missing")</f>
        <v>Valid</v>
      </c>
      <c r="D199" s="3" t="str">
        <f>IF(COUNTIF(Finance_Data!$T$2:$T$1001,Finance_Data!T195)&gt;1,"Duplicate","Valid")</f>
        <v>Valid</v>
      </c>
      <c r="E199" s="3" t="str">
        <f>IF(Finance_Data!H195&gt;Finance_Data!G195,"Valid","Invalid")</f>
        <v>Valid</v>
      </c>
      <c r="F199" s="3" t="str" cm="1">
        <f t="array" ref="F199">_xlfn.IFS(Finance_Data!S195&lt;7,"Short",Finance_Data!S195&lt;=30,"Normal",Finance_Data!S195&lt;=60,"Long",Finance_Data!S195&gt;60,"Very Long")</f>
        <v>Normal</v>
      </c>
      <c r="G199" s="3" t="str">
        <f>IF(ABS(Finance_Data!I195*Finance_Data!J195)-Finance_Data!K195&lt;1,"Valid","Invalid")</f>
        <v>Valid</v>
      </c>
      <c r="H199" s="3" t="str">
        <f>IF(Finance_Data!L195&gt;0,"Valid","Invalid")</f>
        <v>Valid</v>
      </c>
      <c r="I199" s="3" t="str">
        <f>IF(Finance_Data!L195&gt;=Finance_Data!M195,"Valid","Invalid")</f>
        <v>Valid</v>
      </c>
      <c r="J199" s="3" t="str">
        <f>IF(AND(Finance_Data!I195&gt;=0,Finance_Data!K195&gt;=0),"Valid","Invalid")</f>
        <v>Valid</v>
      </c>
      <c r="K199" s="3" t="str">
        <f>IF(Finance_Data!N195&gt;=0,"Valid","Invalid")</f>
        <v>Valid</v>
      </c>
      <c r="L199" s="3" t="str">
        <f>IF(TEXT(Finance_Data!G195,"mmmm")=Finance_Data!P195,"Valid","Invalid")</f>
        <v>Valid</v>
      </c>
      <c r="M199" s="3" t="str">
        <f>IF("Q"&amp;ROUNDUP(MONTH(Finance_Data!G195)/3,0)=Finance_Data!Q195,"Valid","Invalid")</f>
        <v>Valid</v>
      </c>
      <c r="N199" s="7" t="str">
        <f t="shared" si="3"/>
        <v>Pass</v>
      </c>
    </row>
    <row r="200" spans="1:14" x14ac:dyDescent="0.35">
      <c r="A200" s="17" t="s">
        <v>57</v>
      </c>
      <c r="B200" s="3" t="str">
        <f>IF(ISBLANK(Table3[[#This Row],[Campaign_ID]]),"Invalid","Valid")</f>
        <v>Valid</v>
      </c>
      <c r="C200" s="3" t="str">
        <f>IF(COUNTA(Finance_Data!A196:R196)=18,"Valid","Missing")</f>
        <v>Valid</v>
      </c>
      <c r="D200" s="3" t="str">
        <f>IF(COUNTIF(Finance_Data!$T$2:$T$1001,Finance_Data!T196)&gt;1,"Duplicate","Valid")</f>
        <v>Valid</v>
      </c>
      <c r="E200" s="3" t="str">
        <f>IF(Finance_Data!H196&gt;Finance_Data!G196,"Valid","Invalid")</f>
        <v>Valid</v>
      </c>
      <c r="F200" s="3" t="str" cm="1">
        <f t="array" ref="F200">_xlfn.IFS(Finance_Data!S196&lt;7,"Short",Finance_Data!S196&lt;=30,"Normal",Finance_Data!S196&lt;=60,"Long",Finance_Data!S196&gt;60,"Very Long")</f>
        <v>Normal</v>
      </c>
      <c r="G200" s="3" t="str">
        <f>IF(ABS(Finance_Data!I196*Finance_Data!J196)-Finance_Data!K196&lt;1,"Valid","Invalid")</f>
        <v>Valid</v>
      </c>
      <c r="H200" s="3" t="str">
        <f>IF(Finance_Data!L196&gt;0,"Valid","Invalid")</f>
        <v>Valid</v>
      </c>
      <c r="I200" s="3" t="str">
        <f>IF(Finance_Data!L196&gt;=Finance_Data!M196,"Valid","Invalid")</f>
        <v>Valid</v>
      </c>
      <c r="J200" s="3" t="str">
        <f>IF(AND(Finance_Data!I196&gt;=0,Finance_Data!K196&gt;=0),"Valid","Invalid")</f>
        <v>Valid</v>
      </c>
      <c r="K200" s="3" t="str">
        <f>IF(Finance_Data!N196&gt;=0,"Valid","Invalid")</f>
        <v>Valid</v>
      </c>
      <c r="L200" s="3" t="str">
        <f>IF(TEXT(Finance_Data!G196,"mmmm")=Finance_Data!P196,"Valid","Invalid")</f>
        <v>Valid</v>
      </c>
      <c r="M200" s="3" t="str">
        <f>IF("Q"&amp;ROUNDUP(MONTH(Finance_Data!G196)/3,0)=Finance_Data!Q196,"Valid","Invalid")</f>
        <v>Valid</v>
      </c>
      <c r="N200" s="7" t="str">
        <f t="shared" si="3"/>
        <v>Pass</v>
      </c>
    </row>
    <row r="201" spans="1:14" x14ac:dyDescent="0.35">
      <c r="A201" s="17" t="s">
        <v>47</v>
      </c>
      <c r="B201" s="3" t="str">
        <f>IF(ISBLANK(Table3[[#This Row],[Campaign_ID]]),"Invalid","Valid")</f>
        <v>Valid</v>
      </c>
      <c r="C201" s="3" t="str">
        <f>IF(COUNTA(Finance_Data!A197:R197)=18,"Valid","Missing")</f>
        <v>Valid</v>
      </c>
      <c r="D201" s="3" t="str">
        <f>IF(COUNTIF(Finance_Data!$T$2:$T$1001,Finance_Data!T197)&gt;1,"Duplicate","Valid")</f>
        <v>Valid</v>
      </c>
      <c r="E201" s="3" t="str">
        <f>IF(Finance_Data!H197&gt;Finance_Data!G197,"Valid","Invalid")</f>
        <v>Valid</v>
      </c>
      <c r="F201" s="3" t="str" cm="1">
        <f t="array" ref="F201">_xlfn.IFS(Finance_Data!S197&lt;7,"Short",Finance_Data!S197&lt;=30,"Normal",Finance_Data!S197&lt;=60,"Long",Finance_Data!S197&gt;60,"Very Long")</f>
        <v>Long</v>
      </c>
      <c r="G201" s="3" t="str">
        <f>IF(ABS(Finance_Data!I197*Finance_Data!J197)-Finance_Data!K197&lt;1,"Valid","Invalid")</f>
        <v>Valid</v>
      </c>
      <c r="H201" s="3" t="str">
        <f>IF(Finance_Data!L197&gt;0,"Valid","Invalid")</f>
        <v>Valid</v>
      </c>
      <c r="I201" s="3" t="str">
        <f>IF(Finance_Data!L197&gt;=Finance_Data!M197,"Valid","Invalid")</f>
        <v>Valid</v>
      </c>
      <c r="J201" s="3" t="str">
        <f>IF(AND(Finance_Data!I197&gt;=0,Finance_Data!K197&gt;=0),"Valid","Invalid")</f>
        <v>Valid</v>
      </c>
      <c r="K201" s="3" t="str">
        <f>IF(Finance_Data!N197&gt;=0,"Valid","Invalid")</f>
        <v>Valid</v>
      </c>
      <c r="L201" s="3" t="str">
        <f>IF(TEXT(Finance_Data!G197,"mmmm")=Finance_Data!P197,"Valid","Invalid")</f>
        <v>Valid</v>
      </c>
      <c r="M201" s="3" t="str">
        <f>IF("Q"&amp;ROUNDUP(MONTH(Finance_Data!G197)/3,0)=Finance_Data!Q197,"Valid","Invalid")</f>
        <v>Valid</v>
      </c>
      <c r="N201" s="7" t="str">
        <f t="shared" si="3"/>
        <v>Pass</v>
      </c>
    </row>
    <row r="202" spans="1:14" x14ac:dyDescent="0.35">
      <c r="A202" s="17" t="s">
        <v>79</v>
      </c>
      <c r="B202" s="3" t="str">
        <f>IF(ISBLANK(Table3[[#This Row],[Campaign_ID]]),"Invalid","Valid")</f>
        <v>Valid</v>
      </c>
      <c r="C202" s="3" t="str">
        <f>IF(COUNTA(Finance_Data!A198:R198)=18,"Valid","Missing")</f>
        <v>Valid</v>
      </c>
      <c r="D202" s="3" t="str">
        <f>IF(COUNTIF(Finance_Data!$T$2:$T$1001,Finance_Data!T198)&gt;1,"Duplicate","Valid")</f>
        <v>Valid</v>
      </c>
      <c r="E202" s="3" t="str">
        <f>IF(Finance_Data!H198&gt;Finance_Data!G198,"Valid","Invalid")</f>
        <v>Valid</v>
      </c>
      <c r="F202" s="3" t="str" cm="1">
        <f t="array" ref="F202">_xlfn.IFS(Finance_Data!S198&lt;7,"Short",Finance_Data!S198&lt;=30,"Normal",Finance_Data!S198&lt;=60,"Long",Finance_Data!S198&gt;60,"Very Long")</f>
        <v>Long</v>
      </c>
      <c r="G202" s="3" t="str">
        <f>IF(ABS(Finance_Data!I198*Finance_Data!J198)-Finance_Data!K198&lt;1,"Valid","Invalid")</f>
        <v>Valid</v>
      </c>
      <c r="H202" s="3" t="str">
        <f>IF(Finance_Data!L198&gt;0,"Valid","Invalid")</f>
        <v>Valid</v>
      </c>
      <c r="I202" s="3" t="str">
        <f>IF(Finance_Data!L198&gt;=Finance_Data!M198,"Valid","Invalid")</f>
        <v>Valid</v>
      </c>
      <c r="J202" s="3" t="str">
        <f>IF(AND(Finance_Data!I198&gt;=0,Finance_Data!K198&gt;=0),"Valid","Invalid")</f>
        <v>Valid</v>
      </c>
      <c r="K202" s="3" t="str">
        <f>IF(Finance_Data!N198&gt;=0,"Valid","Invalid")</f>
        <v>Valid</v>
      </c>
      <c r="L202" s="3" t="str">
        <f>IF(TEXT(Finance_Data!G198,"mmmm")=Finance_Data!P198,"Valid","Invalid")</f>
        <v>Valid</v>
      </c>
      <c r="M202" s="3" t="str">
        <f>IF("Q"&amp;ROUNDUP(MONTH(Finance_Data!G198)/3,0)=Finance_Data!Q198,"Valid","Invalid")</f>
        <v>Valid</v>
      </c>
      <c r="N202" s="7" t="str">
        <f t="shared" si="3"/>
        <v>Pass</v>
      </c>
    </row>
    <row r="203" spans="1:14" x14ac:dyDescent="0.35">
      <c r="A203" s="17" t="s">
        <v>57</v>
      </c>
      <c r="B203" s="3" t="str">
        <f>IF(ISBLANK(Table3[[#This Row],[Campaign_ID]]),"Invalid","Valid")</f>
        <v>Valid</v>
      </c>
      <c r="C203" s="3" t="str">
        <f>IF(COUNTA(Finance_Data!A199:R199)=18,"Valid","Missing")</f>
        <v>Valid</v>
      </c>
      <c r="D203" s="3" t="str">
        <f>IF(COUNTIF(Finance_Data!$T$2:$T$1001,Finance_Data!T199)&gt;1,"Duplicate","Valid")</f>
        <v>Valid</v>
      </c>
      <c r="E203" s="3" t="str">
        <f>IF(Finance_Data!H199&gt;Finance_Data!G199,"Valid","Invalid")</f>
        <v>Valid</v>
      </c>
      <c r="F203" s="3" t="str" cm="1">
        <f t="array" ref="F203">_xlfn.IFS(Finance_Data!S199&lt;7,"Short",Finance_Data!S199&lt;=30,"Normal",Finance_Data!S199&lt;=60,"Long",Finance_Data!S199&gt;60,"Very Long")</f>
        <v>Long</v>
      </c>
      <c r="G203" s="3" t="str">
        <f>IF(ABS(Finance_Data!I199*Finance_Data!J199)-Finance_Data!K199&lt;1,"Valid","Invalid")</f>
        <v>Valid</v>
      </c>
      <c r="H203" s="3" t="str">
        <f>IF(Finance_Data!L199&gt;0,"Valid","Invalid")</f>
        <v>Valid</v>
      </c>
      <c r="I203" s="3" t="str">
        <f>IF(Finance_Data!L199&gt;=Finance_Data!M199,"Valid","Invalid")</f>
        <v>Valid</v>
      </c>
      <c r="J203" s="3" t="str">
        <f>IF(AND(Finance_Data!I199&gt;=0,Finance_Data!K199&gt;=0),"Valid","Invalid")</f>
        <v>Valid</v>
      </c>
      <c r="K203" s="3" t="str">
        <f>IF(Finance_Data!N199&gt;=0,"Valid","Invalid")</f>
        <v>Valid</v>
      </c>
      <c r="L203" s="3" t="str">
        <f>IF(TEXT(Finance_Data!G199,"mmmm")=Finance_Data!P199,"Valid","Invalid")</f>
        <v>Valid</v>
      </c>
      <c r="M203" s="3" t="str">
        <f>IF("Q"&amp;ROUNDUP(MONTH(Finance_Data!G199)/3,0)=Finance_Data!Q199,"Valid","Invalid")</f>
        <v>Valid</v>
      </c>
      <c r="N203" s="7" t="str">
        <f t="shared" si="3"/>
        <v>Pass</v>
      </c>
    </row>
    <row r="204" spans="1:14" x14ac:dyDescent="0.35">
      <c r="A204" s="17" t="s">
        <v>67</v>
      </c>
      <c r="B204" s="3" t="str">
        <f>IF(ISBLANK(Table3[[#This Row],[Campaign_ID]]),"Invalid","Valid")</f>
        <v>Valid</v>
      </c>
      <c r="C204" s="3" t="str">
        <f>IF(COUNTA(Finance_Data!A200:R200)=18,"Valid","Missing")</f>
        <v>Valid</v>
      </c>
      <c r="D204" s="3" t="str">
        <f>IF(COUNTIF(Finance_Data!$T$2:$T$1001,Finance_Data!T200)&gt;1,"Duplicate","Valid")</f>
        <v>Valid</v>
      </c>
      <c r="E204" s="3" t="str">
        <f>IF(Finance_Data!H200&gt;Finance_Data!G200,"Valid","Invalid")</f>
        <v>Valid</v>
      </c>
      <c r="F204" s="3" t="str" cm="1">
        <f t="array" ref="F204">_xlfn.IFS(Finance_Data!S200&lt;7,"Short",Finance_Data!S200&lt;=30,"Normal",Finance_Data!S200&lt;=60,"Long",Finance_Data!S200&gt;60,"Very Long")</f>
        <v>Long</v>
      </c>
      <c r="G204" s="3" t="str">
        <f>IF(ABS(Finance_Data!I200*Finance_Data!J200)-Finance_Data!K200&lt;1,"Valid","Invalid")</f>
        <v>Valid</v>
      </c>
      <c r="H204" s="3" t="str">
        <f>IF(Finance_Data!L200&gt;0,"Valid","Invalid")</f>
        <v>Valid</v>
      </c>
      <c r="I204" s="3" t="str">
        <f>IF(Finance_Data!L200&gt;=Finance_Data!M200,"Valid","Invalid")</f>
        <v>Valid</v>
      </c>
      <c r="J204" s="3" t="str">
        <f>IF(AND(Finance_Data!I200&gt;=0,Finance_Data!K200&gt;=0),"Valid","Invalid")</f>
        <v>Valid</v>
      </c>
      <c r="K204" s="3" t="str">
        <f>IF(Finance_Data!N200&gt;=0,"Valid","Invalid")</f>
        <v>Valid</v>
      </c>
      <c r="L204" s="3" t="str">
        <f>IF(TEXT(Finance_Data!G200,"mmmm")=Finance_Data!P200,"Valid","Invalid")</f>
        <v>Valid</v>
      </c>
      <c r="M204" s="3" t="str">
        <f>IF("Q"&amp;ROUNDUP(MONTH(Finance_Data!G200)/3,0)=Finance_Data!Q200,"Valid","Invalid")</f>
        <v>Valid</v>
      </c>
      <c r="N204" s="7" t="str">
        <f t="shared" si="3"/>
        <v>Pass</v>
      </c>
    </row>
    <row r="205" spans="1:14" x14ac:dyDescent="0.35">
      <c r="A205" s="17" t="s">
        <v>96</v>
      </c>
      <c r="B205" s="3" t="str">
        <f>IF(ISBLANK(Table3[[#This Row],[Campaign_ID]]),"Invalid","Valid")</f>
        <v>Valid</v>
      </c>
      <c r="C205" s="3" t="str">
        <f>IF(COUNTA(Finance_Data!A201:R201)=18,"Valid","Missing")</f>
        <v>Valid</v>
      </c>
      <c r="D205" s="3" t="str">
        <f>IF(COUNTIF(Finance_Data!$T$2:$T$1001,Finance_Data!T201)&gt;1,"Duplicate","Valid")</f>
        <v>Valid</v>
      </c>
      <c r="E205" s="3" t="str">
        <f>IF(Finance_Data!H201&gt;Finance_Data!G201,"Valid","Invalid")</f>
        <v>Valid</v>
      </c>
      <c r="F205" s="3" t="str" cm="1">
        <f t="array" ref="F205">_xlfn.IFS(Finance_Data!S201&lt;7,"Short",Finance_Data!S201&lt;=30,"Normal",Finance_Data!S201&lt;=60,"Long",Finance_Data!S201&gt;60,"Very Long")</f>
        <v>Long</v>
      </c>
      <c r="G205" s="3" t="str">
        <f>IF(ABS(Finance_Data!I201*Finance_Data!J201)-Finance_Data!K201&lt;1,"Valid","Invalid")</f>
        <v>Valid</v>
      </c>
      <c r="H205" s="3" t="str">
        <f>IF(Finance_Data!L201&gt;0,"Valid","Invalid")</f>
        <v>Valid</v>
      </c>
      <c r="I205" s="3" t="str">
        <f>IF(Finance_Data!L201&gt;=Finance_Data!M201,"Valid","Invalid")</f>
        <v>Valid</v>
      </c>
      <c r="J205" s="3" t="str">
        <f>IF(AND(Finance_Data!I201&gt;=0,Finance_Data!K201&gt;=0),"Valid","Invalid")</f>
        <v>Valid</v>
      </c>
      <c r="K205" s="3" t="str">
        <f>IF(Finance_Data!N201&gt;=0,"Valid","Invalid")</f>
        <v>Valid</v>
      </c>
      <c r="L205" s="3" t="str">
        <f>IF(TEXT(Finance_Data!G201,"mmmm")=Finance_Data!P201,"Valid","Invalid")</f>
        <v>Valid</v>
      </c>
      <c r="M205" s="3" t="str">
        <f>IF("Q"&amp;ROUNDUP(MONTH(Finance_Data!G201)/3,0)=Finance_Data!Q201,"Valid","Invalid")</f>
        <v>Valid</v>
      </c>
      <c r="N205" s="7" t="str">
        <f t="shared" si="3"/>
        <v>Pass</v>
      </c>
    </row>
    <row r="206" spans="1:14" x14ac:dyDescent="0.35">
      <c r="A206" s="17" t="s">
        <v>85</v>
      </c>
      <c r="B206" s="3" t="str">
        <f>IF(ISBLANK(Table3[[#This Row],[Campaign_ID]]),"Invalid","Valid")</f>
        <v>Valid</v>
      </c>
      <c r="C206" s="3" t="str">
        <f>IF(COUNTA(Finance_Data!A202:R202)=18,"Valid","Missing")</f>
        <v>Valid</v>
      </c>
      <c r="D206" s="3" t="str">
        <f>IF(COUNTIF(Finance_Data!$T$2:$T$1001,Finance_Data!T202)&gt;1,"Duplicate","Valid")</f>
        <v>Valid</v>
      </c>
      <c r="E206" s="3" t="str">
        <f>IF(Finance_Data!H202&gt;Finance_Data!G202,"Valid","Invalid")</f>
        <v>Valid</v>
      </c>
      <c r="F206" s="3" t="str" cm="1">
        <f t="array" ref="F206">_xlfn.IFS(Finance_Data!S202&lt;7,"Short",Finance_Data!S202&lt;=30,"Normal",Finance_Data!S202&lt;=60,"Long",Finance_Data!S202&gt;60,"Very Long")</f>
        <v>Long</v>
      </c>
      <c r="G206" s="3" t="str">
        <f>IF(ABS(Finance_Data!I202*Finance_Data!J202)-Finance_Data!K202&lt;1,"Valid","Invalid")</f>
        <v>Valid</v>
      </c>
      <c r="H206" s="3" t="str">
        <f>IF(Finance_Data!L202&gt;0,"Valid","Invalid")</f>
        <v>Valid</v>
      </c>
      <c r="I206" s="3" t="str">
        <f>IF(Finance_Data!L202&gt;=Finance_Data!M202,"Valid","Invalid")</f>
        <v>Valid</v>
      </c>
      <c r="J206" s="3" t="str">
        <f>IF(AND(Finance_Data!I202&gt;=0,Finance_Data!K202&gt;=0),"Valid","Invalid")</f>
        <v>Valid</v>
      </c>
      <c r="K206" s="3" t="str">
        <f>IF(Finance_Data!N202&gt;=0,"Valid","Invalid")</f>
        <v>Valid</v>
      </c>
      <c r="L206" s="3" t="str">
        <f>IF(TEXT(Finance_Data!G202,"mmmm")=Finance_Data!P202,"Valid","Invalid")</f>
        <v>Valid</v>
      </c>
      <c r="M206" s="3" t="str">
        <f>IF("Q"&amp;ROUNDUP(MONTH(Finance_Data!G202)/3,0)=Finance_Data!Q202,"Valid","Invalid")</f>
        <v>Valid</v>
      </c>
      <c r="N206" s="7" t="str">
        <f t="shared" si="3"/>
        <v>Pass</v>
      </c>
    </row>
    <row r="207" spans="1:14" x14ac:dyDescent="0.35">
      <c r="A207" s="17" t="s">
        <v>88</v>
      </c>
      <c r="B207" s="3" t="str">
        <f>IF(ISBLANK(Table3[[#This Row],[Campaign_ID]]),"Invalid","Valid")</f>
        <v>Valid</v>
      </c>
      <c r="C207" s="3" t="str">
        <f>IF(COUNTA(Finance_Data!A203:R203)=18,"Valid","Missing")</f>
        <v>Valid</v>
      </c>
      <c r="D207" s="3" t="str">
        <f>IF(COUNTIF(Finance_Data!$T$2:$T$1001,Finance_Data!T203)&gt;1,"Duplicate","Valid")</f>
        <v>Valid</v>
      </c>
      <c r="E207" s="3" t="str">
        <f>IF(Finance_Data!H203&gt;Finance_Data!G203,"Valid","Invalid")</f>
        <v>Valid</v>
      </c>
      <c r="F207" s="3" t="str" cm="1">
        <f t="array" ref="F207">_xlfn.IFS(Finance_Data!S203&lt;7,"Short",Finance_Data!S203&lt;=30,"Normal",Finance_Data!S203&lt;=60,"Long",Finance_Data!S203&gt;60,"Very Long")</f>
        <v>Long</v>
      </c>
      <c r="G207" s="3" t="str">
        <f>IF(ABS(Finance_Data!I203*Finance_Data!J203)-Finance_Data!K203&lt;1,"Valid","Invalid")</f>
        <v>Valid</v>
      </c>
      <c r="H207" s="3" t="str">
        <f>IF(Finance_Data!L203&gt;0,"Valid","Invalid")</f>
        <v>Valid</v>
      </c>
      <c r="I207" s="3" t="str">
        <f>IF(Finance_Data!L203&gt;=Finance_Data!M203,"Valid","Invalid")</f>
        <v>Valid</v>
      </c>
      <c r="J207" s="3" t="str">
        <f>IF(AND(Finance_Data!I203&gt;=0,Finance_Data!K203&gt;=0),"Valid","Invalid")</f>
        <v>Valid</v>
      </c>
      <c r="K207" s="3" t="str">
        <f>IF(Finance_Data!N203&gt;=0,"Valid","Invalid")</f>
        <v>Valid</v>
      </c>
      <c r="L207" s="3" t="str">
        <f>IF(TEXT(Finance_Data!G203,"mmmm")=Finance_Data!P203,"Valid","Invalid")</f>
        <v>Valid</v>
      </c>
      <c r="M207" s="3" t="str">
        <f>IF("Q"&amp;ROUNDUP(MONTH(Finance_Data!G203)/3,0)=Finance_Data!Q203,"Valid","Invalid")</f>
        <v>Valid</v>
      </c>
      <c r="N207" s="7" t="str">
        <f t="shared" si="3"/>
        <v>Pass</v>
      </c>
    </row>
    <row r="208" spans="1:14" x14ac:dyDescent="0.35">
      <c r="A208" s="17" t="s">
        <v>18</v>
      </c>
      <c r="B208" s="3" t="str">
        <f>IF(ISBLANK(Table3[[#This Row],[Campaign_ID]]),"Invalid","Valid")</f>
        <v>Valid</v>
      </c>
      <c r="C208" s="3" t="str">
        <f>IF(COUNTA(Finance_Data!A204:R204)=18,"Valid","Missing")</f>
        <v>Valid</v>
      </c>
      <c r="D208" s="3" t="str">
        <f>IF(COUNTIF(Finance_Data!$T$2:$T$1001,Finance_Data!T204)&gt;1,"Duplicate","Valid")</f>
        <v>Valid</v>
      </c>
      <c r="E208" s="3" t="str">
        <f>IF(Finance_Data!H204&gt;Finance_Data!G204,"Valid","Invalid")</f>
        <v>Valid</v>
      </c>
      <c r="F208" s="3" t="str" cm="1">
        <f t="array" ref="F208">_xlfn.IFS(Finance_Data!S204&lt;7,"Short",Finance_Data!S204&lt;=30,"Normal",Finance_Data!S204&lt;=60,"Long",Finance_Data!S204&gt;60,"Very Long")</f>
        <v>Long</v>
      </c>
      <c r="G208" s="3" t="str">
        <f>IF(ABS(Finance_Data!I204*Finance_Data!J204)-Finance_Data!K204&lt;1,"Valid","Invalid")</f>
        <v>Valid</v>
      </c>
      <c r="H208" s="3" t="str">
        <f>IF(Finance_Data!L204&gt;0,"Valid","Invalid")</f>
        <v>Valid</v>
      </c>
      <c r="I208" s="3" t="str">
        <f>IF(Finance_Data!L204&gt;=Finance_Data!M204,"Valid","Invalid")</f>
        <v>Valid</v>
      </c>
      <c r="J208" s="3" t="str">
        <f>IF(AND(Finance_Data!I204&gt;=0,Finance_Data!K204&gt;=0),"Valid","Invalid")</f>
        <v>Valid</v>
      </c>
      <c r="K208" s="3" t="str">
        <f>IF(Finance_Data!N204&gt;=0,"Valid","Invalid")</f>
        <v>Valid</v>
      </c>
      <c r="L208" s="3" t="str">
        <f>IF(TEXT(Finance_Data!G204,"mmmm")=Finance_Data!P204,"Valid","Invalid")</f>
        <v>Valid</v>
      </c>
      <c r="M208" s="3" t="str">
        <f>IF("Q"&amp;ROUNDUP(MONTH(Finance_Data!G204)/3,0)=Finance_Data!Q204,"Valid","Invalid")</f>
        <v>Valid</v>
      </c>
      <c r="N208" s="7" t="str">
        <f t="shared" si="3"/>
        <v>Pass</v>
      </c>
    </row>
    <row r="209" spans="1:14" x14ac:dyDescent="0.35">
      <c r="A209" s="17" t="s">
        <v>90</v>
      </c>
      <c r="B209" s="3" t="str">
        <f>IF(ISBLANK(Table3[[#This Row],[Campaign_ID]]),"Invalid","Valid")</f>
        <v>Valid</v>
      </c>
      <c r="C209" s="3" t="str">
        <f>IF(COUNTA(Finance_Data!A205:R205)=18,"Valid","Missing")</f>
        <v>Valid</v>
      </c>
      <c r="D209" s="3" t="str">
        <f>IF(COUNTIF(Finance_Data!$T$2:$T$1001,Finance_Data!T205)&gt;1,"Duplicate","Valid")</f>
        <v>Valid</v>
      </c>
      <c r="E209" s="3" t="str">
        <f>IF(Finance_Data!H205&gt;Finance_Data!G205,"Valid","Invalid")</f>
        <v>Valid</v>
      </c>
      <c r="F209" s="3" t="str" cm="1">
        <f t="array" ref="F209">_xlfn.IFS(Finance_Data!S205&lt;7,"Short",Finance_Data!S205&lt;=30,"Normal",Finance_Data!S205&lt;=60,"Long",Finance_Data!S205&gt;60,"Very Long")</f>
        <v>Long</v>
      </c>
      <c r="G209" s="3" t="str">
        <f>IF(ABS(Finance_Data!I205*Finance_Data!J205)-Finance_Data!K205&lt;1,"Valid","Invalid")</f>
        <v>Valid</v>
      </c>
      <c r="H209" s="3" t="str">
        <f>IF(Finance_Data!L205&gt;0,"Valid","Invalid")</f>
        <v>Valid</v>
      </c>
      <c r="I209" s="3" t="str">
        <f>IF(Finance_Data!L205&gt;=Finance_Data!M205,"Valid","Invalid")</f>
        <v>Valid</v>
      </c>
      <c r="J209" s="3" t="str">
        <f>IF(AND(Finance_Data!I205&gt;=0,Finance_Data!K205&gt;=0),"Valid","Invalid")</f>
        <v>Valid</v>
      </c>
      <c r="K209" s="3" t="str">
        <f>IF(Finance_Data!N205&gt;=0,"Valid","Invalid")</f>
        <v>Valid</v>
      </c>
      <c r="L209" s="3" t="str">
        <f>IF(TEXT(Finance_Data!G205,"mmmm")=Finance_Data!P205,"Valid","Invalid")</f>
        <v>Valid</v>
      </c>
      <c r="M209" s="3" t="str">
        <f>IF("Q"&amp;ROUNDUP(MONTH(Finance_Data!G205)/3,0)=Finance_Data!Q205,"Valid","Invalid")</f>
        <v>Valid</v>
      </c>
      <c r="N209" s="7" t="str">
        <f t="shared" si="3"/>
        <v>Pass</v>
      </c>
    </row>
    <row r="210" spans="1:14" x14ac:dyDescent="0.35">
      <c r="A210" s="17" t="s">
        <v>50</v>
      </c>
      <c r="B210" s="3" t="str">
        <f>IF(ISBLANK(Table3[[#This Row],[Campaign_ID]]),"Invalid","Valid")</f>
        <v>Valid</v>
      </c>
      <c r="C210" s="3" t="str">
        <f>IF(COUNTA(Finance_Data!A206:R206)=18,"Valid","Missing")</f>
        <v>Valid</v>
      </c>
      <c r="D210" s="3" t="str">
        <f>IF(COUNTIF(Finance_Data!$T$2:$T$1001,Finance_Data!T206)&gt;1,"Duplicate","Valid")</f>
        <v>Valid</v>
      </c>
      <c r="E210" s="3" t="str">
        <f>IF(Finance_Data!H206&gt;Finance_Data!G206,"Valid","Invalid")</f>
        <v>Valid</v>
      </c>
      <c r="F210" s="3" t="str" cm="1">
        <f t="array" ref="F210">_xlfn.IFS(Finance_Data!S206&lt;7,"Short",Finance_Data!S206&lt;=30,"Normal",Finance_Data!S206&lt;=60,"Long",Finance_Data!S206&gt;60,"Very Long")</f>
        <v>Long</v>
      </c>
      <c r="G210" s="3" t="str">
        <f>IF(ABS(Finance_Data!I206*Finance_Data!J206)-Finance_Data!K206&lt;1,"Valid","Invalid")</f>
        <v>Valid</v>
      </c>
      <c r="H210" s="3" t="str">
        <f>IF(Finance_Data!L206&gt;0,"Valid","Invalid")</f>
        <v>Valid</v>
      </c>
      <c r="I210" s="3" t="str">
        <f>IF(Finance_Data!L206&gt;=Finance_Data!M206,"Valid","Invalid")</f>
        <v>Valid</v>
      </c>
      <c r="J210" s="3" t="str">
        <f>IF(AND(Finance_Data!I206&gt;=0,Finance_Data!K206&gt;=0),"Valid","Invalid")</f>
        <v>Valid</v>
      </c>
      <c r="K210" s="3" t="str">
        <f>IF(Finance_Data!N206&gt;=0,"Valid","Invalid")</f>
        <v>Valid</v>
      </c>
      <c r="L210" s="3" t="str">
        <f>IF(TEXT(Finance_Data!G206,"mmmm")=Finance_Data!P206,"Valid","Invalid")</f>
        <v>Valid</v>
      </c>
      <c r="M210" s="3" t="str">
        <f>IF("Q"&amp;ROUNDUP(MONTH(Finance_Data!G206)/3,0)=Finance_Data!Q206,"Valid","Invalid")</f>
        <v>Valid</v>
      </c>
      <c r="N210" s="7" t="str">
        <f t="shared" si="3"/>
        <v>Pass</v>
      </c>
    </row>
    <row r="211" spans="1:14" x14ac:dyDescent="0.35">
      <c r="A211" s="17" t="s">
        <v>34</v>
      </c>
      <c r="B211" s="3" t="str">
        <f>IF(ISBLANK(Table3[[#This Row],[Campaign_ID]]),"Invalid","Valid")</f>
        <v>Valid</v>
      </c>
      <c r="C211" s="3" t="str">
        <f>IF(COUNTA(Finance_Data!A207:R207)=18,"Valid","Missing")</f>
        <v>Valid</v>
      </c>
      <c r="D211" s="3" t="str">
        <f>IF(COUNTIF(Finance_Data!$T$2:$T$1001,Finance_Data!T207)&gt;1,"Duplicate","Valid")</f>
        <v>Valid</v>
      </c>
      <c r="E211" s="3" t="str">
        <f>IF(Finance_Data!H207&gt;Finance_Data!G207,"Valid","Invalid")</f>
        <v>Valid</v>
      </c>
      <c r="F211" s="3" t="str" cm="1">
        <f t="array" ref="F211">_xlfn.IFS(Finance_Data!S207&lt;7,"Short",Finance_Data!S207&lt;=30,"Normal",Finance_Data!S207&lt;=60,"Long",Finance_Data!S207&gt;60,"Very Long")</f>
        <v>Long</v>
      </c>
      <c r="G211" s="3" t="str">
        <f>IF(ABS(Finance_Data!I207*Finance_Data!J207)-Finance_Data!K207&lt;1,"Valid","Invalid")</f>
        <v>Valid</v>
      </c>
      <c r="H211" s="3" t="str">
        <f>IF(Finance_Data!L207&gt;0,"Valid","Invalid")</f>
        <v>Valid</v>
      </c>
      <c r="I211" s="3" t="str">
        <f>IF(Finance_Data!L207&gt;=Finance_Data!M207,"Valid","Invalid")</f>
        <v>Valid</v>
      </c>
      <c r="J211" s="3" t="str">
        <f>IF(AND(Finance_Data!I207&gt;=0,Finance_Data!K207&gt;=0),"Valid","Invalid")</f>
        <v>Valid</v>
      </c>
      <c r="K211" s="3" t="str">
        <f>IF(Finance_Data!N207&gt;=0,"Valid","Invalid")</f>
        <v>Valid</v>
      </c>
      <c r="L211" s="3" t="str">
        <f>IF(TEXT(Finance_Data!G207,"mmmm")=Finance_Data!P207,"Valid","Invalid")</f>
        <v>Valid</v>
      </c>
      <c r="M211" s="3" t="str">
        <f>IF("Q"&amp;ROUNDUP(MONTH(Finance_Data!G207)/3,0)=Finance_Data!Q207,"Valid","Invalid")</f>
        <v>Valid</v>
      </c>
      <c r="N211" s="7" t="str">
        <f t="shared" si="3"/>
        <v>Pass</v>
      </c>
    </row>
    <row r="212" spans="1:14" x14ac:dyDescent="0.35">
      <c r="A212" s="17" t="s">
        <v>75</v>
      </c>
      <c r="B212" s="3" t="str">
        <f>IF(ISBLANK(Table3[[#This Row],[Campaign_ID]]),"Invalid","Valid")</f>
        <v>Valid</v>
      </c>
      <c r="C212" s="3" t="str">
        <f>IF(COUNTA(Finance_Data!A208:R208)=18,"Valid","Missing")</f>
        <v>Valid</v>
      </c>
      <c r="D212" s="3" t="str">
        <f>IF(COUNTIF(Finance_Data!$T$2:$T$1001,Finance_Data!T208)&gt;1,"Duplicate","Valid")</f>
        <v>Valid</v>
      </c>
      <c r="E212" s="3" t="str">
        <f>IF(Finance_Data!H208&gt;Finance_Data!G208,"Valid","Invalid")</f>
        <v>Valid</v>
      </c>
      <c r="F212" s="3" t="str" cm="1">
        <f t="array" ref="F212">_xlfn.IFS(Finance_Data!S208&lt;7,"Short",Finance_Data!S208&lt;=30,"Normal",Finance_Data!S208&lt;=60,"Long",Finance_Data!S208&gt;60,"Very Long")</f>
        <v>Normal</v>
      </c>
      <c r="G212" s="3" t="str">
        <f>IF(ABS(Finance_Data!I208*Finance_Data!J208)-Finance_Data!K208&lt;1,"Valid","Invalid")</f>
        <v>Valid</v>
      </c>
      <c r="H212" s="3" t="str">
        <f>IF(Finance_Data!L208&gt;0,"Valid","Invalid")</f>
        <v>Valid</v>
      </c>
      <c r="I212" s="3" t="str">
        <f>IF(Finance_Data!L208&gt;=Finance_Data!M208,"Valid","Invalid")</f>
        <v>Valid</v>
      </c>
      <c r="J212" s="3" t="str">
        <f>IF(AND(Finance_Data!I208&gt;=0,Finance_Data!K208&gt;=0),"Valid","Invalid")</f>
        <v>Valid</v>
      </c>
      <c r="K212" s="3" t="str">
        <f>IF(Finance_Data!N208&gt;=0,"Valid","Invalid")</f>
        <v>Valid</v>
      </c>
      <c r="L212" s="3" t="str">
        <f>IF(TEXT(Finance_Data!G208,"mmmm")=Finance_Data!P208,"Valid","Invalid")</f>
        <v>Valid</v>
      </c>
      <c r="M212" s="3" t="str">
        <f>IF("Q"&amp;ROUNDUP(MONTH(Finance_Data!G208)/3,0)=Finance_Data!Q208,"Valid","Invalid")</f>
        <v>Valid</v>
      </c>
      <c r="N212" s="7" t="str">
        <f t="shared" si="3"/>
        <v>Pass</v>
      </c>
    </row>
    <row r="213" spans="1:14" x14ac:dyDescent="0.35">
      <c r="A213" s="17" t="s">
        <v>117</v>
      </c>
      <c r="B213" s="3" t="str">
        <f>IF(ISBLANK(Table3[[#This Row],[Campaign_ID]]),"Invalid","Valid")</f>
        <v>Valid</v>
      </c>
      <c r="C213" s="3" t="str">
        <f>IF(COUNTA(Finance_Data!A209:R209)=18,"Valid","Missing")</f>
        <v>Valid</v>
      </c>
      <c r="D213" s="3" t="str">
        <f>IF(COUNTIF(Finance_Data!$T$2:$T$1001,Finance_Data!T209)&gt;1,"Duplicate","Valid")</f>
        <v>Valid</v>
      </c>
      <c r="E213" s="3" t="str">
        <f>IF(Finance_Data!H209&gt;Finance_Data!G209,"Valid","Invalid")</f>
        <v>Valid</v>
      </c>
      <c r="F213" s="3" t="str" cm="1">
        <f t="array" ref="F213">_xlfn.IFS(Finance_Data!S209&lt;7,"Short",Finance_Data!S209&lt;=30,"Normal",Finance_Data!S209&lt;=60,"Long",Finance_Data!S209&gt;60,"Very Long")</f>
        <v>Normal</v>
      </c>
      <c r="G213" s="3" t="str">
        <f>IF(ABS(Finance_Data!I209*Finance_Data!J209)-Finance_Data!K209&lt;1,"Valid","Invalid")</f>
        <v>Valid</v>
      </c>
      <c r="H213" s="3" t="str">
        <f>IF(Finance_Data!L209&gt;0,"Valid","Invalid")</f>
        <v>Valid</v>
      </c>
      <c r="I213" s="3" t="str">
        <f>IF(Finance_Data!L209&gt;=Finance_Data!M209,"Valid","Invalid")</f>
        <v>Valid</v>
      </c>
      <c r="J213" s="3" t="str">
        <f>IF(AND(Finance_Data!I209&gt;=0,Finance_Data!K209&gt;=0),"Valid","Invalid")</f>
        <v>Valid</v>
      </c>
      <c r="K213" s="3" t="str">
        <f>IF(Finance_Data!N209&gt;=0,"Valid","Invalid")</f>
        <v>Valid</v>
      </c>
      <c r="L213" s="3" t="str">
        <f>IF(TEXT(Finance_Data!G209,"mmmm")=Finance_Data!P209,"Valid","Invalid")</f>
        <v>Valid</v>
      </c>
      <c r="M213" s="3" t="str">
        <f>IF("Q"&amp;ROUNDUP(MONTH(Finance_Data!G209)/3,0)=Finance_Data!Q209,"Valid","Invalid")</f>
        <v>Valid</v>
      </c>
      <c r="N213" s="7" t="str">
        <f t="shared" si="3"/>
        <v>Pass</v>
      </c>
    </row>
    <row r="214" spans="1:14" x14ac:dyDescent="0.35">
      <c r="A214" s="17" t="s">
        <v>95</v>
      </c>
      <c r="B214" s="3" t="str">
        <f>IF(ISBLANK(Table3[[#This Row],[Campaign_ID]]),"Invalid","Valid")</f>
        <v>Valid</v>
      </c>
      <c r="C214" s="3" t="str">
        <f>IF(COUNTA(Finance_Data!A210:R210)=18,"Valid","Missing")</f>
        <v>Valid</v>
      </c>
      <c r="D214" s="3" t="str">
        <f>IF(COUNTIF(Finance_Data!$T$2:$T$1001,Finance_Data!T210)&gt;1,"Duplicate","Valid")</f>
        <v>Valid</v>
      </c>
      <c r="E214" s="3" t="str">
        <f>IF(Finance_Data!H210&gt;Finance_Data!G210,"Valid","Invalid")</f>
        <v>Valid</v>
      </c>
      <c r="F214" s="3" t="str" cm="1">
        <f t="array" ref="F214">_xlfn.IFS(Finance_Data!S210&lt;7,"Short",Finance_Data!S210&lt;=30,"Normal",Finance_Data!S210&lt;=60,"Long",Finance_Data!S210&gt;60,"Very Long")</f>
        <v>Normal</v>
      </c>
      <c r="G214" s="3" t="str">
        <f>IF(ABS(Finance_Data!I210*Finance_Data!J210)-Finance_Data!K210&lt;1,"Valid","Invalid")</f>
        <v>Valid</v>
      </c>
      <c r="H214" s="3" t="str">
        <f>IF(Finance_Data!L210&gt;0,"Valid","Invalid")</f>
        <v>Valid</v>
      </c>
      <c r="I214" s="3" t="str">
        <f>IF(Finance_Data!L210&gt;=Finance_Data!M210,"Valid","Invalid")</f>
        <v>Valid</v>
      </c>
      <c r="J214" s="3" t="str">
        <f>IF(AND(Finance_Data!I210&gt;=0,Finance_Data!K210&gt;=0),"Valid","Invalid")</f>
        <v>Valid</v>
      </c>
      <c r="K214" s="3" t="str">
        <f>IF(Finance_Data!N210&gt;=0,"Valid","Invalid")</f>
        <v>Valid</v>
      </c>
      <c r="L214" s="3" t="str">
        <f>IF(TEXT(Finance_Data!G210,"mmmm")=Finance_Data!P210,"Valid","Invalid")</f>
        <v>Valid</v>
      </c>
      <c r="M214" s="3" t="str">
        <f>IF("Q"&amp;ROUNDUP(MONTH(Finance_Data!G210)/3,0)=Finance_Data!Q210,"Valid","Invalid")</f>
        <v>Valid</v>
      </c>
      <c r="N214" s="7" t="str">
        <f t="shared" si="3"/>
        <v>Pass</v>
      </c>
    </row>
    <row r="215" spans="1:14" x14ac:dyDescent="0.35">
      <c r="A215" s="17" t="s">
        <v>50</v>
      </c>
      <c r="B215" s="3" t="str">
        <f>IF(ISBLANK(Table3[[#This Row],[Campaign_ID]]),"Invalid","Valid")</f>
        <v>Valid</v>
      </c>
      <c r="C215" s="3" t="str">
        <f>IF(COUNTA(Finance_Data!A211:R211)=18,"Valid","Missing")</f>
        <v>Valid</v>
      </c>
      <c r="D215" s="3" t="str">
        <f>IF(COUNTIF(Finance_Data!$T$2:$T$1001,Finance_Data!T211)&gt;1,"Duplicate","Valid")</f>
        <v>Valid</v>
      </c>
      <c r="E215" s="3" t="str">
        <f>IF(Finance_Data!H211&gt;Finance_Data!G211,"Valid","Invalid")</f>
        <v>Valid</v>
      </c>
      <c r="F215" s="3" t="str" cm="1">
        <f t="array" ref="F215">_xlfn.IFS(Finance_Data!S211&lt;7,"Short",Finance_Data!S211&lt;=30,"Normal",Finance_Data!S211&lt;=60,"Long",Finance_Data!S211&gt;60,"Very Long")</f>
        <v>Normal</v>
      </c>
      <c r="G215" s="3" t="str">
        <f>IF(ABS(Finance_Data!I211*Finance_Data!J211)-Finance_Data!K211&lt;1,"Valid","Invalid")</f>
        <v>Valid</v>
      </c>
      <c r="H215" s="3" t="str">
        <f>IF(Finance_Data!L211&gt;0,"Valid","Invalid")</f>
        <v>Valid</v>
      </c>
      <c r="I215" s="3" t="str">
        <f>IF(Finance_Data!L211&gt;=Finance_Data!M211,"Valid","Invalid")</f>
        <v>Invalid</v>
      </c>
      <c r="J215" s="3" t="str">
        <f>IF(AND(Finance_Data!I211&gt;=0,Finance_Data!K211&gt;=0),"Valid","Invalid")</f>
        <v>Valid</v>
      </c>
      <c r="K215" s="3" t="str">
        <f>IF(Finance_Data!N211&gt;=0,"Valid","Invalid")</f>
        <v>Valid</v>
      </c>
      <c r="L215" s="3" t="str">
        <f>IF(TEXT(Finance_Data!G211,"mmmm")=Finance_Data!P211,"Valid","Invalid")</f>
        <v>Valid</v>
      </c>
      <c r="M215" s="3" t="str">
        <f>IF("Q"&amp;ROUNDUP(MONTH(Finance_Data!G211)/3,0)=Finance_Data!Q211,"Valid","Invalid")</f>
        <v>Valid</v>
      </c>
      <c r="N215" s="7" t="str">
        <f t="shared" si="3"/>
        <v>Fail</v>
      </c>
    </row>
    <row r="216" spans="1:14" x14ac:dyDescent="0.35">
      <c r="A216" s="17" t="s">
        <v>50</v>
      </c>
      <c r="B216" s="3" t="str">
        <f>IF(ISBLANK(Table3[[#This Row],[Campaign_ID]]),"Invalid","Valid")</f>
        <v>Valid</v>
      </c>
      <c r="C216" s="3" t="str">
        <f>IF(COUNTA(Finance_Data!A212:R212)=18,"Valid","Missing")</f>
        <v>Valid</v>
      </c>
      <c r="D216" s="3" t="str">
        <f>IF(COUNTIF(Finance_Data!$T$2:$T$1001,Finance_Data!T212)&gt;1,"Duplicate","Valid")</f>
        <v>Valid</v>
      </c>
      <c r="E216" s="3" t="str">
        <f>IF(Finance_Data!H212&gt;Finance_Data!G212,"Valid","Invalid")</f>
        <v>Valid</v>
      </c>
      <c r="F216" s="3" t="str" cm="1">
        <f t="array" ref="F216">_xlfn.IFS(Finance_Data!S212&lt;7,"Short",Finance_Data!S212&lt;=30,"Normal",Finance_Data!S212&lt;=60,"Long",Finance_Data!S212&gt;60,"Very Long")</f>
        <v>Normal</v>
      </c>
      <c r="G216" s="3" t="str">
        <f>IF(ABS(Finance_Data!I212*Finance_Data!J212)-Finance_Data!K212&lt;1,"Valid","Invalid")</f>
        <v>Valid</v>
      </c>
      <c r="H216" s="3" t="str">
        <f>IF(Finance_Data!L212&gt;0,"Valid","Invalid")</f>
        <v>Valid</v>
      </c>
      <c r="I216" s="3" t="str">
        <f>IF(Finance_Data!L212&gt;=Finance_Data!M212,"Valid","Invalid")</f>
        <v>Valid</v>
      </c>
      <c r="J216" s="3" t="str">
        <f>IF(AND(Finance_Data!I212&gt;=0,Finance_Data!K212&gt;=0),"Valid","Invalid")</f>
        <v>Valid</v>
      </c>
      <c r="K216" s="3" t="str">
        <f>IF(Finance_Data!N212&gt;=0,"Valid","Invalid")</f>
        <v>Valid</v>
      </c>
      <c r="L216" s="3" t="str">
        <f>IF(TEXT(Finance_Data!G212,"mmmm")=Finance_Data!P212,"Valid","Invalid")</f>
        <v>Valid</v>
      </c>
      <c r="M216" s="3" t="str">
        <f>IF("Q"&amp;ROUNDUP(MONTH(Finance_Data!G212)/3,0)=Finance_Data!Q212,"Valid","Invalid")</f>
        <v>Valid</v>
      </c>
      <c r="N216" s="7" t="str">
        <f t="shared" si="3"/>
        <v>Pass</v>
      </c>
    </row>
    <row r="217" spans="1:14" x14ac:dyDescent="0.35">
      <c r="A217" s="17" t="s">
        <v>118</v>
      </c>
      <c r="B217" s="3" t="str">
        <f>IF(ISBLANK(Table3[[#This Row],[Campaign_ID]]),"Invalid","Valid")</f>
        <v>Valid</v>
      </c>
      <c r="C217" s="3" t="str">
        <f>IF(COUNTA(Finance_Data!A213:R213)=18,"Valid","Missing")</f>
        <v>Valid</v>
      </c>
      <c r="D217" s="3" t="str">
        <f>IF(COUNTIF(Finance_Data!$T$2:$T$1001,Finance_Data!T213)&gt;1,"Duplicate","Valid")</f>
        <v>Valid</v>
      </c>
      <c r="E217" s="3" t="str">
        <f>IF(Finance_Data!H213&gt;Finance_Data!G213,"Valid","Invalid")</f>
        <v>Valid</v>
      </c>
      <c r="F217" s="3" t="str" cm="1">
        <f t="array" ref="F217">_xlfn.IFS(Finance_Data!S213&lt;7,"Short",Finance_Data!S213&lt;=30,"Normal",Finance_Data!S213&lt;=60,"Long",Finance_Data!S213&gt;60,"Very Long")</f>
        <v>Normal</v>
      </c>
      <c r="G217" s="3" t="str">
        <f>IF(ABS(Finance_Data!I213*Finance_Data!J213)-Finance_Data!K213&lt;1,"Valid","Invalid")</f>
        <v>Valid</v>
      </c>
      <c r="H217" s="3" t="str">
        <f>IF(Finance_Data!L213&gt;0,"Valid","Invalid")</f>
        <v>Valid</v>
      </c>
      <c r="I217" s="3" t="str">
        <f>IF(Finance_Data!L213&gt;=Finance_Data!M213,"Valid","Invalid")</f>
        <v>Valid</v>
      </c>
      <c r="J217" s="3" t="str">
        <f>IF(AND(Finance_Data!I213&gt;=0,Finance_Data!K213&gt;=0),"Valid","Invalid")</f>
        <v>Valid</v>
      </c>
      <c r="K217" s="3" t="str">
        <f>IF(Finance_Data!N213&gt;=0,"Valid","Invalid")</f>
        <v>Valid</v>
      </c>
      <c r="L217" s="3" t="str">
        <f>IF(TEXT(Finance_Data!G213,"mmmm")=Finance_Data!P213,"Valid","Invalid")</f>
        <v>Valid</v>
      </c>
      <c r="M217" s="3" t="str">
        <f>IF("Q"&amp;ROUNDUP(MONTH(Finance_Data!G213)/3,0)=Finance_Data!Q213,"Valid","Invalid")</f>
        <v>Valid</v>
      </c>
      <c r="N217" s="7" t="str">
        <f t="shared" si="3"/>
        <v>Pass</v>
      </c>
    </row>
    <row r="218" spans="1:14" x14ac:dyDescent="0.35">
      <c r="A218" s="17" t="s">
        <v>115</v>
      </c>
      <c r="B218" s="3" t="str">
        <f>IF(ISBLANK(Table3[[#This Row],[Campaign_ID]]),"Invalid","Valid")</f>
        <v>Valid</v>
      </c>
      <c r="C218" s="3" t="str">
        <f>IF(COUNTA(Finance_Data!A214:R214)=18,"Valid","Missing")</f>
        <v>Valid</v>
      </c>
      <c r="D218" s="3" t="str">
        <f>IF(COUNTIF(Finance_Data!$T$2:$T$1001,Finance_Data!T214)&gt;1,"Duplicate","Valid")</f>
        <v>Valid</v>
      </c>
      <c r="E218" s="3" t="str">
        <f>IF(Finance_Data!H214&gt;Finance_Data!G214,"Valid","Invalid")</f>
        <v>Valid</v>
      </c>
      <c r="F218" s="3" t="str" cm="1">
        <f t="array" ref="F218">_xlfn.IFS(Finance_Data!S214&lt;7,"Short",Finance_Data!S214&lt;=30,"Normal",Finance_Data!S214&lt;=60,"Long",Finance_Data!S214&gt;60,"Very Long")</f>
        <v>Very Long</v>
      </c>
      <c r="G218" s="3" t="str">
        <f>IF(ABS(Finance_Data!I214*Finance_Data!J214)-Finance_Data!K214&lt;1,"Valid","Invalid")</f>
        <v>Valid</v>
      </c>
      <c r="H218" s="3" t="str">
        <f>IF(Finance_Data!L214&gt;0,"Valid","Invalid")</f>
        <v>Valid</v>
      </c>
      <c r="I218" s="3" t="str">
        <f>IF(Finance_Data!L214&gt;=Finance_Data!M214,"Valid","Invalid")</f>
        <v>Valid</v>
      </c>
      <c r="J218" s="3" t="str">
        <f>IF(AND(Finance_Data!I214&gt;=0,Finance_Data!K214&gt;=0),"Valid","Invalid")</f>
        <v>Valid</v>
      </c>
      <c r="K218" s="3" t="str">
        <f>IF(Finance_Data!N214&gt;=0,"Valid","Invalid")</f>
        <v>Valid</v>
      </c>
      <c r="L218" s="3" t="str">
        <f>IF(TEXT(Finance_Data!G214,"mmmm")=Finance_Data!P214,"Valid","Invalid")</f>
        <v>Valid</v>
      </c>
      <c r="M218" s="3" t="str">
        <f>IF("Q"&amp;ROUNDUP(MONTH(Finance_Data!G214)/3,0)=Finance_Data!Q214,"Valid","Invalid")</f>
        <v>Valid</v>
      </c>
      <c r="N218" s="7" t="str">
        <f t="shared" si="3"/>
        <v>Pass</v>
      </c>
    </row>
    <row r="219" spans="1:14" x14ac:dyDescent="0.35">
      <c r="A219" s="17" t="s">
        <v>114</v>
      </c>
      <c r="B219" s="3" t="str">
        <f>IF(ISBLANK(Table3[[#This Row],[Campaign_ID]]),"Invalid","Valid")</f>
        <v>Valid</v>
      </c>
      <c r="C219" s="3" t="str">
        <f>IF(COUNTA(Finance_Data!A215:R215)=18,"Valid","Missing")</f>
        <v>Valid</v>
      </c>
      <c r="D219" s="3" t="str">
        <f>IF(COUNTIF(Finance_Data!$T$2:$T$1001,Finance_Data!T215)&gt;1,"Duplicate","Valid")</f>
        <v>Valid</v>
      </c>
      <c r="E219" s="3" t="str">
        <f>IF(Finance_Data!H215&gt;Finance_Data!G215,"Valid","Invalid")</f>
        <v>Valid</v>
      </c>
      <c r="F219" s="3" t="str" cm="1">
        <f t="array" ref="F219">_xlfn.IFS(Finance_Data!S215&lt;7,"Short",Finance_Data!S215&lt;=30,"Normal",Finance_Data!S215&lt;=60,"Long",Finance_Data!S215&gt;60,"Very Long")</f>
        <v>Long</v>
      </c>
      <c r="G219" s="3" t="str">
        <f>IF(ABS(Finance_Data!I215*Finance_Data!J215)-Finance_Data!K215&lt;1,"Valid","Invalid")</f>
        <v>Valid</v>
      </c>
      <c r="H219" s="3" t="str">
        <f>IF(Finance_Data!L215&gt;0,"Valid","Invalid")</f>
        <v>Valid</v>
      </c>
      <c r="I219" s="3" t="str">
        <f>IF(Finance_Data!L215&gt;=Finance_Data!M215,"Valid","Invalid")</f>
        <v>Invalid</v>
      </c>
      <c r="J219" s="3" t="str">
        <f>IF(AND(Finance_Data!I215&gt;=0,Finance_Data!K215&gt;=0),"Valid","Invalid")</f>
        <v>Valid</v>
      </c>
      <c r="K219" s="3" t="str">
        <f>IF(Finance_Data!N215&gt;=0,"Valid","Invalid")</f>
        <v>Valid</v>
      </c>
      <c r="L219" s="3" t="str">
        <f>IF(TEXT(Finance_Data!G215,"mmmm")=Finance_Data!P215,"Valid","Invalid")</f>
        <v>Valid</v>
      </c>
      <c r="M219" s="3" t="str">
        <f>IF("Q"&amp;ROUNDUP(MONTH(Finance_Data!G215)/3,0)=Finance_Data!Q215,"Valid","Invalid")</f>
        <v>Valid</v>
      </c>
      <c r="N219" s="7" t="str">
        <f t="shared" si="3"/>
        <v>Fail</v>
      </c>
    </row>
    <row r="220" spans="1:14" x14ac:dyDescent="0.35">
      <c r="A220" s="17" t="s">
        <v>94</v>
      </c>
      <c r="B220" s="3" t="str">
        <f>IF(ISBLANK(Table3[[#This Row],[Campaign_ID]]),"Invalid","Valid")</f>
        <v>Valid</v>
      </c>
      <c r="C220" s="3" t="str">
        <f>IF(COUNTA(Finance_Data!A216:R216)=18,"Valid","Missing")</f>
        <v>Valid</v>
      </c>
      <c r="D220" s="3" t="str">
        <f>IF(COUNTIF(Finance_Data!$T$2:$T$1001,Finance_Data!T216)&gt;1,"Duplicate","Valid")</f>
        <v>Valid</v>
      </c>
      <c r="E220" s="3" t="str">
        <f>IF(Finance_Data!H216&gt;Finance_Data!G216,"Valid","Invalid")</f>
        <v>Valid</v>
      </c>
      <c r="F220" s="3" t="str" cm="1">
        <f t="array" ref="F220">_xlfn.IFS(Finance_Data!S216&lt;7,"Short",Finance_Data!S216&lt;=30,"Normal",Finance_Data!S216&lt;=60,"Long",Finance_Data!S216&gt;60,"Very Long")</f>
        <v>Long</v>
      </c>
      <c r="G220" s="3" t="str">
        <f>IF(ABS(Finance_Data!I216*Finance_Data!J216)-Finance_Data!K216&lt;1,"Valid","Invalid")</f>
        <v>Valid</v>
      </c>
      <c r="H220" s="3" t="str">
        <f>IF(Finance_Data!L216&gt;0,"Valid","Invalid")</f>
        <v>Valid</v>
      </c>
      <c r="I220" s="3" t="str">
        <f>IF(Finance_Data!L216&gt;=Finance_Data!M216,"Valid","Invalid")</f>
        <v>Valid</v>
      </c>
      <c r="J220" s="3" t="str">
        <f>IF(AND(Finance_Data!I216&gt;=0,Finance_Data!K216&gt;=0),"Valid","Invalid")</f>
        <v>Valid</v>
      </c>
      <c r="K220" s="3" t="str">
        <f>IF(Finance_Data!N216&gt;=0,"Valid","Invalid")</f>
        <v>Valid</v>
      </c>
      <c r="L220" s="3" t="str">
        <f>IF(TEXT(Finance_Data!G216,"mmmm")=Finance_Data!P216,"Valid","Invalid")</f>
        <v>Valid</v>
      </c>
      <c r="M220" s="3" t="str">
        <f>IF("Q"&amp;ROUNDUP(MONTH(Finance_Data!G216)/3,0)=Finance_Data!Q216,"Valid","Invalid")</f>
        <v>Valid</v>
      </c>
      <c r="N220" s="7" t="str">
        <f t="shared" si="3"/>
        <v>Pass</v>
      </c>
    </row>
    <row r="221" spans="1:14" x14ac:dyDescent="0.35">
      <c r="A221" s="17" t="s">
        <v>50</v>
      </c>
      <c r="B221" s="3" t="str">
        <f>IF(ISBLANK(Table3[[#This Row],[Campaign_ID]]),"Invalid","Valid")</f>
        <v>Valid</v>
      </c>
      <c r="C221" s="3" t="str">
        <f>IF(COUNTA(Finance_Data!A217:R217)=18,"Valid","Missing")</f>
        <v>Valid</v>
      </c>
      <c r="D221" s="3" t="str">
        <f>IF(COUNTIF(Finance_Data!$T$2:$T$1001,Finance_Data!T217)&gt;1,"Duplicate","Valid")</f>
        <v>Valid</v>
      </c>
      <c r="E221" s="3" t="str">
        <f>IF(Finance_Data!H217&gt;Finance_Data!G217,"Valid","Invalid")</f>
        <v>Valid</v>
      </c>
      <c r="F221" s="3" t="str" cm="1">
        <f t="array" ref="F221">_xlfn.IFS(Finance_Data!S217&lt;7,"Short",Finance_Data!S217&lt;=30,"Normal",Finance_Data!S217&lt;=60,"Long",Finance_Data!S217&gt;60,"Very Long")</f>
        <v>Normal</v>
      </c>
      <c r="G221" s="3" t="str">
        <f>IF(ABS(Finance_Data!I217*Finance_Data!J217)-Finance_Data!K217&lt;1,"Valid","Invalid")</f>
        <v>Valid</v>
      </c>
      <c r="H221" s="3" t="str">
        <f>IF(Finance_Data!L217&gt;0,"Valid","Invalid")</f>
        <v>Valid</v>
      </c>
      <c r="I221" s="3" t="str">
        <f>IF(Finance_Data!L217&gt;=Finance_Data!M217,"Valid","Invalid")</f>
        <v>Valid</v>
      </c>
      <c r="J221" s="3" t="str">
        <f>IF(AND(Finance_Data!I217&gt;=0,Finance_Data!K217&gt;=0),"Valid","Invalid")</f>
        <v>Valid</v>
      </c>
      <c r="K221" s="3" t="str">
        <f>IF(Finance_Data!N217&gt;=0,"Valid","Invalid")</f>
        <v>Valid</v>
      </c>
      <c r="L221" s="3" t="str">
        <f>IF(TEXT(Finance_Data!G217,"mmmm")=Finance_Data!P217,"Valid","Invalid")</f>
        <v>Valid</v>
      </c>
      <c r="M221" s="3" t="str">
        <f>IF("Q"&amp;ROUNDUP(MONTH(Finance_Data!G217)/3,0)=Finance_Data!Q217,"Valid","Invalid")</f>
        <v>Valid</v>
      </c>
      <c r="N221" s="7" t="str">
        <f t="shared" si="3"/>
        <v>Pass</v>
      </c>
    </row>
    <row r="222" spans="1:14" x14ac:dyDescent="0.35">
      <c r="A222" s="17" t="s">
        <v>111</v>
      </c>
      <c r="B222" s="3" t="str">
        <f>IF(ISBLANK(Table3[[#This Row],[Campaign_ID]]),"Invalid","Valid")</f>
        <v>Valid</v>
      </c>
      <c r="C222" s="3" t="str">
        <f>IF(COUNTA(Finance_Data!A218:R218)=18,"Valid","Missing")</f>
        <v>Valid</v>
      </c>
      <c r="D222" s="3" t="str">
        <f>IF(COUNTIF(Finance_Data!$T$2:$T$1001,Finance_Data!T218)&gt;1,"Duplicate","Valid")</f>
        <v>Valid</v>
      </c>
      <c r="E222" s="3" t="str">
        <f>IF(Finance_Data!H218&gt;Finance_Data!G218,"Valid","Invalid")</f>
        <v>Valid</v>
      </c>
      <c r="F222" s="3" t="str" cm="1">
        <f t="array" ref="F222">_xlfn.IFS(Finance_Data!S218&lt;7,"Short",Finance_Data!S218&lt;=30,"Normal",Finance_Data!S218&lt;=60,"Long",Finance_Data!S218&gt;60,"Very Long")</f>
        <v>Long</v>
      </c>
      <c r="G222" s="3" t="str">
        <f>IF(ABS(Finance_Data!I218*Finance_Data!J218)-Finance_Data!K218&lt;1,"Valid","Invalid")</f>
        <v>Valid</v>
      </c>
      <c r="H222" s="3" t="str">
        <f>IF(Finance_Data!L218&gt;0,"Valid","Invalid")</f>
        <v>Valid</v>
      </c>
      <c r="I222" s="3" t="str">
        <f>IF(Finance_Data!L218&gt;=Finance_Data!M218,"Valid","Invalid")</f>
        <v>Valid</v>
      </c>
      <c r="J222" s="3" t="str">
        <f>IF(AND(Finance_Data!I218&gt;=0,Finance_Data!K218&gt;=0),"Valid","Invalid")</f>
        <v>Valid</v>
      </c>
      <c r="K222" s="3" t="str">
        <f>IF(Finance_Data!N218&gt;=0,"Valid","Invalid")</f>
        <v>Valid</v>
      </c>
      <c r="L222" s="3" t="str">
        <f>IF(TEXT(Finance_Data!G218,"mmmm")=Finance_Data!P218,"Valid","Invalid")</f>
        <v>Valid</v>
      </c>
      <c r="M222" s="3" t="str">
        <f>IF("Q"&amp;ROUNDUP(MONTH(Finance_Data!G218)/3,0)=Finance_Data!Q218,"Valid","Invalid")</f>
        <v>Valid</v>
      </c>
      <c r="N222" s="7" t="str">
        <f t="shared" si="3"/>
        <v>Pass</v>
      </c>
    </row>
    <row r="223" spans="1:14" x14ac:dyDescent="0.35">
      <c r="A223" s="17" t="s">
        <v>62</v>
      </c>
      <c r="B223" s="3" t="str">
        <f>IF(ISBLANK(Table3[[#This Row],[Campaign_ID]]),"Invalid","Valid")</f>
        <v>Valid</v>
      </c>
      <c r="C223" s="3" t="str">
        <f>IF(COUNTA(Finance_Data!A219:R219)=18,"Valid","Missing")</f>
        <v>Valid</v>
      </c>
      <c r="D223" s="3" t="str">
        <f>IF(COUNTIF(Finance_Data!$T$2:$T$1001,Finance_Data!T219)&gt;1,"Duplicate","Valid")</f>
        <v>Valid</v>
      </c>
      <c r="E223" s="3" t="str">
        <f>IF(Finance_Data!H219&gt;Finance_Data!G219,"Valid","Invalid")</f>
        <v>Valid</v>
      </c>
      <c r="F223" s="3" t="str" cm="1">
        <f t="array" ref="F223">_xlfn.IFS(Finance_Data!S219&lt;7,"Short",Finance_Data!S219&lt;=30,"Normal",Finance_Data!S219&lt;=60,"Long",Finance_Data!S219&gt;60,"Very Long")</f>
        <v>Normal</v>
      </c>
      <c r="G223" s="3" t="str">
        <f>IF(ABS(Finance_Data!I219*Finance_Data!J219)-Finance_Data!K219&lt;1,"Valid","Invalid")</f>
        <v>Valid</v>
      </c>
      <c r="H223" s="3" t="str">
        <f>IF(Finance_Data!L219&gt;0,"Valid","Invalid")</f>
        <v>Valid</v>
      </c>
      <c r="I223" s="3" t="str">
        <f>IF(Finance_Data!L219&gt;=Finance_Data!M219,"Valid","Invalid")</f>
        <v>Valid</v>
      </c>
      <c r="J223" s="3" t="str">
        <f>IF(AND(Finance_Data!I219&gt;=0,Finance_Data!K219&gt;=0),"Valid","Invalid")</f>
        <v>Valid</v>
      </c>
      <c r="K223" s="3" t="str">
        <f>IF(Finance_Data!N219&gt;=0,"Valid","Invalid")</f>
        <v>Valid</v>
      </c>
      <c r="L223" s="3" t="str">
        <f>IF(TEXT(Finance_Data!G219,"mmmm")=Finance_Data!P219,"Valid","Invalid")</f>
        <v>Valid</v>
      </c>
      <c r="M223" s="3" t="str">
        <f>IF("Q"&amp;ROUNDUP(MONTH(Finance_Data!G219)/3,0)=Finance_Data!Q219,"Valid","Invalid")</f>
        <v>Valid</v>
      </c>
      <c r="N223" s="7" t="str">
        <f t="shared" si="3"/>
        <v>Pass</v>
      </c>
    </row>
    <row r="224" spans="1:14" x14ac:dyDescent="0.35">
      <c r="A224" s="17" t="s">
        <v>117</v>
      </c>
      <c r="B224" s="3" t="str">
        <f>IF(ISBLANK(Table3[[#This Row],[Campaign_ID]]),"Invalid","Valid")</f>
        <v>Valid</v>
      </c>
      <c r="C224" s="3" t="str">
        <f>IF(COUNTA(Finance_Data!A220:R220)=18,"Valid","Missing")</f>
        <v>Valid</v>
      </c>
      <c r="D224" s="3" t="str">
        <f>IF(COUNTIF(Finance_Data!$T$2:$T$1001,Finance_Data!T220)&gt;1,"Duplicate","Valid")</f>
        <v>Valid</v>
      </c>
      <c r="E224" s="3" t="str">
        <f>IF(Finance_Data!H220&gt;Finance_Data!G220,"Valid","Invalid")</f>
        <v>Valid</v>
      </c>
      <c r="F224" s="3" t="str" cm="1">
        <f t="array" ref="F224">_xlfn.IFS(Finance_Data!S220&lt;7,"Short",Finance_Data!S220&lt;=30,"Normal",Finance_Data!S220&lt;=60,"Long",Finance_Data!S220&gt;60,"Very Long")</f>
        <v>Long</v>
      </c>
      <c r="G224" s="3" t="str">
        <f>IF(ABS(Finance_Data!I220*Finance_Data!J220)-Finance_Data!K220&lt;1,"Valid","Invalid")</f>
        <v>Valid</v>
      </c>
      <c r="H224" s="3" t="str">
        <f>IF(Finance_Data!L220&gt;0,"Valid","Invalid")</f>
        <v>Valid</v>
      </c>
      <c r="I224" s="3" t="str">
        <f>IF(Finance_Data!L220&gt;=Finance_Data!M220,"Valid","Invalid")</f>
        <v>Valid</v>
      </c>
      <c r="J224" s="3" t="str">
        <f>IF(AND(Finance_Data!I220&gt;=0,Finance_Data!K220&gt;=0),"Valid","Invalid")</f>
        <v>Valid</v>
      </c>
      <c r="K224" s="3" t="str">
        <f>IF(Finance_Data!N220&gt;=0,"Valid","Invalid")</f>
        <v>Valid</v>
      </c>
      <c r="L224" s="3" t="str">
        <f>IF(TEXT(Finance_Data!G220,"mmmm")=Finance_Data!P220,"Valid","Invalid")</f>
        <v>Valid</v>
      </c>
      <c r="M224" s="3" t="str">
        <f>IF("Q"&amp;ROUNDUP(MONTH(Finance_Data!G220)/3,0)=Finance_Data!Q220,"Valid","Invalid")</f>
        <v>Valid</v>
      </c>
      <c r="N224" s="7" t="str">
        <f t="shared" si="3"/>
        <v>Pass</v>
      </c>
    </row>
    <row r="225" spans="1:14" x14ac:dyDescent="0.35">
      <c r="A225" s="17" t="s">
        <v>98</v>
      </c>
      <c r="B225" s="3" t="str">
        <f>IF(ISBLANK(Table3[[#This Row],[Campaign_ID]]),"Invalid","Valid")</f>
        <v>Valid</v>
      </c>
      <c r="C225" s="3" t="str">
        <f>IF(COUNTA(Finance_Data!A221:R221)=18,"Valid","Missing")</f>
        <v>Valid</v>
      </c>
      <c r="D225" s="3" t="str">
        <f>IF(COUNTIF(Finance_Data!$T$2:$T$1001,Finance_Data!T221)&gt;1,"Duplicate","Valid")</f>
        <v>Valid</v>
      </c>
      <c r="E225" s="3" t="str">
        <f>IF(Finance_Data!H221&gt;Finance_Data!G221,"Valid","Invalid")</f>
        <v>Valid</v>
      </c>
      <c r="F225" s="3" t="str" cm="1">
        <f t="array" ref="F225">_xlfn.IFS(Finance_Data!S221&lt;7,"Short",Finance_Data!S221&lt;=30,"Normal",Finance_Data!S221&lt;=60,"Long",Finance_Data!S221&gt;60,"Very Long")</f>
        <v>Normal</v>
      </c>
      <c r="G225" s="3" t="str">
        <f>IF(ABS(Finance_Data!I221*Finance_Data!J221)-Finance_Data!K221&lt;1,"Valid","Invalid")</f>
        <v>Valid</v>
      </c>
      <c r="H225" s="3" t="str">
        <f>IF(Finance_Data!L221&gt;0,"Valid","Invalid")</f>
        <v>Valid</v>
      </c>
      <c r="I225" s="3" t="str">
        <f>IF(Finance_Data!L221&gt;=Finance_Data!M221,"Valid","Invalid")</f>
        <v>Valid</v>
      </c>
      <c r="J225" s="3" t="str">
        <f>IF(AND(Finance_Data!I221&gt;=0,Finance_Data!K221&gt;=0),"Valid","Invalid")</f>
        <v>Valid</v>
      </c>
      <c r="K225" s="3" t="str">
        <f>IF(Finance_Data!N221&gt;=0,"Valid","Invalid")</f>
        <v>Valid</v>
      </c>
      <c r="L225" s="3" t="str">
        <f>IF(TEXT(Finance_Data!G221,"mmmm")=Finance_Data!P221,"Valid","Invalid")</f>
        <v>Valid</v>
      </c>
      <c r="M225" s="3" t="str">
        <f>IF("Q"&amp;ROUNDUP(MONTH(Finance_Data!G221)/3,0)=Finance_Data!Q221,"Valid","Invalid")</f>
        <v>Valid</v>
      </c>
      <c r="N225" s="7" t="str">
        <f t="shared" si="3"/>
        <v>Pass</v>
      </c>
    </row>
    <row r="226" spans="1:14" x14ac:dyDescent="0.35">
      <c r="A226" s="17" t="s">
        <v>27</v>
      </c>
      <c r="B226" s="3" t="str">
        <f>IF(ISBLANK(Table3[[#This Row],[Campaign_ID]]),"Invalid","Valid")</f>
        <v>Valid</v>
      </c>
      <c r="C226" s="3" t="str">
        <f>IF(COUNTA(Finance_Data!A222:R222)=18,"Valid","Missing")</f>
        <v>Valid</v>
      </c>
      <c r="D226" s="3" t="str">
        <f>IF(COUNTIF(Finance_Data!$T$2:$T$1001,Finance_Data!T222)&gt;1,"Duplicate","Valid")</f>
        <v>Valid</v>
      </c>
      <c r="E226" s="3" t="str">
        <f>IF(Finance_Data!H222&gt;Finance_Data!G222,"Valid","Invalid")</f>
        <v>Valid</v>
      </c>
      <c r="F226" s="3" t="str" cm="1">
        <f t="array" ref="F226">_xlfn.IFS(Finance_Data!S222&lt;7,"Short",Finance_Data!S222&lt;=30,"Normal",Finance_Data!S222&lt;=60,"Long",Finance_Data!S222&gt;60,"Very Long")</f>
        <v>Long</v>
      </c>
      <c r="G226" s="3" t="str">
        <f>IF(ABS(Finance_Data!I222*Finance_Data!J222)-Finance_Data!K222&lt;1,"Valid","Invalid")</f>
        <v>Valid</v>
      </c>
      <c r="H226" s="3" t="str">
        <f>IF(Finance_Data!L222&gt;0,"Valid","Invalid")</f>
        <v>Valid</v>
      </c>
      <c r="I226" s="3" t="str">
        <f>IF(Finance_Data!L222&gt;=Finance_Data!M222,"Valid","Invalid")</f>
        <v>Valid</v>
      </c>
      <c r="J226" s="3" t="str">
        <f>IF(AND(Finance_Data!I222&gt;=0,Finance_Data!K222&gt;=0),"Valid","Invalid")</f>
        <v>Valid</v>
      </c>
      <c r="K226" s="3" t="str">
        <f>IF(Finance_Data!N222&gt;=0,"Valid","Invalid")</f>
        <v>Valid</v>
      </c>
      <c r="L226" s="3" t="str">
        <f>IF(TEXT(Finance_Data!G222,"mmmm")=Finance_Data!P222,"Valid","Invalid")</f>
        <v>Valid</v>
      </c>
      <c r="M226" s="3" t="str">
        <f>IF("Q"&amp;ROUNDUP(MONTH(Finance_Data!G222)/3,0)=Finance_Data!Q222,"Valid","Invalid")</f>
        <v>Valid</v>
      </c>
      <c r="N226" s="7" t="str">
        <f t="shared" si="3"/>
        <v>Pass</v>
      </c>
    </row>
    <row r="227" spans="1:14" x14ac:dyDescent="0.35">
      <c r="A227" s="17" t="s">
        <v>95</v>
      </c>
      <c r="B227" s="3" t="str">
        <f>IF(ISBLANK(Table3[[#This Row],[Campaign_ID]]),"Invalid","Valid")</f>
        <v>Valid</v>
      </c>
      <c r="C227" s="3" t="str">
        <f>IF(COUNTA(Finance_Data!A223:R223)=18,"Valid","Missing")</f>
        <v>Valid</v>
      </c>
      <c r="D227" s="3" t="str">
        <f>IF(COUNTIF(Finance_Data!$T$2:$T$1001,Finance_Data!T223)&gt;1,"Duplicate","Valid")</f>
        <v>Valid</v>
      </c>
      <c r="E227" s="3" t="str">
        <f>IF(Finance_Data!H223&gt;Finance_Data!G223,"Valid","Invalid")</f>
        <v>Valid</v>
      </c>
      <c r="F227" s="3" t="str" cm="1">
        <f t="array" ref="F227">_xlfn.IFS(Finance_Data!S223&lt;7,"Short",Finance_Data!S223&lt;=30,"Normal",Finance_Data!S223&lt;=60,"Long",Finance_Data!S223&gt;60,"Very Long")</f>
        <v>Long</v>
      </c>
      <c r="G227" s="3" t="str">
        <f>IF(ABS(Finance_Data!I223*Finance_Data!J223)-Finance_Data!K223&lt;1,"Valid","Invalid")</f>
        <v>Valid</v>
      </c>
      <c r="H227" s="3" t="str">
        <f>IF(Finance_Data!L223&gt;0,"Valid","Invalid")</f>
        <v>Valid</v>
      </c>
      <c r="I227" s="3" t="str">
        <f>IF(Finance_Data!L223&gt;=Finance_Data!M223,"Valid","Invalid")</f>
        <v>Valid</v>
      </c>
      <c r="J227" s="3" t="str">
        <f>IF(AND(Finance_Data!I223&gt;=0,Finance_Data!K223&gt;=0),"Valid","Invalid")</f>
        <v>Valid</v>
      </c>
      <c r="K227" s="3" t="str">
        <f>IF(Finance_Data!N223&gt;=0,"Valid","Invalid")</f>
        <v>Valid</v>
      </c>
      <c r="L227" s="3" t="str">
        <f>IF(TEXT(Finance_Data!G223,"mmmm")=Finance_Data!P223,"Valid","Invalid")</f>
        <v>Valid</v>
      </c>
      <c r="M227" s="3" t="str">
        <f>IF("Q"&amp;ROUNDUP(MONTH(Finance_Data!G223)/3,0)=Finance_Data!Q223,"Valid","Invalid")</f>
        <v>Valid</v>
      </c>
      <c r="N227" s="7" t="str">
        <f t="shared" si="3"/>
        <v>Pass</v>
      </c>
    </row>
    <row r="228" spans="1:14" x14ac:dyDescent="0.35">
      <c r="A228" s="17" t="s">
        <v>68</v>
      </c>
      <c r="B228" s="3" t="str">
        <f>IF(ISBLANK(Table3[[#This Row],[Campaign_ID]]),"Invalid","Valid")</f>
        <v>Valid</v>
      </c>
      <c r="C228" s="3" t="str">
        <f>IF(COUNTA(Finance_Data!A224:R224)=18,"Valid","Missing")</f>
        <v>Valid</v>
      </c>
      <c r="D228" s="3" t="str">
        <f>IF(COUNTIF(Finance_Data!$T$2:$T$1001,Finance_Data!T224)&gt;1,"Duplicate","Valid")</f>
        <v>Valid</v>
      </c>
      <c r="E228" s="3" t="str">
        <f>IF(Finance_Data!H224&gt;Finance_Data!G224,"Valid","Invalid")</f>
        <v>Valid</v>
      </c>
      <c r="F228" s="3" t="str" cm="1">
        <f t="array" ref="F228">_xlfn.IFS(Finance_Data!S224&lt;7,"Short",Finance_Data!S224&lt;=30,"Normal",Finance_Data!S224&lt;=60,"Long",Finance_Data!S224&gt;60,"Very Long")</f>
        <v>Long</v>
      </c>
      <c r="G228" s="3" t="str">
        <f>IF(ABS(Finance_Data!I224*Finance_Data!J224)-Finance_Data!K224&lt;1,"Valid","Invalid")</f>
        <v>Valid</v>
      </c>
      <c r="H228" s="3" t="str">
        <f>IF(Finance_Data!L224&gt;0,"Valid","Invalid")</f>
        <v>Valid</v>
      </c>
      <c r="I228" s="3" t="str">
        <f>IF(Finance_Data!L224&gt;=Finance_Data!M224,"Valid","Invalid")</f>
        <v>Valid</v>
      </c>
      <c r="J228" s="3" t="str">
        <f>IF(AND(Finance_Data!I224&gt;=0,Finance_Data!K224&gt;=0),"Valid","Invalid")</f>
        <v>Valid</v>
      </c>
      <c r="K228" s="3" t="str">
        <f>IF(Finance_Data!N224&gt;=0,"Valid","Invalid")</f>
        <v>Valid</v>
      </c>
      <c r="L228" s="3" t="str">
        <f>IF(TEXT(Finance_Data!G224,"mmmm")=Finance_Data!P224,"Valid","Invalid")</f>
        <v>Valid</v>
      </c>
      <c r="M228" s="3" t="str">
        <f>IF("Q"&amp;ROUNDUP(MONTH(Finance_Data!G224)/3,0)=Finance_Data!Q224,"Valid","Invalid")</f>
        <v>Valid</v>
      </c>
      <c r="N228" s="7" t="str">
        <f t="shared" si="3"/>
        <v>Pass</v>
      </c>
    </row>
    <row r="229" spans="1:14" x14ac:dyDescent="0.35">
      <c r="A229" s="17" t="s">
        <v>110</v>
      </c>
      <c r="B229" s="3" t="str">
        <f>IF(ISBLANK(Table3[[#This Row],[Campaign_ID]]),"Invalid","Valid")</f>
        <v>Valid</v>
      </c>
      <c r="C229" s="3" t="str">
        <f>IF(COUNTA(Finance_Data!A225:R225)=18,"Valid","Missing")</f>
        <v>Valid</v>
      </c>
      <c r="D229" s="3" t="str">
        <f>IF(COUNTIF(Finance_Data!$T$2:$T$1001,Finance_Data!T225)&gt;1,"Duplicate","Valid")</f>
        <v>Valid</v>
      </c>
      <c r="E229" s="3" t="str">
        <f>IF(Finance_Data!H225&gt;Finance_Data!G225,"Valid","Invalid")</f>
        <v>Valid</v>
      </c>
      <c r="F229" s="3" t="str" cm="1">
        <f t="array" ref="F229">_xlfn.IFS(Finance_Data!S225&lt;7,"Short",Finance_Data!S225&lt;=30,"Normal",Finance_Data!S225&lt;=60,"Long",Finance_Data!S225&gt;60,"Very Long")</f>
        <v>Long</v>
      </c>
      <c r="G229" s="3" t="str">
        <f>IF(ABS(Finance_Data!I225*Finance_Data!J225)-Finance_Data!K225&lt;1,"Valid","Invalid")</f>
        <v>Valid</v>
      </c>
      <c r="H229" s="3" t="str">
        <f>IF(Finance_Data!L225&gt;0,"Valid","Invalid")</f>
        <v>Valid</v>
      </c>
      <c r="I229" s="3" t="str">
        <f>IF(Finance_Data!L225&gt;=Finance_Data!M225,"Valid","Invalid")</f>
        <v>Valid</v>
      </c>
      <c r="J229" s="3" t="str">
        <f>IF(AND(Finance_Data!I225&gt;=0,Finance_Data!K225&gt;=0),"Valid","Invalid")</f>
        <v>Valid</v>
      </c>
      <c r="K229" s="3" t="str">
        <f>IF(Finance_Data!N225&gt;=0,"Valid","Invalid")</f>
        <v>Valid</v>
      </c>
      <c r="L229" s="3" t="str">
        <f>IF(TEXT(Finance_Data!G225,"mmmm")=Finance_Data!P225,"Valid","Invalid")</f>
        <v>Valid</v>
      </c>
      <c r="M229" s="3" t="str">
        <f>IF("Q"&amp;ROUNDUP(MONTH(Finance_Data!G225)/3,0)=Finance_Data!Q225,"Valid","Invalid")</f>
        <v>Valid</v>
      </c>
      <c r="N229" s="7" t="str">
        <f t="shared" si="3"/>
        <v>Pass</v>
      </c>
    </row>
    <row r="230" spans="1:14" x14ac:dyDescent="0.35">
      <c r="A230" s="17" t="s">
        <v>47</v>
      </c>
      <c r="B230" s="3" t="str">
        <f>IF(ISBLANK(Table3[[#This Row],[Campaign_ID]]),"Invalid","Valid")</f>
        <v>Valid</v>
      </c>
      <c r="C230" s="3" t="str">
        <f>IF(COUNTA(Finance_Data!A226:R226)=18,"Valid","Missing")</f>
        <v>Valid</v>
      </c>
      <c r="D230" s="3" t="str">
        <f>IF(COUNTIF(Finance_Data!$T$2:$T$1001,Finance_Data!T226)&gt;1,"Duplicate","Valid")</f>
        <v>Valid</v>
      </c>
      <c r="E230" s="3" t="str">
        <f>IF(Finance_Data!H226&gt;Finance_Data!G226,"Valid","Invalid")</f>
        <v>Valid</v>
      </c>
      <c r="F230" s="3" t="str" cm="1">
        <f t="array" ref="F230">_xlfn.IFS(Finance_Data!S226&lt;7,"Short",Finance_Data!S226&lt;=30,"Normal",Finance_Data!S226&lt;=60,"Long",Finance_Data!S226&gt;60,"Very Long")</f>
        <v>Long</v>
      </c>
      <c r="G230" s="3" t="str">
        <f>IF(ABS(Finance_Data!I226*Finance_Data!J226)-Finance_Data!K226&lt;1,"Valid","Invalid")</f>
        <v>Valid</v>
      </c>
      <c r="H230" s="3" t="str">
        <f>IF(Finance_Data!L226&gt;0,"Valid","Invalid")</f>
        <v>Valid</v>
      </c>
      <c r="I230" s="3" t="str">
        <f>IF(Finance_Data!L226&gt;=Finance_Data!M226,"Valid","Invalid")</f>
        <v>Valid</v>
      </c>
      <c r="J230" s="3" t="str">
        <f>IF(AND(Finance_Data!I226&gt;=0,Finance_Data!K226&gt;=0),"Valid","Invalid")</f>
        <v>Valid</v>
      </c>
      <c r="K230" s="3" t="str">
        <f>IF(Finance_Data!N226&gt;=0,"Valid","Invalid")</f>
        <v>Valid</v>
      </c>
      <c r="L230" s="3" t="str">
        <f>IF(TEXT(Finance_Data!G226,"mmmm")=Finance_Data!P226,"Valid","Invalid")</f>
        <v>Valid</v>
      </c>
      <c r="M230" s="3" t="str">
        <f>IF("Q"&amp;ROUNDUP(MONTH(Finance_Data!G226)/3,0)=Finance_Data!Q226,"Valid","Invalid")</f>
        <v>Valid</v>
      </c>
      <c r="N230" s="7" t="str">
        <f t="shared" si="3"/>
        <v>Pass</v>
      </c>
    </row>
    <row r="231" spans="1:14" x14ac:dyDescent="0.35">
      <c r="A231" s="17" t="s">
        <v>97</v>
      </c>
      <c r="B231" s="3" t="str">
        <f>IF(ISBLANK(Table3[[#This Row],[Campaign_ID]]),"Invalid","Valid")</f>
        <v>Valid</v>
      </c>
      <c r="C231" s="3" t="str">
        <f>IF(COUNTA(Finance_Data!A227:R227)=18,"Valid","Missing")</f>
        <v>Valid</v>
      </c>
      <c r="D231" s="3" t="str">
        <f>IF(COUNTIF(Finance_Data!$T$2:$T$1001,Finance_Data!T227)&gt;1,"Duplicate","Valid")</f>
        <v>Valid</v>
      </c>
      <c r="E231" s="3" t="str">
        <f>IF(Finance_Data!H227&gt;Finance_Data!G227,"Valid","Invalid")</f>
        <v>Valid</v>
      </c>
      <c r="F231" s="3" t="str" cm="1">
        <f t="array" ref="F231">_xlfn.IFS(Finance_Data!S227&lt;7,"Short",Finance_Data!S227&lt;=30,"Normal",Finance_Data!S227&lt;=60,"Long",Finance_Data!S227&gt;60,"Very Long")</f>
        <v>Long</v>
      </c>
      <c r="G231" s="3" t="str">
        <f>IF(ABS(Finance_Data!I227*Finance_Data!J227)-Finance_Data!K227&lt;1,"Valid","Invalid")</f>
        <v>Valid</v>
      </c>
      <c r="H231" s="3" t="str">
        <f>IF(Finance_Data!L227&gt;0,"Valid","Invalid")</f>
        <v>Valid</v>
      </c>
      <c r="I231" s="3" t="str">
        <f>IF(Finance_Data!L227&gt;=Finance_Data!M227,"Valid","Invalid")</f>
        <v>Valid</v>
      </c>
      <c r="J231" s="3" t="str">
        <f>IF(AND(Finance_Data!I227&gt;=0,Finance_Data!K227&gt;=0),"Valid","Invalid")</f>
        <v>Valid</v>
      </c>
      <c r="K231" s="3" t="str">
        <f>IF(Finance_Data!N227&gt;=0,"Valid","Invalid")</f>
        <v>Valid</v>
      </c>
      <c r="L231" s="3" t="str">
        <f>IF(TEXT(Finance_Data!G227,"mmmm")=Finance_Data!P227,"Valid","Invalid")</f>
        <v>Valid</v>
      </c>
      <c r="M231" s="3" t="str">
        <f>IF("Q"&amp;ROUNDUP(MONTH(Finance_Data!G227)/3,0)=Finance_Data!Q227,"Valid","Invalid")</f>
        <v>Valid</v>
      </c>
      <c r="N231" s="7" t="str">
        <f t="shared" si="3"/>
        <v>Pass</v>
      </c>
    </row>
    <row r="232" spans="1:14" x14ac:dyDescent="0.35">
      <c r="A232" s="17" t="s">
        <v>96</v>
      </c>
      <c r="B232" s="3" t="str">
        <f>IF(ISBLANK(Table3[[#This Row],[Campaign_ID]]),"Invalid","Valid")</f>
        <v>Valid</v>
      </c>
      <c r="C232" s="3" t="str">
        <f>IF(COUNTA(Finance_Data!A228:R228)=18,"Valid","Missing")</f>
        <v>Valid</v>
      </c>
      <c r="D232" s="3" t="str">
        <f>IF(COUNTIF(Finance_Data!$T$2:$T$1001,Finance_Data!T228)&gt;1,"Duplicate","Valid")</f>
        <v>Valid</v>
      </c>
      <c r="E232" s="3" t="str">
        <f>IF(Finance_Data!H228&gt;Finance_Data!G228,"Valid","Invalid")</f>
        <v>Valid</v>
      </c>
      <c r="F232" s="3" t="str" cm="1">
        <f t="array" ref="F232">_xlfn.IFS(Finance_Data!S228&lt;7,"Short",Finance_Data!S228&lt;=30,"Normal",Finance_Data!S228&lt;=60,"Long",Finance_Data!S228&gt;60,"Very Long")</f>
        <v>Normal</v>
      </c>
      <c r="G232" s="3" t="str">
        <f>IF(ABS(Finance_Data!I228*Finance_Data!J228)-Finance_Data!K228&lt;1,"Valid","Invalid")</f>
        <v>Valid</v>
      </c>
      <c r="H232" s="3" t="str">
        <f>IF(Finance_Data!L228&gt;0,"Valid","Invalid")</f>
        <v>Valid</v>
      </c>
      <c r="I232" s="3" t="str">
        <f>IF(Finance_Data!L228&gt;=Finance_Data!M228,"Valid","Invalid")</f>
        <v>Valid</v>
      </c>
      <c r="J232" s="3" t="str">
        <f>IF(AND(Finance_Data!I228&gt;=0,Finance_Data!K228&gt;=0),"Valid","Invalid")</f>
        <v>Valid</v>
      </c>
      <c r="K232" s="3" t="str">
        <f>IF(Finance_Data!N228&gt;=0,"Valid","Invalid")</f>
        <v>Valid</v>
      </c>
      <c r="L232" s="3" t="str">
        <f>IF(TEXT(Finance_Data!G228,"mmmm")=Finance_Data!P228,"Valid","Invalid")</f>
        <v>Valid</v>
      </c>
      <c r="M232" s="3" t="str">
        <f>IF("Q"&amp;ROUNDUP(MONTH(Finance_Data!G228)/3,0)=Finance_Data!Q228,"Valid","Invalid")</f>
        <v>Valid</v>
      </c>
      <c r="N232" s="7" t="str">
        <f t="shared" si="3"/>
        <v>Pass</v>
      </c>
    </row>
    <row r="233" spans="1:14" x14ac:dyDescent="0.35">
      <c r="A233" s="17" t="s">
        <v>111</v>
      </c>
      <c r="B233" s="3" t="str">
        <f>IF(ISBLANK(Table3[[#This Row],[Campaign_ID]]),"Invalid","Valid")</f>
        <v>Valid</v>
      </c>
      <c r="C233" s="3" t="str">
        <f>IF(COUNTA(Finance_Data!A229:R229)=18,"Valid","Missing")</f>
        <v>Valid</v>
      </c>
      <c r="D233" s="3" t="str">
        <f>IF(COUNTIF(Finance_Data!$T$2:$T$1001,Finance_Data!T229)&gt;1,"Duplicate","Valid")</f>
        <v>Valid</v>
      </c>
      <c r="E233" s="3" t="str">
        <f>IF(Finance_Data!H229&gt;Finance_Data!G229,"Valid","Invalid")</f>
        <v>Valid</v>
      </c>
      <c r="F233" s="3" t="str" cm="1">
        <f t="array" ref="F233">_xlfn.IFS(Finance_Data!S229&lt;7,"Short",Finance_Data!S229&lt;=30,"Normal",Finance_Data!S229&lt;=60,"Long",Finance_Data!S229&gt;60,"Very Long")</f>
        <v>Long</v>
      </c>
      <c r="G233" s="3" t="str">
        <f>IF(ABS(Finance_Data!I229*Finance_Data!J229)-Finance_Data!K229&lt;1,"Valid","Invalid")</f>
        <v>Valid</v>
      </c>
      <c r="H233" s="3" t="str">
        <f>IF(Finance_Data!L229&gt;0,"Valid","Invalid")</f>
        <v>Valid</v>
      </c>
      <c r="I233" s="3" t="str">
        <f>IF(Finance_Data!L229&gt;=Finance_Data!M229,"Valid","Invalid")</f>
        <v>Valid</v>
      </c>
      <c r="J233" s="3" t="str">
        <f>IF(AND(Finance_Data!I229&gt;=0,Finance_Data!K229&gt;=0),"Valid","Invalid")</f>
        <v>Valid</v>
      </c>
      <c r="K233" s="3" t="str">
        <f>IF(Finance_Data!N229&gt;=0,"Valid","Invalid")</f>
        <v>Valid</v>
      </c>
      <c r="L233" s="3" t="str">
        <f>IF(TEXT(Finance_Data!G229,"mmmm")=Finance_Data!P229,"Valid","Invalid")</f>
        <v>Valid</v>
      </c>
      <c r="M233" s="3" t="str">
        <f>IF("Q"&amp;ROUNDUP(MONTH(Finance_Data!G229)/3,0)=Finance_Data!Q229,"Valid","Invalid")</f>
        <v>Valid</v>
      </c>
      <c r="N233" s="7" t="str">
        <f t="shared" si="3"/>
        <v>Pass</v>
      </c>
    </row>
    <row r="234" spans="1:14" x14ac:dyDescent="0.35">
      <c r="A234" s="17" t="s">
        <v>71</v>
      </c>
      <c r="B234" s="3" t="str">
        <f>IF(ISBLANK(Table3[[#This Row],[Campaign_ID]]),"Invalid","Valid")</f>
        <v>Valid</v>
      </c>
      <c r="C234" s="3" t="str">
        <f>IF(COUNTA(Finance_Data!A230:R230)=18,"Valid","Missing")</f>
        <v>Valid</v>
      </c>
      <c r="D234" s="3" t="str">
        <f>IF(COUNTIF(Finance_Data!$T$2:$T$1001,Finance_Data!T230)&gt;1,"Duplicate","Valid")</f>
        <v>Valid</v>
      </c>
      <c r="E234" s="3" t="str">
        <f>IF(Finance_Data!H230&gt;Finance_Data!G230,"Valid","Invalid")</f>
        <v>Valid</v>
      </c>
      <c r="F234" s="3" t="str" cm="1">
        <f t="array" ref="F234">_xlfn.IFS(Finance_Data!S230&lt;7,"Short",Finance_Data!S230&lt;=30,"Normal",Finance_Data!S230&lt;=60,"Long",Finance_Data!S230&gt;60,"Very Long")</f>
        <v>Normal</v>
      </c>
      <c r="G234" s="3" t="str">
        <f>IF(ABS(Finance_Data!I230*Finance_Data!J230)-Finance_Data!K230&lt;1,"Valid","Invalid")</f>
        <v>Valid</v>
      </c>
      <c r="H234" s="3" t="str">
        <f>IF(Finance_Data!L230&gt;0,"Valid","Invalid")</f>
        <v>Valid</v>
      </c>
      <c r="I234" s="3" t="str">
        <f>IF(Finance_Data!L230&gt;=Finance_Data!M230,"Valid","Invalid")</f>
        <v>Valid</v>
      </c>
      <c r="J234" s="3" t="str">
        <f>IF(AND(Finance_Data!I230&gt;=0,Finance_Data!K230&gt;=0),"Valid","Invalid")</f>
        <v>Valid</v>
      </c>
      <c r="K234" s="3" t="str">
        <f>IF(Finance_Data!N230&gt;=0,"Valid","Invalid")</f>
        <v>Valid</v>
      </c>
      <c r="L234" s="3" t="str">
        <f>IF(TEXT(Finance_Data!G230,"mmmm")=Finance_Data!P230,"Valid","Invalid")</f>
        <v>Valid</v>
      </c>
      <c r="M234" s="3" t="str">
        <f>IF("Q"&amp;ROUNDUP(MONTH(Finance_Data!G230)/3,0)=Finance_Data!Q230,"Valid","Invalid")</f>
        <v>Valid</v>
      </c>
      <c r="N234" s="7" t="str">
        <f t="shared" si="3"/>
        <v>Pass</v>
      </c>
    </row>
    <row r="235" spans="1:14" x14ac:dyDescent="0.35">
      <c r="A235" s="17" t="s">
        <v>114</v>
      </c>
      <c r="B235" s="3" t="str">
        <f>IF(ISBLANK(Table3[[#This Row],[Campaign_ID]]),"Invalid","Valid")</f>
        <v>Valid</v>
      </c>
      <c r="C235" s="3" t="str">
        <f>IF(COUNTA(Finance_Data!A231:R231)=18,"Valid","Missing")</f>
        <v>Valid</v>
      </c>
      <c r="D235" s="3" t="str">
        <f>IF(COUNTIF(Finance_Data!$T$2:$T$1001,Finance_Data!T231)&gt;1,"Duplicate","Valid")</f>
        <v>Valid</v>
      </c>
      <c r="E235" s="3" t="str">
        <f>IF(Finance_Data!H231&gt;Finance_Data!G231,"Valid","Invalid")</f>
        <v>Valid</v>
      </c>
      <c r="F235" s="3" t="str" cm="1">
        <f t="array" ref="F235">_xlfn.IFS(Finance_Data!S231&lt;7,"Short",Finance_Data!S231&lt;=30,"Normal",Finance_Data!S231&lt;=60,"Long",Finance_Data!S231&gt;60,"Very Long")</f>
        <v>Normal</v>
      </c>
      <c r="G235" s="3" t="str">
        <f>IF(ABS(Finance_Data!I231*Finance_Data!J231)-Finance_Data!K231&lt;1,"Valid","Invalid")</f>
        <v>Valid</v>
      </c>
      <c r="H235" s="3" t="str">
        <f>IF(Finance_Data!L231&gt;0,"Valid","Invalid")</f>
        <v>Valid</v>
      </c>
      <c r="I235" s="3" t="str">
        <f>IF(Finance_Data!L231&gt;=Finance_Data!M231,"Valid","Invalid")</f>
        <v>Valid</v>
      </c>
      <c r="J235" s="3" t="str">
        <f>IF(AND(Finance_Data!I231&gt;=0,Finance_Data!K231&gt;=0),"Valid","Invalid")</f>
        <v>Valid</v>
      </c>
      <c r="K235" s="3" t="str">
        <f>IF(Finance_Data!N231&gt;=0,"Valid","Invalid")</f>
        <v>Valid</v>
      </c>
      <c r="L235" s="3" t="str">
        <f>IF(TEXT(Finance_Data!G231,"mmmm")=Finance_Data!P231,"Valid","Invalid")</f>
        <v>Valid</v>
      </c>
      <c r="M235" s="3" t="str">
        <f>IF("Q"&amp;ROUNDUP(MONTH(Finance_Data!G231)/3,0)=Finance_Data!Q231,"Valid","Invalid")</f>
        <v>Valid</v>
      </c>
      <c r="N235" s="7" t="str">
        <f t="shared" si="3"/>
        <v>Pass</v>
      </c>
    </row>
    <row r="236" spans="1:14" x14ac:dyDescent="0.35">
      <c r="A236" s="17" t="s">
        <v>27</v>
      </c>
      <c r="B236" s="3" t="str">
        <f>IF(ISBLANK(Table3[[#This Row],[Campaign_ID]]),"Invalid","Valid")</f>
        <v>Valid</v>
      </c>
      <c r="C236" s="3" t="str">
        <f>IF(COUNTA(Finance_Data!A232:R232)=18,"Valid","Missing")</f>
        <v>Valid</v>
      </c>
      <c r="D236" s="3" t="str">
        <f>IF(COUNTIF(Finance_Data!$T$2:$T$1001,Finance_Data!T232)&gt;1,"Duplicate","Valid")</f>
        <v>Valid</v>
      </c>
      <c r="E236" s="3" t="str">
        <f>IF(Finance_Data!H232&gt;Finance_Data!G232,"Valid","Invalid")</f>
        <v>Valid</v>
      </c>
      <c r="F236" s="3" t="str" cm="1">
        <f t="array" ref="F236">_xlfn.IFS(Finance_Data!S232&lt;7,"Short",Finance_Data!S232&lt;=30,"Normal",Finance_Data!S232&lt;=60,"Long",Finance_Data!S232&gt;60,"Very Long")</f>
        <v>Normal</v>
      </c>
      <c r="G236" s="3" t="str">
        <f>IF(ABS(Finance_Data!I232*Finance_Data!J232)-Finance_Data!K232&lt;1,"Valid","Invalid")</f>
        <v>Valid</v>
      </c>
      <c r="H236" s="3" t="str">
        <f>IF(Finance_Data!L232&gt;0,"Valid","Invalid")</f>
        <v>Valid</v>
      </c>
      <c r="I236" s="3" t="str">
        <f>IF(Finance_Data!L232&gt;=Finance_Data!M232,"Valid","Invalid")</f>
        <v>Valid</v>
      </c>
      <c r="J236" s="3" t="str">
        <f>IF(AND(Finance_Data!I232&gt;=0,Finance_Data!K232&gt;=0),"Valid","Invalid")</f>
        <v>Valid</v>
      </c>
      <c r="K236" s="3" t="str">
        <f>IF(Finance_Data!N232&gt;=0,"Valid","Invalid")</f>
        <v>Valid</v>
      </c>
      <c r="L236" s="3" t="str">
        <f>IF(TEXT(Finance_Data!G232,"mmmm")=Finance_Data!P232,"Valid","Invalid")</f>
        <v>Valid</v>
      </c>
      <c r="M236" s="3" t="str">
        <f>IF("Q"&amp;ROUNDUP(MONTH(Finance_Data!G232)/3,0)=Finance_Data!Q232,"Valid","Invalid")</f>
        <v>Valid</v>
      </c>
      <c r="N236" s="7" t="str">
        <f t="shared" si="3"/>
        <v>Pass</v>
      </c>
    </row>
    <row r="237" spans="1:14" x14ac:dyDescent="0.35">
      <c r="A237" s="17" t="s">
        <v>106</v>
      </c>
      <c r="B237" s="3" t="str">
        <f>IF(ISBLANK(Table3[[#This Row],[Campaign_ID]]),"Invalid","Valid")</f>
        <v>Valid</v>
      </c>
      <c r="C237" s="3" t="str">
        <f>IF(COUNTA(Finance_Data!A233:R233)=18,"Valid","Missing")</f>
        <v>Valid</v>
      </c>
      <c r="D237" s="3" t="str">
        <f>IF(COUNTIF(Finance_Data!$T$2:$T$1001,Finance_Data!T233)&gt;1,"Duplicate","Valid")</f>
        <v>Valid</v>
      </c>
      <c r="E237" s="3" t="str">
        <f>IF(Finance_Data!H233&gt;Finance_Data!G233,"Valid","Invalid")</f>
        <v>Valid</v>
      </c>
      <c r="F237" s="3" t="str" cm="1">
        <f t="array" ref="F237">_xlfn.IFS(Finance_Data!S233&lt;7,"Short",Finance_Data!S233&lt;=30,"Normal",Finance_Data!S233&lt;=60,"Long",Finance_Data!S233&gt;60,"Very Long")</f>
        <v>Long</v>
      </c>
      <c r="G237" s="3" t="str">
        <f>IF(ABS(Finance_Data!I233*Finance_Data!J233)-Finance_Data!K233&lt;1,"Valid","Invalid")</f>
        <v>Valid</v>
      </c>
      <c r="H237" s="3" t="str">
        <f>IF(Finance_Data!L233&gt;0,"Valid","Invalid")</f>
        <v>Valid</v>
      </c>
      <c r="I237" s="3" t="str">
        <f>IF(Finance_Data!L233&gt;=Finance_Data!M233,"Valid","Invalid")</f>
        <v>Valid</v>
      </c>
      <c r="J237" s="3" t="str">
        <f>IF(AND(Finance_Data!I233&gt;=0,Finance_Data!K233&gt;=0),"Valid","Invalid")</f>
        <v>Valid</v>
      </c>
      <c r="K237" s="3" t="str">
        <f>IF(Finance_Data!N233&gt;=0,"Valid","Invalid")</f>
        <v>Valid</v>
      </c>
      <c r="L237" s="3" t="str">
        <f>IF(TEXT(Finance_Data!G233,"mmmm")=Finance_Data!P233,"Valid","Invalid")</f>
        <v>Valid</v>
      </c>
      <c r="M237" s="3" t="str">
        <f>IF("Q"&amp;ROUNDUP(MONTH(Finance_Data!G233)/3,0)=Finance_Data!Q233,"Valid","Invalid")</f>
        <v>Valid</v>
      </c>
      <c r="N237" s="7" t="str">
        <f t="shared" si="3"/>
        <v>Pass</v>
      </c>
    </row>
    <row r="238" spans="1:14" x14ac:dyDescent="0.35">
      <c r="A238" s="17" t="s">
        <v>86</v>
      </c>
      <c r="B238" s="3" t="str">
        <f>IF(ISBLANK(Table3[[#This Row],[Campaign_ID]]),"Invalid","Valid")</f>
        <v>Valid</v>
      </c>
      <c r="C238" s="3" t="str">
        <f>IF(COUNTA(Finance_Data!A234:R234)=18,"Valid","Missing")</f>
        <v>Valid</v>
      </c>
      <c r="D238" s="3" t="str">
        <f>IF(COUNTIF(Finance_Data!$T$2:$T$1001,Finance_Data!T234)&gt;1,"Duplicate","Valid")</f>
        <v>Valid</v>
      </c>
      <c r="E238" s="3" t="str">
        <f>IF(Finance_Data!H234&gt;Finance_Data!G234,"Valid","Invalid")</f>
        <v>Valid</v>
      </c>
      <c r="F238" s="3" t="str" cm="1">
        <f t="array" ref="F238">_xlfn.IFS(Finance_Data!S234&lt;7,"Short",Finance_Data!S234&lt;=30,"Normal",Finance_Data!S234&lt;=60,"Long",Finance_Data!S234&gt;60,"Very Long")</f>
        <v>Normal</v>
      </c>
      <c r="G238" s="3" t="str">
        <f>IF(ABS(Finance_Data!I234*Finance_Data!J234)-Finance_Data!K234&lt;1,"Valid","Invalid")</f>
        <v>Valid</v>
      </c>
      <c r="H238" s="3" t="str">
        <f>IF(Finance_Data!L234&gt;0,"Valid","Invalid")</f>
        <v>Valid</v>
      </c>
      <c r="I238" s="3" t="str">
        <f>IF(Finance_Data!L234&gt;=Finance_Data!M234,"Valid","Invalid")</f>
        <v>Valid</v>
      </c>
      <c r="J238" s="3" t="str">
        <f>IF(AND(Finance_Data!I234&gt;=0,Finance_Data!K234&gt;=0),"Valid","Invalid")</f>
        <v>Valid</v>
      </c>
      <c r="K238" s="3" t="str">
        <f>IF(Finance_Data!N234&gt;=0,"Valid","Invalid")</f>
        <v>Valid</v>
      </c>
      <c r="L238" s="3" t="str">
        <f>IF(TEXT(Finance_Data!G234,"mmmm")=Finance_Data!P234,"Valid","Invalid")</f>
        <v>Valid</v>
      </c>
      <c r="M238" s="3" t="str">
        <f>IF("Q"&amp;ROUNDUP(MONTH(Finance_Data!G234)/3,0)=Finance_Data!Q234,"Valid","Invalid")</f>
        <v>Valid</v>
      </c>
      <c r="N238" s="7" t="str">
        <f t="shared" si="3"/>
        <v>Pass</v>
      </c>
    </row>
    <row r="239" spans="1:14" x14ac:dyDescent="0.35">
      <c r="A239" s="17" t="s">
        <v>85</v>
      </c>
      <c r="B239" s="3" t="str">
        <f>IF(ISBLANK(Table3[[#This Row],[Campaign_ID]]),"Invalid","Valid")</f>
        <v>Valid</v>
      </c>
      <c r="C239" s="3" t="str">
        <f>IF(COUNTA(Finance_Data!A235:R235)=18,"Valid","Missing")</f>
        <v>Valid</v>
      </c>
      <c r="D239" s="3" t="str">
        <f>IF(COUNTIF(Finance_Data!$T$2:$T$1001,Finance_Data!T235)&gt;1,"Duplicate","Valid")</f>
        <v>Valid</v>
      </c>
      <c r="E239" s="3" t="str">
        <f>IF(Finance_Data!H235&gt;Finance_Data!G235,"Valid","Invalid")</f>
        <v>Valid</v>
      </c>
      <c r="F239" s="3" t="str" cm="1">
        <f t="array" ref="F239">_xlfn.IFS(Finance_Data!S235&lt;7,"Short",Finance_Data!S235&lt;=30,"Normal",Finance_Data!S235&lt;=60,"Long",Finance_Data!S235&gt;60,"Very Long")</f>
        <v>Normal</v>
      </c>
      <c r="G239" s="3" t="str">
        <f>IF(ABS(Finance_Data!I235*Finance_Data!J235)-Finance_Data!K235&lt;1,"Valid","Invalid")</f>
        <v>Valid</v>
      </c>
      <c r="H239" s="3" t="str">
        <f>IF(Finance_Data!L235&gt;0,"Valid","Invalid")</f>
        <v>Valid</v>
      </c>
      <c r="I239" s="3" t="str">
        <f>IF(Finance_Data!L235&gt;=Finance_Data!M235,"Valid","Invalid")</f>
        <v>Valid</v>
      </c>
      <c r="J239" s="3" t="str">
        <f>IF(AND(Finance_Data!I235&gt;=0,Finance_Data!K235&gt;=0),"Valid","Invalid")</f>
        <v>Valid</v>
      </c>
      <c r="K239" s="3" t="str">
        <f>IF(Finance_Data!N235&gt;=0,"Valid","Invalid")</f>
        <v>Valid</v>
      </c>
      <c r="L239" s="3" t="str">
        <f>IF(TEXT(Finance_Data!G235,"mmmm")=Finance_Data!P235,"Valid","Invalid")</f>
        <v>Valid</v>
      </c>
      <c r="M239" s="3" t="str">
        <f>IF("Q"&amp;ROUNDUP(MONTH(Finance_Data!G235)/3,0)=Finance_Data!Q235,"Valid","Invalid")</f>
        <v>Valid</v>
      </c>
      <c r="N239" s="7" t="str">
        <f t="shared" si="3"/>
        <v>Pass</v>
      </c>
    </row>
    <row r="240" spans="1:14" x14ac:dyDescent="0.35">
      <c r="A240" s="17" t="s">
        <v>101</v>
      </c>
      <c r="B240" s="3" t="str">
        <f>IF(ISBLANK(Table3[[#This Row],[Campaign_ID]]),"Invalid","Valid")</f>
        <v>Valid</v>
      </c>
      <c r="C240" s="3" t="str">
        <f>IF(COUNTA(Finance_Data!A236:R236)=18,"Valid","Missing")</f>
        <v>Valid</v>
      </c>
      <c r="D240" s="3" t="str">
        <f>IF(COUNTIF(Finance_Data!$T$2:$T$1001,Finance_Data!T236)&gt;1,"Duplicate","Valid")</f>
        <v>Valid</v>
      </c>
      <c r="E240" s="3" t="str">
        <f>IF(Finance_Data!H236&gt;Finance_Data!G236,"Valid","Invalid")</f>
        <v>Valid</v>
      </c>
      <c r="F240" s="3" t="str" cm="1">
        <f t="array" ref="F240">_xlfn.IFS(Finance_Data!S236&lt;7,"Short",Finance_Data!S236&lt;=30,"Normal",Finance_Data!S236&lt;=60,"Long",Finance_Data!S236&gt;60,"Very Long")</f>
        <v>Long</v>
      </c>
      <c r="G240" s="3" t="str">
        <f>IF(ABS(Finance_Data!I236*Finance_Data!J236)-Finance_Data!K236&lt;1,"Valid","Invalid")</f>
        <v>Valid</v>
      </c>
      <c r="H240" s="3" t="str">
        <f>IF(Finance_Data!L236&gt;0,"Valid","Invalid")</f>
        <v>Valid</v>
      </c>
      <c r="I240" s="3" t="str">
        <f>IF(Finance_Data!L236&gt;=Finance_Data!M236,"Valid","Invalid")</f>
        <v>Valid</v>
      </c>
      <c r="J240" s="3" t="str">
        <f>IF(AND(Finance_Data!I236&gt;=0,Finance_Data!K236&gt;=0),"Valid","Invalid")</f>
        <v>Valid</v>
      </c>
      <c r="K240" s="3" t="str">
        <f>IF(Finance_Data!N236&gt;=0,"Valid","Invalid")</f>
        <v>Valid</v>
      </c>
      <c r="L240" s="3" t="str">
        <f>IF(TEXT(Finance_Data!G236,"mmmm")=Finance_Data!P236,"Valid","Invalid")</f>
        <v>Valid</v>
      </c>
      <c r="M240" s="3" t="str">
        <f>IF("Q"&amp;ROUNDUP(MONTH(Finance_Data!G236)/3,0)=Finance_Data!Q236,"Valid","Invalid")</f>
        <v>Valid</v>
      </c>
      <c r="N240" s="7" t="str">
        <f t="shared" si="3"/>
        <v>Pass</v>
      </c>
    </row>
    <row r="241" spans="1:14" x14ac:dyDescent="0.35">
      <c r="A241" s="17" t="s">
        <v>88</v>
      </c>
      <c r="B241" s="3" t="str">
        <f>IF(ISBLANK(Table3[[#This Row],[Campaign_ID]]),"Invalid","Valid")</f>
        <v>Valid</v>
      </c>
      <c r="C241" s="3" t="str">
        <f>IF(COUNTA(Finance_Data!A237:R237)=18,"Valid","Missing")</f>
        <v>Valid</v>
      </c>
      <c r="D241" s="3" t="str">
        <f>IF(COUNTIF(Finance_Data!$T$2:$T$1001,Finance_Data!T237)&gt;1,"Duplicate","Valid")</f>
        <v>Valid</v>
      </c>
      <c r="E241" s="3" t="str">
        <f>IF(Finance_Data!H237&gt;Finance_Data!G237,"Valid","Invalid")</f>
        <v>Valid</v>
      </c>
      <c r="F241" s="3" t="str" cm="1">
        <f t="array" ref="F241">_xlfn.IFS(Finance_Data!S237&lt;7,"Short",Finance_Data!S237&lt;=30,"Normal",Finance_Data!S237&lt;=60,"Long",Finance_Data!S237&gt;60,"Very Long")</f>
        <v>Long</v>
      </c>
      <c r="G241" s="3" t="str">
        <f>IF(ABS(Finance_Data!I237*Finance_Data!J237)-Finance_Data!K237&lt;1,"Valid","Invalid")</f>
        <v>Valid</v>
      </c>
      <c r="H241" s="3" t="str">
        <f>IF(Finance_Data!L237&gt;0,"Valid","Invalid")</f>
        <v>Valid</v>
      </c>
      <c r="I241" s="3" t="str">
        <f>IF(Finance_Data!L237&gt;=Finance_Data!M237,"Valid","Invalid")</f>
        <v>Valid</v>
      </c>
      <c r="J241" s="3" t="str">
        <f>IF(AND(Finance_Data!I237&gt;=0,Finance_Data!K237&gt;=0),"Valid","Invalid")</f>
        <v>Valid</v>
      </c>
      <c r="K241" s="3" t="str">
        <f>IF(Finance_Data!N237&gt;=0,"Valid","Invalid")</f>
        <v>Valid</v>
      </c>
      <c r="L241" s="3" t="str">
        <f>IF(TEXT(Finance_Data!G237,"mmmm")=Finance_Data!P237,"Valid","Invalid")</f>
        <v>Valid</v>
      </c>
      <c r="M241" s="3" t="str">
        <f>IF("Q"&amp;ROUNDUP(MONTH(Finance_Data!G237)/3,0)=Finance_Data!Q237,"Valid","Invalid")</f>
        <v>Valid</v>
      </c>
      <c r="N241" s="7" t="str">
        <f t="shared" si="3"/>
        <v>Pass</v>
      </c>
    </row>
    <row r="242" spans="1:14" x14ac:dyDescent="0.35">
      <c r="A242" s="17" t="s">
        <v>117</v>
      </c>
      <c r="B242" s="3" t="str">
        <f>IF(ISBLANK(Table3[[#This Row],[Campaign_ID]]),"Invalid","Valid")</f>
        <v>Valid</v>
      </c>
      <c r="C242" s="3" t="str">
        <f>IF(COUNTA(Finance_Data!A238:R238)=18,"Valid","Missing")</f>
        <v>Valid</v>
      </c>
      <c r="D242" s="3" t="str">
        <f>IF(COUNTIF(Finance_Data!$T$2:$T$1001,Finance_Data!T238)&gt;1,"Duplicate","Valid")</f>
        <v>Valid</v>
      </c>
      <c r="E242" s="3" t="str">
        <f>IF(Finance_Data!H238&gt;Finance_Data!G238,"Valid","Invalid")</f>
        <v>Valid</v>
      </c>
      <c r="F242" s="3" t="str" cm="1">
        <f t="array" ref="F242">_xlfn.IFS(Finance_Data!S238&lt;7,"Short",Finance_Data!S238&lt;=30,"Normal",Finance_Data!S238&lt;=60,"Long",Finance_Data!S238&gt;60,"Very Long")</f>
        <v>Normal</v>
      </c>
      <c r="G242" s="3" t="str">
        <f>IF(ABS(Finance_Data!I238*Finance_Data!J238)-Finance_Data!K238&lt;1,"Valid","Invalid")</f>
        <v>Valid</v>
      </c>
      <c r="H242" s="3" t="str">
        <f>IF(Finance_Data!L238&gt;0,"Valid","Invalid")</f>
        <v>Valid</v>
      </c>
      <c r="I242" s="3" t="str">
        <f>IF(Finance_Data!L238&gt;=Finance_Data!M238,"Valid","Invalid")</f>
        <v>Valid</v>
      </c>
      <c r="J242" s="3" t="str">
        <f>IF(AND(Finance_Data!I238&gt;=0,Finance_Data!K238&gt;=0),"Valid","Invalid")</f>
        <v>Valid</v>
      </c>
      <c r="K242" s="3" t="str">
        <f>IF(Finance_Data!N238&gt;=0,"Valid","Invalid")</f>
        <v>Valid</v>
      </c>
      <c r="L242" s="3" t="str">
        <f>IF(TEXT(Finance_Data!G238,"mmmm")=Finance_Data!P238,"Valid","Invalid")</f>
        <v>Valid</v>
      </c>
      <c r="M242" s="3" t="str">
        <f>IF("Q"&amp;ROUNDUP(MONTH(Finance_Data!G238)/3,0)=Finance_Data!Q238,"Valid","Invalid")</f>
        <v>Valid</v>
      </c>
      <c r="N242" s="7" t="str">
        <f t="shared" si="3"/>
        <v>Pass</v>
      </c>
    </row>
    <row r="243" spans="1:14" x14ac:dyDescent="0.35">
      <c r="A243" s="17" t="s">
        <v>66</v>
      </c>
      <c r="B243" s="3" t="str">
        <f>IF(ISBLANK(Table3[[#This Row],[Campaign_ID]]),"Invalid","Valid")</f>
        <v>Valid</v>
      </c>
      <c r="C243" s="3" t="str">
        <f>IF(COUNTA(Finance_Data!A239:R239)=18,"Valid","Missing")</f>
        <v>Valid</v>
      </c>
      <c r="D243" s="3" t="str">
        <f>IF(COUNTIF(Finance_Data!$T$2:$T$1001,Finance_Data!T239)&gt;1,"Duplicate","Valid")</f>
        <v>Valid</v>
      </c>
      <c r="E243" s="3" t="str">
        <f>IF(Finance_Data!H239&gt;Finance_Data!G239,"Valid","Invalid")</f>
        <v>Valid</v>
      </c>
      <c r="F243" s="3" t="str" cm="1">
        <f t="array" ref="F243">_xlfn.IFS(Finance_Data!S239&lt;7,"Short",Finance_Data!S239&lt;=30,"Normal",Finance_Data!S239&lt;=60,"Long",Finance_Data!S239&gt;60,"Very Long")</f>
        <v>Normal</v>
      </c>
      <c r="G243" s="3" t="str">
        <f>IF(ABS(Finance_Data!I239*Finance_Data!J239)-Finance_Data!K239&lt;1,"Valid","Invalid")</f>
        <v>Valid</v>
      </c>
      <c r="H243" s="3" t="str">
        <f>IF(Finance_Data!L239&gt;0,"Valid","Invalid")</f>
        <v>Valid</v>
      </c>
      <c r="I243" s="3" t="str">
        <f>IF(Finance_Data!L239&gt;=Finance_Data!M239,"Valid","Invalid")</f>
        <v>Valid</v>
      </c>
      <c r="J243" s="3" t="str">
        <f>IF(AND(Finance_Data!I239&gt;=0,Finance_Data!K239&gt;=0),"Valid","Invalid")</f>
        <v>Valid</v>
      </c>
      <c r="K243" s="3" t="str">
        <f>IF(Finance_Data!N239&gt;=0,"Valid","Invalid")</f>
        <v>Valid</v>
      </c>
      <c r="L243" s="3" t="str">
        <f>IF(TEXT(Finance_Data!G239,"mmmm")=Finance_Data!P239,"Valid","Invalid")</f>
        <v>Valid</v>
      </c>
      <c r="M243" s="3" t="str">
        <f>IF("Q"&amp;ROUNDUP(MONTH(Finance_Data!G239)/3,0)=Finance_Data!Q239,"Valid","Invalid")</f>
        <v>Valid</v>
      </c>
      <c r="N243" s="7" t="str">
        <f t="shared" si="3"/>
        <v>Pass</v>
      </c>
    </row>
    <row r="244" spans="1:14" x14ac:dyDescent="0.35">
      <c r="A244" s="17" t="s">
        <v>102</v>
      </c>
      <c r="B244" s="3" t="str">
        <f>IF(ISBLANK(Table3[[#This Row],[Campaign_ID]]),"Invalid","Valid")</f>
        <v>Valid</v>
      </c>
      <c r="C244" s="3" t="str">
        <f>IF(COUNTA(Finance_Data!A240:R240)=18,"Valid","Missing")</f>
        <v>Valid</v>
      </c>
      <c r="D244" s="3" t="str">
        <f>IF(COUNTIF(Finance_Data!$T$2:$T$1001,Finance_Data!T240)&gt;1,"Duplicate","Valid")</f>
        <v>Valid</v>
      </c>
      <c r="E244" s="3" t="str">
        <f>IF(Finance_Data!H240&gt;Finance_Data!G240,"Valid","Invalid")</f>
        <v>Valid</v>
      </c>
      <c r="F244" s="3" t="str" cm="1">
        <f t="array" ref="F244">_xlfn.IFS(Finance_Data!S240&lt;7,"Short",Finance_Data!S240&lt;=30,"Normal",Finance_Data!S240&lt;=60,"Long",Finance_Data!S240&gt;60,"Very Long")</f>
        <v>Long</v>
      </c>
      <c r="G244" s="3" t="str">
        <f>IF(ABS(Finance_Data!I240*Finance_Data!J240)-Finance_Data!K240&lt;1,"Valid","Invalid")</f>
        <v>Valid</v>
      </c>
      <c r="H244" s="3" t="str">
        <f>IF(Finance_Data!L240&gt;0,"Valid","Invalid")</f>
        <v>Valid</v>
      </c>
      <c r="I244" s="3" t="str">
        <f>IF(Finance_Data!L240&gt;=Finance_Data!M240,"Valid","Invalid")</f>
        <v>Valid</v>
      </c>
      <c r="J244" s="3" t="str">
        <f>IF(AND(Finance_Data!I240&gt;=0,Finance_Data!K240&gt;=0),"Valid","Invalid")</f>
        <v>Valid</v>
      </c>
      <c r="K244" s="3" t="str">
        <f>IF(Finance_Data!N240&gt;=0,"Valid","Invalid")</f>
        <v>Valid</v>
      </c>
      <c r="L244" s="3" t="str">
        <f>IF(TEXT(Finance_Data!G240,"mmmm")=Finance_Data!P240,"Valid","Invalid")</f>
        <v>Valid</v>
      </c>
      <c r="M244" s="3" t="str">
        <f>IF("Q"&amp;ROUNDUP(MONTH(Finance_Data!G240)/3,0)=Finance_Data!Q240,"Valid","Invalid")</f>
        <v>Valid</v>
      </c>
      <c r="N244" s="7" t="str">
        <f t="shared" si="3"/>
        <v>Pass</v>
      </c>
    </row>
    <row r="245" spans="1:14" x14ac:dyDescent="0.35">
      <c r="A245" s="17" t="s">
        <v>93</v>
      </c>
      <c r="B245" s="3" t="str">
        <f>IF(ISBLANK(Table3[[#This Row],[Campaign_ID]]),"Invalid","Valid")</f>
        <v>Valid</v>
      </c>
      <c r="C245" s="3" t="str">
        <f>IF(COUNTA(Finance_Data!A241:R241)=18,"Valid","Missing")</f>
        <v>Valid</v>
      </c>
      <c r="D245" s="3" t="str">
        <f>IF(COUNTIF(Finance_Data!$T$2:$T$1001,Finance_Data!T241)&gt;1,"Duplicate","Valid")</f>
        <v>Valid</v>
      </c>
      <c r="E245" s="3" t="str">
        <f>IF(Finance_Data!H241&gt;Finance_Data!G241,"Valid","Invalid")</f>
        <v>Valid</v>
      </c>
      <c r="F245" s="3" t="str" cm="1">
        <f t="array" ref="F245">_xlfn.IFS(Finance_Data!S241&lt;7,"Short",Finance_Data!S241&lt;=30,"Normal",Finance_Data!S241&lt;=60,"Long",Finance_Data!S241&gt;60,"Very Long")</f>
        <v>Normal</v>
      </c>
      <c r="G245" s="3" t="str">
        <f>IF(ABS(Finance_Data!I241*Finance_Data!J241)-Finance_Data!K241&lt;1,"Valid","Invalid")</f>
        <v>Valid</v>
      </c>
      <c r="H245" s="3" t="str">
        <f>IF(Finance_Data!L241&gt;0,"Valid","Invalid")</f>
        <v>Valid</v>
      </c>
      <c r="I245" s="3" t="str">
        <f>IF(Finance_Data!L241&gt;=Finance_Data!M241,"Valid","Invalid")</f>
        <v>Valid</v>
      </c>
      <c r="J245" s="3" t="str">
        <f>IF(AND(Finance_Data!I241&gt;=0,Finance_Data!K241&gt;=0),"Valid","Invalid")</f>
        <v>Valid</v>
      </c>
      <c r="K245" s="3" t="str">
        <f>IF(Finance_Data!N241&gt;=0,"Valid","Invalid")</f>
        <v>Valid</v>
      </c>
      <c r="L245" s="3" t="str">
        <f>IF(TEXT(Finance_Data!G241,"mmmm")=Finance_Data!P241,"Valid","Invalid")</f>
        <v>Valid</v>
      </c>
      <c r="M245" s="3" t="str">
        <f>IF("Q"&amp;ROUNDUP(MONTH(Finance_Data!G241)/3,0)=Finance_Data!Q241,"Valid","Invalid")</f>
        <v>Valid</v>
      </c>
      <c r="N245" s="7" t="str">
        <f t="shared" si="3"/>
        <v>Pass</v>
      </c>
    </row>
    <row r="246" spans="1:14" x14ac:dyDescent="0.35">
      <c r="A246" s="17" t="s">
        <v>105</v>
      </c>
      <c r="B246" s="3" t="str">
        <f>IF(ISBLANK(Table3[[#This Row],[Campaign_ID]]),"Invalid","Valid")</f>
        <v>Valid</v>
      </c>
      <c r="C246" s="3" t="str">
        <f>IF(COUNTA(Finance_Data!A242:R242)=18,"Valid","Missing")</f>
        <v>Valid</v>
      </c>
      <c r="D246" s="3" t="str">
        <f>IF(COUNTIF(Finance_Data!$T$2:$T$1001,Finance_Data!T242)&gt;1,"Duplicate","Valid")</f>
        <v>Valid</v>
      </c>
      <c r="E246" s="3" t="str">
        <f>IF(Finance_Data!H242&gt;Finance_Data!G242,"Valid","Invalid")</f>
        <v>Valid</v>
      </c>
      <c r="F246" s="3" t="str" cm="1">
        <f t="array" ref="F246">_xlfn.IFS(Finance_Data!S242&lt;7,"Short",Finance_Data!S242&lt;=30,"Normal",Finance_Data!S242&lt;=60,"Long",Finance_Data!S242&gt;60,"Very Long")</f>
        <v>Normal</v>
      </c>
      <c r="G246" s="3" t="str">
        <f>IF(ABS(Finance_Data!I242*Finance_Data!J242)-Finance_Data!K242&lt;1,"Valid","Invalid")</f>
        <v>Valid</v>
      </c>
      <c r="H246" s="3" t="str">
        <f>IF(Finance_Data!L242&gt;0,"Valid","Invalid")</f>
        <v>Valid</v>
      </c>
      <c r="I246" s="3" t="str">
        <f>IF(Finance_Data!L242&gt;=Finance_Data!M242,"Valid","Invalid")</f>
        <v>Valid</v>
      </c>
      <c r="J246" s="3" t="str">
        <f>IF(AND(Finance_Data!I242&gt;=0,Finance_Data!K242&gt;=0),"Valid","Invalid")</f>
        <v>Valid</v>
      </c>
      <c r="K246" s="3" t="str">
        <f>IF(Finance_Data!N242&gt;=0,"Valid","Invalid")</f>
        <v>Valid</v>
      </c>
      <c r="L246" s="3" t="str">
        <f>IF(TEXT(Finance_Data!G242,"mmmm")=Finance_Data!P242,"Valid","Invalid")</f>
        <v>Valid</v>
      </c>
      <c r="M246" s="3" t="str">
        <f>IF("Q"&amp;ROUNDUP(MONTH(Finance_Data!G242)/3,0)=Finance_Data!Q242,"Valid","Invalid")</f>
        <v>Valid</v>
      </c>
      <c r="N246" s="7" t="str">
        <f t="shared" si="3"/>
        <v>Pass</v>
      </c>
    </row>
    <row r="247" spans="1:14" x14ac:dyDescent="0.35">
      <c r="A247" s="17" t="s">
        <v>89</v>
      </c>
      <c r="B247" s="3" t="str">
        <f>IF(ISBLANK(Table3[[#This Row],[Campaign_ID]]),"Invalid","Valid")</f>
        <v>Valid</v>
      </c>
      <c r="C247" s="3" t="str">
        <f>IF(COUNTA(Finance_Data!A243:R243)=18,"Valid","Missing")</f>
        <v>Valid</v>
      </c>
      <c r="D247" s="3" t="str">
        <f>IF(COUNTIF(Finance_Data!$T$2:$T$1001,Finance_Data!T243)&gt;1,"Duplicate","Valid")</f>
        <v>Valid</v>
      </c>
      <c r="E247" s="3" t="str">
        <f>IF(Finance_Data!H243&gt;Finance_Data!G243,"Valid","Invalid")</f>
        <v>Valid</v>
      </c>
      <c r="F247" s="3" t="str" cm="1">
        <f t="array" ref="F247">_xlfn.IFS(Finance_Data!S243&lt;7,"Short",Finance_Data!S243&lt;=30,"Normal",Finance_Data!S243&lt;=60,"Long",Finance_Data!S243&gt;60,"Very Long")</f>
        <v>Long</v>
      </c>
      <c r="G247" s="3" t="str">
        <f>IF(ABS(Finance_Data!I243*Finance_Data!J243)-Finance_Data!K243&lt;1,"Valid","Invalid")</f>
        <v>Valid</v>
      </c>
      <c r="H247" s="3" t="str">
        <f>IF(Finance_Data!L243&gt;0,"Valid","Invalid")</f>
        <v>Valid</v>
      </c>
      <c r="I247" s="3" t="str">
        <f>IF(Finance_Data!L243&gt;=Finance_Data!M243,"Valid","Invalid")</f>
        <v>Valid</v>
      </c>
      <c r="J247" s="3" t="str">
        <f>IF(AND(Finance_Data!I243&gt;=0,Finance_Data!K243&gt;=0),"Valid","Invalid")</f>
        <v>Valid</v>
      </c>
      <c r="K247" s="3" t="str">
        <f>IF(Finance_Data!N243&gt;=0,"Valid","Invalid")</f>
        <v>Valid</v>
      </c>
      <c r="L247" s="3" t="str">
        <f>IF(TEXT(Finance_Data!G243,"mmmm")=Finance_Data!P243,"Valid","Invalid")</f>
        <v>Valid</v>
      </c>
      <c r="M247" s="3" t="str">
        <f>IF("Q"&amp;ROUNDUP(MONTH(Finance_Data!G243)/3,0)=Finance_Data!Q243,"Valid","Invalid")</f>
        <v>Valid</v>
      </c>
      <c r="N247" s="7" t="str">
        <f t="shared" si="3"/>
        <v>Pass</v>
      </c>
    </row>
    <row r="248" spans="1:14" x14ac:dyDescent="0.35">
      <c r="A248" s="17" t="s">
        <v>96</v>
      </c>
      <c r="B248" s="3" t="str">
        <f>IF(ISBLANK(Table3[[#This Row],[Campaign_ID]]),"Invalid","Valid")</f>
        <v>Valid</v>
      </c>
      <c r="C248" s="3" t="str">
        <f>IF(COUNTA(Finance_Data!A244:R244)=18,"Valid","Missing")</f>
        <v>Valid</v>
      </c>
      <c r="D248" s="3" t="str">
        <f>IF(COUNTIF(Finance_Data!$T$2:$T$1001,Finance_Data!T244)&gt;1,"Duplicate","Valid")</f>
        <v>Valid</v>
      </c>
      <c r="E248" s="3" t="str">
        <f>IF(Finance_Data!H244&gt;Finance_Data!G244,"Valid","Invalid")</f>
        <v>Valid</v>
      </c>
      <c r="F248" s="3" t="str" cm="1">
        <f t="array" ref="F248">_xlfn.IFS(Finance_Data!S244&lt;7,"Short",Finance_Data!S244&lt;=30,"Normal",Finance_Data!S244&lt;=60,"Long",Finance_Data!S244&gt;60,"Very Long")</f>
        <v>Normal</v>
      </c>
      <c r="G248" s="3" t="str">
        <f>IF(ABS(Finance_Data!I244*Finance_Data!J244)-Finance_Data!K244&lt;1,"Valid","Invalid")</f>
        <v>Valid</v>
      </c>
      <c r="H248" s="3" t="str">
        <f>IF(Finance_Data!L244&gt;0,"Valid","Invalid")</f>
        <v>Valid</v>
      </c>
      <c r="I248" s="3" t="str">
        <f>IF(Finance_Data!L244&gt;=Finance_Data!M244,"Valid","Invalid")</f>
        <v>Valid</v>
      </c>
      <c r="J248" s="3" t="str">
        <f>IF(AND(Finance_Data!I244&gt;=0,Finance_Data!K244&gt;=0),"Valid","Invalid")</f>
        <v>Valid</v>
      </c>
      <c r="K248" s="3" t="str">
        <f>IF(Finance_Data!N244&gt;=0,"Valid","Invalid")</f>
        <v>Valid</v>
      </c>
      <c r="L248" s="3" t="str">
        <f>IF(TEXT(Finance_Data!G244,"mmmm")=Finance_Data!P244,"Valid","Invalid")</f>
        <v>Valid</v>
      </c>
      <c r="M248" s="3" t="str">
        <f>IF("Q"&amp;ROUNDUP(MONTH(Finance_Data!G244)/3,0)=Finance_Data!Q244,"Valid","Invalid")</f>
        <v>Valid</v>
      </c>
      <c r="N248" s="7" t="str">
        <f t="shared" si="3"/>
        <v>Pass</v>
      </c>
    </row>
    <row r="249" spans="1:14" x14ac:dyDescent="0.35">
      <c r="A249" s="17" t="s">
        <v>91</v>
      </c>
      <c r="B249" s="3" t="str">
        <f>IF(ISBLANK(Table3[[#This Row],[Campaign_ID]]),"Invalid","Valid")</f>
        <v>Valid</v>
      </c>
      <c r="C249" s="3" t="str">
        <f>IF(COUNTA(Finance_Data!A245:R245)=18,"Valid","Missing")</f>
        <v>Valid</v>
      </c>
      <c r="D249" s="3" t="str">
        <f>IF(COUNTIF(Finance_Data!$T$2:$T$1001,Finance_Data!T245)&gt;1,"Duplicate","Valid")</f>
        <v>Valid</v>
      </c>
      <c r="E249" s="3" t="str">
        <f>IF(Finance_Data!H245&gt;Finance_Data!G245,"Valid","Invalid")</f>
        <v>Valid</v>
      </c>
      <c r="F249" s="3" t="str" cm="1">
        <f t="array" ref="F249">_xlfn.IFS(Finance_Data!S245&lt;7,"Short",Finance_Data!S245&lt;=30,"Normal",Finance_Data!S245&lt;=60,"Long",Finance_Data!S245&gt;60,"Very Long")</f>
        <v>Normal</v>
      </c>
      <c r="G249" s="3" t="str">
        <f>IF(ABS(Finance_Data!I245*Finance_Data!J245)-Finance_Data!K245&lt;1,"Valid","Invalid")</f>
        <v>Valid</v>
      </c>
      <c r="H249" s="3" t="str">
        <f>IF(Finance_Data!L245&gt;0,"Valid","Invalid")</f>
        <v>Valid</v>
      </c>
      <c r="I249" s="3" t="str">
        <f>IF(Finance_Data!L245&gt;=Finance_Data!M245,"Valid","Invalid")</f>
        <v>Valid</v>
      </c>
      <c r="J249" s="3" t="str">
        <f>IF(AND(Finance_Data!I245&gt;=0,Finance_Data!K245&gt;=0),"Valid","Invalid")</f>
        <v>Valid</v>
      </c>
      <c r="K249" s="3" t="str">
        <f>IF(Finance_Data!N245&gt;=0,"Valid","Invalid")</f>
        <v>Valid</v>
      </c>
      <c r="L249" s="3" t="str">
        <f>IF(TEXT(Finance_Data!G245,"mmmm")=Finance_Data!P245,"Valid","Invalid")</f>
        <v>Valid</v>
      </c>
      <c r="M249" s="3" t="str">
        <f>IF("Q"&amp;ROUNDUP(MONTH(Finance_Data!G245)/3,0)=Finance_Data!Q245,"Valid","Invalid")</f>
        <v>Valid</v>
      </c>
      <c r="N249" s="7" t="str">
        <f t="shared" si="3"/>
        <v>Pass</v>
      </c>
    </row>
    <row r="250" spans="1:14" x14ac:dyDescent="0.35">
      <c r="A250" s="17" t="s">
        <v>77</v>
      </c>
      <c r="B250" s="3" t="str">
        <f>IF(ISBLANK(Table3[[#This Row],[Campaign_ID]]),"Invalid","Valid")</f>
        <v>Valid</v>
      </c>
      <c r="C250" s="3" t="str">
        <f>IF(COUNTA(Finance_Data!A246:R246)=18,"Valid","Missing")</f>
        <v>Valid</v>
      </c>
      <c r="D250" s="3" t="str">
        <f>IF(COUNTIF(Finance_Data!$T$2:$T$1001,Finance_Data!T246)&gt;1,"Duplicate","Valid")</f>
        <v>Valid</v>
      </c>
      <c r="E250" s="3" t="str">
        <f>IF(Finance_Data!H246&gt;Finance_Data!G246,"Valid","Invalid")</f>
        <v>Valid</v>
      </c>
      <c r="F250" s="3" t="str" cm="1">
        <f t="array" ref="F250">_xlfn.IFS(Finance_Data!S246&lt;7,"Short",Finance_Data!S246&lt;=30,"Normal",Finance_Data!S246&lt;=60,"Long",Finance_Data!S246&gt;60,"Very Long")</f>
        <v>Normal</v>
      </c>
      <c r="G250" s="3" t="str">
        <f>IF(ABS(Finance_Data!I246*Finance_Data!J246)-Finance_Data!K246&lt;1,"Valid","Invalid")</f>
        <v>Valid</v>
      </c>
      <c r="H250" s="3" t="str">
        <f>IF(Finance_Data!L246&gt;0,"Valid","Invalid")</f>
        <v>Valid</v>
      </c>
      <c r="I250" s="3" t="str">
        <f>IF(Finance_Data!L246&gt;=Finance_Data!M246,"Valid","Invalid")</f>
        <v>Valid</v>
      </c>
      <c r="J250" s="3" t="str">
        <f>IF(AND(Finance_Data!I246&gt;=0,Finance_Data!K246&gt;=0),"Valid","Invalid")</f>
        <v>Valid</v>
      </c>
      <c r="K250" s="3" t="str">
        <f>IF(Finance_Data!N246&gt;=0,"Valid","Invalid")</f>
        <v>Valid</v>
      </c>
      <c r="L250" s="3" t="str">
        <f>IF(TEXT(Finance_Data!G246,"mmmm")=Finance_Data!P246,"Valid","Invalid")</f>
        <v>Valid</v>
      </c>
      <c r="M250" s="3" t="str">
        <f>IF("Q"&amp;ROUNDUP(MONTH(Finance_Data!G246)/3,0)=Finance_Data!Q246,"Valid","Invalid")</f>
        <v>Valid</v>
      </c>
      <c r="N250" s="7" t="str">
        <f t="shared" si="3"/>
        <v>Pass</v>
      </c>
    </row>
    <row r="251" spans="1:14" x14ac:dyDescent="0.35">
      <c r="A251" s="17" t="s">
        <v>78</v>
      </c>
      <c r="B251" s="3" t="str">
        <f>IF(ISBLANK(Table3[[#This Row],[Campaign_ID]]),"Invalid","Valid")</f>
        <v>Valid</v>
      </c>
      <c r="C251" s="3" t="str">
        <f>IF(COUNTA(Finance_Data!A247:R247)=18,"Valid","Missing")</f>
        <v>Valid</v>
      </c>
      <c r="D251" s="3" t="str">
        <f>IF(COUNTIF(Finance_Data!$T$2:$T$1001,Finance_Data!T247)&gt;1,"Duplicate","Valid")</f>
        <v>Valid</v>
      </c>
      <c r="E251" s="3" t="str">
        <f>IF(Finance_Data!H247&gt;Finance_Data!G247,"Valid","Invalid")</f>
        <v>Valid</v>
      </c>
      <c r="F251" s="3" t="str" cm="1">
        <f t="array" ref="F251">_xlfn.IFS(Finance_Data!S247&lt;7,"Short",Finance_Data!S247&lt;=30,"Normal",Finance_Data!S247&lt;=60,"Long",Finance_Data!S247&gt;60,"Very Long")</f>
        <v>Long</v>
      </c>
      <c r="G251" s="3" t="str">
        <f>IF(ABS(Finance_Data!I247*Finance_Data!J247)-Finance_Data!K247&lt;1,"Valid","Invalid")</f>
        <v>Valid</v>
      </c>
      <c r="H251" s="3" t="str">
        <f>IF(Finance_Data!L247&gt;0,"Valid","Invalid")</f>
        <v>Valid</v>
      </c>
      <c r="I251" s="3" t="str">
        <f>IF(Finance_Data!L247&gt;=Finance_Data!M247,"Valid","Invalid")</f>
        <v>Valid</v>
      </c>
      <c r="J251" s="3" t="str">
        <f>IF(AND(Finance_Data!I247&gt;=0,Finance_Data!K247&gt;=0),"Valid","Invalid")</f>
        <v>Valid</v>
      </c>
      <c r="K251" s="3" t="str">
        <f>IF(Finance_Data!N247&gt;=0,"Valid","Invalid")</f>
        <v>Valid</v>
      </c>
      <c r="L251" s="3" t="str">
        <f>IF(TEXT(Finance_Data!G247,"mmmm")=Finance_Data!P247,"Valid","Invalid")</f>
        <v>Valid</v>
      </c>
      <c r="M251" s="3" t="str">
        <f>IF("Q"&amp;ROUNDUP(MONTH(Finance_Data!G247)/3,0)=Finance_Data!Q247,"Valid","Invalid")</f>
        <v>Valid</v>
      </c>
      <c r="N251" s="7" t="str">
        <f t="shared" si="3"/>
        <v>Pass</v>
      </c>
    </row>
    <row r="252" spans="1:14" x14ac:dyDescent="0.35">
      <c r="A252" s="17" t="s">
        <v>82</v>
      </c>
      <c r="B252" s="3" t="str">
        <f>IF(ISBLANK(Table3[[#This Row],[Campaign_ID]]),"Invalid","Valid")</f>
        <v>Valid</v>
      </c>
      <c r="C252" s="3" t="str">
        <f>IF(COUNTA(Finance_Data!A248:R248)=18,"Valid","Missing")</f>
        <v>Valid</v>
      </c>
      <c r="D252" s="3" t="str">
        <f>IF(COUNTIF(Finance_Data!$T$2:$T$1001,Finance_Data!T248)&gt;1,"Duplicate","Valid")</f>
        <v>Valid</v>
      </c>
      <c r="E252" s="3" t="str">
        <f>IF(Finance_Data!H248&gt;Finance_Data!G248,"Valid","Invalid")</f>
        <v>Valid</v>
      </c>
      <c r="F252" s="3" t="str" cm="1">
        <f t="array" ref="F252">_xlfn.IFS(Finance_Data!S248&lt;7,"Short",Finance_Data!S248&lt;=30,"Normal",Finance_Data!S248&lt;=60,"Long",Finance_Data!S248&gt;60,"Very Long")</f>
        <v>Normal</v>
      </c>
      <c r="G252" s="3" t="str">
        <f>IF(ABS(Finance_Data!I248*Finance_Data!J248)-Finance_Data!K248&lt;1,"Valid","Invalid")</f>
        <v>Valid</v>
      </c>
      <c r="H252" s="3" t="str">
        <f>IF(Finance_Data!L248&gt;0,"Valid","Invalid")</f>
        <v>Valid</v>
      </c>
      <c r="I252" s="3" t="str">
        <f>IF(Finance_Data!L248&gt;=Finance_Data!M248,"Valid","Invalid")</f>
        <v>Valid</v>
      </c>
      <c r="J252" s="3" t="str">
        <f>IF(AND(Finance_Data!I248&gt;=0,Finance_Data!K248&gt;=0),"Valid","Invalid")</f>
        <v>Valid</v>
      </c>
      <c r="K252" s="3" t="str">
        <f>IF(Finance_Data!N248&gt;=0,"Valid","Invalid")</f>
        <v>Valid</v>
      </c>
      <c r="L252" s="3" t="str">
        <f>IF(TEXT(Finance_Data!G248,"mmmm")=Finance_Data!P248,"Valid","Invalid")</f>
        <v>Valid</v>
      </c>
      <c r="M252" s="3" t="str">
        <f>IF("Q"&amp;ROUNDUP(MONTH(Finance_Data!G248)/3,0)=Finance_Data!Q248,"Valid","Invalid")</f>
        <v>Valid</v>
      </c>
      <c r="N252" s="7" t="str">
        <f t="shared" si="3"/>
        <v>Pass</v>
      </c>
    </row>
    <row r="253" spans="1:14" x14ac:dyDescent="0.35">
      <c r="A253" s="17" t="s">
        <v>83</v>
      </c>
      <c r="B253" s="3" t="str">
        <f>IF(ISBLANK(Table3[[#This Row],[Campaign_ID]]),"Invalid","Valid")</f>
        <v>Valid</v>
      </c>
      <c r="C253" s="3" t="str">
        <f>IF(COUNTA(Finance_Data!A249:R249)=18,"Valid","Missing")</f>
        <v>Valid</v>
      </c>
      <c r="D253" s="3" t="str">
        <f>IF(COUNTIF(Finance_Data!$T$2:$T$1001,Finance_Data!T249)&gt;1,"Duplicate","Valid")</f>
        <v>Valid</v>
      </c>
      <c r="E253" s="3" t="str">
        <f>IF(Finance_Data!H249&gt;Finance_Data!G249,"Valid","Invalid")</f>
        <v>Valid</v>
      </c>
      <c r="F253" s="3" t="str" cm="1">
        <f t="array" ref="F253">_xlfn.IFS(Finance_Data!S249&lt;7,"Short",Finance_Data!S249&lt;=30,"Normal",Finance_Data!S249&lt;=60,"Long",Finance_Data!S249&gt;60,"Very Long")</f>
        <v>Normal</v>
      </c>
      <c r="G253" s="3" t="str">
        <f>IF(ABS(Finance_Data!I249*Finance_Data!J249)-Finance_Data!K249&lt;1,"Valid","Invalid")</f>
        <v>Valid</v>
      </c>
      <c r="H253" s="3" t="str">
        <f>IF(Finance_Data!L249&gt;0,"Valid","Invalid")</f>
        <v>Valid</v>
      </c>
      <c r="I253" s="3" t="str">
        <f>IF(Finance_Data!L249&gt;=Finance_Data!M249,"Valid","Invalid")</f>
        <v>Valid</v>
      </c>
      <c r="J253" s="3" t="str">
        <f>IF(AND(Finance_Data!I249&gt;=0,Finance_Data!K249&gt;=0),"Valid","Invalid")</f>
        <v>Valid</v>
      </c>
      <c r="K253" s="3" t="str">
        <f>IF(Finance_Data!N249&gt;=0,"Valid","Invalid")</f>
        <v>Valid</v>
      </c>
      <c r="L253" s="3" t="str">
        <f>IF(TEXT(Finance_Data!G249,"mmmm")=Finance_Data!P249,"Valid","Invalid")</f>
        <v>Valid</v>
      </c>
      <c r="M253" s="3" t="str">
        <f>IF("Q"&amp;ROUNDUP(MONTH(Finance_Data!G249)/3,0)=Finance_Data!Q249,"Valid","Invalid")</f>
        <v>Valid</v>
      </c>
      <c r="N253" s="7" t="str">
        <f t="shared" si="3"/>
        <v>Pass</v>
      </c>
    </row>
    <row r="254" spans="1:14" x14ac:dyDescent="0.35">
      <c r="A254" s="17" t="s">
        <v>118</v>
      </c>
      <c r="B254" s="3" t="str">
        <f>IF(ISBLANK(Table3[[#This Row],[Campaign_ID]]),"Invalid","Valid")</f>
        <v>Valid</v>
      </c>
      <c r="C254" s="3" t="str">
        <f>IF(COUNTA(Finance_Data!A250:R250)=18,"Valid","Missing")</f>
        <v>Valid</v>
      </c>
      <c r="D254" s="3" t="str">
        <f>IF(COUNTIF(Finance_Data!$T$2:$T$1001,Finance_Data!T250)&gt;1,"Duplicate","Valid")</f>
        <v>Valid</v>
      </c>
      <c r="E254" s="3" t="str">
        <f>IF(Finance_Data!H250&gt;Finance_Data!G250,"Valid","Invalid")</f>
        <v>Valid</v>
      </c>
      <c r="F254" s="3" t="str" cm="1">
        <f t="array" ref="F254">_xlfn.IFS(Finance_Data!S250&lt;7,"Short",Finance_Data!S250&lt;=30,"Normal",Finance_Data!S250&lt;=60,"Long",Finance_Data!S250&gt;60,"Very Long")</f>
        <v>Normal</v>
      </c>
      <c r="G254" s="3" t="str">
        <f>IF(ABS(Finance_Data!I250*Finance_Data!J250)-Finance_Data!K250&lt;1,"Valid","Invalid")</f>
        <v>Valid</v>
      </c>
      <c r="H254" s="3" t="str">
        <f>IF(Finance_Data!L250&gt;0,"Valid","Invalid")</f>
        <v>Valid</v>
      </c>
      <c r="I254" s="3" t="str">
        <f>IF(Finance_Data!L250&gt;=Finance_Data!M250,"Valid","Invalid")</f>
        <v>Valid</v>
      </c>
      <c r="J254" s="3" t="str">
        <f>IF(AND(Finance_Data!I250&gt;=0,Finance_Data!K250&gt;=0),"Valid","Invalid")</f>
        <v>Valid</v>
      </c>
      <c r="K254" s="3" t="str">
        <f>IF(Finance_Data!N250&gt;=0,"Valid","Invalid")</f>
        <v>Valid</v>
      </c>
      <c r="L254" s="3" t="str">
        <f>IF(TEXT(Finance_Data!G250,"mmmm")=Finance_Data!P250,"Valid","Invalid")</f>
        <v>Valid</v>
      </c>
      <c r="M254" s="3" t="str">
        <f>IF("Q"&amp;ROUNDUP(MONTH(Finance_Data!G250)/3,0)=Finance_Data!Q250,"Valid","Invalid")</f>
        <v>Valid</v>
      </c>
      <c r="N254" s="7" t="str">
        <f t="shared" si="3"/>
        <v>Pass</v>
      </c>
    </row>
    <row r="255" spans="1:14" x14ac:dyDescent="0.35">
      <c r="A255" s="17" t="s">
        <v>90</v>
      </c>
      <c r="B255" s="3" t="str">
        <f>IF(ISBLANK(Table3[[#This Row],[Campaign_ID]]),"Invalid","Valid")</f>
        <v>Valid</v>
      </c>
      <c r="C255" s="3" t="str">
        <f>IF(COUNTA(Finance_Data!A251:R251)=18,"Valid","Missing")</f>
        <v>Valid</v>
      </c>
      <c r="D255" s="3" t="str">
        <f>IF(COUNTIF(Finance_Data!$T$2:$T$1001,Finance_Data!T251)&gt;1,"Duplicate","Valid")</f>
        <v>Valid</v>
      </c>
      <c r="E255" s="3" t="str">
        <f>IF(Finance_Data!H251&gt;Finance_Data!G251,"Valid","Invalid")</f>
        <v>Valid</v>
      </c>
      <c r="F255" s="3" t="str" cm="1">
        <f t="array" ref="F255">_xlfn.IFS(Finance_Data!S251&lt;7,"Short",Finance_Data!S251&lt;=30,"Normal",Finance_Data!S251&lt;=60,"Long",Finance_Data!S251&gt;60,"Very Long")</f>
        <v>Normal</v>
      </c>
      <c r="G255" s="3" t="str">
        <f>IF(ABS(Finance_Data!I251*Finance_Data!J251)-Finance_Data!K251&lt;1,"Valid","Invalid")</f>
        <v>Valid</v>
      </c>
      <c r="H255" s="3" t="str">
        <f>IF(Finance_Data!L251&gt;0,"Valid","Invalid")</f>
        <v>Valid</v>
      </c>
      <c r="I255" s="3" t="str">
        <f>IF(Finance_Data!L251&gt;=Finance_Data!M251,"Valid","Invalid")</f>
        <v>Valid</v>
      </c>
      <c r="J255" s="3" t="str">
        <f>IF(AND(Finance_Data!I251&gt;=0,Finance_Data!K251&gt;=0),"Valid","Invalid")</f>
        <v>Valid</v>
      </c>
      <c r="K255" s="3" t="str">
        <f>IF(Finance_Data!N251&gt;=0,"Valid","Invalid")</f>
        <v>Valid</v>
      </c>
      <c r="L255" s="3" t="str">
        <f>IF(TEXT(Finance_Data!G251,"mmmm")=Finance_Data!P251,"Valid","Invalid")</f>
        <v>Valid</v>
      </c>
      <c r="M255" s="3" t="str">
        <f>IF("Q"&amp;ROUNDUP(MONTH(Finance_Data!G251)/3,0)=Finance_Data!Q251,"Valid","Invalid")</f>
        <v>Valid</v>
      </c>
      <c r="N255" s="7" t="str">
        <f t="shared" si="3"/>
        <v>Pass</v>
      </c>
    </row>
    <row r="256" spans="1:14" x14ac:dyDescent="0.35">
      <c r="A256" s="17" t="s">
        <v>120</v>
      </c>
      <c r="B256" s="3" t="str">
        <f>IF(ISBLANK(Table3[[#This Row],[Campaign_ID]]),"Invalid","Valid")</f>
        <v>Valid</v>
      </c>
      <c r="C256" s="3" t="str">
        <f>IF(COUNTA(Finance_Data!A252:R252)=18,"Valid","Missing")</f>
        <v>Valid</v>
      </c>
      <c r="D256" s="3" t="str">
        <f>IF(COUNTIF(Finance_Data!$T$2:$T$1001,Finance_Data!T252)&gt;1,"Duplicate","Valid")</f>
        <v>Valid</v>
      </c>
      <c r="E256" s="3" t="str">
        <f>IF(Finance_Data!H252&gt;Finance_Data!G252,"Valid","Invalid")</f>
        <v>Valid</v>
      </c>
      <c r="F256" s="3" t="str" cm="1">
        <f t="array" ref="F256">_xlfn.IFS(Finance_Data!S252&lt;7,"Short",Finance_Data!S252&lt;=30,"Normal",Finance_Data!S252&lt;=60,"Long",Finance_Data!S252&gt;60,"Very Long")</f>
        <v>Long</v>
      </c>
      <c r="G256" s="3" t="str">
        <f>IF(ABS(Finance_Data!I252*Finance_Data!J252)-Finance_Data!K252&lt;1,"Valid","Invalid")</f>
        <v>Valid</v>
      </c>
      <c r="H256" s="3" t="str">
        <f>IF(Finance_Data!L252&gt;0,"Valid","Invalid")</f>
        <v>Valid</v>
      </c>
      <c r="I256" s="3" t="str">
        <f>IF(Finance_Data!L252&gt;=Finance_Data!M252,"Valid","Invalid")</f>
        <v>Valid</v>
      </c>
      <c r="J256" s="3" t="str">
        <f>IF(AND(Finance_Data!I252&gt;=0,Finance_Data!K252&gt;=0),"Valid","Invalid")</f>
        <v>Valid</v>
      </c>
      <c r="K256" s="3" t="str">
        <f>IF(Finance_Data!N252&gt;=0,"Valid","Invalid")</f>
        <v>Valid</v>
      </c>
      <c r="L256" s="3" t="str">
        <f>IF(TEXT(Finance_Data!G252,"mmmm")=Finance_Data!P252,"Valid","Invalid")</f>
        <v>Valid</v>
      </c>
      <c r="M256" s="3" t="str">
        <f>IF("Q"&amp;ROUNDUP(MONTH(Finance_Data!G252)/3,0)=Finance_Data!Q252,"Valid","Invalid")</f>
        <v>Valid</v>
      </c>
      <c r="N256" s="7" t="str">
        <f t="shared" si="3"/>
        <v>Pass</v>
      </c>
    </row>
    <row r="257" spans="1:14" x14ac:dyDescent="0.35">
      <c r="A257" s="17" t="s">
        <v>99</v>
      </c>
      <c r="B257" s="3" t="str">
        <f>IF(ISBLANK(Table3[[#This Row],[Campaign_ID]]),"Invalid","Valid")</f>
        <v>Valid</v>
      </c>
      <c r="C257" s="3" t="str">
        <f>IF(COUNTA(Finance_Data!A253:R253)=18,"Valid","Missing")</f>
        <v>Valid</v>
      </c>
      <c r="D257" s="3" t="str">
        <f>IF(COUNTIF(Finance_Data!$T$2:$T$1001,Finance_Data!T253)&gt;1,"Duplicate","Valid")</f>
        <v>Valid</v>
      </c>
      <c r="E257" s="3" t="str">
        <f>IF(Finance_Data!H253&gt;Finance_Data!G253,"Valid","Invalid")</f>
        <v>Valid</v>
      </c>
      <c r="F257" s="3" t="str" cm="1">
        <f t="array" ref="F257">_xlfn.IFS(Finance_Data!S253&lt;7,"Short",Finance_Data!S253&lt;=30,"Normal",Finance_Data!S253&lt;=60,"Long",Finance_Data!S253&gt;60,"Very Long")</f>
        <v>Long</v>
      </c>
      <c r="G257" s="3" t="str">
        <f>IF(ABS(Finance_Data!I253*Finance_Data!J253)-Finance_Data!K253&lt;1,"Valid","Invalid")</f>
        <v>Valid</v>
      </c>
      <c r="H257" s="3" t="str">
        <f>IF(Finance_Data!L253&gt;0,"Valid","Invalid")</f>
        <v>Valid</v>
      </c>
      <c r="I257" s="3" t="str">
        <f>IF(Finance_Data!L253&gt;=Finance_Data!M253,"Valid","Invalid")</f>
        <v>Valid</v>
      </c>
      <c r="J257" s="3" t="str">
        <f>IF(AND(Finance_Data!I253&gt;=0,Finance_Data!K253&gt;=0),"Valid","Invalid")</f>
        <v>Valid</v>
      </c>
      <c r="K257" s="3" t="str">
        <f>IF(Finance_Data!N253&gt;=0,"Valid","Invalid")</f>
        <v>Valid</v>
      </c>
      <c r="L257" s="3" t="str">
        <f>IF(TEXT(Finance_Data!G253,"mmmm")=Finance_Data!P253,"Valid","Invalid")</f>
        <v>Valid</v>
      </c>
      <c r="M257" s="3" t="str">
        <f>IF("Q"&amp;ROUNDUP(MONTH(Finance_Data!G253)/3,0)=Finance_Data!Q253,"Valid","Invalid")</f>
        <v>Valid</v>
      </c>
      <c r="N257" s="7" t="str">
        <f t="shared" si="3"/>
        <v>Pass</v>
      </c>
    </row>
    <row r="258" spans="1:14" x14ac:dyDescent="0.35">
      <c r="A258" s="17" t="s">
        <v>77</v>
      </c>
      <c r="B258" s="3" t="str">
        <f>IF(ISBLANK(Table3[[#This Row],[Campaign_ID]]),"Invalid","Valid")</f>
        <v>Valid</v>
      </c>
      <c r="C258" s="3" t="str">
        <f>IF(COUNTA(Finance_Data!A254:R254)=18,"Valid","Missing")</f>
        <v>Valid</v>
      </c>
      <c r="D258" s="3" t="str">
        <f>IF(COUNTIF(Finance_Data!$T$2:$T$1001,Finance_Data!T254)&gt;1,"Duplicate","Valid")</f>
        <v>Valid</v>
      </c>
      <c r="E258" s="3" t="str">
        <f>IF(Finance_Data!H254&gt;Finance_Data!G254,"Valid","Invalid")</f>
        <v>Valid</v>
      </c>
      <c r="F258" s="3" t="str" cm="1">
        <f t="array" ref="F258">_xlfn.IFS(Finance_Data!S254&lt;7,"Short",Finance_Data!S254&lt;=30,"Normal",Finance_Data!S254&lt;=60,"Long",Finance_Data!S254&gt;60,"Very Long")</f>
        <v>Normal</v>
      </c>
      <c r="G258" s="3" t="str">
        <f>IF(ABS(Finance_Data!I254*Finance_Data!J254)-Finance_Data!K254&lt;1,"Valid","Invalid")</f>
        <v>Valid</v>
      </c>
      <c r="H258" s="3" t="str">
        <f>IF(Finance_Data!L254&gt;0,"Valid","Invalid")</f>
        <v>Valid</v>
      </c>
      <c r="I258" s="3" t="str">
        <f>IF(Finance_Data!L254&gt;=Finance_Data!M254,"Valid","Invalid")</f>
        <v>Valid</v>
      </c>
      <c r="J258" s="3" t="str">
        <f>IF(AND(Finance_Data!I254&gt;=0,Finance_Data!K254&gt;=0),"Valid","Invalid")</f>
        <v>Valid</v>
      </c>
      <c r="K258" s="3" t="str">
        <f>IF(Finance_Data!N254&gt;=0,"Valid","Invalid")</f>
        <v>Valid</v>
      </c>
      <c r="L258" s="3" t="str">
        <f>IF(TEXT(Finance_Data!G254,"mmmm")=Finance_Data!P254,"Valid","Invalid")</f>
        <v>Valid</v>
      </c>
      <c r="M258" s="3" t="str">
        <f>IF("Q"&amp;ROUNDUP(MONTH(Finance_Data!G254)/3,0)=Finance_Data!Q254,"Valid","Invalid")</f>
        <v>Valid</v>
      </c>
      <c r="N258" s="7" t="str">
        <f t="shared" si="3"/>
        <v>Pass</v>
      </c>
    </row>
    <row r="259" spans="1:14" x14ac:dyDescent="0.35">
      <c r="A259" s="17" t="s">
        <v>109</v>
      </c>
      <c r="B259" s="3" t="str">
        <f>IF(ISBLANK(Table3[[#This Row],[Campaign_ID]]),"Invalid","Valid")</f>
        <v>Valid</v>
      </c>
      <c r="C259" s="3" t="str">
        <f>IF(COUNTA(Finance_Data!A255:R255)=18,"Valid","Missing")</f>
        <v>Valid</v>
      </c>
      <c r="D259" s="3" t="str">
        <f>IF(COUNTIF(Finance_Data!$T$2:$T$1001,Finance_Data!T255)&gt;1,"Duplicate","Valid")</f>
        <v>Valid</v>
      </c>
      <c r="E259" s="3" t="str">
        <f>IF(Finance_Data!H255&gt;Finance_Data!G255,"Valid","Invalid")</f>
        <v>Valid</v>
      </c>
      <c r="F259" s="3" t="str" cm="1">
        <f t="array" ref="F259">_xlfn.IFS(Finance_Data!S255&lt;7,"Short",Finance_Data!S255&lt;=30,"Normal",Finance_Data!S255&lt;=60,"Long",Finance_Data!S255&gt;60,"Very Long")</f>
        <v>Normal</v>
      </c>
      <c r="G259" s="3" t="str">
        <f>IF(ABS(Finance_Data!I255*Finance_Data!J255)-Finance_Data!K255&lt;1,"Valid","Invalid")</f>
        <v>Valid</v>
      </c>
      <c r="H259" s="3" t="str">
        <f>IF(Finance_Data!L255&gt;0,"Valid","Invalid")</f>
        <v>Valid</v>
      </c>
      <c r="I259" s="3" t="str">
        <f>IF(Finance_Data!L255&gt;=Finance_Data!M255,"Valid","Invalid")</f>
        <v>Valid</v>
      </c>
      <c r="J259" s="3" t="str">
        <f>IF(AND(Finance_Data!I255&gt;=0,Finance_Data!K255&gt;=0),"Valid","Invalid")</f>
        <v>Valid</v>
      </c>
      <c r="K259" s="3" t="str">
        <f>IF(Finance_Data!N255&gt;=0,"Valid","Invalid")</f>
        <v>Valid</v>
      </c>
      <c r="L259" s="3" t="str">
        <f>IF(TEXT(Finance_Data!G255,"mmmm")=Finance_Data!P255,"Valid","Invalid")</f>
        <v>Valid</v>
      </c>
      <c r="M259" s="3" t="str">
        <f>IF("Q"&amp;ROUNDUP(MONTH(Finance_Data!G255)/3,0)=Finance_Data!Q255,"Valid","Invalid")</f>
        <v>Valid</v>
      </c>
      <c r="N259" s="7" t="str">
        <f t="shared" si="3"/>
        <v>Pass</v>
      </c>
    </row>
    <row r="260" spans="1:14" x14ac:dyDescent="0.35">
      <c r="A260" s="17" t="s">
        <v>99</v>
      </c>
      <c r="B260" s="3" t="str">
        <f>IF(ISBLANK(Table3[[#This Row],[Campaign_ID]]),"Invalid","Valid")</f>
        <v>Valid</v>
      </c>
      <c r="C260" s="3" t="str">
        <f>IF(COUNTA(Finance_Data!A256:R256)=18,"Valid","Missing")</f>
        <v>Valid</v>
      </c>
      <c r="D260" s="3" t="str">
        <f>IF(COUNTIF(Finance_Data!$T$2:$T$1001,Finance_Data!T256)&gt;1,"Duplicate","Valid")</f>
        <v>Valid</v>
      </c>
      <c r="E260" s="3" t="str">
        <f>IF(Finance_Data!H256&gt;Finance_Data!G256,"Valid","Invalid")</f>
        <v>Valid</v>
      </c>
      <c r="F260" s="3" t="str" cm="1">
        <f t="array" ref="F260">_xlfn.IFS(Finance_Data!S256&lt;7,"Short",Finance_Data!S256&lt;=30,"Normal",Finance_Data!S256&lt;=60,"Long",Finance_Data!S256&gt;60,"Very Long")</f>
        <v>Long</v>
      </c>
      <c r="G260" s="3" t="str">
        <f>IF(ABS(Finance_Data!I256*Finance_Data!J256)-Finance_Data!K256&lt;1,"Valid","Invalid")</f>
        <v>Valid</v>
      </c>
      <c r="H260" s="3" t="str">
        <f>IF(Finance_Data!L256&gt;0,"Valid","Invalid")</f>
        <v>Valid</v>
      </c>
      <c r="I260" s="3" t="str">
        <f>IF(Finance_Data!L256&gt;=Finance_Data!M256,"Valid","Invalid")</f>
        <v>Valid</v>
      </c>
      <c r="J260" s="3" t="str">
        <f>IF(AND(Finance_Data!I256&gt;=0,Finance_Data!K256&gt;=0),"Valid","Invalid")</f>
        <v>Valid</v>
      </c>
      <c r="K260" s="3" t="str">
        <f>IF(Finance_Data!N256&gt;=0,"Valid","Invalid")</f>
        <v>Valid</v>
      </c>
      <c r="L260" s="3" t="str">
        <f>IF(TEXT(Finance_Data!G256,"mmmm")=Finance_Data!P256,"Valid","Invalid")</f>
        <v>Valid</v>
      </c>
      <c r="M260" s="3" t="str">
        <f>IF("Q"&amp;ROUNDUP(MONTH(Finance_Data!G256)/3,0)=Finance_Data!Q256,"Valid","Invalid")</f>
        <v>Valid</v>
      </c>
      <c r="N260" s="7" t="str">
        <f t="shared" si="3"/>
        <v>Pass</v>
      </c>
    </row>
    <row r="261" spans="1:14" x14ac:dyDescent="0.35">
      <c r="A261" s="17" t="s">
        <v>18</v>
      </c>
      <c r="B261" s="3" t="str">
        <f>IF(ISBLANK(Table3[[#This Row],[Campaign_ID]]),"Invalid","Valid")</f>
        <v>Valid</v>
      </c>
      <c r="C261" s="3" t="str">
        <f>IF(COUNTA(Finance_Data!A257:R257)=18,"Valid","Missing")</f>
        <v>Valid</v>
      </c>
      <c r="D261" s="3" t="str">
        <f>IF(COUNTIF(Finance_Data!$T$2:$T$1001,Finance_Data!T257)&gt;1,"Duplicate","Valid")</f>
        <v>Valid</v>
      </c>
      <c r="E261" s="3" t="str">
        <f>IF(Finance_Data!H257&gt;Finance_Data!G257,"Valid","Invalid")</f>
        <v>Valid</v>
      </c>
      <c r="F261" s="3" t="str" cm="1">
        <f t="array" ref="F261">_xlfn.IFS(Finance_Data!S257&lt;7,"Short",Finance_Data!S257&lt;=30,"Normal",Finance_Data!S257&lt;=60,"Long",Finance_Data!S257&gt;60,"Very Long")</f>
        <v>Normal</v>
      </c>
      <c r="G261" s="3" t="str">
        <f>IF(ABS(Finance_Data!I257*Finance_Data!J257)-Finance_Data!K257&lt;1,"Valid","Invalid")</f>
        <v>Valid</v>
      </c>
      <c r="H261" s="3" t="str">
        <f>IF(Finance_Data!L257&gt;0,"Valid","Invalid")</f>
        <v>Valid</v>
      </c>
      <c r="I261" s="3" t="str">
        <f>IF(Finance_Data!L257&gt;=Finance_Data!M257,"Valid","Invalid")</f>
        <v>Valid</v>
      </c>
      <c r="J261" s="3" t="str">
        <f>IF(AND(Finance_Data!I257&gt;=0,Finance_Data!K257&gt;=0),"Valid","Invalid")</f>
        <v>Valid</v>
      </c>
      <c r="K261" s="3" t="str">
        <f>IF(Finance_Data!N257&gt;=0,"Valid","Invalid")</f>
        <v>Valid</v>
      </c>
      <c r="L261" s="3" t="str">
        <f>IF(TEXT(Finance_Data!G257,"mmmm")=Finance_Data!P257,"Valid","Invalid")</f>
        <v>Valid</v>
      </c>
      <c r="M261" s="3" t="str">
        <f>IF("Q"&amp;ROUNDUP(MONTH(Finance_Data!G257)/3,0)=Finance_Data!Q257,"Valid","Invalid")</f>
        <v>Valid</v>
      </c>
      <c r="N261" s="7" t="str">
        <f t="shared" si="3"/>
        <v>Pass</v>
      </c>
    </row>
    <row r="262" spans="1:14" x14ac:dyDescent="0.35">
      <c r="A262" s="17" t="s">
        <v>57</v>
      </c>
      <c r="B262" s="3" t="str">
        <f>IF(ISBLANK(Table3[[#This Row],[Campaign_ID]]),"Invalid","Valid")</f>
        <v>Valid</v>
      </c>
      <c r="C262" s="3" t="str">
        <f>IF(COUNTA(Finance_Data!A258:R258)=18,"Valid","Missing")</f>
        <v>Valid</v>
      </c>
      <c r="D262" s="3" t="str">
        <f>IF(COUNTIF(Finance_Data!$T$2:$T$1001,Finance_Data!T258)&gt;1,"Duplicate","Valid")</f>
        <v>Valid</v>
      </c>
      <c r="E262" s="3" t="str">
        <f>IF(Finance_Data!H258&gt;Finance_Data!G258,"Valid","Invalid")</f>
        <v>Valid</v>
      </c>
      <c r="F262" s="3" t="str" cm="1">
        <f t="array" ref="F262">_xlfn.IFS(Finance_Data!S258&lt;7,"Short",Finance_Data!S258&lt;=30,"Normal",Finance_Data!S258&lt;=60,"Long",Finance_Data!S258&gt;60,"Very Long")</f>
        <v>Normal</v>
      </c>
      <c r="G262" s="3" t="str">
        <f>IF(ABS(Finance_Data!I258*Finance_Data!J258)-Finance_Data!K258&lt;1,"Valid","Invalid")</f>
        <v>Valid</v>
      </c>
      <c r="H262" s="3" t="str">
        <f>IF(Finance_Data!L258&gt;0,"Valid","Invalid")</f>
        <v>Valid</v>
      </c>
      <c r="I262" s="3" t="str">
        <f>IF(Finance_Data!L258&gt;=Finance_Data!M258,"Valid","Invalid")</f>
        <v>Valid</v>
      </c>
      <c r="J262" s="3" t="str">
        <f>IF(AND(Finance_Data!I258&gt;=0,Finance_Data!K258&gt;=0),"Valid","Invalid")</f>
        <v>Valid</v>
      </c>
      <c r="K262" s="3" t="str">
        <f>IF(Finance_Data!N258&gt;=0,"Valid","Invalid")</f>
        <v>Valid</v>
      </c>
      <c r="L262" s="3" t="str">
        <f>IF(TEXT(Finance_Data!G258,"mmmm")=Finance_Data!P258,"Valid","Invalid")</f>
        <v>Valid</v>
      </c>
      <c r="M262" s="3" t="str">
        <f>IF("Q"&amp;ROUNDUP(MONTH(Finance_Data!G258)/3,0)=Finance_Data!Q258,"Valid","Invalid")</f>
        <v>Valid</v>
      </c>
      <c r="N262" s="7" t="str">
        <f t="shared" ref="N262:N325" si="4">IF(AND(B262="Valid",E262="Valid",G262="Valid",H262="Valid",I262="Valid",J262="Valid",K262="Valid",L262="Valid",M262="Valid"),"Pass","Fail")</f>
        <v>Pass</v>
      </c>
    </row>
    <row r="263" spans="1:14" x14ac:dyDescent="0.35">
      <c r="A263" s="17" t="s">
        <v>82</v>
      </c>
      <c r="B263" s="3" t="str">
        <f>IF(ISBLANK(Table3[[#This Row],[Campaign_ID]]),"Invalid","Valid")</f>
        <v>Valid</v>
      </c>
      <c r="C263" s="3" t="str">
        <f>IF(COUNTA(Finance_Data!A259:R259)=18,"Valid","Missing")</f>
        <v>Valid</v>
      </c>
      <c r="D263" s="3" t="str">
        <f>IF(COUNTIF(Finance_Data!$T$2:$T$1001,Finance_Data!T259)&gt;1,"Duplicate","Valid")</f>
        <v>Valid</v>
      </c>
      <c r="E263" s="3" t="str">
        <f>IF(Finance_Data!H259&gt;Finance_Data!G259,"Valid","Invalid")</f>
        <v>Valid</v>
      </c>
      <c r="F263" s="3" t="str" cm="1">
        <f t="array" ref="F263">_xlfn.IFS(Finance_Data!S259&lt;7,"Short",Finance_Data!S259&lt;=30,"Normal",Finance_Data!S259&lt;=60,"Long",Finance_Data!S259&gt;60,"Very Long")</f>
        <v>Long</v>
      </c>
      <c r="G263" s="3" t="str">
        <f>IF(ABS(Finance_Data!I259*Finance_Data!J259)-Finance_Data!K259&lt;1,"Valid","Invalid")</f>
        <v>Valid</v>
      </c>
      <c r="H263" s="3" t="str">
        <f>IF(Finance_Data!L259&gt;0,"Valid","Invalid")</f>
        <v>Valid</v>
      </c>
      <c r="I263" s="3" t="str">
        <f>IF(Finance_Data!L259&gt;=Finance_Data!M259,"Valid","Invalid")</f>
        <v>Valid</v>
      </c>
      <c r="J263" s="3" t="str">
        <f>IF(AND(Finance_Data!I259&gt;=0,Finance_Data!K259&gt;=0),"Valid","Invalid")</f>
        <v>Valid</v>
      </c>
      <c r="K263" s="3" t="str">
        <f>IF(Finance_Data!N259&gt;=0,"Valid","Invalid")</f>
        <v>Valid</v>
      </c>
      <c r="L263" s="3" t="str">
        <f>IF(TEXT(Finance_Data!G259,"mmmm")=Finance_Data!P259,"Valid","Invalid")</f>
        <v>Valid</v>
      </c>
      <c r="M263" s="3" t="str">
        <f>IF("Q"&amp;ROUNDUP(MONTH(Finance_Data!G259)/3,0)=Finance_Data!Q259,"Valid","Invalid")</f>
        <v>Valid</v>
      </c>
      <c r="N263" s="7" t="str">
        <f t="shared" si="4"/>
        <v>Pass</v>
      </c>
    </row>
    <row r="264" spans="1:14" x14ac:dyDescent="0.35">
      <c r="A264" s="17" t="s">
        <v>78</v>
      </c>
      <c r="B264" s="3" t="str">
        <f>IF(ISBLANK(Table3[[#This Row],[Campaign_ID]]),"Invalid","Valid")</f>
        <v>Valid</v>
      </c>
      <c r="C264" s="3" t="str">
        <f>IF(COUNTA(Finance_Data!A260:R260)=18,"Valid","Missing")</f>
        <v>Valid</v>
      </c>
      <c r="D264" s="3" t="str">
        <f>IF(COUNTIF(Finance_Data!$T$2:$T$1001,Finance_Data!T260)&gt;1,"Duplicate","Valid")</f>
        <v>Valid</v>
      </c>
      <c r="E264" s="3" t="str">
        <f>IF(Finance_Data!H260&gt;Finance_Data!G260,"Valid","Invalid")</f>
        <v>Valid</v>
      </c>
      <c r="F264" s="3" t="str" cm="1">
        <f t="array" ref="F264">_xlfn.IFS(Finance_Data!S260&lt;7,"Short",Finance_Data!S260&lt;=30,"Normal",Finance_Data!S260&lt;=60,"Long",Finance_Data!S260&gt;60,"Very Long")</f>
        <v>Normal</v>
      </c>
      <c r="G264" s="3" t="str">
        <f>IF(ABS(Finance_Data!I260*Finance_Data!J260)-Finance_Data!K260&lt;1,"Valid","Invalid")</f>
        <v>Valid</v>
      </c>
      <c r="H264" s="3" t="str">
        <f>IF(Finance_Data!L260&gt;0,"Valid","Invalid")</f>
        <v>Valid</v>
      </c>
      <c r="I264" s="3" t="str">
        <f>IF(Finance_Data!L260&gt;=Finance_Data!M260,"Valid","Invalid")</f>
        <v>Valid</v>
      </c>
      <c r="J264" s="3" t="str">
        <f>IF(AND(Finance_Data!I260&gt;=0,Finance_Data!K260&gt;=0),"Valid","Invalid")</f>
        <v>Valid</v>
      </c>
      <c r="K264" s="3" t="str">
        <f>IF(Finance_Data!N260&gt;=0,"Valid","Invalid")</f>
        <v>Valid</v>
      </c>
      <c r="L264" s="3" t="str">
        <f>IF(TEXT(Finance_Data!G260,"mmmm")=Finance_Data!P260,"Valid","Invalid")</f>
        <v>Valid</v>
      </c>
      <c r="M264" s="3" t="str">
        <f>IF("Q"&amp;ROUNDUP(MONTH(Finance_Data!G260)/3,0)=Finance_Data!Q260,"Valid","Invalid")</f>
        <v>Valid</v>
      </c>
      <c r="N264" s="7" t="str">
        <f t="shared" si="4"/>
        <v>Pass</v>
      </c>
    </row>
    <row r="265" spans="1:14" x14ac:dyDescent="0.35">
      <c r="A265" s="17" t="s">
        <v>83</v>
      </c>
      <c r="B265" s="3" t="str">
        <f>IF(ISBLANK(Table3[[#This Row],[Campaign_ID]]),"Invalid","Valid")</f>
        <v>Valid</v>
      </c>
      <c r="C265" s="3" t="str">
        <f>IF(COUNTA(Finance_Data!A261:R261)=18,"Valid","Missing")</f>
        <v>Valid</v>
      </c>
      <c r="D265" s="3" t="str">
        <f>IF(COUNTIF(Finance_Data!$T$2:$T$1001,Finance_Data!T261)&gt;1,"Duplicate","Valid")</f>
        <v>Valid</v>
      </c>
      <c r="E265" s="3" t="str">
        <f>IF(Finance_Data!H261&gt;Finance_Data!G261,"Valid","Invalid")</f>
        <v>Valid</v>
      </c>
      <c r="F265" s="3" t="str" cm="1">
        <f t="array" ref="F265">_xlfn.IFS(Finance_Data!S261&lt;7,"Short",Finance_Data!S261&lt;=30,"Normal",Finance_Data!S261&lt;=60,"Long",Finance_Data!S261&gt;60,"Very Long")</f>
        <v>Long</v>
      </c>
      <c r="G265" s="3" t="str">
        <f>IF(ABS(Finance_Data!I261*Finance_Data!J261)-Finance_Data!K261&lt;1,"Valid","Invalid")</f>
        <v>Valid</v>
      </c>
      <c r="H265" s="3" t="str">
        <f>IF(Finance_Data!L261&gt;0,"Valid","Invalid")</f>
        <v>Valid</v>
      </c>
      <c r="I265" s="3" t="str">
        <f>IF(Finance_Data!L261&gt;=Finance_Data!M261,"Valid","Invalid")</f>
        <v>Valid</v>
      </c>
      <c r="J265" s="3" t="str">
        <f>IF(AND(Finance_Data!I261&gt;=0,Finance_Data!K261&gt;=0),"Valid","Invalid")</f>
        <v>Valid</v>
      </c>
      <c r="K265" s="3" t="str">
        <f>IF(Finance_Data!N261&gt;=0,"Valid","Invalid")</f>
        <v>Valid</v>
      </c>
      <c r="L265" s="3" t="str">
        <f>IF(TEXT(Finance_Data!G261,"mmmm")=Finance_Data!P261,"Valid","Invalid")</f>
        <v>Valid</v>
      </c>
      <c r="M265" s="3" t="str">
        <f>IF("Q"&amp;ROUNDUP(MONTH(Finance_Data!G261)/3,0)=Finance_Data!Q261,"Valid","Invalid")</f>
        <v>Valid</v>
      </c>
      <c r="N265" s="7" t="str">
        <f t="shared" si="4"/>
        <v>Pass</v>
      </c>
    </row>
    <row r="266" spans="1:14" x14ac:dyDescent="0.35">
      <c r="A266" s="17" t="s">
        <v>113</v>
      </c>
      <c r="B266" s="3" t="str">
        <f>IF(ISBLANK(Table3[[#This Row],[Campaign_ID]]),"Invalid","Valid")</f>
        <v>Valid</v>
      </c>
      <c r="C266" s="3" t="str">
        <f>IF(COUNTA(Finance_Data!A262:R262)=18,"Valid","Missing")</f>
        <v>Valid</v>
      </c>
      <c r="D266" s="3" t="str">
        <f>IF(COUNTIF(Finance_Data!$T$2:$T$1001,Finance_Data!T262)&gt;1,"Duplicate","Valid")</f>
        <v>Valid</v>
      </c>
      <c r="E266" s="3" t="str">
        <f>IF(Finance_Data!H262&gt;Finance_Data!G262,"Valid","Invalid")</f>
        <v>Valid</v>
      </c>
      <c r="F266" s="3" t="str" cm="1">
        <f t="array" ref="F266">_xlfn.IFS(Finance_Data!S262&lt;7,"Short",Finance_Data!S262&lt;=30,"Normal",Finance_Data!S262&lt;=60,"Long",Finance_Data!S262&gt;60,"Very Long")</f>
        <v>Normal</v>
      </c>
      <c r="G266" s="3" t="str">
        <f>IF(ABS(Finance_Data!I262*Finance_Data!J262)-Finance_Data!K262&lt;1,"Valid","Invalid")</f>
        <v>Valid</v>
      </c>
      <c r="H266" s="3" t="str">
        <f>IF(Finance_Data!L262&gt;0,"Valid","Invalid")</f>
        <v>Valid</v>
      </c>
      <c r="I266" s="3" t="str">
        <f>IF(Finance_Data!L262&gt;=Finance_Data!M262,"Valid","Invalid")</f>
        <v>Valid</v>
      </c>
      <c r="J266" s="3" t="str">
        <f>IF(AND(Finance_Data!I262&gt;=0,Finance_Data!K262&gt;=0),"Valid","Invalid")</f>
        <v>Valid</v>
      </c>
      <c r="K266" s="3" t="str">
        <f>IF(Finance_Data!N262&gt;=0,"Valid","Invalid")</f>
        <v>Valid</v>
      </c>
      <c r="L266" s="3" t="str">
        <f>IF(TEXT(Finance_Data!G262,"mmmm")=Finance_Data!P262,"Valid","Invalid")</f>
        <v>Valid</v>
      </c>
      <c r="M266" s="3" t="str">
        <f>IF("Q"&amp;ROUNDUP(MONTH(Finance_Data!G262)/3,0)=Finance_Data!Q262,"Valid","Invalid")</f>
        <v>Valid</v>
      </c>
      <c r="N266" s="7" t="str">
        <f t="shared" si="4"/>
        <v>Pass</v>
      </c>
    </row>
    <row r="267" spans="1:14" x14ac:dyDescent="0.35">
      <c r="A267" s="17" t="s">
        <v>100</v>
      </c>
      <c r="B267" s="3" t="str">
        <f>IF(ISBLANK(Table3[[#This Row],[Campaign_ID]]),"Invalid","Valid")</f>
        <v>Valid</v>
      </c>
      <c r="C267" s="3" t="str">
        <f>IF(COUNTA(Finance_Data!A263:R263)=18,"Valid","Missing")</f>
        <v>Valid</v>
      </c>
      <c r="D267" s="3" t="str">
        <f>IF(COUNTIF(Finance_Data!$T$2:$T$1001,Finance_Data!T263)&gt;1,"Duplicate","Valid")</f>
        <v>Valid</v>
      </c>
      <c r="E267" s="3" t="str">
        <f>IF(Finance_Data!H263&gt;Finance_Data!G263,"Valid","Invalid")</f>
        <v>Valid</v>
      </c>
      <c r="F267" s="3" t="str" cm="1">
        <f t="array" ref="F267">_xlfn.IFS(Finance_Data!S263&lt;7,"Short",Finance_Data!S263&lt;=30,"Normal",Finance_Data!S263&lt;=60,"Long",Finance_Data!S263&gt;60,"Very Long")</f>
        <v>Normal</v>
      </c>
      <c r="G267" s="3" t="str">
        <f>IF(ABS(Finance_Data!I263*Finance_Data!J263)-Finance_Data!K263&lt;1,"Valid","Invalid")</f>
        <v>Valid</v>
      </c>
      <c r="H267" s="3" t="str">
        <f>IF(Finance_Data!L263&gt;0,"Valid","Invalid")</f>
        <v>Valid</v>
      </c>
      <c r="I267" s="3" t="str">
        <f>IF(Finance_Data!L263&gt;=Finance_Data!M263,"Valid","Invalid")</f>
        <v>Valid</v>
      </c>
      <c r="J267" s="3" t="str">
        <f>IF(AND(Finance_Data!I263&gt;=0,Finance_Data!K263&gt;=0),"Valid","Invalid")</f>
        <v>Valid</v>
      </c>
      <c r="K267" s="3" t="str">
        <f>IF(Finance_Data!N263&gt;=0,"Valid","Invalid")</f>
        <v>Valid</v>
      </c>
      <c r="L267" s="3" t="str">
        <f>IF(TEXT(Finance_Data!G263,"mmmm")=Finance_Data!P263,"Valid","Invalid")</f>
        <v>Valid</v>
      </c>
      <c r="M267" s="3" t="str">
        <f>IF("Q"&amp;ROUNDUP(MONTH(Finance_Data!G263)/3,0)=Finance_Data!Q263,"Valid","Invalid")</f>
        <v>Valid</v>
      </c>
      <c r="N267" s="7" t="str">
        <f t="shared" si="4"/>
        <v>Pass</v>
      </c>
    </row>
    <row r="268" spans="1:14" x14ac:dyDescent="0.35">
      <c r="A268" s="17" t="s">
        <v>67</v>
      </c>
      <c r="B268" s="3" t="str">
        <f>IF(ISBLANK(Table3[[#This Row],[Campaign_ID]]),"Invalid","Valid")</f>
        <v>Valid</v>
      </c>
      <c r="C268" s="3" t="str">
        <f>IF(COUNTA(Finance_Data!A264:R264)=18,"Valid","Missing")</f>
        <v>Valid</v>
      </c>
      <c r="D268" s="3" t="str">
        <f>IF(COUNTIF(Finance_Data!$T$2:$T$1001,Finance_Data!T264)&gt;1,"Duplicate","Valid")</f>
        <v>Valid</v>
      </c>
      <c r="E268" s="3" t="str">
        <f>IF(Finance_Data!H264&gt;Finance_Data!G264,"Valid","Invalid")</f>
        <v>Valid</v>
      </c>
      <c r="F268" s="3" t="str" cm="1">
        <f t="array" ref="F268">_xlfn.IFS(Finance_Data!S264&lt;7,"Short",Finance_Data!S264&lt;=30,"Normal",Finance_Data!S264&lt;=60,"Long",Finance_Data!S264&gt;60,"Very Long")</f>
        <v>Short</v>
      </c>
      <c r="G268" s="3" t="str">
        <f>IF(ABS(Finance_Data!I264*Finance_Data!J264)-Finance_Data!K264&lt;1,"Valid","Invalid")</f>
        <v>Valid</v>
      </c>
      <c r="H268" s="3" t="str">
        <f>IF(Finance_Data!L264&gt;0,"Valid","Invalid")</f>
        <v>Valid</v>
      </c>
      <c r="I268" s="3" t="str">
        <f>IF(Finance_Data!L264&gt;=Finance_Data!M264,"Valid","Invalid")</f>
        <v>Valid</v>
      </c>
      <c r="J268" s="3" t="str">
        <f>IF(AND(Finance_Data!I264&gt;=0,Finance_Data!K264&gt;=0),"Valid","Invalid")</f>
        <v>Valid</v>
      </c>
      <c r="K268" s="3" t="str">
        <f>IF(Finance_Data!N264&gt;=0,"Valid","Invalid")</f>
        <v>Valid</v>
      </c>
      <c r="L268" s="3" t="str">
        <f>IF(TEXT(Finance_Data!G264,"mmmm")=Finance_Data!P264,"Valid","Invalid")</f>
        <v>Valid</v>
      </c>
      <c r="M268" s="3" t="str">
        <f>IF("Q"&amp;ROUNDUP(MONTH(Finance_Data!G264)/3,0)=Finance_Data!Q264,"Valid","Invalid")</f>
        <v>Valid</v>
      </c>
      <c r="N268" s="7" t="str">
        <f t="shared" si="4"/>
        <v>Pass</v>
      </c>
    </row>
    <row r="269" spans="1:14" x14ac:dyDescent="0.35">
      <c r="A269" s="17" t="s">
        <v>27</v>
      </c>
      <c r="B269" s="3" t="str">
        <f>IF(ISBLANK(Table3[[#This Row],[Campaign_ID]]),"Invalid","Valid")</f>
        <v>Valid</v>
      </c>
      <c r="C269" s="3" t="str">
        <f>IF(COUNTA(Finance_Data!A265:R265)=18,"Valid","Missing")</f>
        <v>Valid</v>
      </c>
      <c r="D269" s="3" t="str">
        <f>IF(COUNTIF(Finance_Data!$T$2:$T$1001,Finance_Data!T265)&gt;1,"Duplicate","Valid")</f>
        <v>Valid</v>
      </c>
      <c r="E269" s="3" t="str">
        <f>IF(Finance_Data!H265&gt;Finance_Data!G265,"Valid","Invalid")</f>
        <v>Valid</v>
      </c>
      <c r="F269" s="3" t="str" cm="1">
        <f t="array" ref="F269">_xlfn.IFS(Finance_Data!S265&lt;7,"Short",Finance_Data!S265&lt;=30,"Normal",Finance_Data!S265&lt;=60,"Long",Finance_Data!S265&gt;60,"Very Long")</f>
        <v>Short</v>
      </c>
      <c r="G269" s="3" t="str">
        <f>IF(ABS(Finance_Data!I265*Finance_Data!J265)-Finance_Data!K265&lt;1,"Valid","Invalid")</f>
        <v>Valid</v>
      </c>
      <c r="H269" s="3" t="str">
        <f>IF(Finance_Data!L265&gt;0,"Valid","Invalid")</f>
        <v>Valid</v>
      </c>
      <c r="I269" s="3" t="str">
        <f>IF(Finance_Data!L265&gt;=Finance_Data!M265,"Valid","Invalid")</f>
        <v>Valid</v>
      </c>
      <c r="J269" s="3" t="str">
        <f>IF(AND(Finance_Data!I265&gt;=0,Finance_Data!K265&gt;=0),"Valid","Invalid")</f>
        <v>Valid</v>
      </c>
      <c r="K269" s="3" t="str">
        <f>IF(Finance_Data!N265&gt;=0,"Valid","Invalid")</f>
        <v>Valid</v>
      </c>
      <c r="L269" s="3" t="str">
        <f>IF(TEXT(Finance_Data!G265,"mmmm")=Finance_Data!P265,"Valid","Invalid")</f>
        <v>Valid</v>
      </c>
      <c r="M269" s="3" t="str">
        <f>IF("Q"&amp;ROUNDUP(MONTH(Finance_Data!G265)/3,0)=Finance_Data!Q265,"Valid","Invalid")</f>
        <v>Valid</v>
      </c>
      <c r="N269" s="7" t="str">
        <f t="shared" si="4"/>
        <v>Pass</v>
      </c>
    </row>
    <row r="270" spans="1:14" x14ac:dyDescent="0.35">
      <c r="A270" s="17" t="s">
        <v>79</v>
      </c>
      <c r="B270" s="3" t="str">
        <f>IF(ISBLANK(Table3[[#This Row],[Campaign_ID]]),"Invalid","Valid")</f>
        <v>Valid</v>
      </c>
      <c r="C270" s="3" t="str">
        <f>IF(COUNTA(Finance_Data!A266:R266)=18,"Valid","Missing")</f>
        <v>Valid</v>
      </c>
      <c r="D270" s="3" t="str">
        <f>IF(COUNTIF(Finance_Data!$T$2:$T$1001,Finance_Data!T266)&gt;1,"Duplicate","Valid")</f>
        <v>Valid</v>
      </c>
      <c r="E270" s="3" t="str">
        <f>IF(Finance_Data!H266&gt;Finance_Data!G266,"Valid","Invalid")</f>
        <v>Valid</v>
      </c>
      <c r="F270" s="3" t="str" cm="1">
        <f t="array" ref="F270">_xlfn.IFS(Finance_Data!S266&lt;7,"Short",Finance_Data!S266&lt;=30,"Normal",Finance_Data!S266&lt;=60,"Long",Finance_Data!S266&gt;60,"Very Long")</f>
        <v>Long</v>
      </c>
      <c r="G270" s="3" t="str">
        <f>IF(ABS(Finance_Data!I266*Finance_Data!J266)-Finance_Data!K266&lt;1,"Valid","Invalid")</f>
        <v>Valid</v>
      </c>
      <c r="H270" s="3" t="str">
        <f>IF(Finance_Data!L266&gt;0,"Valid","Invalid")</f>
        <v>Valid</v>
      </c>
      <c r="I270" s="3" t="str">
        <f>IF(Finance_Data!L266&gt;=Finance_Data!M266,"Valid","Invalid")</f>
        <v>Valid</v>
      </c>
      <c r="J270" s="3" t="str">
        <f>IF(AND(Finance_Data!I266&gt;=0,Finance_Data!K266&gt;=0),"Valid","Invalid")</f>
        <v>Valid</v>
      </c>
      <c r="K270" s="3" t="str">
        <f>IF(Finance_Data!N266&gt;=0,"Valid","Invalid")</f>
        <v>Valid</v>
      </c>
      <c r="L270" s="3" t="str">
        <f>IF(TEXT(Finance_Data!G266,"mmmm")=Finance_Data!P266,"Valid","Invalid")</f>
        <v>Valid</v>
      </c>
      <c r="M270" s="3" t="str">
        <f>IF("Q"&amp;ROUNDUP(MONTH(Finance_Data!G266)/3,0)=Finance_Data!Q266,"Valid","Invalid")</f>
        <v>Valid</v>
      </c>
      <c r="N270" s="7" t="str">
        <f t="shared" si="4"/>
        <v>Pass</v>
      </c>
    </row>
    <row r="271" spans="1:14" x14ac:dyDescent="0.35">
      <c r="A271" s="17" t="s">
        <v>101</v>
      </c>
      <c r="B271" s="3" t="str">
        <f>IF(ISBLANK(Table3[[#This Row],[Campaign_ID]]),"Invalid","Valid")</f>
        <v>Valid</v>
      </c>
      <c r="C271" s="3" t="str">
        <f>IF(COUNTA(Finance_Data!A267:R267)=18,"Valid","Missing")</f>
        <v>Valid</v>
      </c>
      <c r="D271" s="3" t="str">
        <f>IF(COUNTIF(Finance_Data!$T$2:$T$1001,Finance_Data!T267)&gt;1,"Duplicate","Valid")</f>
        <v>Valid</v>
      </c>
      <c r="E271" s="3" t="str">
        <f>IF(Finance_Data!H267&gt;Finance_Data!G267,"Valid","Invalid")</f>
        <v>Valid</v>
      </c>
      <c r="F271" s="3" t="str" cm="1">
        <f t="array" ref="F271">_xlfn.IFS(Finance_Data!S267&lt;7,"Short",Finance_Data!S267&lt;=30,"Normal",Finance_Data!S267&lt;=60,"Long",Finance_Data!S267&gt;60,"Very Long")</f>
        <v>Long</v>
      </c>
      <c r="G271" s="3" t="str">
        <f>IF(ABS(Finance_Data!I267*Finance_Data!J267)-Finance_Data!K267&lt;1,"Valid","Invalid")</f>
        <v>Valid</v>
      </c>
      <c r="H271" s="3" t="str">
        <f>IF(Finance_Data!L267&gt;0,"Valid","Invalid")</f>
        <v>Valid</v>
      </c>
      <c r="I271" s="3" t="str">
        <f>IF(Finance_Data!L267&gt;=Finance_Data!M267,"Valid","Invalid")</f>
        <v>Valid</v>
      </c>
      <c r="J271" s="3" t="str">
        <f>IF(AND(Finance_Data!I267&gt;=0,Finance_Data!K267&gt;=0),"Valid","Invalid")</f>
        <v>Valid</v>
      </c>
      <c r="K271" s="3" t="str">
        <f>IF(Finance_Data!N267&gt;=0,"Valid","Invalid")</f>
        <v>Valid</v>
      </c>
      <c r="L271" s="3" t="str">
        <f>IF(TEXT(Finance_Data!G267,"mmmm")=Finance_Data!P267,"Valid","Invalid")</f>
        <v>Valid</v>
      </c>
      <c r="M271" s="3" t="str">
        <f>IF("Q"&amp;ROUNDUP(MONTH(Finance_Data!G267)/3,0)=Finance_Data!Q267,"Valid","Invalid")</f>
        <v>Valid</v>
      </c>
      <c r="N271" s="7" t="str">
        <f t="shared" si="4"/>
        <v>Pass</v>
      </c>
    </row>
    <row r="272" spans="1:14" x14ac:dyDescent="0.35">
      <c r="A272" s="17" t="s">
        <v>75</v>
      </c>
      <c r="B272" s="3" t="str">
        <f>IF(ISBLANK(Table3[[#This Row],[Campaign_ID]]),"Invalid","Valid")</f>
        <v>Valid</v>
      </c>
      <c r="C272" s="3" t="str">
        <f>IF(COUNTA(Finance_Data!A268:R268)=18,"Valid","Missing")</f>
        <v>Valid</v>
      </c>
      <c r="D272" s="3" t="str">
        <f>IF(COUNTIF(Finance_Data!$T$2:$T$1001,Finance_Data!T268)&gt;1,"Duplicate","Valid")</f>
        <v>Valid</v>
      </c>
      <c r="E272" s="3" t="str">
        <f>IF(Finance_Data!H268&gt;Finance_Data!G268,"Valid","Invalid")</f>
        <v>Valid</v>
      </c>
      <c r="F272" s="3" t="str" cm="1">
        <f t="array" ref="F272">_xlfn.IFS(Finance_Data!S268&lt;7,"Short",Finance_Data!S268&lt;=30,"Normal",Finance_Data!S268&lt;=60,"Long",Finance_Data!S268&gt;60,"Very Long")</f>
        <v>Normal</v>
      </c>
      <c r="G272" s="3" t="str">
        <f>IF(ABS(Finance_Data!I268*Finance_Data!J268)-Finance_Data!K268&lt;1,"Valid","Invalid")</f>
        <v>Valid</v>
      </c>
      <c r="H272" s="3" t="str">
        <f>IF(Finance_Data!L268&gt;0,"Valid","Invalid")</f>
        <v>Valid</v>
      </c>
      <c r="I272" s="3" t="str">
        <f>IF(Finance_Data!L268&gt;=Finance_Data!M268,"Valid","Invalid")</f>
        <v>Valid</v>
      </c>
      <c r="J272" s="3" t="str">
        <f>IF(AND(Finance_Data!I268&gt;=0,Finance_Data!K268&gt;=0),"Valid","Invalid")</f>
        <v>Valid</v>
      </c>
      <c r="K272" s="3" t="str">
        <f>IF(Finance_Data!N268&gt;=0,"Valid","Invalid")</f>
        <v>Valid</v>
      </c>
      <c r="L272" s="3" t="str">
        <f>IF(TEXT(Finance_Data!G268,"mmmm")=Finance_Data!P268,"Valid","Invalid")</f>
        <v>Valid</v>
      </c>
      <c r="M272" s="3" t="str">
        <f>IF("Q"&amp;ROUNDUP(MONTH(Finance_Data!G268)/3,0)=Finance_Data!Q268,"Valid","Invalid")</f>
        <v>Valid</v>
      </c>
      <c r="N272" s="7" t="str">
        <f t="shared" si="4"/>
        <v>Pass</v>
      </c>
    </row>
    <row r="273" spans="1:14" x14ac:dyDescent="0.35">
      <c r="A273" s="17" t="s">
        <v>68</v>
      </c>
      <c r="B273" s="3" t="str">
        <f>IF(ISBLANK(Table3[[#This Row],[Campaign_ID]]),"Invalid","Valid")</f>
        <v>Valid</v>
      </c>
      <c r="C273" s="3" t="str">
        <f>IF(COUNTA(Finance_Data!A269:R269)=18,"Valid","Missing")</f>
        <v>Valid</v>
      </c>
      <c r="D273" s="3" t="str">
        <f>IF(COUNTIF(Finance_Data!$T$2:$T$1001,Finance_Data!T269)&gt;1,"Duplicate","Valid")</f>
        <v>Valid</v>
      </c>
      <c r="E273" s="3" t="str">
        <f>IF(Finance_Data!H269&gt;Finance_Data!G269,"Valid","Invalid")</f>
        <v>Valid</v>
      </c>
      <c r="F273" s="3" t="str" cm="1">
        <f t="array" ref="F273">_xlfn.IFS(Finance_Data!S269&lt;7,"Short",Finance_Data!S269&lt;=30,"Normal",Finance_Data!S269&lt;=60,"Long",Finance_Data!S269&gt;60,"Very Long")</f>
        <v>Normal</v>
      </c>
      <c r="G273" s="3" t="str">
        <f>IF(ABS(Finance_Data!I269*Finance_Data!J269)-Finance_Data!K269&lt;1,"Valid","Invalid")</f>
        <v>Valid</v>
      </c>
      <c r="H273" s="3" t="str">
        <f>IF(Finance_Data!L269&gt;0,"Valid","Invalid")</f>
        <v>Valid</v>
      </c>
      <c r="I273" s="3" t="str">
        <f>IF(Finance_Data!L269&gt;=Finance_Data!M269,"Valid","Invalid")</f>
        <v>Valid</v>
      </c>
      <c r="J273" s="3" t="str">
        <f>IF(AND(Finance_Data!I269&gt;=0,Finance_Data!K269&gt;=0),"Valid","Invalid")</f>
        <v>Valid</v>
      </c>
      <c r="K273" s="3" t="str">
        <f>IF(Finance_Data!N269&gt;=0,"Valid","Invalid")</f>
        <v>Valid</v>
      </c>
      <c r="L273" s="3" t="str">
        <f>IF(TEXT(Finance_Data!G269,"mmmm")=Finance_Data!P269,"Valid","Invalid")</f>
        <v>Valid</v>
      </c>
      <c r="M273" s="3" t="str">
        <f>IF("Q"&amp;ROUNDUP(MONTH(Finance_Data!G269)/3,0)=Finance_Data!Q269,"Valid","Invalid")</f>
        <v>Valid</v>
      </c>
      <c r="N273" s="7" t="str">
        <f t="shared" si="4"/>
        <v>Pass</v>
      </c>
    </row>
    <row r="274" spans="1:14" x14ac:dyDescent="0.35">
      <c r="A274" s="17" t="s">
        <v>77</v>
      </c>
      <c r="B274" s="3" t="str">
        <f>IF(ISBLANK(Table3[[#This Row],[Campaign_ID]]),"Invalid","Valid")</f>
        <v>Valid</v>
      </c>
      <c r="C274" s="3" t="str">
        <f>IF(COUNTA(Finance_Data!A270:R270)=18,"Valid","Missing")</f>
        <v>Valid</v>
      </c>
      <c r="D274" s="3" t="str">
        <f>IF(COUNTIF(Finance_Data!$T$2:$T$1001,Finance_Data!T270)&gt;1,"Duplicate","Valid")</f>
        <v>Valid</v>
      </c>
      <c r="E274" s="3" t="str">
        <f>IF(Finance_Data!H270&gt;Finance_Data!G270,"Valid","Invalid")</f>
        <v>Valid</v>
      </c>
      <c r="F274" s="3" t="str" cm="1">
        <f t="array" ref="F274">_xlfn.IFS(Finance_Data!S270&lt;7,"Short",Finance_Data!S270&lt;=30,"Normal",Finance_Data!S270&lt;=60,"Long",Finance_Data!S270&gt;60,"Very Long")</f>
        <v>Long</v>
      </c>
      <c r="G274" s="3" t="str">
        <f>IF(ABS(Finance_Data!I270*Finance_Data!J270)-Finance_Data!K270&lt;1,"Valid","Invalid")</f>
        <v>Valid</v>
      </c>
      <c r="H274" s="3" t="str">
        <f>IF(Finance_Data!L270&gt;0,"Valid","Invalid")</f>
        <v>Valid</v>
      </c>
      <c r="I274" s="3" t="str">
        <f>IF(Finance_Data!L270&gt;=Finance_Data!M270,"Valid","Invalid")</f>
        <v>Valid</v>
      </c>
      <c r="J274" s="3" t="str">
        <f>IF(AND(Finance_Data!I270&gt;=0,Finance_Data!K270&gt;=0),"Valid","Invalid")</f>
        <v>Valid</v>
      </c>
      <c r="K274" s="3" t="str">
        <f>IF(Finance_Data!N270&gt;=0,"Valid","Invalid")</f>
        <v>Valid</v>
      </c>
      <c r="L274" s="3" t="str">
        <f>IF(TEXT(Finance_Data!G270,"mmmm")=Finance_Data!P270,"Valid","Invalid")</f>
        <v>Valid</v>
      </c>
      <c r="M274" s="3" t="str">
        <f>IF("Q"&amp;ROUNDUP(MONTH(Finance_Data!G270)/3,0)=Finance_Data!Q270,"Valid","Invalid")</f>
        <v>Valid</v>
      </c>
      <c r="N274" s="7" t="str">
        <f t="shared" si="4"/>
        <v>Pass</v>
      </c>
    </row>
    <row r="275" spans="1:14" x14ac:dyDescent="0.35">
      <c r="A275" s="17" t="s">
        <v>101</v>
      </c>
      <c r="B275" s="3" t="str">
        <f>IF(ISBLANK(Table3[[#This Row],[Campaign_ID]]),"Invalid","Valid")</f>
        <v>Valid</v>
      </c>
      <c r="C275" s="3" t="str">
        <f>IF(COUNTA(Finance_Data!A271:R271)=18,"Valid","Missing")</f>
        <v>Valid</v>
      </c>
      <c r="D275" s="3" t="str">
        <f>IF(COUNTIF(Finance_Data!$T$2:$T$1001,Finance_Data!T271)&gt;1,"Duplicate","Valid")</f>
        <v>Valid</v>
      </c>
      <c r="E275" s="3" t="str">
        <f>IF(Finance_Data!H271&gt;Finance_Data!G271,"Valid","Invalid")</f>
        <v>Valid</v>
      </c>
      <c r="F275" s="3" t="str" cm="1">
        <f t="array" ref="F275">_xlfn.IFS(Finance_Data!S271&lt;7,"Short",Finance_Data!S271&lt;=30,"Normal",Finance_Data!S271&lt;=60,"Long",Finance_Data!S271&gt;60,"Very Long")</f>
        <v>Long</v>
      </c>
      <c r="G275" s="3" t="str">
        <f>IF(ABS(Finance_Data!I271*Finance_Data!J271)-Finance_Data!K271&lt;1,"Valid","Invalid")</f>
        <v>Valid</v>
      </c>
      <c r="H275" s="3" t="str">
        <f>IF(Finance_Data!L271&gt;0,"Valid","Invalid")</f>
        <v>Valid</v>
      </c>
      <c r="I275" s="3" t="str">
        <f>IF(Finance_Data!L271&gt;=Finance_Data!M271,"Valid","Invalid")</f>
        <v>Valid</v>
      </c>
      <c r="J275" s="3" t="str">
        <f>IF(AND(Finance_Data!I271&gt;=0,Finance_Data!K271&gt;=0),"Valid","Invalid")</f>
        <v>Valid</v>
      </c>
      <c r="K275" s="3" t="str">
        <f>IF(Finance_Data!N271&gt;=0,"Valid","Invalid")</f>
        <v>Valid</v>
      </c>
      <c r="L275" s="3" t="str">
        <f>IF(TEXT(Finance_Data!G271,"mmmm")=Finance_Data!P271,"Valid","Invalid")</f>
        <v>Valid</v>
      </c>
      <c r="M275" s="3" t="str">
        <f>IF("Q"&amp;ROUNDUP(MONTH(Finance_Data!G271)/3,0)=Finance_Data!Q271,"Valid","Invalid")</f>
        <v>Valid</v>
      </c>
      <c r="N275" s="7" t="str">
        <f t="shared" si="4"/>
        <v>Pass</v>
      </c>
    </row>
    <row r="276" spans="1:14" x14ac:dyDescent="0.35">
      <c r="A276" s="17" t="s">
        <v>18</v>
      </c>
      <c r="B276" s="3" t="str">
        <f>IF(ISBLANK(Table3[[#This Row],[Campaign_ID]]),"Invalid","Valid")</f>
        <v>Valid</v>
      </c>
      <c r="C276" s="3" t="str">
        <f>IF(COUNTA(Finance_Data!A272:R272)=18,"Valid","Missing")</f>
        <v>Valid</v>
      </c>
      <c r="D276" s="3" t="str">
        <f>IF(COUNTIF(Finance_Data!$T$2:$T$1001,Finance_Data!T272)&gt;1,"Duplicate","Valid")</f>
        <v>Valid</v>
      </c>
      <c r="E276" s="3" t="str">
        <f>IF(Finance_Data!H272&gt;Finance_Data!G272,"Valid","Invalid")</f>
        <v>Valid</v>
      </c>
      <c r="F276" s="3" t="str" cm="1">
        <f t="array" ref="F276">_xlfn.IFS(Finance_Data!S272&lt;7,"Short",Finance_Data!S272&lt;=30,"Normal",Finance_Data!S272&lt;=60,"Long",Finance_Data!S272&gt;60,"Very Long")</f>
        <v>Very Long</v>
      </c>
      <c r="G276" s="3" t="str">
        <f>IF(ABS(Finance_Data!I272*Finance_Data!J272)-Finance_Data!K272&lt;1,"Valid","Invalid")</f>
        <v>Valid</v>
      </c>
      <c r="H276" s="3" t="str">
        <f>IF(Finance_Data!L272&gt;0,"Valid","Invalid")</f>
        <v>Valid</v>
      </c>
      <c r="I276" s="3" t="str">
        <f>IF(Finance_Data!L272&gt;=Finance_Data!M272,"Valid","Invalid")</f>
        <v>Valid</v>
      </c>
      <c r="J276" s="3" t="str">
        <f>IF(AND(Finance_Data!I272&gt;=0,Finance_Data!K272&gt;=0),"Valid","Invalid")</f>
        <v>Valid</v>
      </c>
      <c r="K276" s="3" t="str">
        <f>IF(Finance_Data!N272&gt;=0,"Valid","Invalid")</f>
        <v>Valid</v>
      </c>
      <c r="L276" s="3" t="str">
        <f>IF(TEXT(Finance_Data!G272,"mmmm")=Finance_Data!P272,"Valid","Invalid")</f>
        <v>Valid</v>
      </c>
      <c r="M276" s="3" t="str">
        <f>IF("Q"&amp;ROUNDUP(MONTH(Finance_Data!G272)/3,0)=Finance_Data!Q272,"Valid","Invalid")</f>
        <v>Valid</v>
      </c>
      <c r="N276" s="7" t="str">
        <f t="shared" si="4"/>
        <v>Pass</v>
      </c>
    </row>
    <row r="277" spans="1:14" x14ac:dyDescent="0.35">
      <c r="A277" s="17" t="s">
        <v>84</v>
      </c>
      <c r="B277" s="3" t="str">
        <f>IF(ISBLANK(Table3[[#This Row],[Campaign_ID]]),"Invalid","Valid")</f>
        <v>Valid</v>
      </c>
      <c r="C277" s="3" t="str">
        <f>IF(COUNTA(Finance_Data!A273:R273)=18,"Valid","Missing")</f>
        <v>Valid</v>
      </c>
      <c r="D277" s="3" t="str">
        <f>IF(COUNTIF(Finance_Data!$T$2:$T$1001,Finance_Data!T273)&gt;1,"Duplicate","Valid")</f>
        <v>Valid</v>
      </c>
      <c r="E277" s="3" t="str">
        <f>IF(Finance_Data!H273&gt;Finance_Data!G273,"Valid","Invalid")</f>
        <v>Valid</v>
      </c>
      <c r="F277" s="3" t="str" cm="1">
        <f t="array" ref="F277">_xlfn.IFS(Finance_Data!S273&lt;7,"Short",Finance_Data!S273&lt;=30,"Normal",Finance_Data!S273&lt;=60,"Long",Finance_Data!S273&gt;60,"Very Long")</f>
        <v>Very Long</v>
      </c>
      <c r="G277" s="3" t="str">
        <f>IF(ABS(Finance_Data!I273*Finance_Data!J273)-Finance_Data!K273&lt;1,"Valid","Invalid")</f>
        <v>Valid</v>
      </c>
      <c r="H277" s="3" t="str">
        <f>IF(Finance_Data!L273&gt;0,"Valid","Invalid")</f>
        <v>Valid</v>
      </c>
      <c r="I277" s="3" t="str">
        <f>IF(Finance_Data!L273&gt;=Finance_Data!M273,"Valid","Invalid")</f>
        <v>Valid</v>
      </c>
      <c r="J277" s="3" t="str">
        <f>IF(AND(Finance_Data!I273&gt;=0,Finance_Data!K273&gt;=0),"Valid","Invalid")</f>
        <v>Valid</v>
      </c>
      <c r="K277" s="3" t="str">
        <f>IF(Finance_Data!N273&gt;=0,"Valid","Invalid")</f>
        <v>Valid</v>
      </c>
      <c r="L277" s="3" t="str">
        <f>IF(TEXT(Finance_Data!G273,"mmmm")=Finance_Data!P273,"Valid","Invalid")</f>
        <v>Valid</v>
      </c>
      <c r="M277" s="3" t="str">
        <f>IF("Q"&amp;ROUNDUP(MONTH(Finance_Data!G273)/3,0)=Finance_Data!Q273,"Valid","Invalid")</f>
        <v>Valid</v>
      </c>
      <c r="N277" s="7" t="str">
        <f t="shared" si="4"/>
        <v>Pass</v>
      </c>
    </row>
    <row r="278" spans="1:14" x14ac:dyDescent="0.35">
      <c r="A278" s="17" t="s">
        <v>71</v>
      </c>
      <c r="B278" s="3" t="str">
        <f>IF(ISBLANK(Table3[[#This Row],[Campaign_ID]]),"Invalid","Valid")</f>
        <v>Valid</v>
      </c>
      <c r="C278" s="3" t="str">
        <f>IF(COUNTA(Finance_Data!A274:R274)=18,"Valid","Missing")</f>
        <v>Valid</v>
      </c>
      <c r="D278" s="3" t="str">
        <f>IF(COUNTIF(Finance_Data!$T$2:$T$1001,Finance_Data!T274)&gt;1,"Duplicate","Valid")</f>
        <v>Valid</v>
      </c>
      <c r="E278" s="3" t="str">
        <f>IF(Finance_Data!H274&gt;Finance_Data!G274,"Valid","Invalid")</f>
        <v>Valid</v>
      </c>
      <c r="F278" s="3" t="str" cm="1">
        <f t="array" ref="F278">_xlfn.IFS(Finance_Data!S274&lt;7,"Short",Finance_Data!S274&lt;=30,"Normal",Finance_Data!S274&lt;=60,"Long",Finance_Data!S274&gt;60,"Very Long")</f>
        <v>Long</v>
      </c>
      <c r="G278" s="3" t="str">
        <f>IF(ABS(Finance_Data!I274*Finance_Data!J274)-Finance_Data!K274&lt;1,"Valid","Invalid")</f>
        <v>Valid</v>
      </c>
      <c r="H278" s="3" t="str">
        <f>IF(Finance_Data!L274&gt;0,"Valid","Invalid")</f>
        <v>Valid</v>
      </c>
      <c r="I278" s="3" t="str">
        <f>IF(Finance_Data!L274&gt;=Finance_Data!M274,"Valid","Invalid")</f>
        <v>Valid</v>
      </c>
      <c r="J278" s="3" t="str">
        <f>IF(AND(Finance_Data!I274&gt;=0,Finance_Data!K274&gt;=0),"Valid","Invalid")</f>
        <v>Valid</v>
      </c>
      <c r="K278" s="3" t="str">
        <f>IF(Finance_Data!N274&gt;=0,"Valid","Invalid")</f>
        <v>Valid</v>
      </c>
      <c r="L278" s="3" t="str">
        <f>IF(TEXT(Finance_Data!G274,"mmmm")=Finance_Data!P274,"Valid","Invalid")</f>
        <v>Valid</v>
      </c>
      <c r="M278" s="3" t="str">
        <f>IF("Q"&amp;ROUNDUP(MONTH(Finance_Data!G274)/3,0)=Finance_Data!Q274,"Valid","Invalid")</f>
        <v>Valid</v>
      </c>
      <c r="N278" s="7" t="str">
        <f t="shared" si="4"/>
        <v>Pass</v>
      </c>
    </row>
    <row r="279" spans="1:14" x14ac:dyDescent="0.35">
      <c r="A279" s="17" t="s">
        <v>117</v>
      </c>
      <c r="B279" s="3" t="str">
        <f>IF(ISBLANK(Table3[[#This Row],[Campaign_ID]]),"Invalid","Valid")</f>
        <v>Valid</v>
      </c>
      <c r="C279" s="3" t="str">
        <f>IF(COUNTA(Finance_Data!A275:R275)=18,"Valid","Missing")</f>
        <v>Valid</v>
      </c>
      <c r="D279" s="3" t="str">
        <f>IF(COUNTIF(Finance_Data!$T$2:$T$1001,Finance_Data!T275)&gt;1,"Duplicate","Valid")</f>
        <v>Valid</v>
      </c>
      <c r="E279" s="3" t="str">
        <f>IF(Finance_Data!H275&gt;Finance_Data!G275,"Valid","Invalid")</f>
        <v>Valid</v>
      </c>
      <c r="F279" s="3" t="str" cm="1">
        <f t="array" ref="F279">_xlfn.IFS(Finance_Data!S275&lt;7,"Short",Finance_Data!S275&lt;=30,"Normal",Finance_Data!S275&lt;=60,"Long",Finance_Data!S275&gt;60,"Very Long")</f>
        <v>Long</v>
      </c>
      <c r="G279" s="3" t="str">
        <f>IF(ABS(Finance_Data!I275*Finance_Data!J275)-Finance_Data!K275&lt;1,"Valid","Invalid")</f>
        <v>Valid</v>
      </c>
      <c r="H279" s="3" t="str">
        <f>IF(Finance_Data!L275&gt;0,"Valid","Invalid")</f>
        <v>Valid</v>
      </c>
      <c r="I279" s="3" t="str">
        <f>IF(Finance_Data!L275&gt;=Finance_Data!M275,"Valid","Invalid")</f>
        <v>Valid</v>
      </c>
      <c r="J279" s="3" t="str">
        <f>IF(AND(Finance_Data!I275&gt;=0,Finance_Data!K275&gt;=0),"Valid","Invalid")</f>
        <v>Valid</v>
      </c>
      <c r="K279" s="3" t="str">
        <f>IF(Finance_Data!N275&gt;=0,"Valid","Invalid")</f>
        <v>Valid</v>
      </c>
      <c r="L279" s="3" t="str">
        <f>IF(TEXT(Finance_Data!G275,"mmmm")=Finance_Data!P275,"Valid","Invalid")</f>
        <v>Valid</v>
      </c>
      <c r="M279" s="3" t="str">
        <f>IF("Q"&amp;ROUNDUP(MONTH(Finance_Data!G275)/3,0)=Finance_Data!Q275,"Valid","Invalid")</f>
        <v>Valid</v>
      </c>
      <c r="N279" s="7" t="str">
        <f t="shared" si="4"/>
        <v>Pass</v>
      </c>
    </row>
    <row r="280" spans="1:14" x14ac:dyDescent="0.35">
      <c r="A280" s="17" t="s">
        <v>120</v>
      </c>
      <c r="B280" s="3" t="str">
        <f>IF(ISBLANK(Table3[[#This Row],[Campaign_ID]]),"Invalid","Valid")</f>
        <v>Valid</v>
      </c>
      <c r="C280" s="3" t="str">
        <f>IF(COUNTA(Finance_Data!A276:R276)=18,"Valid","Missing")</f>
        <v>Valid</v>
      </c>
      <c r="D280" s="3" t="str">
        <f>IF(COUNTIF(Finance_Data!$T$2:$T$1001,Finance_Data!T276)&gt;1,"Duplicate","Valid")</f>
        <v>Valid</v>
      </c>
      <c r="E280" s="3" t="str">
        <f>IF(Finance_Data!H276&gt;Finance_Data!G276,"Valid","Invalid")</f>
        <v>Valid</v>
      </c>
      <c r="F280" s="3" t="str" cm="1">
        <f t="array" ref="F280">_xlfn.IFS(Finance_Data!S276&lt;7,"Short",Finance_Data!S276&lt;=30,"Normal",Finance_Data!S276&lt;=60,"Long",Finance_Data!S276&gt;60,"Very Long")</f>
        <v>Long</v>
      </c>
      <c r="G280" s="3" t="str">
        <f>IF(ABS(Finance_Data!I276*Finance_Data!J276)-Finance_Data!K276&lt;1,"Valid","Invalid")</f>
        <v>Valid</v>
      </c>
      <c r="H280" s="3" t="str">
        <f>IF(Finance_Data!L276&gt;0,"Valid","Invalid")</f>
        <v>Valid</v>
      </c>
      <c r="I280" s="3" t="str">
        <f>IF(Finance_Data!L276&gt;=Finance_Data!M276,"Valid","Invalid")</f>
        <v>Valid</v>
      </c>
      <c r="J280" s="3" t="str">
        <f>IF(AND(Finance_Data!I276&gt;=0,Finance_Data!K276&gt;=0),"Valid","Invalid")</f>
        <v>Valid</v>
      </c>
      <c r="K280" s="3" t="str">
        <f>IF(Finance_Data!N276&gt;=0,"Valid","Invalid")</f>
        <v>Valid</v>
      </c>
      <c r="L280" s="3" t="str">
        <f>IF(TEXT(Finance_Data!G276,"mmmm")=Finance_Data!P276,"Valid","Invalid")</f>
        <v>Valid</v>
      </c>
      <c r="M280" s="3" t="str">
        <f>IF("Q"&amp;ROUNDUP(MONTH(Finance_Data!G276)/3,0)=Finance_Data!Q276,"Valid","Invalid")</f>
        <v>Valid</v>
      </c>
      <c r="N280" s="7" t="str">
        <f t="shared" si="4"/>
        <v>Pass</v>
      </c>
    </row>
    <row r="281" spans="1:14" x14ac:dyDescent="0.35">
      <c r="A281" s="17" t="s">
        <v>97</v>
      </c>
      <c r="B281" s="3" t="str">
        <f>IF(ISBLANK(Table3[[#This Row],[Campaign_ID]]),"Invalid","Valid")</f>
        <v>Valid</v>
      </c>
      <c r="C281" s="3" t="str">
        <f>IF(COUNTA(Finance_Data!A277:R277)=18,"Valid","Missing")</f>
        <v>Valid</v>
      </c>
      <c r="D281" s="3" t="str">
        <f>IF(COUNTIF(Finance_Data!$T$2:$T$1001,Finance_Data!T277)&gt;1,"Duplicate","Valid")</f>
        <v>Valid</v>
      </c>
      <c r="E281" s="3" t="str">
        <f>IF(Finance_Data!H277&gt;Finance_Data!G277,"Valid","Invalid")</f>
        <v>Valid</v>
      </c>
      <c r="F281" s="3" t="str" cm="1">
        <f t="array" ref="F281">_xlfn.IFS(Finance_Data!S277&lt;7,"Short",Finance_Data!S277&lt;=30,"Normal",Finance_Data!S277&lt;=60,"Long",Finance_Data!S277&gt;60,"Very Long")</f>
        <v>Long</v>
      </c>
      <c r="G281" s="3" t="str">
        <f>IF(ABS(Finance_Data!I277*Finance_Data!J277)-Finance_Data!K277&lt;1,"Valid","Invalid")</f>
        <v>Valid</v>
      </c>
      <c r="H281" s="3" t="str">
        <f>IF(Finance_Data!L277&gt;0,"Valid","Invalid")</f>
        <v>Valid</v>
      </c>
      <c r="I281" s="3" t="str">
        <f>IF(Finance_Data!L277&gt;=Finance_Data!M277,"Valid","Invalid")</f>
        <v>Valid</v>
      </c>
      <c r="J281" s="3" t="str">
        <f>IF(AND(Finance_Data!I277&gt;=0,Finance_Data!K277&gt;=0),"Valid","Invalid")</f>
        <v>Valid</v>
      </c>
      <c r="K281" s="3" t="str">
        <f>IF(Finance_Data!N277&gt;=0,"Valid","Invalid")</f>
        <v>Valid</v>
      </c>
      <c r="L281" s="3" t="str">
        <f>IF(TEXT(Finance_Data!G277,"mmmm")=Finance_Data!P277,"Valid","Invalid")</f>
        <v>Valid</v>
      </c>
      <c r="M281" s="3" t="str">
        <f>IF("Q"&amp;ROUNDUP(MONTH(Finance_Data!G277)/3,0)=Finance_Data!Q277,"Valid","Invalid")</f>
        <v>Valid</v>
      </c>
      <c r="N281" s="7" t="str">
        <f t="shared" si="4"/>
        <v>Pass</v>
      </c>
    </row>
    <row r="282" spans="1:14" x14ac:dyDescent="0.35">
      <c r="A282" s="17" t="s">
        <v>72</v>
      </c>
      <c r="B282" s="3" t="str">
        <f>IF(ISBLANK(Table3[[#This Row],[Campaign_ID]]),"Invalid","Valid")</f>
        <v>Valid</v>
      </c>
      <c r="C282" s="3" t="str">
        <f>IF(COUNTA(Finance_Data!A278:R278)=18,"Valid","Missing")</f>
        <v>Valid</v>
      </c>
      <c r="D282" s="3" t="str">
        <f>IF(COUNTIF(Finance_Data!$T$2:$T$1001,Finance_Data!T278)&gt;1,"Duplicate","Valid")</f>
        <v>Valid</v>
      </c>
      <c r="E282" s="3" t="str">
        <f>IF(Finance_Data!H278&gt;Finance_Data!G278,"Valid","Invalid")</f>
        <v>Valid</v>
      </c>
      <c r="F282" s="3" t="str" cm="1">
        <f t="array" ref="F282">_xlfn.IFS(Finance_Data!S278&lt;7,"Short",Finance_Data!S278&lt;=30,"Normal",Finance_Data!S278&lt;=60,"Long",Finance_Data!S278&gt;60,"Very Long")</f>
        <v>Short</v>
      </c>
      <c r="G282" s="3" t="str">
        <f>IF(ABS(Finance_Data!I278*Finance_Data!J278)-Finance_Data!K278&lt;1,"Valid","Invalid")</f>
        <v>Valid</v>
      </c>
      <c r="H282" s="3" t="str">
        <f>IF(Finance_Data!L278&gt;0,"Valid","Invalid")</f>
        <v>Valid</v>
      </c>
      <c r="I282" s="3" t="str">
        <f>IF(Finance_Data!L278&gt;=Finance_Data!M278,"Valid","Invalid")</f>
        <v>Valid</v>
      </c>
      <c r="J282" s="3" t="str">
        <f>IF(AND(Finance_Data!I278&gt;=0,Finance_Data!K278&gt;=0),"Valid","Invalid")</f>
        <v>Valid</v>
      </c>
      <c r="K282" s="3" t="str">
        <f>IF(Finance_Data!N278&gt;=0,"Valid","Invalid")</f>
        <v>Valid</v>
      </c>
      <c r="L282" s="3" t="str">
        <f>IF(TEXT(Finance_Data!G278,"mmmm")=Finance_Data!P278,"Valid","Invalid")</f>
        <v>Valid</v>
      </c>
      <c r="M282" s="3" t="str">
        <f>IF("Q"&amp;ROUNDUP(MONTH(Finance_Data!G278)/3,0)=Finance_Data!Q278,"Valid","Invalid")</f>
        <v>Valid</v>
      </c>
      <c r="N282" s="7" t="str">
        <f t="shared" si="4"/>
        <v>Pass</v>
      </c>
    </row>
    <row r="283" spans="1:14" x14ac:dyDescent="0.35">
      <c r="A283" s="17" t="s">
        <v>71</v>
      </c>
      <c r="B283" s="3" t="str">
        <f>IF(ISBLANK(Table3[[#This Row],[Campaign_ID]]),"Invalid","Valid")</f>
        <v>Valid</v>
      </c>
      <c r="C283" s="3" t="str">
        <f>IF(COUNTA(Finance_Data!A279:R279)=18,"Valid","Missing")</f>
        <v>Valid</v>
      </c>
      <c r="D283" s="3" t="str">
        <f>IF(COUNTIF(Finance_Data!$T$2:$T$1001,Finance_Data!T279)&gt;1,"Duplicate","Valid")</f>
        <v>Valid</v>
      </c>
      <c r="E283" s="3" t="str">
        <f>IF(Finance_Data!H279&gt;Finance_Data!G279,"Valid","Invalid")</f>
        <v>Valid</v>
      </c>
      <c r="F283" s="3" t="str" cm="1">
        <f t="array" ref="F283">_xlfn.IFS(Finance_Data!S279&lt;7,"Short",Finance_Data!S279&lt;=30,"Normal",Finance_Data!S279&lt;=60,"Long",Finance_Data!S279&gt;60,"Very Long")</f>
        <v>Long</v>
      </c>
      <c r="G283" s="3" t="str">
        <f>IF(ABS(Finance_Data!I279*Finance_Data!J279)-Finance_Data!K279&lt;1,"Valid","Invalid")</f>
        <v>Valid</v>
      </c>
      <c r="H283" s="3" t="str">
        <f>IF(Finance_Data!L279&gt;0,"Valid","Invalid")</f>
        <v>Valid</v>
      </c>
      <c r="I283" s="3" t="str">
        <f>IF(Finance_Data!L279&gt;=Finance_Data!M279,"Valid","Invalid")</f>
        <v>Valid</v>
      </c>
      <c r="J283" s="3" t="str">
        <f>IF(AND(Finance_Data!I279&gt;=0,Finance_Data!K279&gt;=0),"Valid","Invalid")</f>
        <v>Valid</v>
      </c>
      <c r="K283" s="3" t="str">
        <f>IF(Finance_Data!N279&gt;=0,"Valid","Invalid")</f>
        <v>Valid</v>
      </c>
      <c r="L283" s="3" t="str">
        <f>IF(TEXT(Finance_Data!G279,"mmmm")=Finance_Data!P279,"Valid","Invalid")</f>
        <v>Valid</v>
      </c>
      <c r="M283" s="3" t="str">
        <f>IF("Q"&amp;ROUNDUP(MONTH(Finance_Data!G279)/3,0)=Finance_Data!Q279,"Valid","Invalid")</f>
        <v>Valid</v>
      </c>
      <c r="N283" s="7" t="str">
        <f t="shared" si="4"/>
        <v>Pass</v>
      </c>
    </row>
    <row r="284" spans="1:14" x14ac:dyDescent="0.35">
      <c r="A284" s="17" t="s">
        <v>72</v>
      </c>
      <c r="B284" s="3" t="str">
        <f>IF(ISBLANK(Table3[[#This Row],[Campaign_ID]]),"Invalid","Valid")</f>
        <v>Valid</v>
      </c>
      <c r="C284" s="3" t="str">
        <f>IF(COUNTA(Finance_Data!A280:R280)=18,"Valid","Missing")</f>
        <v>Valid</v>
      </c>
      <c r="D284" s="3" t="str">
        <f>IF(COUNTIF(Finance_Data!$T$2:$T$1001,Finance_Data!T280)&gt;1,"Duplicate","Valid")</f>
        <v>Valid</v>
      </c>
      <c r="E284" s="3" t="str">
        <f>IF(Finance_Data!H280&gt;Finance_Data!G280,"Valid","Invalid")</f>
        <v>Valid</v>
      </c>
      <c r="F284" s="3" t="str" cm="1">
        <f t="array" ref="F284">_xlfn.IFS(Finance_Data!S280&lt;7,"Short",Finance_Data!S280&lt;=30,"Normal",Finance_Data!S280&lt;=60,"Long",Finance_Data!S280&gt;60,"Very Long")</f>
        <v>Normal</v>
      </c>
      <c r="G284" s="3" t="str">
        <f>IF(ABS(Finance_Data!I280*Finance_Data!J280)-Finance_Data!K280&lt;1,"Valid","Invalid")</f>
        <v>Valid</v>
      </c>
      <c r="H284" s="3" t="str">
        <f>IF(Finance_Data!L280&gt;0,"Valid","Invalid")</f>
        <v>Valid</v>
      </c>
      <c r="I284" s="3" t="str">
        <f>IF(Finance_Data!L280&gt;=Finance_Data!M280,"Valid","Invalid")</f>
        <v>Valid</v>
      </c>
      <c r="J284" s="3" t="str">
        <f>IF(AND(Finance_Data!I280&gt;=0,Finance_Data!K280&gt;=0),"Valid","Invalid")</f>
        <v>Valid</v>
      </c>
      <c r="K284" s="3" t="str">
        <f>IF(Finance_Data!N280&gt;=0,"Valid","Invalid")</f>
        <v>Valid</v>
      </c>
      <c r="L284" s="3" t="str">
        <f>IF(TEXT(Finance_Data!G280,"mmmm")=Finance_Data!P280,"Valid","Invalid")</f>
        <v>Valid</v>
      </c>
      <c r="M284" s="3" t="str">
        <f>IF("Q"&amp;ROUNDUP(MONTH(Finance_Data!G280)/3,0)=Finance_Data!Q280,"Valid","Invalid")</f>
        <v>Valid</v>
      </c>
      <c r="N284" s="7" t="str">
        <f t="shared" si="4"/>
        <v>Pass</v>
      </c>
    </row>
    <row r="285" spans="1:14" x14ac:dyDescent="0.35">
      <c r="A285" s="17" t="s">
        <v>111</v>
      </c>
      <c r="B285" s="3" t="str">
        <f>IF(ISBLANK(Table3[[#This Row],[Campaign_ID]]),"Invalid","Valid")</f>
        <v>Valid</v>
      </c>
      <c r="C285" s="3" t="str">
        <f>IF(COUNTA(Finance_Data!A281:R281)=18,"Valid","Missing")</f>
        <v>Valid</v>
      </c>
      <c r="D285" s="3" t="str">
        <f>IF(COUNTIF(Finance_Data!$T$2:$T$1001,Finance_Data!T281)&gt;1,"Duplicate","Valid")</f>
        <v>Valid</v>
      </c>
      <c r="E285" s="3" t="str">
        <f>IF(Finance_Data!H281&gt;Finance_Data!G281,"Valid","Invalid")</f>
        <v>Valid</v>
      </c>
      <c r="F285" s="3" t="str" cm="1">
        <f t="array" ref="F285">_xlfn.IFS(Finance_Data!S281&lt;7,"Short",Finance_Data!S281&lt;=30,"Normal",Finance_Data!S281&lt;=60,"Long",Finance_Data!S281&gt;60,"Very Long")</f>
        <v>Normal</v>
      </c>
      <c r="G285" s="3" t="str">
        <f>IF(ABS(Finance_Data!I281*Finance_Data!J281)-Finance_Data!K281&lt;1,"Valid","Invalid")</f>
        <v>Valid</v>
      </c>
      <c r="H285" s="3" t="str">
        <f>IF(Finance_Data!L281&gt;0,"Valid","Invalid")</f>
        <v>Valid</v>
      </c>
      <c r="I285" s="3" t="str">
        <f>IF(Finance_Data!L281&gt;=Finance_Data!M281,"Valid","Invalid")</f>
        <v>Valid</v>
      </c>
      <c r="J285" s="3" t="str">
        <f>IF(AND(Finance_Data!I281&gt;=0,Finance_Data!K281&gt;=0),"Valid","Invalid")</f>
        <v>Valid</v>
      </c>
      <c r="K285" s="3" t="str">
        <f>IF(Finance_Data!N281&gt;=0,"Valid","Invalid")</f>
        <v>Valid</v>
      </c>
      <c r="L285" s="3" t="str">
        <f>IF(TEXT(Finance_Data!G281,"mmmm")=Finance_Data!P281,"Valid","Invalid")</f>
        <v>Valid</v>
      </c>
      <c r="M285" s="3" t="str">
        <f>IF("Q"&amp;ROUNDUP(MONTH(Finance_Data!G281)/3,0)=Finance_Data!Q281,"Valid","Invalid")</f>
        <v>Valid</v>
      </c>
      <c r="N285" s="7" t="str">
        <f t="shared" si="4"/>
        <v>Pass</v>
      </c>
    </row>
    <row r="286" spans="1:14" x14ac:dyDescent="0.35">
      <c r="A286" s="17" t="s">
        <v>34</v>
      </c>
      <c r="B286" s="3" t="str">
        <f>IF(ISBLANK(Table3[[#This Row],[Campaign_ID]]),"Invalid","Valid")</f>
        <v>Valid</v>
      </c>
      <c r="C286" s="3" t="str">
        <f>IF(COUNTA(Finance_Data!A282:R282)=18,"Valid","Missing")</f>
        <v>Valid</v>
      </c>
      <c r="D286" s="3" t="str">
        <f>IF(COUNTIF(Finance_Data!$T$2:$T$1001,Finance_Data!T282)&gt;1,"Duplicate","Valid")</f>
        <v>Valid</v>
      </c>
      <c r="E286" s="3" t="str">
        <f>IF(Finance_Data!H282&gt;Finance_Data!G282,"Valid","Invalid")</f>
        <v>Valid</v>
      </c>
      <c r="F286" s="3" t="str" cm="1">
        <f t="array" ref="F286">_xlfn.IFS(Finance_Data!S282&lt;7,"Short",Finance_Data!S282&lt;=30,"Normal",Finance_Data!S282&lt;=60,"Long",Finance_Data!S282&gt;60,"Very Long")</f>
        <v>Long</v>
      </c>
      <c r="G286" s="3" t="str">
        <f>IF(ABS(Finance_Data!I282*Finance_Data!J282)-Finance_Data!K282&lt;1,"Valid","Invalid")</f>
        <v>Valid</v>
      </c>
      <c r="H286" s="3" t="str">
        <f>IF(Finance_Data!L282&gt;0,"Valid","Invalid")</f>
        <v>Valid</v>
      </c>
      <c r="I286" s="3" t="str">
        <f>IF(Finance_Data!L282&gt;=Finance_Data!M282,"Valid","Invalid")</f>
        <v>Valid</v>
      </c>
      <c r="J286" s="3" t="str">
        <f>IF(AND(Finance_Data!I282&gt;=0,Finance_Data!K282&gt;=0),"Valid","Invalid")</f>
        <v>Valid</v>
      </c>
      <c r="K286" s="3" t="str">
        <f>IF(Finance_Data!N282&gt;=0,"Valid","Invalid")</f>
        <v>Valid</v>
      </c>
      <c r="L286" s="3" t="str">
        <f>IF(TEXT(Finance_Data!G282,"mmmm")=Finance_Data!P282,"Valid","Invalid")</f>
        <v>Valid</v>
      </c>
      <c r="M286" s="3" t="str">
        <f>IF("Q"&amp;ROUNDUP(MONTH(Finance_Data!G282)/3,0)=Finance_Data!Q282,"Valid","Invalid")</f>
        <v>Valid</v>
      </c>
      <c r="N286" s="7" t="str">
        <f t="shared" si="4"/>
        <v>Pass</v>
      </c>
    </row>
    <row r="287" spans="1:14" x14ac:dyDescent="0.35">
      <c r="A287" s="17" t="s">
        <v>27</v>
      </c>
      <c r="B287" s="3" t="str">
        <f>IF(ISBLANK(Table3[[#This Row],[Campaign_ID]]),"Invalid","Valid")</f>
        <v>Valid</v>
      </c>
      <c r="C287" s="3" t="str">
        <f>IF(COUNTA(Finance_Data!A283:R283)=18,"Valid","Missing")</f>
        <v>Valid</v>
      </c>
      <c r="D287" s="3" t="str">
        <f>IF(COUNTIF(Finance_Data!$T$2:$T$1001,Finance_Data!T283)&gt;1,"Duplicate","Valid")</f>
        <v>Valid</v>
      </c>
      <c r="E287" s="3" t="str">
        <f>IF(Finance_Data!H283&gt;Finance_Data!G283,"Valid","Invalid")</f>
        <v>Valid</v>
      </c>
      <c r="F287" s="3" t="str" cm="1">
        <f t="array" ref="F287">_xlfn.IFS(Finance_Data!S283&lt;7,"Short",Finance_Data!S283&lt;=30,"Normal",Finance_Data!S283&lt;=60,"Long",Finance_Data!S283&gt;60,"Very Long")</f>
        <v>Normal</v>
      </c>
      <c r="G287" s="3" t="str">
        <f>IF(ABS(Finance_Data!I283*Finance_Data!J283)-Finance_Data!K283&lt;1,"Valid","Invalid")</f>
        <v>Valid</v>
      </c>
      <c r="H287" s="3" t="str">
        <f>IF(Finance_Data!L283&gt;0,"Valid","Invalid")</f>
        <v>Valid</v>
      </c>
      <c r="I287" s="3" t="str">
        <f>IF(Finance_Data!L283&gt;=Finance_Data!M283,"Valid","Invalid")</f>
        <v>Valid</v>
      </c>
      <c r="J287" s="3" t="str">
        <f>IF(AND(Finance_Data!I283&gt;=0,Finance_Data!K283&gt;=0),"Valid","Invalid")</f>
        <v>Valid</v>
      </c>
      <c r="K287" s="3" t="str">
        <f>IF(Finance_Data!N283&gt;=0,"Valid","Invalid")</f>
        <v>Valid</v>
      </c>
      <c r="L287" s="3" t="str">
        <f>IF(TEXT(Finance_Data!G283,"mmmm")=Finance_Data!P283,"Valid","Invalid")</f>
        <v>Valid</v>
      </c>
      <c r="M287" s="3" t="str">
        <f>IF("Q"&amp;ROUNDUP(MONTH(Finance_Data!G283)/3,0)=Finance_Data!Q283,"Valid","Invalid")</f>
        <v>Valid</v>
      </c>
      <c r="N287" s="7" t="str">
        <f t="shared" si="4"/>
        <v>Pass</v>
      </c>
    </row>
    <row r="288" spans="1:14" x14ac:dyDescent="0.35">
      <c r="A288" s="17" t="s">
        <v>95</v>
      </c>
      <c r="B288" s="3" t="str">
        <f>IF(ISBLANK(Table3[[#This Row],[Campaign_ID]]),"Invalid","Valid")</f>
        <v>Valid</v>
      </c>
      <c r="C288" s="3" t="str">
        <f>IF(COUNTA(Finance_Data!A284:R284)=18,"Valid","Missing")</f>
        <v>Valid</v>
      </c>
      <c r="D288" s="3" t="str">
        <f>IF(COUNTIF(Finance_Data!$T$2:$T$1001,Finance_Data!T284)&gt;1,"Duplicate","Valid")</f>
        <v>Valid</v>
      </c>
      <c r="E288" s="3" t="str">
        <f>IF(Finance_Data!H284&gt;Finance_Data!G284,"Valid","Invalid")</f>
        <v>Valid</v>
      </c>
      <c r="F288" s="3" t="str" cm="1">
        <f t="array" ref="F288">_xlfn.IFS(Finance_Data!S284&lt;7,"Short",Finance_Data!S284&lt;=30,"Normal",Finance_Data!S284&lt;=60,"Long",Finance_Data!S284&gt;60,"Very Long")</f>
        <v>Long</v>
      </c>
      <c r="G288" s="3" t="str">
        <f>IF(ABS(Finance_Data!I284*Finance_Data!J284)-Finance_Data!K284&lt;1,"Valid","Invalid")</f>
        <v>Valid</v>
      </c>
      <c r="H288" s="3" t="str">
        <f>IF(Finance_Data!L284&gt;0,"Valid","Invalid")</f>
        <v>Valid</v>
      </c>
      <c r="I288" s="3" t="str">
        <f>IF(Finance_Data!L284&gt;=Finance_Data!M284,"Valid","Invalid")</f>
        <v>Valid</v>
      </c>
      <c r="J288" s="3" t="str">
        <f>IF(AND(Finance_Data!I284&gt;=0,Finance_Data!K284&gt;=0),"Valid","Invalid")</f>
        <v>Valid</v>
      </c>
      <c r="K288" s="3" t="str">
        <f>IF(Finance_Data!N284&gt;=0,"Valid","Invalid")</f>
        <v>Valid</v>
      </c>
      <c r="L288" s="3" t="str">
        <f>IF(TEXT(Finance_Data!G284,"mmmm")=Finance_Data!P284,"Valid","Invalid")</f>
        <v>Valid</v>
      </c>
      <c r="M288" s="3" t="str">
        <f>IF("Q"&amp;ROUNDUP(MONTH(Finance_Data!G284)/3,0)=Finance_Data!Q284,"Valid","Invalid")</f>
        <v>Valid</v>
      </c>
      <c r="N288" s="7" t="str">
        <f t="shared" si="4"/>
        <v>Pass</v>
      </c>
    </row>
    <row r="289" spans="1:14" x14ac:dyDescent="0.35">
      <c r="A289" s="17" t="s">
        <v>18</v>
      </c>
      <c r="B289" s="3" t="str">
        <f>IF(ISBLANK(Table3[[#This Row],[Campaign_ID]]),"Invalid","Valid")</f>
        <v>Valid</v>
      </c>
      <c r="C289" s="3" t="str">
        <f>IF(COUNTA(Finance_Data!A285:R285)=18,"Valid","Missing")</f>
        <v>Valid</v>
      </c>
      <c r="D289" s="3" t="str">
        <f>IF(COUNTIF(Finance_Data!$T$2:$T$1001,Finance_Data!T285)&gt;1,"Duplicate","Valid")</f>
        <v>Valid</v>
      </c>
      <c r="E289" s="3" t="str">
        <f>IF(Finance_Data!H285&gt;Finance_Data!G285,"Valid","Invalid")</f>
        <v>Valid</v>
      </c>
      <c r="F289" s="3" t="str" cm="1">
        <f t="array" ref="F289">_xlfn.IFS(Finance_Data!S285&lt;7,"Short",Finance_Data!S285&lt;=30,"Normal",Finance_Data!S285&lt;=60,"Long",Finance_Data!S285&gt;60,"Very Long")</f>
        <v>Normal</v>
      </c>
      <c r="G289" s="3" t="str">
        <f>IF(ABS(Finance_Data!I285*Finance_Data!J285)-Finance_Data!K285&lt;1,"Valid","Invalid")</f>
        <v>Valid</v>
      </c>
      <c r="H289" s="3" t="str">
        <f>IF(Finance_Data!L285&gt;0,"Valid","Invalid")</f>
        <v>Valid</v>
      </c>
      <c r="I289" s="3" t="str">
        <f>IF(Finance_Data!L285&gt;=Finance_Data!M285,"Valid","Invalid")</f>
        <v>Valid</v>
      </c>
      <c r="J289" s="3" t="str">
        <f>IF(AND(Finance_Data!I285&gt;=0,Finance_Data!K285&gt;=0),"Valid","Invalid")</f>
        <v>Valid</v>
      </c>
      <c r="K289" s="3" t="str">
        <f>IF(Finance_Data!N285&gt;=0,"Valid","Invalid")</f>
        <v>Valid</v>
      </c>
      <c r="L289" s="3" t="str">
        <f>IF(TEXT(Finance_Data!G285,"mmmm")=Finance_Data!P285,"Valid","Invalid")</f>
        <v>Valid</v>
      </c>
      <c r="M289" s="3" t="str">
        <f>IF("Q"&amp;ROUNDUP(MONTH(Finance_Data!G285)/3,0)=Finance_Data!Q285,"Valid","Invalid")</f>
        <v>Valid</v>
      </c>
      <c r="N289" s="7" t="str">
        <f t="shared" si="4"/>
        <v>Pass</v>
      </c>
    </row>
    <row r="290" spans="1:14" x14ac:dyDescent="0.35">
      <c r="A290" s="17" t="s">
        <v>27</v>
      </c>
      <c r="B290" s="3" t="str">
        <f>IF(ISBLANK(Table3[[#This Row],[Campaign_ID]]),"Invalid","Valid")</f>
        <v>Valid</v>
      </c>
      <c r="C290" s="3" t="str">
        <f>IF(COUNTA(Finance_Data!A286:R286)=18,"Valid","Missing")</f>
        <v>Valid</v>
      </c>
      <c r="D290" s="3" t="str">
        <f>IF(COUNTIF(Finance_Data!$T$2:$T$1001,Finance_Data!T286)&gt;1,"Duplicate","Valid")</f>
        <v>Valid</v>
      </c>
      <c r="E290" s="3" t="str">
        <f>IF(Finance_Data!H286&gt;Finance_Data!G286,"Valid","Invalid")</f>
        <v>Valid</v>
      </c>
      <c r="F290" s="3" t="str" cm="1">
        <f t="array" ref="F290">_xlfn.IFS(Finance_Data!S286&lt;7,"Short",Finance_Data!S286&lt;=30,"Normal",Finance_Data!S286&lt;=60,"Long",Finance_Data!S286&gt;60,"Very Long")</f>
        <v>Long</v>
      </c>
      <c r="G290" s="3" t="str">
        <f>IF(ABS(Finance_Data!I286*Finance_Data!J286)-Finance_Data!K286&lt;1,"Valid","Invalid")</f>
        <v>Valid</v>
      </c>
      <c r="H290" s="3" t="str">
        <f>IF(Finance_Data!L286&gt;0,"Valid","Invalid")</f>
        <v>Valid</v>
      </c>
      <c r="I290" s="3" t="str">
        <f>IF(Finance_Data!L286&gt;=Finance_Data!M286,"Valid","Invalid")</f>
        <v>Valid</v>
      </c>
      <c r="J290" s="3" t="str">
        <f>IF(AND(Finance_Data!I286&gt;=0,Finance_Data!K286&gt;=0),"Valid","Invalid")</f>
        <v>Valid</v>
      </c>
      <c r="K290" s="3" t="str">
        <f>IF(Finance_Data!N286&gt;=0,"Valid","Invalid")</f>
        <v>Valid</v>
      </c>
      <c r="L290" s="3" t="str">
        <f>IF(TEXT(Finance_Data!G286,"mmmm")=Finance_Data!P286,"Valid","Invalid")</f>
        <v>Valid</v>
      </c>
      <c r="M290" s="3" t="str">
        <f>IF("Q"&amp;ROUNDUP(MONTH(Finance_Data!G286)/3,0)=Finance_Data!Q286,"Valid","Invalid")</f>
        <v>Valid</v>
      </c>
      <c r="N290" s="7" t="str">
        <f t="shared" si="4"/>
        <v>Pass</v>
      </c>
    </row>
    <row r="291" spans="1:14" x14ac:dyDescent="0.35">
      <c r="A291" s="17" t="s">
        <v>111</v>
      </c>
      <c r="B291" s="3" t="str">
        <f>IF(ISBLANK(Table3[[#This Row],[Campaign_ID]]),"Invalid","Valid")</f>
        <v>Valid</v>
      </c>
      <c r="C291" s="3" t="str">
        <f>IF(COUNTA(Finance_Data!A287:R287)=18,"Valid","Missing")</f>
        <v>Valid</v>
      </c>
      <c r="D291" s="3" t="str">
        <f>IF(COUNTIF(Finance_Data!$T$2:$T$1001,Finance_Data!T287)&gt;1,"Duplicate","Valid")</f>
        <v>Valid</v>
      </c>
      <c r="E291" s="3" t="str">
        <f>IF(Finance_Data!H287&gt;Finance_Data!G287,"Valid","Invalid")</f>
        <v>Valid</v>
      </c>
      <c r="F291" s="3" t="str" cm="1">
        <f t="array" ref="F291">_xlfn.IFS(Finance_Data!S287&lt;7,"Short",Finance_Data!S287&lt;=30,"Normal",Finance_Data!S287&lt;=60,"Long",Finance_Data!S287&gt;60,"Very Long")</f>
        <v>Long</v>
      </c>
      <c r="G291" s="3" t="str">
        <f>IF(ABS(Finance_Data!I287*Finance_Data!J287)-Finance_Data!K287&lt;1,"Valid","Invalid")</f>
        <v>Valid</v>
      </c>
      <c r="H291" s="3" t="str">
        <f>IF(Finance_Data!L287&gt;0,"Valid","Invalid")</f>
        <v>Valid</v>
      </c>
      <c r="I291" s="3" t="str">
        <f>IF(Finance_Data!L287&gt;=Finance_Data!M287,"Valid","Invalid")</f>
        <v>Valid</v>
      </c>
      <c r="J291" s="3" t="str">
        <f>IF(AND(Finance_Data!I287&gt;=0,Finance_Data!K287&gt;=0),"Valid","Invalid")</f>
        <v>Valid</v>
      </c>
      <c r="K291" s="3" t="str">
        <f>IF(Finance_Data!N287&gt;=0,"Valid","Invalid")</f>
        <v>Valid</v>
      </c>
      <c r="L291" s="3" t="str">
        <f>IF(TEXT(Finance_Data!G287,"mmmm")=Finance_Data!P287,"Valid","Invalid")</f>
        <v>Valid</v>
      </c>
      <c r="M291" s="3" t="str">
        <f>IF("Q"&amp;ROUNDUP(MONTH(Finance_Data!G287)/3,0)=Finance_Data!Q287,"Valid","Invalid")</f>
        <v>Valid</v>
      </c>
      <c r="N291" s="7" t="str">
        <f t="shared" si="4"/>
        <v>Pass</v>
      </c>
    </row>
    <row r="292" spans="1:14" x14ac:dyDescent="0.35">
      <c r="A292" s="17" t="s">
        <v>90</v>
      </c>
      <c r="B292" s="3" t="str">
        <f>IF(ISBLANK(Table3[[#This Row],[Campaign_ID]]),"Invalid","Valid")</f>
        <v>Valid</v>
      </c>
      <c r="C292" s="3" t="str">
        <f>IF(COUNTA(Finance_Data!A288:R288)=18,"Valid","Missing")</f>
        <v>Valid</v>
      </c>
      <c r="D292" s="3" t="str">
        <f>IF(COUNTIF(Finance_Data!$T$2:$T$1001,Finance_Data!T288)&gt;1,"Duplicate","Valid")</f>
        <v>Valid</v>
      </c>
      <c r="E292" s="3" t="str">
        <f>IF(Finance_Data!H288&gt;Finance_Data!G288,"Valid","Invalid")</f>
        <v>Valid</v>
      </c>
      <c r="F292" s="3" t="str" cm="1">
        <f t="array" ref="F292">_xlfn.IFS(Finance_Data!S288&lt;7,"Short",Finance_Data!S288&lt;=30,"Normal",Finance_Data!S288&lt;=60,"Long",Finance_Data!S288&gt;60,"Very Long")</f>
        <v>Normal</v>
      </c>
      <c r="G292" s="3" t="str">
        <f>IF(ABS(Finance_Data!I288*Finance_Data!J288)-Finance_Data!K288&lt;1,"Valid","Invalid")</f>
        <v>Valid</v>
      </c>
      <c r="H292" s="3" t="str">
        <f>IF(Finance_Data!L288&gt;0,"Valid","Invalid")</f>
        <v>Valid</v>
      </c>
      <c r="I292" s="3" t="str">
        <f>IF(Finance_Data!L288&gt;=Finance_Data!M288,"Valid","Invalid")</f>
        <v>Valid</v>
      </c>
      <c r="J292" s="3" t="str">
        <f>IF(AND(Finance_Data!I288&gt;=0,Finance_Data!K288&gt;=0),"Valid","Invalid")</f>
        <v>Valid</v>
      </c>
      <c r="K292" s="3" t="str">
        <f>IF(Finance_Data!N288&gt;=0,"Valid","Invalid")</f>
        <v>Valid</v>
      </c>
      <c r="L292" s="3" t="str">
        <f>IF(TEXT(Finance_Data!G288,"mmmm")=Finance_Data!P288,"Valid","Invalid")</f>
        <v>Valid</v>
      </c>
      <c r="M292" s="3" t="str">
        <f>IF("Q"&amp;ROUNDUP(MONTH(Finance_Data!G288)/3,0)=Finance_Data!Q288,"Valid","Invalid")</f>
        <v>Valid</v>
      </c>
      <c r="N292" s="7" t="str">
        <f t="shared" si="4"/>
        <v>Pass</v>
      </c>
    </row>
    <row r="293" spans="1:14" x14ac:dyDescent="0.35">
      <c r="A293" s="17" t="s">
        <v>106</v>
      </c>
      <c r="B293" s="3" t="str">
        <f>IF(ISBLANK(Table3[[#This Row],[Campaign_ID]]),"Invalid","Valid")</f>
        <v>Valid</v>
      </c>
      <c r="C293" s="3" t="str">
        <f>IF(COUNTA(Finance_Data!A289:R289)=18,"Valid","Missing")</f>
        <v>Valid</v>
      </c>
      <c r="D293" s="3" t="str">
        <f>IF(COUNTIF(Finance_Data!$T$2:$T$1001,Finance_Data!T289)&gt;1,"Duplicate","Valid")</f>
        <v>Valid</v>
      </c>
      <c r="E293" s="3" t="str">
        <f>IF(Finance_Data!H289&gt;Finance_Data!G289,"Valid","Invalid")</f>
        <v>Valid</v>
      </c>
      <c r="F293" s="3" t="str" cm="1">
        <f t="array" ref="F293">_xlfn.IFS(Finance_Data!S289&lt;7,"Short",Finance_Data!S289&lt;=30,"Normal",Finance_Data!S289&lt;=60,"Long",Finance_Data!S289&gt;60,"Very Long")</f>
        <v>Normal</v>
      </c>
      <c r="G293" s="3" t="str">
        <f>IF(ABS(Finance_Data!I289*Finance_Data!J289)-Finance_Data!K289&lt;1,"Valid","Invalid")</f>
        <v>Valid</v>
      </c>
      <c r="H293" s="3" t="str">
        <f>IF(Finance_Data!L289&gt;0,"Valid","Invalid")</f>
        <v>Valid</v>
      </c>
      <c r="I293" s="3" t="str">
        <f>IF(Finance_Data!L289&gt;=Finance_Data!M289,"Valid","Invalid")</f>
        <v>Valid</v>
      </c>
      <c r="J293" s="3" t="str">
        <f>IF(AND(Finance_Data!I289&gt;=0,Finance_Data!K289&gt;=0),"Valid","Invalid")</f>
        <v>Valid</v>
      </c>
      <c r="K293" s="3" t="str">
        <f>IF(Finance_Data!N289&gt;=0,"Valid","Invalid")</f>
        <v>Valid</v>
      </c>
      <c r="L293" s="3" t="str">
        <f>IF(TEXT(Finance_Data!G289,"mmmm")=Finance_Data!P289,"Valid","Invalid")</f>
        <v>Valid</v>
      </c>
      <c r="M293" s="3" t="str">
        <f>IF("Q"&amp;ROUNDUP(MONTH(Finance_Data!G289)/3,0)=Finance_Data!Q289,"Valid","Invalid")</f>
        <v>Valid</v>
      </c>
      <c r="N293" s="7" t="str">
        <f t="shared" si="4"/>
        <v>Pass</v>
      </c>
    </row>
    <row r="294" spans="1:14" x14ac:dyDescent="0.35">
      <c r="A294" s="17" t="s">
        <v>101</v>
      </c>
      <c r="B294" s="3" t="str">
        <f>IF(ISBLANK(Table3[[#This Row],[Campaign_ID]]),"Invalid","Valid")</f>
        <v>Valid</v>
      </c>
      <c r="C294" s="3" t="str">
        <f>IF(COUNTA(Finance_Data!A290:R290)=18,"Valid","Missing")</f>
        <v>Valid</v>
      </c>
      <c r="D294" s="3" t="str">
        <f>IF(COUNTIF(Finance_Data!$T$2:$T$1001,Finance_Data!T290)&gt;1,"Duplicate","Valid")</f>
        <v>Valid</v>
      </c>
      <c r="E294" s="3" t="str">
        <f>IF(Finance_Data!H290&gt;Finance_Data!G290,"Valid","Invalid")</f>
        <v>Valid</v>
      </c>
      <c r="F294" s="3" t="str" cm="1">
        <f t="array" ref="F294">_xlfn.IFS(Finance_Data!S290&lt;7,"Short",Finance_Data!S290&lt;=30,"Normal",Finance_Data!S290&lt;=60,"Long",Finance_Data!S290&gt;60,"Very Long")</f>
        <v>Long</v>
      </c>
      <c r="G294" s="3" t="str">
        <f>IF(ABS(Finance_Data!I290*Finance_Data!J290)-Finance_Data!K290&lt;1,"Valid","Invalid")</f>
        <v>Valid</v>
      </c>
      <c r="H294" s="3" t="str">
        <f>IF(Finance_Data!L290&gt;0,"Valid","Invalid")</f>
        <v>Valid</v>
      </c>
      <c r="I294" s="3" t="str">
        <f>IF(Finance_Data!L290&gt;=Finance_Data!M290,"Valid","Invalid")</f>
        <v>Valid</v>
      </c>
      <c r="J294" s="3" t="str">
        <f>IF(AND(Finance_Data!I290&gt;=0,Finance_Data!K290&gt;=0),"Valid","Invalid")</f>
        <v>Valid</v>
      </c>
      <c r="K294" s="3" t="str">
        <f>IF(Finance_Data!N290&gt;=0,"Valid","Invalid")</f>
        <v>Valid</v>
      </c>
      <c r="L294" s="3" t="str">
        <f>IF(TEXT(Finance_Data!G290,"mmmm")=Finance_Data!P290,"Valid","Invalid")</f>
        <v>Valid</v>
      </c>
      <c r="M294" s="3" t="str">
        <f>IF("Q"&amp;ROUNDUP(MONTH(Finance_Data!G290)/3,0)=Finance_Data!Q290,"Valid","Invalid")</f>
        <v>Valid</v>
      </c>
      <c r="N294" s="7" t="str">
        <f t="shared" si="4"/>
        <v>Pass</v>
      </c>
    </row>
    <row r="295" spans="1:14" x14ac:dyDescent="0.35">
      <c r="A295" s="17" t="s">
        <v>68</v>
      </c>
      <c r="B295" s="3" t="str">
        <f>IF(ISBLANK(Table3[[#This Row],[Campaign_ID]]),"Invalid","Valid")</f>
        <v>Valid</v>
      </c>
      <c r="C295" s="3" t="str">
        <f>IF(COUNTA(Finance_Data!A291:R291)=18,"Valid","Missing")</f>
        <v>Valid</v>
      </c>
      <c r="D295" s="3" t="str">
        <f>IF(COUNTIF(Finance_Data!$T$2:$T$1001,Finance_Data!T291)&gt;1,"Duplicate","Valid")</f>
        <v>Valid</v>
      </c>
      <c r="E295" s="3" t="str">
        <f>IF(Finance_Data!H291&gt;Finance_Data!G291,"Valid","Invalid")</f>
        <v>Valid</v>
      </c>
      <c r="F295" s="3" t="str" cm="1">
        <f t="array" ref="F295">_xlfn.IFS(Finance_Data!S291&lt;7,"Short",Finance_Data!S291&lt;=30,"Normal",Finance_Data!S291&lt;=60,"Long",Finance_Data!S291&gt;60,"Very Long")</f>
        <v>Long</v>
      </c>
      <c r="G295" s="3" t="str">
        <f>IF(ABS(Finance_Data!I291*Finance_Data!J291)-Finance_Data!K291&lt;1,"Valid","Invalid")</f>
        <v>Valid</v>
      </c>
      <c r="H295" s="3" t="str">
        <f>IF(Finance_Data!L291&gt;0,"Valid","Invalid")</f>
        <v>Valid</v>
      </c>
      <c r="I295" s="3" t="str">
        <f>IF(Finance_Data!L291&gt;=Finance_Data!M291,"Valid","Invalid")</f>
        <v>Valid</v>
      </c>
      <c r="J295" s="3" t="str">
        <f>IF(AND(Finance_Data!I291&gt;=0,Finance_Data!K291&gt;=0),"Valid","Invalid")</f>
        <v>Valid</v>
      </c>
      <c r="K295" s="3" t="str">
        <f>IF(Finance_Data!N291&gt;=0,"Valid","Invalid")</f>
        <v>Valid</v>
      </c>
      <c r="L295" s="3" t="str">
        <f>IF(TEXT(Finance_Data!G291,"mmmm")=Finance_Data!P291,"Valid","Invalid")</f>
        <v>Valid</v>
      </c>
      <c r="M295" s="3" t="str">
        <f>IF("Q"&amp;ROUNDUP(MONTH(Finance_Data!G291)/3,0)=Finance_Data!Q291,"Valid","Invalid")</f>
        <v>Valid</v>
      </c>
      <c r="N295" s="7" t="str">
        <f t="shared" si="4"/>
        <v>Pass</v>
      </c>
    </row>
    <row r="296" spans="1:14" x14ac:dyDescent="0.35">
      <c r="A296" s="17" t="s">
        <v>105</v>
      </c>
      <c r="B296" s="3" t="str">
        <f>IF(ISBLANK(Table3[[#This Row],[Campaign_ID]]),"Invalid","Valid")</f>
        <v>Valid</v>
      </c>
      <c r="C296" s="3" t="str">
        <f>IF(COUNTA(Finance_Data!A292:R292)=18,"Valid","Missing")</f>
        <v>Valid</v>
      </c>
      <c r="D296" s="3" t="str">
        <f>IF(COUNTIF(Finance_Data!$T$2:$T$1001,Finance_Data!T292)&gt;1,"Duplicate","Valid")</f>
        <v>Valid</v>
      </c>
      <c r="E296" s="3" t="str">
        <f>IF(Finance_Data!H292&gt;Finance_Data!G292,"Valid","Invalid")</f>
        <v>Valid</v>
      </c>
      <c r="F296" s="3" t="str" cm="1">
        <f t="array" ref="F296">_xlfn.IFS(Finance_Data!S292&lt;7,"Short",Finance_Data!S292&lt;=30,"Normal",Finance_Data!S292&lt;=60,"Long",Finance_Data!S292&gt;60,"Very Long")</f>
        <v>Normal</v>
      </c>
      <c r="G296" s="3" t="str">
        <f>IF(ABS(Finance_Data!I292*Finance_Data!J292)-Finance_Data!K292&lt;1,"Valid","Invalid")</f>
        <v>Valid</v>
      </c>
      <c r="H296" s="3" t="str">
        <f>IF(Finance_Data!L292&gt;0,"Valid","Invalid")</f>
        <v>Valid</v>
      </c>
      <c r="I296" s="3" t="str">
        <f>IF(Finance_Data!L292&gt;=Finance_Data!M292,"Valid","Invalid")</f>
        <v>Valid</v>
      </c>
      <c r="J296" s="3" t="str">
        <f>IF(AND(Finance_Data!I292&gt;=0,Finance_Data!K292&gt;=0),"Valid","Invalid")</f>
        <v>Valid</v>
      </c>
      <c r="K296" s="3" t="str">
        <f>IF(Finance_Data!N292&gt;=0,"Valid","Invalid")</f>
        <v>Valid</v>
      </c>
      <c r="L296" s="3" t="str">
        <f>IF(TEXT(Finance_Data!G292,"mmmm")=Finance_Data!P292,"Valid","Invalid")</f>
        <v>Valid</v>
      </c>
      <c r="M296" s="3" t="str">
        <f>IF("Q"&amp;ROUNDUP(MONTH(Finance_Data!G292)/3,0)=Finance_Data!Q292,"Valid","Invalid")</f>
        <v>Valid</v>
      </c>
      <c r="N296" s="7" t="str">
        <f t="shared" si="4"/>
        <v>Pass</v>
      </c>
    </row>
    <row r="297" spans="1:14" x14ac:dyDescent="0.35">
      <c r="A297" s="17" t="s">
        <v>85</v>
      </c>
      <c r="B297" s="3" t="str">
        <f>IF(ISBLANK(Table3[[#This Row],[Campaign_ID]]),"Invalid","Valid")</f>
        <v>Valid</v>
      </c>
      <c r="C297" s="3" t="str">
        <f>IF(COUNTA(Finance_Data!A293:R293)=18,"Valid","Missing")</f>
        <v>Valid</v>
      </c>
      <c r="D297" s="3" t="str">
        <f>IF(COUNTIF(Finance_Data!$T$2:$T$1001,Finance_Data!T293)&gt;1,"Duplicate","Valid")</f>
        <v>Valid</v>
      </c>
      <c r="E297" s="3" t="str">
        <f>IF(Finance_Data!H293&gt;Finance_Data!G293,"Valid","Invalid")</f>
        <v>Valid</v>
      </c>
      <c r="F297" s="3" t="str" cm="1">
        <f t="array" ref="F297">_xlfn.IFS(Finance_Data!S293&lt;7,"Short",Finance_Data!S293&lt;=30,"Normal",Finance_Data!S293&lt;=60,"Long",Finance_Data!S293&gt;60,"Very Long")</f>
        <v>Long</v>
      </c>
      <c r="G297" s="3" t="str">
        <f>IF(ABS(Finance_Data!I293*Finance_Data!J293)-Finance_Data!K293&lt;1,"Valid","Invalid")</f>
        <v>Valid</v>
      </c>
      <c r="H297" s="3" t="str">
        <f>IF(Finance_Data!L293&gt;0,"Valid","Invalid")</f>
        <v>Valid</v>
      </c>
      <c r="I297" s="3" t="str">
        <f>IF(Finance_Data!L293&gt;=Finance_Data!M293,"Valid","Invalid")</f>
        <v>Valid</v>
      </c>
      <c r="J297" s="3" t="str">
        <f>IF(AND(Finance_Data!I293&gt;=0,Finance_Data!K293&gt;=0),"Valid","Invalid")</f>
        <v>Valid</v>
      </c>
      <c r="K297" s="3" t="str">
        <f>IF(Finance_Data!N293&gt;=0,"Valid","Invalid")</f>
        <v>Valid</v>
      </c>
      <c r="L297" s="3" t="str">
        <f>IF(TEXT(Finance_Data!G293,"mmmm")=Finance_Data!P293,"Valid","Invalid")</f>
        <v>Valid</v>
      </c>
      <c r="M297" s="3" t="str">
        <f>IF("Q"&amp;ROUNDUP(MONTH(Finance_Data!G293)/3,0)=Finance_Data!Q293,"Valid","Invalid")</f>
        <v>Valid</v>
      </c>
      <c r="N297" s="7" t="str">
        <f t="shared" si="4"/>
        <v>Pass</v>
      </c>
    </row>
    <row r="298" spans="1:14" x14ac:dyDescent="0.35">
      <c r="A298" s="17" t="s">
        <v>72</v>
      </c>
      <c r="B298" s="3" t="str">
        <f>IF(ISBLANK(Table3[[#This Row],[Campaign_ID]]),"Invalid","Valid")</f>
        <v>Valid</v>
      </c>
      <c r="C298" s="3" t="str">
        <f>IF(COUNTA(Finance_Data!A294:R294)=18,"Valid","Missing")</f>
        <v>Valid</v>
      </c>
      <c r="D298" s="3" t="str">
        <f>IF(COUNTIF(Finance_Data!$T$2:$T$1001,Finance_Data!T294)&gt;1,"Duplicate","Valid")</f>
        <v>Valid</v>
      </c>
      <c r="E298" s="3" t="str">
        <f>IF(Finance_Data!H294&gt;Finance_Data!G294,"Valid","Invalid")</f>
        <v>Valid</v>
      </c>
      <c r="F298" s="3" t="str" cm="1">
        <f t="array" ref="F298">_xlfn.IFS(Finance_Data!S294&lt;7,"Short",Finance_Data!S294&lt;=30,"Normal",Finance_Data!S294&lt;=60,"Long",Finance_Data!S294&gt;60,"Very Long")</f>
        <v>Long</v>
      </c>
      <c r="G298" s="3" t="str">
        <f>IF(ABS(Finance_Data!I294*Finance_Data!J294)-Finance_Data!K294&lt;1,"Valid","Invalid")</f>
        <v>Valid</v>
      </c>
      <c r="H298" s="3" t="str">
        <f>IF(Finance_Data!L294&gt;0,"Valid","Invalid")</f>
        <v>Valid</v>
      </c>
      <c r="I298" s="3" t="str">
        <f>IF(Finance_Data!L294&gt;=Finance_Data!M294,"Valid","Invalid")</f>
        <v>Valid</v>
      </c>
      <c r="J298" s="3" t="str">
        <f>IF(AND(Finance_Data!I294&gt;=0,Finance_Data!K294&gt;=0),"Valid","Invalid")</f>
        <v>Valid</v>
      </c>
      <c r="K298" s="3" t="str">
        <f>IF(Finance_Data!N294&gt;=0,"Valid","Invalid")</f>
        <v>Valid</v>
      </c>
      <c r="L298" s="3" t="str">
        <f>IF(TEXT(Finance_Data!G294,"mmmm")=Finance_Data!P294,"Valid","Invalid")</f>
        <v>Valid</v>
      </c>
      <c r="M298" s="3" t="str">
        <f>IF("Q"&amp;ROUNDUP(MONTH(Finance_Data!G294)/3,0)=Finance_Data!Q294,"Valid","Invalid")</f>
        <v>Valid</v>
      </c>
      <c r="N298" s="7" t="str">
        <f t="shared" si="4"/>
        <v>Pass</v>
      </c>
    </row>
    <row r="299" spans="1:14" x14ac:dyDescent="0.35">
      <c r="A299" s="17" t="s">
        <v>102</v>
      </c>
      <c r="B299" s="3" t="str">
        <f>IF(ISBLANK(Table3[[#This Row],[Campaign_ID]]),"Invalid","Valid")</f>
        <v>Valid</v>
      </c>
      <c r="C299" s="3" t="str">
        <f>IF(COUNTA(Finance_Data!A295:R295)=18,"Valid","Missing")</f>
        <v>Valid</v>
      </c>
      <c r="D299" s="3" t="str">
        <f>IF(COUNTIF(Finance_Data!$T$2:$T$1001,Finance_Data!T295)&gt;1,"Duplicate","Valid")</f>
        <v>Valid</v>
      </c>
      <c r="E299" s="3" t="str">
        <f>IF(Finance_Data!H295&gt;Finance_Data!G295,"Valid","Invalid")</f>
        <v>Valid</v>
      </c>
      <c r="F299" s="3" t="str" cm="1">
        <f t="array" ref="F299">_xlfn.IFS(Finance_Data!S295&lt;7,"Short",Finance_Data!S295&lt;=30,"Normal",Finance_Data!S295&lt;=60,"Long",Finance_Data!S295&gt;60,"Very Long")</f>
        <v>Long</v>
      </c>
      <c r="G299" s="3" t="str">
        <f>IF(ABS(Finance_Data!I295*Finance_Data!J295)-Finance_Data!K295&lt;1,"Valid","Invalid")</f>
        <v>Valid</v>
      </c>
      <c r="H299" s="3" t="str">
        <f>IF(Finance_Data!L295&gt;0,"Valid","Invalid")</f>
        <v>Valid</v>
      </c>
      <c r="I299" s="3" t="str">
        <f>IF(Finance_Data!L295&gt;=Finance_Data!M295,"Valid","Invalid")</f>
        <v>Valid</v>
      </c>
      <c r="J299" s="3" t="str">
        <f>IF(AND(Finance_Data!I295&gt;=0,Finance_Data!K295&gt;=0),"Valid","Invalid")</f>
        <v>Valid</v>
      </c>
      <c r="K299" s="3" t="str">
        <f>IF(Finance_Data!N295&gt;=0,"Valid","Invalid")</f>
        <v>Valid</v>
      </c>
      <c r="L299" s="3" t="str">
        <f>IF(TEXT(Finance_Data!G295,"mmmm")=Finance_Data!P295,"Valid","Invalid")</f>
        <v>Valid</v>
      </c>
      <c r="M299" s="3" t="str">
        <f>IF("Q"&amp;ROUNDUP(MONTH(Finance_Data!G295)/3,0)=Finance_Data!Q295,"Valid","Invalid")</f>
        <v>Valid</v>
      </c>
      <c r="N299" s="7" t="str">
        <f t="shared" si="4"/>
        <v>Pass</v>
      </c>
    </row>
    <row r="300" spans="1:14" x14ac:dyDescent="0.35">
      <c r="A300" s="17" t="s">
        <v>70</v>
      </c>
      <c r="B300" s="3" t="str">
        <f>IF(ISBLANK(Table3[[#This Row],[Campaign_ID]]),"Invalid","Valid")</f>
        <v>Valid</v>
      </c>
      <c r="C300" s="3" t="str">
        <f>IF(COUNTA(Finance_Data!A296:R296)=18,"Valid","Missing")</f>
        <v>Valid</v>
      </c>
      <c r="D300" s="3" t="str">
        <f>IF(COUNTIF(Finance_Data!$T$2:$T$1001,Finance_Data!T296)&gt;1,"Duplicate","Valid")</f>
        <v>Valid</v>
      </c>
      <c r="E300" s="3" t="str">
        <f>IF(Finance_Data!H296&gt;Finance_Data!G296,"Valid","Invalid")</f>
        <v>Valid</v>
      </c>
      <c r="F300" s="3" t="str" cm="1">
        <f t="array" ref="F300">_xlfn.IFS(Finance_Data!S296&lt;7,"Short",Finance_Data!S296&lt;=30,"Normal",Finance_Data!S296&lt;=60,"Long",Finance_Data!S296&gt;60,"Very Long")</f>
        <v>Long</v>
      </c>
      <c r="G300" s="3" t="str">
        <f>IF(ABS(Finance_Data!I296*Finance_Data!J296)-Finance_Data!K296&lt;1,"Valid","Invalid")</f>
        <v>Valid</v>
      </c>
      <c r="H300" s="3" t="str">
        <f>IF(Finance_Data!L296&gt;0,"Valid","Invalid")</f>
        <v>Valid</v>
      </c>
      <c r="I300" s="3" t="str">
        <f>IF(Finance_Data!L296&gt;=Finance_Data!M296,"Valid","Invalid")</f>
        <v>Valid</v>
      </c>
      <c r="J300" s="3" t="str">
        <f>IF(AND(Finance_Data!I296&gt;=0,Finance_Data!K296&gt;=0),"Valid","Invalid")</f>
        <v>Valid</v>
      </c>
      <c r="K300" s="3" t="str">
        <f>IF(Finance_Data!N296&gt;=0,"Valid","Invalid")</f>
        <v>Valid</v>
      </c>
      <c r="L300" s="3" t="str">
        <f>IF(TEXT(Finance_Data!G296,"mmmm")=Finance_Data!P296,"Valid","Invalid")</f>
        <v>Valid</v>
      </c>
      <c r="M300" s="3" t="str">
        <f>IF("Q"&amp;ROUNDUP(MONTH(Finance_Data!G296)/3,0)=Finance_Data!Q296,"Valid","Invalid")</f>
        <v>Valid</v>
      </c>
      <c r="N300" s="7" t="str">
        <f t="shared" si="4"/>
        <v>Pass</v>
      </c>
    </row>
    <row r="301" spans="1:14" x14ac:dyDescent="0.35">
      <c r="A301" s="17" t="s">
        <v>47</v>
      </c>
      <c r="B301" s="3" t="str">
        <f>IF(ISBLANK(Table3[[#This Row],[Campaign_ID]]),"Invalid","Valid")</f>
        <v>Valid</v>
      </c>
      <c r="C301" s="3" t="str">
        <f>IF(COUNTA(Finance_Data!A297:R297)=18,"Valid","Missing")</f>
        <v>Valid</v>
      </c>
      <c r="D301" s="3" t="str">
        <f>IF(COUNTIF(Finance_Data!$T$2:$T$1001,Finance_Data!T297)&gt;1,"Duplicate","Valid")</f>
        <v>Valid</v>
      </c>
      <c r="E301" s="3" t="str">
        <f>IF(Finance_Data!H297&gt;Finance_Data!G297,"Valid","Invalid")</f>
        <v>Valid</v>
      </c>
      <c r="F301" s="3" t="str" cm="1">
        <f t="array" ref="F301">_xlfn.IFS(Finance_Data!S297&lt;7,"Short",Finance_Data!S297&lt;=30,"Normal",Finance_Data!S297&lt;=60,"Long",Finance_Data!S297&gt;60,"Very Long")</f>
        <v>Long</v>
      </c>
      <c r="G301" s="3" t="str">
        <f>IF(ABS(Finance_Data!I297*Finance_Data!J297)-Finance_Data!K297&lt;1,"Valid","Invalid")</f>
        <v>Valid</v>
      </c>
      <c r="H301" s="3" t="str">
        <f>IF(Finance_Data!L297&gt;0,"Valid","Invalid")</f>
        <v>Valid</v>
      </c>
      <c r="I301" s="3" t="str">
        <f>IF(Finance_Data!L297&gt;=Finance_Data!M297,"Valid","Invalid")</f>
        <v>Valid</v>
      </c>
      <c r="J301" s="3" t="str">
        <f>IF(AND(Finance_Data!I297&gt;=0,Finance_Data!K297&gt;=0),"Valid","Invalid")</f>
        <v>Valid</v>
      </c>
      <c r="K301" s="3" t="str">
        <f>IF(Finance_Data!N297&gt;=0,"Valid","Invalid")</f>
        <v>Valid</v>
      </c>
      <c r="L301" s="3" t="str">
        <f>IF(TEXT(Finance_Data!G297,"mmmm")=Finance_Data!P297,"Valid","Invalid")</f>
        <v>Valid</v>
      </c>
      <c r="M301" s="3" t="str">
        <f>IF("Q"&amp;ROUNDUP(MONTH(Finance_Data!G297)/3,0)=Finance_Data!Q297,"Valid","Invalid")</f>
        <v>Valid</v>
      </c>
      <c r="N301" s="7" t="str">
        <f t="shared" si="4"/>
        <v>Pass</v>
      </c>
    </row>
    <row r="302" spans="1:14" x14ac:dyDescent="0.35">
      <c r="A302" s="17" t="s">
        <v>67</v>
      </c>
      <c r="B302" s="3" t="str">
        <f>IF(ISBLANK(Table3[[#This Row],[Campaign_ID]]),"Invalid","Valid")</f>
        <v>Valid</v>
      </c>
      <c r="C302" s="3" t="str">
        <f>IF(COUNTA(Finance_Data!A298:R298)=18,"Valid","Missing")</f>
        <v>Valid</v>
      </c>
      <c r="D302" s="3" t="str">
        <f>IF(COUNTIF(Finance_Data!$T$2:$T$1001,Finance_Data!T298)&gt;1,"Duplicate","Valid")</f>
        <v>Valid</v>
      </c>
      <c r="E302" s="3" t="str">
        <f>IF(Finance_Data!H298&gt;Finance_Data!G298,"Valid","Invalid")</f>
        <v>Valid</v>
      </c>
      <c r="F302" s="3" t="str" cm="1">
        <f t="array" ref="F302">_xlfn.IFS(Finance_Data!S298&lt;7,"Short",Finance_Data!S298&lt;=30,"Normal",Finance_Data!S298&lt;=60,"Long",Finance_Data!S298&gt;60,"Very Long")</f>
        <v>Long</v>
      </c>
      <c r="G302" s="3" t="str">
        <f>IF(ABS(Finance_Data!I298*Finance_Data!J298)-Finance_Data!K298&lt;1,"Valid","Invalid")</f>
        <v>Valid</v>
      </c>
      <c r="H302" s="3" t="str">
        <f>IF(Finance_Data!L298&gt;0,"Valid","Invalid")</f>
        <v>Valid</v>
      </c>
      <c r="I302" s="3" t="str">
        <f>IF(Finance_Data!L298&gt;=Finance_Data!M298,"Valid","Invalid")</f>
        <v>Valid</v>
      </c>
      <c r="J302" s="3" t="str">
        <f>IF(AND(Finance_Data!I298&gt;=0,Finance_Data!K298&gt;=0),"Valid","Invalid")</f>
        <v>Valid</v>
      </c>
      <c r="K302" s="3" t="str">
        <f>IF(Finance_Data!N298&gt;=0,"Valid","Invalid")</f>
        <v>Valid</v>
      </c>
      <c r="L302" s="3" t="str">
        <f>IF(TEXT(Finance_Data!G298,"mmmm")=Finance_Data!P298,"Valid","Invalid")</f>
        <v>Valid</v>
      </c>
      <c r="M302" s="3" t="str">
        <f>IF("Q"&amp;ROUNDUP(MONTH(Finance_Data!G298)/3,0)=Finance_Data!Q298,"Valid","Invalid")</f>
        <v>Valid</v>
      </c>
      <c r="N302" s="7" t="str">
        <f t="shared" si="4"/>
        <v>Pass</v>
      </c>
    </row>
    <row r="303" spans="1:14" x14ac:dyDescent="0.35">
      <c r="A303" s="17" t="s">
        <v>55</v>
      </c>
      <c r="B303" s="3" t="str">
        <f>IF(ISBLANK(Table3[[#This Row],[Campaign_ID]]),"Invalid","Valid")</f>
        <v>Valid</v>
      </c>
      <c r="C303" s="3" t="str">
        <f>IF(COUNTA(Finance_Data!A299:R299)=18,"Valid","Missing")</f>
        <v>Valid</v>
      </c>
      <c r="D303" s="3" t="str">
        <f>IF(COUNTIF(Finance_Data!$T$2:$T$1001,Finance_Data!T299)&gt;1,"Duplicate","Valid")</f>
        <v>Valid</v>
      </c>
      <c r="E303" s="3" t="str">
        <f>IF(Finance_Data!H299&gt;Finance_Data!G299,"Valid","Invalid")</f>
        <v>Valid</v>
      </c>
      <c r="F303" s="3" t="str" cm="1">
        <f t="array" ref="F303">_xlfn.IFS(Finance_Data!S299&lt;7,"Short",Finance_Data!S299&lt;=30,"Normal",Finance_Data!S299&lt;=60,"Long",Finance_Data!S299&gt;60,"Very Long")</f>
        <v>Normal</v>
      </c>
      <c r="G303" s="3" t="str">
        <f>IF(ABS(Finance_Data!I299*Finance_Data!J299)-Finance_Data!K299&lt;1,"Valid","Invalid")</f>
        <v>Valid</v>
      </c>
      <c r="H303" s="3" t="str">
        <f>IF(Finance_Data!L299&gt;0,"Valid","Invalid")</f>
        <v>Valid</v>
      </c>
      <c r="I303" s="3" t="str">
        <f>IF(Finance_Data!L299&gt;=Finance_Data!M299,"Valid","Invalid")</f>
        <v>Valid</v>
      </c>
      <c r="J303" s="3" t="str">
        <f>IF(AND(Finance_Data!I299&gt;=0,Finance_Data!K299&gt;=0),"Valid","Invalid")</f>
        <v>Valid</v>
      </c>
      <c r="K303" s="3" t="str">
        <f>IF(Finance_Data!N299&gt;=0,"Valid","Invalid")</f>
        <v>Valid</v>
      </c>
      <c r="L303" s="3" t="str">
        <f>IF(TEXT(Finance_Data!G299,"mmmm")=Finance_Data!P299,"Valid","Invalid")</f>
        <v>Valid</v>
      </c>
      <c r="M303" s="3" t="str">
        <f>IF("Q"&amp;ROUNDUP(MONTH(Finance_Data!G299)/3,0)=Finance_Data!Q299,"Valid","Invalid")</f>
        <v>Valid</v>
      </c>
      <c r="N303" s="7" t="str">
        <f t="shared" si="4"/>
        <v>Pass</v>
      </c>
    </row>
    <row r="304" spans="1:14" x14ac:dyDescent="0.35">
      <c r="A304" s="17" t="s">
        <v>118</v>
      </c>
      <c r="B304" s="3" t="str">
        <f>IF(ISBLANK(Table3[[#This Row],[Campaign_ID]]),"Invalid","Valid")</f>
        <v>Valid</v>
      </c>
      <c r="C304" s="3" t="str">
        <f>IF(COUNTA(Finance_Data!A300:R300)=18,"Valid","Missing")</f>
        <v>Valid</v>
      </c>
      <c r="D304" s="3" t="str">
        <f>IF(COUNTIF(Finance_Data!$T$2:$T$1001,Finance_Data!T300)&gt;1,"Duplicate","Valid")</f>
        <v>Valid</v>
      </c>
      <c r="E304" s="3" t="str">
        <f>IF(Finance_Data!H300&gt;Finance_Data!G300,"Valid","Invalid")</f>
        <v>Valid</v>
      </c>
      <c r="F304" s="3" t="str" cm="1">
        <f t="array" ref="F304">_xlfn.IFS(Finance_Data!S300&lt;7,"Short",Finance_Data!S300&lt;=30,"Normal",Finance_Data!S300&lt;=60,"Long",Finance_Data!S300&gt;60,"Very Long")</f>
        <v>Normal</v>
      </c>
      <c r="G304" s="3" t="str">
        <f>IF(ABS(Finance_Data!I300*Finance_Data!J300)-Finance_Data!K300&lt;1,"Valid","Invalid")</f>
        <v>Valid</v>
      </c>
      <c r="H304" s="3" t="str">
        <f>IF(Finance_Data!L300&gt;0,"Valid","Invalid")</f>
        <v>Valid</v>
      </c>
      <c r="I304" s="3" t="str">
        <f>IF(Finance_Data!L300&gt;=Finance_Data!M300,"Valid","Invalid")</f>
        <v>Valid</v>
      </c>
      <c r="J304" s="3" t="str">
        <f>IF(AND(Finance_Data!I300&gt;=0,Finance_Data!K300&gt;=0),"Valid","Invalid")</f>
        <v>Valid</v>
      </c>
      <c r="K304" s="3" t="str">
        <f>IF(Finance_Data!N300&gt;=0,"Valid","Invalid")</f>
        <v>Valid</v>
      </c>
      <c r="L304" s="3" t="str">
        <f>IF(TEXT(Finance_Data!G300,"mmmm")=Finance_Data!P300,"Valid","Invalid")</f>
        <v>Valid</v>
      </c>
      <c r="M304" s="3" t="str">
        <f>IF("Q"&amp;ROUNDUP(MONTH(Finance_Data!G300)/3,0)=Finance_Data!Q300,"Valid","Invalid")</f>
        <v>Valid</v>
      </c>
      <c r="N304" s="7" t="str">
        <f t="shared" si="4"/>
        <v>Pass</v>
      </c>
    </row>
    <row r="305" spans="1:14" x14ac:dyDescent="0.35">
      <c r="A305" s="17" t="s">
        <v>89</v>
      </c>
      <c r="B305" s="3" t="str">
        <f>IF(ISBLANK(Table3[[#This Row],[Campaign_ID]]),"Invalid","Valid")</f>
        <v>Valid</v>
      </c>
      <c r="C305" s="3" t="str">
        <f>IF(COUNTA(Finance_Data!A301:R301)=18,"Valid","Missing")</f>
        <v>Valid</v>
      </c>
      <c r="D305" s="3" t="str">
        <f>IF(COUNTIF(Finance_Data!$T$2:$T$1001,Finance_Data!T301)&gt;1,"Duplicate","Valid")</f>
        <v>Valid</v>
      </c>
      <c r="E305" s="3" t="str">
        <f>IF(Finance_Data!H301&gt;Finance_Data!G301,"Valid","Invalid")</f>
        <v>Valid</v>
      </c>
      <c r="F305" s="3" t="str" cm="1">
        <f t="array" ref="F305">_xlfn.IFS(Finance_Data!S301&lt;7,"Short",Finance_Data!S301&lt;=30,"Normal",Finance_Data!S301&lt;=60,"Long",Finance_Data!S301&gt;60,"Very Long")</f>
        <v>Long</v>
      </c>
      <c r="G305" s="3" t="str">
        <f>IF(ABS(Finance_Data!I301*Finance_Data!J301)-Finance_Data!K301&lt;1,"Valid","Invalid")</f>
        <v>Valid</v>
      </c>
      <c r="H305" s="3" t="str">
        <f>IF(Finance_Data!L301&gt;0,"Valid","Invalid")</f>
        <v>Valid</v>
      </c>
      <c r="I305" s="3" t="str">
        <f>IF(Finance_Data!L301&gt;=Finance_Data!M301,"Valid","Invalid")</f>
        <v>Valid</v>
      </c>
      <c r="J305" s="3" t="str">
        <f>IF(AND(Finance_Data!I301&gt;=0,Finance_Data!K301&gt;=0),"Valid","Invalid")</f>
        <v>Valid</v>
      </c>
      <c r="K305" s="3" t="str">
        <f>IF(Finance_Data!N301&gt;=0,"Valid","Invalid")</f>
        <v>Valid</v>
      </c>
      <c r="L305" s="3" t="str">
        <f>IF(TEXT(Finance_Data!G301,"mmmm")=Finance_Data!P301,"Valid","Invalid")</f>
        <v>Valid</v>
      </c>
      <c r="M305" s="3" t="str">
        <f>IF("Q"&amp;ROUNDUP(MONTH(Finance_Data!G301)/3,0)=Finance_Data!Q301,"Valid","Invalid")</f>
        <v>Valid</v>
      </c>
      <c r="N305" s="7" t="str">
        <f t="shared" si="4"/>
        <v>Pass</v>
      </c>
    </row>
    <row r="306" spans="1:14" x14ac:dyDescent="0.35">
      <c r="A306" s="17" t="s">
        <v>100</v>
      </c>
      <c r="B306" s="3" t="str">
        <f>IF(ISBLANK(Table3[[#This Row],[Campaign_ID]]),"Invalid","Valid")</f>
        <v>Valid</v>
      </c>
      <c r="C306" s="3" t="str">
        <f>IF(COUNTA(Finance_Data!A302:R302)=18,"Valid","Missing")</f>
        <v>Valid</v>
      </c>
      <c r="D306" s="3" t="str">
        <f>IF(COUNTIF(Finance_Data!$T$2:$T$1001,Finance_Data!T302)&gt;1,"Duplicate","Valid")</f>
        <v>Valid</v>
      </c>
      <c r="E306" s="3" t="str">
        <f>IF(Finance_Data!H302&gt;Finance_Data!G302,"Valid","Invalid")</f>
        <v>Valid</v>
      </c>
      <c r="F306" s="3" t="str" cm="1">
        <f t="array" ref="F306">_xlfn.IFS(Finance_Data!S302&lt;7,"Short",Finance_Data!S302&lt;=30,"Normal",Finance_Data!S302&lt;=60,"Long",Finance_Data!S302&gt;60,"Very Long")</f>
        <v>Long</v>
      </c>
      <c r="G306" s="3" t="str">
        <f>IF(ABS(Finance_Data!I302*Finance_Data!J302)-Finance_Data!K302&lt;1,"Valid","Invalid")</f>
        <v>Valid</v>
      </c>
      <c r="H306" s="3" t="str">
        <f>IF(Finance_Data!L302&gt;0,"Valid","Invalid")</f>
        <v>Valid</v>
      </c>
      <c r="I306" s="3" t="str">
        <f>IF(Finance_Data!L302&gt;=Finance_Data!M302,"Valid","Invalid")</f>
        <v>Valid</v>
      </c>
      <c r="J306" s="3" t="str">
        <f>IF(AND(Finance_Data!I302&gt;=0,Finance_Data!K302&gt;=0),"Valid","Invalid")</f>
        <v>Valid</v>
      </c>
      <c r="K306" s="3" t="str">
        <f>IF(Finance_Data!N302&gt;=0,"Valid","Invalid")</f>
        <v>Valid</v>
      </c>
      <c r="L306" s="3" t="str">
        <f>IF(TEXT(Finance_Data!G302,"mmmm")=Finance_Data!P302,"Valid","Invalid")</f>
        <v>Valid</v>
      </c>
      <c r="M306" s="3" t="str">
        <f>IF("Q"&amp;ROUNDUP(MONTH(Finance_Data!G302)/3,0)=Finance_Data!Q302,"Valid","Invalid")</f>
        <v>Valid</v>
      </c>
      <c r="N306" s="7" t="str">
        <f t="shared" si="4"/>
        <v>Pass</v>
      </c>
    </row>
    <row r="307" spans="1:14" x14ac:dyDescent="0.35">
      <c r="A307" s="17" t="s">
        <v>89</v>
      </c>
      <c r="B307" s="3" t="str">
        <f>IF(ISBLANK(Table3[[#This Row],[Campaign_ID]]),"Invalid","Valid")</f>
        <v>Valid</v>
      </c>
      <c r="C307" s="3" t="str">
        <f>IF(COUNTA(Finance_Data!A303:R303)=18,"Valid","Missing")</f>
        <v>Valid</v>
      </c>
      <c r="D307" s="3" t="str">
        <f>IF(COUNTIF(Finance_Data!$T$2:$T$1001,Finance_Data!T303)&gt;1,"Duplicate","Valid")</f>
        <v>Valid</v>
      </c>
      <c r="E307" s="3" t="str">
        <f>IF(Finance_Data!H303&gt;Finance_Data!G303,"Valid","Invalid")</f>
        <v>Valid</v>
      </c>
      <c r="F307" s="3" t="str" cm="1">
        <f t="array" ref="F307">_xlfn.IFS(Finance_Data!S303&lt;7,"Short",Finance_Data!S303&lt;=30,"Normal",Finance_Data!S303&lt;=60,"Long",Finance_Data!S303&gt;60,"Very Long")</f>
        <v>Normal</v>
      </c>
      <c r="G307" s="3" t="str">
        <f>IF(ABS(Finance_Data!I303*Finance_Data!J303)-Finance_Data!K303&lt;1,"Valid","Invalid")</f>
        <v>Valid</v>
      </c>
      <c r="H307" s="3" t="str">
        <f>IF(Finance_Data!L303&gt;0,"Valid","Invalid")</f>
        <v>Valid</v>
      </c>
      <c r="I307" s="3" t="str">
        <f>IF(Finance_Data!L303&gt;=Finance_Data!M303,"Valid","Invalid")</f>
        <v>Valid</v>
      </c>
      <c r="J307" s="3" t="str">
        <f>IF(AND(Finance_Data!I303&gt;=0,Finance_Data!K303&gt;=0),"Valid","Invalid")</f>
        <v>Valid</v>
      </c>
      <c r="K307" s="3" t="str">
        <f>IF(Finance_Data!N303&gt;=0,"Valid","Invalid")</f>
        <v>Valid</v>
      </c>
      <c r="L307" s="3" t="str">
        <f>IF(TEXT(Finance_Data!G303,"mmmm")=Finance_Data!P303,"Valid","Invalid")</f>
        <v>Valid</v>
      </c>
      <c r="M307" s="3" t="str">
        <f>IF("Q"&amp;ROUNDUP(MONTH(Finance_Data!G303)/3,0)=Finance_Data!Q303,"Valid","Invalid")</f>
        <v>Valid</v>
      </c>
      <c r="N307" s="7" t="str">
        <f t="shared" si="4"/>
        <v>Pass</v>
      </c>
    </row>
    <row r="308" spans="1:14" x14ac:dyDescent="0.35">
      <c r="A308" s="17" t="s">
        <v>109</v>
      </c>
      <c r="B308" s="3" t="str">
        <f>IF(ISBLANK(Table3[[#This Row],[Campaign_ID]]),"Invalid","Valid")</f>
        <v>Valid</v>
      </c>
      <c r="C308" s="3" t="str">
        <f>IF(COUNTA(Finance_Data!A304:R304)=18,"Valid","Missing")</f>
        <v>Valid</v>
      </c>
      <c r="D308" s="3" t="str">
        <f>IF(COUNTIF(Finance_Data!$T$2:$T$1001,Finance_Data!T304)&gt;1,"Duplicate","Valid")</f>
        <v>Valid</v>
      </c>
      <c r="E308" s="3" t="str">
        <f>IF(Finance_Data!H304&gt;Finance_Data!G304,"Valid","Invalid")</f>
        <v>Valid</v>
      </c>
      <c r="F308" s="3" t="str" cm="1">
        <f t="array" ref="F308">_xlfn.IFS(Finance_Data!S304&lt;7,"Short",Finance_Data!S304&lt;=30,"Normal",Finance_Data!S304&lt;=60,"Long",Finance_Data!S304&gt;60,"Very Long")</f>
        <v>Normal</v>
      </c>
      <c r="G308" s="3" t="str">
        <f>IF(ABS(Finance_Data!I304*Finance_Data!J304)-Finance_Data!K304&lt;1,"Valid","Invalid")</f>
        <v>Valid</v>
      </c>
      <c r="H308" s="3" t="str">
        <f>IF(Finance_Data!L304&gt;0,"Valid","Invalid")</f>
        <v>Valid</v>
      </c>
      <c r="I308" s="3" t="str">
        <f>IF(Finance_Data!L304&gt;=Finance_Data!M304,"Valid","Invalid")</f>
        <v>Valid</v>
      </c>
      <c r="J308" s="3" t="str">
        <f>IF(AND(Finance_Data!I304&gt;=0,Finance_Data!K304&gt;=0),"Valid","Invalid")</f>
        <v>Valid</v>
      </c>
      <c r="K308" s="3" t="str">
        <f>IF(Finance_Data!N304&gt;=0,"Valid","Invalid")</f>
        <v>Valid</v>
      </c>
      <c r="L308" s="3" t="str">
        <f>IF(TEXT(Finance_Data!G304,"mmmm")=Finance_Data!P304,"Valid","Invalid")</f>
        <v>Valid</v>
      </c>
      <c r="M308" s="3" t="str">
        <f>IF("Q"&amp;ROUNDUP(MONTH(Finance_Data!G304)/3,0)=Finance_Data!Q304,"Valid","Invalid")</f>
        <v>Valid</v>
      </c>
      <c r="N308" s="7" t="str">
        <f t="shared" si="4"/>
        <v>Pass</v>
      </c>
    </row>
    <row r="309" spans="1:14" x14ac:dyDescent="0.35">
      <c r="A309" s="17" t="s">
        <v>96</v>
      </c>
      <c r="B309" s="3" t="str">
        <f>IF(ISBLANK(Table3[[#This Row],[Campaign_ID]]),"Invalid","Valid")</f>
        <v>Valid</v>
      </c>
      <c r="C309" s="3" t="str">
        <f>IF(COUNTA(Finance_Data!A305:R305)=18,"Valid","Missing")</f>
        <v>Valid</v>
      </c>
      <c r="D309" s="3" t="str">
        <f>IF(COUNTIF(Finance_Data!$T$2:$T$1001,Finance_Data!T305)&gt;1,"Duplicate","Valid")</f>
        <v>Valid</v>
      </c>
      <c r="E309" s="3" t="str">
        <f>IF(Finance_Data!H305&gt;Finance_Data!G305,"Valid","Invalid")</f>
        <v>Valid</v>
      </c>
      <c r="F309" s="3" t="str" cm="1">
        <f t="array" ref="F309">_xlfn.IFS(Finance_Data!S305&lt;7,"Short",Finance_Data!S305&lt;=30,"Normal",Finance_Data!S305&lt;=60,"Long",Finance_Data!S305&gt;60,"Very Long")</f>
        <v>Normal</v>
      </c>
      <c r="G309" s="3" t="str">
        <f>IF(ABS(Finance_Data!I305*Finance_Data!J305)-Finance_Data!K305&lt;1,"Valid","Invalid")</f>
        <v>Valid</v>
      </c>
      <c r="H309" s="3" t="str">
        <f>IF(Finance_Data!L305&gt;0,"Valid","Invalid")</f>
        <v>Valid</v>
      </c>
      <c r="I309" s="3" t="str">
        <f>IF(Finance_Data!L305&gt;=Finance_Data!M305,"Valid","Invalid")</f>
        <v>Valid</v>
      </c>
      <c r="J309" s="3" t="str">
        <f>IF(AND(Finance_Data!I305&gt;=0,Finance_Data!K305&gt;=0),"Valid","Invalid")</f>
        <v>Valid</v>
      </c>
      <c r="K309" s="3" t="str">
        <f>IF(Finance_Data!N305&gt;=0,"Valid","Invalid")</f>
        <v>Valid</v>
      </c>
      <c r="L309" s="3" t="str">
        <f>IF(TEXT(Finance_Data!G305,"mmmm")=Finance_Data!P305,"Valid","Invalid")</f>
        <v>Valid</v>
      </c>
      <c r="M309" s="3" t="str">
        <f>IF("Q"&amp;ROUNDUP(MONTH(Finance_Data!G305)/3,0)=Finance_Data!Q305,"Valid","Invalid")</f>
        <v>Valid</v>
      </c>
      <c r="N309" s="7" t="str">
        <f t="shared" si="4"/>
        <v>Pass</v>
      </c>
    </row>
    <row r="310" spans="1:14" x14ac:dyDescent="0.35">
      <c r="A310" s="17" t="s">
        <v>87</v>
      </c>
      <c r="B310" s="3" t="str">
        <f>IF(ISBLANK(Table3[[#This Row],[Campaign_ID]]),"Invalid","Valid")</f>
        <v>Valid</v>
      </c>
      <c r="C310" s="3" t="str">
        <f>IF(COUNTA(Finance_Data!A306:R306)=18,"Valid","Missing")</f>
        <v>Valid</v>
      </c>
      <c r="D310" s="3" t="str">
        <f>IF(COUNTIF(Finance_Data!$T$2:$T$1001,Finance_Data!T306)&gt;1,"Duplicate","Valid")</f>
        <v>Valid</v>
      </c>
      <c r="E310" s="3" t="str">
        <f>IF(Finance_Data!H306&gt;Finance_Data!G306,"Valid","Invalid")</f>
        <v>Valid</v>
      </c>
      <c r="F310" s="3" t="str" cm="1">
        <f t="array" ref="F310">_xlfn.IFS(Finance_Data!S306&lt;7,"Short",Finance_Data!S306&lt;=30,"Normal",Finance_Data!S306&lt;=60,"Long",Finance_Data!S306&gt;60,"Very Long")</f>
        <v>Normal</v>
      </c>
      <c r="G310" s="3" t="str">
        <f>IF(ABS(Finance_Data!I306*Finance_Data!J306)-Finance_Data!K306&lt;1,"Valid","Invalid")</f>
        <v>Valid</v>
      </c>
      <c r="H310" s="3" t="str">
        <f>IF(Finance_Data!L306&gt;0,"Valid","Invalid")</f>
        <v>Valid</v>
      </c>
      <c r="I310" s="3" t="str">
        <f>IF(Finance_Data!L306&gt;=Finance_Data!M306,"Valid","Invalid")</f>
        <v>Valid</v>
      </c>
      <c r="J310" s="3" t="str">
        <f>IF(AND(Finance_Data!I306&gt;=0,Finance_Data!K306&gt;=0),"Valid","Invalid")</f>
        <v>Valid</v>
      </c>
      <c r="K310" s="3" t="str">
        <f>IF(Finance_Data!N306&gt;=0,"Valid","Invalid")</f>
        <v>Valid</v>
      </c>
      <c r="L310" s="3" t="str">
        <f>IF(TEXT(Finance_Data!G306,"mmmm")=Finance_Data!P306,"Valid","Invalid")</f>
        <v>Valid</v>
      </c>
      <c r="M310" s="3" t="str">
        <f>IF("Q"&amp;ROUNDUP(MONTH(Finance_Data!G306)/3,0)=Finance_Data!Q306,"Valid","Invalid")</f>
        <v>Valid</v>
      </c>
      <c r="N310" s="7" t="str">
        <f t="shared" si="4"/>
        <v>Pass</v>
      </c>
    </row>
    <row r="311" spans="1:14" x14ac:dyDescent="0.35">
      <c r="A311" s="17" t="s">
        <v>109</v>
      </c>
      <c r="B311" s="3" t="str">
        <f>IF(ISBLANK(Table3[[#This Row],[Campaign_ID]]),"Invalid","Valid")</f>
        <v>Valid</v>
      </c>
      <c r="C311" s="3" t="str">
        <f>IF(COUNTA(Finance_Data!A307:R307)=18,"Valid","Missing")</f>
        <v>Valid</v>
      </c>
      <c r="D311" s="3" t="str">
        <f>IF(COUNTIF(Finance_Data!$T$2:$T$1001,Finance_Data!T307)&gt;1,"Duplicate","Valid")</f>
        <v>Valid</v>
      </c>
      <c r="E311" s="3" t="str">
        <f>IF(Finance_Data!H307&gt;Finance_Data!G307,"Valid","Invalid")</f>
        <v>Valid</v>
      </c>
      <c r="F311" s="3" t="str" cm="1">
        <f t="array" ref="F311">_xlfn.IFS(Finance_Data!S307&lt;7,"Short",Finance_Data!S307&lt;=30,"Normal",Finance_Data!S307&lt;=60,"Long",Finance_Data!S307&gt;60,"Very Long")</f>
        <v>Normal</v>
      </c>
      <c r="G311" s="3" t="str">
        <f>IF(ABS(Finance_Data!I307*Finance_Data!J307)-Finance_Data!K307&lt;1,"Valid","Invalid")</f>
        <v>Valid</v>
      </c>
      <c r="H311" s="3" t="str">
        <f>IF(Finance_Data!L307&gt;0,"Valid","Invalid")</f>
        <v>Valid</v>
      </c>
      <c r="I311" s="3" t="str">
        <f>IF(Finance_Data!L307&gt;=Finance_Data!M307,"Valid","Invalid")</f>
        <v>Valid</v>
      </c>
      <c r="J311" s="3" t="str">
        <f>IF(AND(Finance_Data!I307&gt;=0,Finance_Data!K307&gt;=0),"Valid","Invalid")</f>
        <v>Valid</v>
      </c>
      <c r="K311" s="3" t="str">
        <f>IF(Finance_Data!N307&gt;=0,"Valid","Invalid")</f>
        <v>Valid</v>
      </c>
      <c r="L311" s="3" t="str">
        <f>IF(TEXT(Finance_Data!G307,"mmmm")=Finance_Data!P307,"Valid","Invalid")</f>
        <v>Valid</v>
      </c>
      <c r="M311" s="3" t="str">
        <f>IF("Q"&amp;ROUNDUP(MONTH(Finance_Data!G307)/3,0)=Finance_Data!Q307,"Valid","Invalid")</f>
        <v>Valid</v>
      </c>
      <c r="N311" s="7" t="str">
        <f t="shared" si="4"/>
        <v>Pass</v>
      </c>
    </row>
    <row r="312" spans="1:14" x14ac:dyDescent="0.35">
      <c r="A312" s="17" t="s">
        <v>82</v>
      </c>
      <c r="B312" s="3" t="str">
        <f>IF(ISBLANK(Table3[[#This Row],[Campaign_ID]]),"Invalid","Valid")</f>
        <v>Valid</v>
      </c>
      <c r="C312" s="3" t="str">
        <f>IF(COUNTA(Finance_Data!A308:R308)=18,"Valid","Missing")</f>
        <v>Valid</v>
      </c>
      <c r="D312" s="3" t="str">
        <f>IF(COUNTIF(Finance_Data!$T$2:$T$1001,Finance_Data!T308)&gt;1,"Duplicate","Valid")</f>
        <v>Valid</v>
      </c>
      <c r="E312" s="3" t="str">
        <f>IF(Finance_Data!H308&gt;Finance_Data!G308,"Valid","Invalid")</f>
        <v>Valid</v>
      </c>
      <c r="F312" s="3" t="str" cm="1">
        <f t="array" ref="F312">_xlfn.IFS(Finance_Data!S308&lt;7,"Short",Finance_Data!S308&lt;=30,"Normal",Finance_Data!S308&lt;=60,"Long",Finance_Data!S308&gt;60,"Very Long")</f>
        <v>Normal</v>
      </c>
      <c r="G312" s="3" t="str">
        <f>IF(ABS(Finance_Data!I308*Finance_Data!J308)-Finance_Data!K308&lt;1,"Valid","Invalid")</f>
        <v>Valid</v>
      </c>
      <c r="H312" s="3" t="str">
        <f>IF(Finance_Data!L308&gt;0,"Valid","Invalid")</f>
        <v>Valid</v>
      </c>
      <c r="I312" s="3" t="str">
        <f>IF(Finance_Data!L308&gt;=Finance_Data!M308,"Valid","Invalid")</f>
        <v>Valid</v>
      </c>
      <c r="J312" s="3" t="str">
        <f>IF(AND(Finance_Data!I308&gt;=0,Finance_Data!K308&gt;=0),"Valid","Invalid")</f>
        <v>Valid</v>
      </c>
      <c r="K312" s="3" t="str">
        <f>IF(Finance_Data!N308&gt;=0,"Valid","Invalid")</f>
        <v>Valid</v>
      </c>
      <c r="L312" s="3" t="str">
        <f>IF(TEXT(Finance_Data!G308,"mmmm")=Finance_Data!P308,"Valid","Invalid")</f>
        <v>Valid</v>
      </c>
      <c r="M312" s="3" t="str">
        <f>IF("Q"&amp;ROUNDUP(MONTH(Finance_Data!G308)/3,0)=Finance_Data!Q308,"Valid","Invalid")</f>
        <v>Valid</v>
      </c>
      <c r="N312" s="7" t="str">
        <f t="shared" si="4"/>
        <v>Pass</v>
      </c>
    </row>
    <row r="313" spans="1:14" x14ac:dyDescent="0.35">
      <c r="A313" s="17" t="s">
        <v>103</v>
      </c>
      <c r="B313" s="3" t="str">
        <f>IF(ISBLANK(Table3[[#This Row],[Campaign_ID]]),"Invalid","Valid")</f>
        <v>Valid</v>
      </c>
      <c r="C313" s="3" t="str">
        <f>IF(COUNTA(Finance_Data!A309:R309)=18,"Valid","Missing")</f>
        <v>Valid</v>
      </c>
      <c r="D313" s="3" t="str">
        <f>IF(COUNTIF(Finance_Data!$T$2:$T$1001,Finance_Data!T309)&gt;1,"Duplicate","Valid")</f>
        <v>Valid</v>
      </c>
      <c r="E313" s="3" t="str">
        <f>IF(Finance_Data!H309&gt;Finance_Data!G309,"Valid","Invalid")</f>
        <v>Valid</v>
      </c>
      <c r="F313" s="3" t="str" cm="1">
        <f t="array" ref="F313">_xlfn.IFS(Finance_Data!S309&lt;7,"Short",Finance_Data!S309&lt;=30,"Normal",Finance_Data!S309&lt;=60,"Long",Finance_Data!S309&gt;60,"Very Long")</f>
        <v>Long</v>
      </c>
      <c r="G313" s="3" t="str">
        <f>IF(ABS(Finance_Data!I309*Finance_Data!J309)-Finance_Data!K309&lt;1,"Valid","Invalid")</f>
        <v>Valid</v>
      </c>
      <c r="H313" s="3" t="str">
        <f>IF(Finance_Data!L309&gt;0,"Valid","Invalid")</f>
        <v>Valid</v>
      </c>
      <c r="I313" s="3" t="str">
        <f>IF(Finance_Data!L309&gt;=Finance_Data!M309,"Valid","Invalid")</f>
        <v>Valid</v>
      </c>
      <c r="J313" s="3" t="str">
        <f>IF(AND(Finance_Data!I309&gt;=0,Finance_Data!K309&gt;=0),"Valid","Invalid")</f>
        <v>Valid</v>
      </c>
      <c r="K313" s="3" t="str">
        <f>IF(Finance_Data!N309&gt;=0,"Valid","Invalid")</f>
        <v>Valid</v>
      </c>
      <c r="L313" s="3" t="str">
        <f>IF(TEXT(Finance_Data!G309,"mmmm")=Finance_Data!P309,"Valid","Invalid")</f>
        <v>Valid</v>
      </c>
      <c r="M313" s="3" t="str">
        <f>IF("Q"&amp;ROUNDUP(MONTH(Finance_Data!G309)/3,0)=Finance_Data!Q309,"Valid","Invalid")</f>
        <v>Valid</v>
      </c>
      <c r="N313" s="7" t="str">
        <f t="shared" si="4"/>
        <v>Pass</v>
      </c>
    </row>
    <row r="314" spans="1:14" x14ac:dyDescent="0.35">
      <c r="A314" s="17" t="s">
        <v>111</v>
      </c>
      <c r="B314" s="3" t="str">
        <f>IF(ISBLANK(Table3[[#This Row],[Campaign_ID]]),"Invalid","Valid")</f>
        <v>Valid</v>
      </c>
      <c r="C314" s="3" t="str">
        <f>IF(COUNTA(Finance_Data!A310:R310)=18,"Valid","Missing")</f>
        <v>Valid</v>
      </c>
      <c r="D314" s="3" t="str">
        <f>IF(COUNTIF(Finance_Data!$T$2:$T$1001,Finance_Data!T310)&gt;1,"Duplicate","Valid")</f>
        <v>Valid</v>
      </c>
      <c r="E314" s="3" t="str">
        <f>IF(Finance_Data!H310&gt;Finance_Data!G310,"Valid","Invalid")</f>
        <v>Valid</v>
      </c>
      <c r="F314" s="3" t="str" cm="1">
        <f t="array" ref="F314">_xlfn.IFS(Finance_Data!S310&lt;7,"Short",Finance_Data!S310&lt;=30,"Normal",Finance_Data!S310&lt;=60,"Long",Finance_Data!S310&gt;60,"Very Long")</f>
        <v>Long</v>
      </c>
      <c r="G314" s="3" t="str">
        <f>IF(ABS(Finance_Data!I310*Finance_Data!J310)-Finance_Data!K310&lt;1,"Valid","Invalid")</f>
        <v>Valid</v>
      </c>
      <c r="H314" s="3" t="str">
        <f>IF(Finance_Data!L310&gt;0,"Valid","Invalid")</f>
        <v>Valid</v>
      </c>
      <c r="I314" s="3" t="str">
        <f>IF(Finance_Data!L310&gt;=Finance_Data!M310,"Valid","Invalid")</f>
        <v>Valid</v>
      </c>
      <c r="J314" s="3" t="str">
        <f>IF(AND(Finance_Data!I310&gt;=0,Finance_Data!K310&gt;=0),"Valid","Invalid")</f>
        <v>Valid</v>
      </c>
      <c r="K314" s="3" t="str">
        <f>IF(Finance_Data!N310&gt;=0,"Valid","Invalid")</f>
        <v>Valid</v>
      </c>
      <c r="L314" s="3" t="str">
        <f>IF(TEXT(Finance_Data!G310,"mmmm")=Finance_Data!P310,"Valid","Invalid")</f>
        <v>Valid</v>
      </c>
      <c r="M314" s="3" t="str">
        <f>IF("Q"&amp;ROUNDUP(MONTH(Finance_Data!G310)/3,0)=Finance_Data!Q310,"Valid","Invalid")</f>
        <v>Valid</v>
      </c>
      <c r="N314" s="7" t="str">
        <f t="shared" si="4"/>
        <v>Pass</v>
      </c>
    </row>
    <row r="315" spans="1:14" x14ac:dyDescent="0.35">
      <c r="A315" s="17" t="s">
        <v>78</v>
      </c>
      <c r="B315" s="3" t="str">
        <f>IF(ISBLANK(Table3[[#This Row],[Campaign_ID]]),"Invalid","Valid")</f>
        <v>Valid</v>
      </c>
      <c r="C315" s="3" t="str">
        <f>IF(COUNTA(Finance_Data!A311:R311)=18,"Valid","Missing")</f>
        <v>Valid</v>
      </c>
      <c r="D315" s="3" t="str">
        <f>IF(COUNTIF(Finance_Data!$T$2:$T$1001,Finance_Data!T311)&gt;1,"Duplicate","Valid")</f>
        <v>Valid</v>
      </c>
      <c r="E315" s="3" t="str">
        <f>IF(Finance_Data!H311&gt;Finance_Data!G311,"Valid","Invalid")</f>
        <v>Valid</v>
      </c>
      <c r="F315" s="3" t="str" cm="1">
        <f t="array" ref="F315">_xlfn.IFS(Finance_Data!S311&lt;7,"Short",Finance_Data!S311&lt;=30,"Normal",Finance_Data!S311&lt;=60,"Long",Finance_Data!S311&gt;60,"Very Long")</f>
        <v>Long</v>
      </c>
      <c r="G315" s="3" t="str">
        <f>IF(ABS(Finance_Data!I311*Finance_Data!J311)-Finance_Data!K311&lt;1,"Valid","Invalid")</f>
        <v>Valid</v>
      </c>
      <c r="H315" s="3" t="str">
        <f>IF(Finance_Data!L311&gt;0,"Valid","Invalid")</f>
        <v>Valid</v>
      </c>
      <c r="I315" s="3" t="str">
        <f>IF(Finance_Data!L311&gt;=Finance_Data!M311,"Valid","Invalid")</f>
        <v>Valid</v>
      </c>
      <c r="J315" s="3" t="str">
        <f>IF(AND(Finance_Data!I311&gt;=0,Finance_Data!K311&gt;=0),"Valid","Invalid")</f>
        <v>Valid</v>
      </c>
      <c r="K315" s="3" t="str">
        <f>IF(Finance_Data!N311&gt;=0,"Valid","Invalid")</f>
        <v>Valid</v>
      </c>
      <c r="L315" s="3" t="str">
        <f>IF(TEXT(Finance_Data!G311,"mmmm")=Finance_Data!P311,"Valid","Invalid")</f>
        <v>Valid</v>
      </c>
      <c r="M315" s="3" t="str">
        <f>IF("Q"&amp;ROUNDUP(MONTH(Finance_Data!G311)/3,0)=Finance_Data!Q311,"Valid","Invalid")</f>
        <v>Valid</v>
      </c>
      <c r="N315" s="7" t="str">
        <f t="shared" si="4"/>
        <v>Pass</v>
      </c>
    </row>
    <row r="316" spans="1:14" x14ac:dyDescent="0.35">
      <c r="A316" s="17" t="s">
        <v>70</v>
      </c>
      <c r="B316" s="3" t="str">
        <f>IF(ISBLANK(Table3[[#This Row],[Campaign_ID]]),"Invalid","Valid")</f>
        <v>Valid</v>
      </c>
      <c r="C316" s="3" t="str">
        <f>IF(COUNTA(Finance_Data!A312:R312)=18,"Valid","Missing")</f>
        <v>Valid</v>
      </c>
      <c r="D316" s="3" t="str">
        <f>IF(COUNTIF(Finance_Data!$T$2:$T$1001,Finance_Data!T312)&gt;1,"Duplicate","Valid")</f>
        <v>Valid</v>
      </c>
      <c r="E316" s="3" t="str">
        <f>IF(Finance_Data!H312&gt;Finance_Data!G312,"Valid","Invalid")</f>
        <v>Valid</v>
      </c>
      <c r="F316" s="3" t="str" cm="1">
        <f t="array" ref="F316">_xlfn.IFS(Finance_Data!S312&lt;7,"Short",Finance_Data!S312&lt;=30,"Normal",Finance_Data!S312&lt;=60,"Long",Finance_Data!S312&gt;60,"Very Long")</f>
        <v>Long</v>
      </c>
      <c r="G316" s="3" t="str">
        <f>IF(ABS(Finance_Data!I312*Finance_Data!J312)-Finance_Data!K312&lt;1,"Valid","Invalid")</f>
        <v>Valid</v>
      </c>
      <c r="H316" s="3" t="str">
        <f>IF(Finance_Data!L312&gt;0,"Valid","Invalid")</f>
        <v>Valid</v>
      </c>
      <c r="I316" s="3" t="str">
        <f>IF(Finance_Data!L312&gt;=Finance_Data!M312,"Valid","Invalid")</f>
        <v>Valid</v>
      </c>
      <c r="J316" s="3" t="str">
        <f>IF(AND(Finance_Data!I312&gt;=0,Finance_Data!K312&gt;=0),"Valid","Invalid")</f>
        <v>Valid</v>
      </c>
      <c r="K316" s="3" t="str">
        <f>IF(Finance_Data!N312&gt;=0,"Valid","Invalid")</f>
        <v>Valid</v>
      </c>
      <c r="L316" s="3" t="str">
        <f>IF(TEXT(Finance_Data!G312,"mmmm")=Finance_Data!P312,"Valid","Invalid")</f>
        <v>Valid</v>
      </c>
      <c r="M316" s="3" t="str">
        <f>IF("Q"&amp;ROUNDUP(MONTH(Finance_Data!G312)/3,0)=Finance_Data!Q312,"Valid","Invalid")</f>
        <v>Valid</v>
      </c>
      <c r="N316" s="7" t="str">
        <f t="shared" si="4"/>
        <v>Pass</v>
      </c>
    </row>
    <row r="317" spans="1:14" x14ac:dyDescent="0.35">
      <c r="A317" s="17" t="s">
        <v>103</v>
      </c>
      <c r="B317" s="3" t="str">
        <f>IF(ISBLANK(Table3[[#This Row],[Campaign_ID]]),"Invalid","Valid")</f>
        <v>Valid</v>
      </c>
      <c r="C317" s="3" t="str">
        <f>IF(COUNTA(Finance_Data!A313:R313)=18,"Valid","Missing")</f>
        <v>Valid</v>
      </c>
      <c r="D317" s="3" t="str">
        <f>IF(COUNTIF(Finance_Data!$T$2:$T$1001,Finance_Data!T313)&gt;1,"Duplicate","Valid")</f>
        <v>Valid</v>
      </c>
      <c r="E317" s="3" t="str">
        <f>IF(Finance_Data!H313&gt;Finance_Data!G313,"Valid","Invalid")</f>
        <v>Valid</v>
      </c>
      <c r="F317" s="3" t="str" cm="1">
        <f t="array" ref="F317">_xlfn.IFS(Finance_Data!S313&lt;7,"Short",Finance_Data!S313&lt;=30,"Normal",Finance_Data!S313&lt;=60,"Long",Finance_Data!S313&gt;60,"Very Long")</f>
        <v>Normal</v>
      </c>
      <c r="G317" s="3" t="str">
        <f>IF(ABS(Finance_Data!I313*Finance_Data!J313)-Finance_Data!K313&lt;1,"Valid","Invalid")</f>
        <v>Valid</v>
      </c>
      <c r="H317" s="3" t="str">
        <f>IF(Finance_Data!L313&gt;0,"Valid","Invalid")</f>
        <v>Valid</v>
      </c>
      <c r="I317" s="3" t="str">
        <f>IF(Finance_Data!L313&gt;=Finance_Data!M313,"Valid","Invalid")</f>
        <v>Valid</v>
      </c>
      <c r="J317" s="3" t="str">
        <f>IF(AND(Finance_Data!I313&gt;=0,Finance_Data!K313&gt;=0),"Valid","Invalid")</f>
        <v>Valid</v>
      </c>
      <c r="K317" s="3" t="str">
        <f>IF(Finance_Data!N313&gt;=0,"Valid","Invalid")</f>
        <v>Valid</v>
      </c>
      <c r="L317" s="3" t="str">
        <f>IF(TEXT(Finance_Data!G313,"mmmm")=Finance_Data!P313,"Valid","Invalid")</f>
        <v>Valid</v>
      </c>
      <c r="M317" s="3" t="str">
        <f>IF("Q"&amp;ROUNDUP(MONTH(Finance_Data!G313)/3,0)=Finance_Data!Q313,"Valid","Invalid")</f>
        <v>Valid</v>
      </c>
      <c r="N317" s="7" t="str">
        <f t="shared" si="4"/>
        <v>Pass</v>
      </c>
    </row>
    <row r="318" spans="1:14" x14ac:dyDescent="0.35">
      <c r="A318" s="17" t="s">
        <v>93</v>
      </c>
      <c r="B318" s="3" t="str">
        <f>IF(ISBLANK(Table3[[#This Row],[Campaign_ID]]),"Invalid","Valid")</f>
        <v>Valid</v>
      </c>
      <c r="C318" s="3" t="str">
        <f>IF(COUNTA(Finance_Data!A314:R314)=18,"Valid","Missing")</f>
        <v>Valid</v>
      </c>
      <c r="D318" s="3" t="str">
        <f>IF(COUNTIF(Finance_Data!$T$2:$T$1001,Finance_Data!T314)&gt;1,"Duplicate","Valid")</f>
        <v>Valid</v>
      </c>
      <c r="E318" s="3" t="str">
        <f>IF(Finance_Data!H314&gt;Finance_Data!G314,"Valid","Invalid")</f>
        <v>Valid</v>
      </c>
      <c r="F318" s="3" t="str" cm="1">
        <f t="array" ref="F318">_xlfn.IFS(Finance_Data!S314&lt;7,"Short",Finance_Data!S314&lt;=30,"Normal",Finance_Data!S314&lt;=60,"Long",Finance_Data!S314&gt;60,"Very Long")</f>
        <v>Normal</v>
      </c>
      <c r="G318" s="3" t="str">
        <f>IF(ABS(Finance_Data!I314*Finance_Data!J314)-Finance_Data!K314&lt;1,"Valid","Invalid")</f>
        <v>Valid</v>
      </c>
      <c r="H318" s="3" t="str">
        <f>IF(Finance_Data!L314&gt;0,"Valid","Invalid")</f>
        <v>Valid</v>
      </c>
      <c r="I318" s="3" t="str">
        <f>IF(Finance_Data!L314&gt;=Finance_Data!M314,"Valid","Invalid")</f>
        <v>Valid</v>
      </c>
      <c r="J318" s="3" t="str">
        <f>IF(AND(Finance_Data!I314&gt;=0,Finance_Data!K314&gt;=0),"Valid","Invalid")</f>
        <v>Valid</v>
      </c>
      <c r="K318" s="3" t="str">
        <f>IF(Finance_Data!N314&gt;=0,"Valid","Invalid")</f>
        <v>Valid</v>
      </c>
      <c r="L318" s="3" t="str">
        <f>IF(TEXT(Finance_Data!G314,"mmmm")=Finance_Data!P314,"Valid","Invalid")</f>
        <v>Valid</v>
      </c>
      <c r="M318" s="3" t="str">
        <f>IF("Q"&amp;ROUNDUP(MONTH(Finance_Data!G314)/3,0)=Finance_Data!Q314,"Valid","Invalid")</f>
        <v>Valid</v>
      </c>
      <c r="N318" s="7" t="str">
        <f t="shared" si="4"/>
        <v>Pass</v>
      </c>
    </row>
    <row r="319" spans="1:14" x14ac:dyDescent="0.35">
      <c r="A319" s="17" t="s">
        <v>67</v>
      </c>
      <c r="B319" s="3" t="str">
        <f>IF(ISBLANK(Table3[[#This Row],[Campaign_ID]]),"Invalid","Valid")</f>
        <v>Valid</v>
      </c>
      <c r="C319" s="3" t="str">
        <f>IF(COUNTA(Finance_Data!A315:R315)=18,"Valid","Missing")</f>
        <v>Valid</v>
      </c>
      <c r="D319" s="3" t="str">
        <f>IF(COUNTIF(Finance_Data!$T$2:$T$1001,Finance_Data!T315)&gt;1,"Duplicate","Valid")</f>
        <v>Valid</v>
      </c>
      <c r="E319" s="3" t="str">
        <f>IF(Finance_Data!H315&gt;Finance_Data!G315,"Valid","Invalid")</f>
        <v>Valid</v>
      </c>
      <c r="F319" s="3" t="str" cm="1">
        <f t="array" ref="F319">_xlfn.IFS(Finance_Data!S315&lt;7,"Short",Finance_Data!S315&lt;=30,"Normal",Finance_Data!S315&lt;=60,"Long",Finance_Data!S315&gt;60,"Very Long")</f>
        <v>Normal</v>
      </c>
      <c r="G319" s="3" t="str">
        <f>IF(ABS(Finance_Data!I315*Finance_Data!J315)-Finance_Data!K315&lt;1,"Valid","Invalid")</f>
        <v>Valid</v>
      </c>
      <c r="H319" s="3" t="str">
        <f>IF(Finance_Data!L315&gt;0,"Valid","Invalid")</f>
        <v>Valid</v>
      </c>
      <c r="I319" s="3" t="str">
        <f>IF(Finance_Data!L315&gt;=Finance_Data!M315,"Valid","Invalid")</f>
        <v>Valid</v>
      </c>
      <c r="J319" s="3" t="str">
        <f>IF(AND(Finance_Data!I315&gt;=0,Finance_Data!K315&gt;=0),"Valid","Invalid")</f>
        <v>Valid</v>
      </c>
      <c r="K319" s="3" t="str">
        <f>IF(Finance_Data!N315&gt;=0,"Valid","Invalid")</f>
        <v>Valid</v>
      </c>
      <c r="L319" s="3" t="str">
        <f>IF(TEXT(Finance_Data!G315,"mmmm")=Finance_Data!P315,"Valid","Invalid")</f>
        <v>Valid</v>
      </c>
      <c r="M319" s="3" t="str">
        <f>IF("Q"&amp;ROUNDUP(MONTH(Finance_Data!G315)/3,0)=Finance_Data!Q315,"Valid","Invalid")</f>
        <v>Valid</v>
      </c>
      <c r="N319" s="7" t="str">
        <f t="shared" si="4"/>
        <v>Pass</v>
      </c>
    </row>
    <row r="320" spans="1:14" x14ac:dyDescent="0.35">
      <c r="A320" s="17" t="s">
        <v>111</v>
      </c>
      <c r="B320" s="3" t="str">
        <f>IF(ISBLANK(Table3[[#This Row],[Campaign_ID]]),"Invalid","Valid")</f>
        <v>Valid</v>
      </c>
      <c r="C320" s="3" t="str">
        <f>IF(COUNTA(Finance_Data!A316:R316)=18,"Valid","Missing")</f>
        <v>Valid</v>
      </c>
      <c r="D320" s="3" t="str">
        <f>IF(COUNTIF(Finance_Data!$T$2:$T$1001,Finance_Data!T316)&gt;1,"Duplicate","Valid")</f>
        <v>Valid</v>
      </c>
      <c r="E320" s="3" t="str">
        <f>IF(Finance_Data!H316&gt;Finance_Data!G316,"Valid","Invalid")</f>
        <v>Valid</v>
      </c>
      <c r="F320" s="3" t="str" cm="1">
        <f t="array" ref="F320">_xlfn.IFS(Finance_Data!S316&lt;7,"Short",Finance_Data!S316&lt;=30,"Normal",Finance_Data!S316&lt;=60,"Long",Finance_Data!S316&gt;60,"Very Long")</f>
        <v>Long</v>
      </c>
      <c r="G320" s="3" t="str">
        <f>IF(ABS(Finance_Data!I316*Finance_Data!J316)-Finance_Data!K316&lt;1,"Valid","Invalid")</f>
        <v>Valid</v>
      </c>
      <c r="H320" s="3" t="str">
        <f>IF(Finance_Data!L316&gt;0,"Valid","Invalid")</f>
        <v>Valid</v>
      </c>
      <c r="I320" s="3" t="str">
        <f>IF(Finance_Data!L316&gt;=Finance_Data!M316,"Valid","Invalid")</f>
        <v>Valid</v>
      </c>
      <c r="J320" s="3" t="str">
        <f>IF(AND(Finance_Data!I316&gt;=0,Finance_Data!K316&gt;=0),"Valid","Invalid")</f>
        <v>Valid</v>
      </c>
      <c r="K320" s="3" t="str">
        <f>IF(Finance_Data!N316&gt;=0,"Valid","Invalid")</f>
        <v>Valid</v>
      </c>
      <c r="L320" s="3" t="str">
        <f>IF(TEXT(Finance_Data!G316,"mmmm")=Finance_Data!P316,"Valid","Invalid")</f>
        <v>Valid</v>
      </c>
      <c r="M320" s="3" t="str">
        <f>IF("Q"&amp;ROUNDUP(MONTH(Finance_Data!G316)/3,0)=Finance_Data!Q316,"Valid","Invalid")</f>
        <v>Valid</v>
      </c>
      <c r="N320" s="7" t="str">
        <f t="shared" si="4"/>
        <v>Pass</v>
      </c>
    </row>
    <row r="321" spans="1:14" x14ac:dyDescent="0.35">
      <c r="A321" s="17" t="s">
        <v>66</v>
      </c>
      <c r="B321" s="3" t="str">
        <f>IF(ISBLANK(Table3[[#This Row],[Campaign_ID]]),"Invalid","Valid")</f>
        <v>Valid</v>
      </c>
      <c r="C321" s="3" t="str">
        <f>IF(COUNTA(Finance_Data!A317:R317)=18,"Valid","Missing")</f>
        <v>Valid</v>
      </c>
      <c r="D321" s="3" t="str">
        <f>IF(COUNTIF(Finance_Data!$T$2:$T$1001,Finance_Data!T317)&gt;1,"Duplicate","Valid")</f>
        <v>Valid</v>
      </c>
      <c r="E321" s="3" t="str">
        <f>IF(Finance_Data!H317&gt;Finance_Data!G317,"Valid","Invalid")</f>
        <v>Valid</v>
      </c>
      <c r="F321" s="3" t="str" cm="1">
        <f t="array" ref="F321">_xlfn.IFS(Finance_Data!S317&lt;7,"Short",Finance_Data!S317&lt;=30,"Normal",Finance_Data!S317&lt;=60,"Long",Finance_Data!S317&gt;60,"Very Long")</f>
        <v>Normal</v>
      </c>
      <c r="G321" s="3" t="str">
        <f>IF(ABS(Finance_Data!I317*Finance_Data!J317)-Finance_Data!K317&lt;1,"Valid","Invalid")</f>
        <v>Valid</v>
      </c>
      <c r="H321" s="3" t="str">
        <f>IF(Finance_Data!L317&gt;0,"Valid","Invalid")</f>
        <v>Valid</v>
      </c>
      <c r="I321" s="3" t="str">
        <f>IF(Finance_Data!L317&gt;=Finance_Data!M317,"Valid","Invalid")</f>
        <v>Valid</v>
      </c>
      <c r="J321" s="3" t="str">
        <f>IF(AND(Finance_Data!I317&gt;=0,Finance_Data!K317&gt;=0),"Valid","Invalid")</f>
        <v>Valid</v>
      </c>
      <c r="K321" s="3" t="str">
        <f>IF(Finance_Data!N317&gt;=0,"Valid","Invalid")</f>
        <v>Valid</v>
      </c>
      <c r="L321" s="3" t="str">
        <f>IF(TEXT(Finance_Data!G317,"mmmm")=Finance_Data!P317,"Valid","Invalid")</f>
        <v>Valid</v>
      </c>
      <c r="M321" s="3" t="str">
        <f>IF("Q"&amp;ROUNDUP(MONTH(Finance_Data!G317)/3,0)=Finance_Data!Q317,"Valid","Invalid")</f>
        <v>Valid</v>
      </c>
      <c r="N321" s="7" t="str">
        <f t="shared" si="4"/>
        <v>Pass</v>
      </c>
    </row>
    <row r="322" spans="1:14" x14ac:dyDescent="0.35">
      <c r="A322" s="17" t="s">
        <v>79</v>
      </c>
      <c r="B322" s="3" t="str">
        <f>IF(ISBLANK(Table3[[#This Row],[Campaign_ID]]),"Invalid","Valid")</f>
        <v>Valid</v>
      </c>
      <c r="C322" s="3" t="str">
        <f>IF(COUNTA(Finance_Data!A318:R318)=18,"Valid","Missing")</f>
        <v>Valid</v>
      </c>
      <c r="D322" s="3" t="str">
        <f>IF(COUNTIF(Finance_Data!$T$2:$T$1001,Finance_Data!T318)&gt;1,"Duplicate","Valid")</f>
        <v>Valid</v>
      </c>
      <c r="E322" s="3" t="str">
        <f>IF(Finance_Data!H318&gt;Finance_Data!G318,"Valid","Invalid")</f>
        <v>Valid</v>
      </c>
      <c r="F322" s="3" t="str" cm="1">
        <f t="array" ref="F322">_xlfn.IFS(Finance_Data!S318&lt;7,"Short",Finance_Data!S318&lt;=30,"Normal",Finance_Data!S318&lt;=60,"Long",Finance_Data!S318&gt;60,"Very Long")</f>
        <v>Normal</v>
      </c>
      <c r="G322" s="3" t="str">
        <f>IF(ABS(Finance_Data!I318*Finance_Data!J318)-Finance_Data!K318&lt;1,"Valid","Invalid")</f>
        <v>Valid</v>
      </c>
      <c r="H322" s="3" t="str">
        <f>IF(Finance_Data!L318&gt;0,"Valid","Invalid")</f>
        <v>Valid</v>
      </c>
      <c r="I322" s="3" t="str">
        <f>IF(Finance_Data!L318&gt;=Finance_Data!M318,"Valid","Invalid")</f>
        <v>Valid</v>
      </c>
      <c r="J322" s="3" t="str">
        <f>IF(AND(Finance_Data!I318&gt;=0,Finance_Data!K318&gt;=0),"Valid","Invalid")</f>
        <v>Valid</v>
      </c>
      <c r="K322" s="3" t="str">
        <f>IF(Finance_Data!N318&gt;=0,"Valid","Invalid")</f>
        <v>Valid</v>
      </c>
      <c r="L322" s="3" t="str">
        <f>IF(TEXT(Finance_Data!G318,"mmmm")=Finance_Data!P318,"Valid","Invalid")</f>
        <v>Valid</v>
      </c>
      <c r="M322" s="3" t="str">
        <f>IF("Q"&amp;ROUNDUP(MONTH(Finance_Data!G318)/3,0)=Finance_Data!Q318,"Valid","Invalid")</f>
        <v>Valid</v>
      </c>
      <c r="N322" s="7" t="str">
        <f t="shared" si="4"/>
        <v>Pass</v>
      </c>
    </row>
    <row r="323" spans="1:14" x14ac:dyDescent="0.35">
      <c r="A323" s="17" t="s">
        <v>34</v>
      </c>
      <c r="B323" s="3" t="str">
        <f>IF(ISBLANK(Table3[[#This Row],[Campaign_ID]]),"Invalid","Valid")</f>
        <v>Valid</v>
      </c>
      <c r="C323" s="3" t="str">
        <f>IF(COUNTA(Finance_Data!A319:R319)=18,"Valid","Missing")</f>
        <v>Valid</v>
      </c>
      <c r="D323" s="3" t="str">
        <f>IF(COUNTIF(Finance_Data!$T$2:$T$1001,Finance_Data!T319)&gt;1,"Duplicate","Valid")</f>
        <v>Valid</v>
      </c>
      <c r="E323" s="3" t="str">
        <f>IF(Finance_Data!H319&gt;Finance_Data!G319,"Valid","Invalid")</f>
        <v>Valid</v>
      </c>
      <c r="F323" s="3" t="str" cm="1">
        <f t="array" ref="F323">_xlfn.IFS(Finance_Data!S319&lt;7,"Short",Finance_Data!S319&lt;=30,"Normal",Finance_Data!S319&lt;=60,"Long",Finance_Data!S319&gt;60,"Very Long")</f>
        <v>Normal</v>
      </c>
      <c r="G323" s="3" t="str">
        <f>IF(ABS(Finance_Data!I319*Finance_Data!J319)-Finance_Data!K319&lt;1,"Valid","Invalid")</f>
        <v>Valid</v>
      </c>
      <c r="H323" s="3" t="str">
        <f>IF(Finance_Data!L319&gt;0,"Valid","Invalid")</f>
        <v>Valid</v>
      </c>
      <c r="I323" s="3" t="str">
        <f>IF(Finance_Data!L319&gt;=Finance_Data!M319,"Valid","Invalid")</f>
        <v>Valid</v>
      </c>
      <c r="J323" s="3" t="str">
        <f>IF(AND(Finance_Data!I319&gt;=0,Finance_Data!K319&gt;=0),"Valid","Invalid")</f>
        <v>Valid</v>
      </c>
      <c r="K323" s="3" t="str">
        <f>IF(Finance_Data!N319&gt;=0,"Valid","Invalid")</f>
        <v>Valid</v>
      </c>
      <c r="L323" s="3" t="str">
        <f>IF(TEXT(Finance_Data!G319,"mmmm")=Finance_Data!P319,"Valid","Invalid")</f>
        <v>Valid</v>
      </c>
      <c r="M323" s="3" t="str">
        <f>IF("Q"&amp;ROUNDUP(MONTH(Finance_Data!G319)/3,0)=Finance_Data!Q319,"Valid","Invalid")</f>
        <v>Valid</v>
      </c>
      <c r="N323" s="7" t="str">
        <f t="shared" si="4"/>
        <v>Pass</v>
      </c>
    </row>
    <row r="324" spans="1:14" x14ac:dyDescent="0.35">
      <c r="A324" s="17" t="s">
        <v>93</v>
      </c>
      <c r="B324" s="3" t="str">
        <f>IF(ISBLANK(Table3[[#This Row],[Campaign_ID]]),"Invalid","Valid")</f>
        <v>Valid</v>
      </c>
      <c r="C324" s="3" t="str">
        <f>IF(COUNTA(Finance_Data!A320:R320)=18,"Valid","Missing")</f>
        <v>Valid</v>
      </c>
      <c r="D324" s="3" t="str">
        <f>IF(COUNTIF(Finance_Data!$T$2:$T$1001,Finance_Data!T320)&gt;1,"Duplicate","Valid")</f>
        <v>Valid</v>
      </c>
      <c r="E324" s="3" t="str">
        <f>IF(Finance_Data!H320&gt;Finance_Data!G320,"Valid","Invalid")</f>
        <v>Valid</v>
      </c>
      <c r="F324" s="3" t="str" cm="1">
        <f t="array" ref="F324">_xlfn.IFS(Finance_Data!S320&lt;7,"Short",Finance_Data!S320&lt;=30,"Normal",Finance_Data!S320&lt;=60,"Long",Finance_Data!S320&gt;60,"Very Long")</f>
        <v>Long</v>
      </c>
      <c r="G324" s="3" t="str">
        <f>IF(ABS(Finance_Data!I320*Finance_Data!J320)-Finance_Data!K320&lt;1,"Valid","Invalid")</f>
        <v>Valid</v>
      </c>
      <c r="H324" s="3" t="str">
        <f>IF(Finance_Data!L320&gt;0,"Valid","Invalid")</f>
        <v>Valid</v>
      </c>
      <c r="I324" s="3" t="str">
        <f>IF(Finance_Data!L320&gt;=Finance_Data!M320,"Valid","Invalid")</f>
        <v>Valid</v>
      </c>
      <c r="J324" s="3" t="str">
        <f>IF(AND(Finance_Data!I320&gt;=0,Finance_Data!K320&gt;=0),"Valid","Invalid")</f>
        <v>Valid</v>
      </c>
      <c r="K324" s="3" t="str">
        <f>IF(Finance_Data!N320&gt;=0,"Valid","Invalid")</f>
        <v>Valid</v>
      </c>
      <c r="L324" s="3" t="str">
        <f>IF(TEXT(Finance_Data!G320,"mmmm")=Finance_Data!P320,"Valid","Invalid")</f>
        <v>Valid</v>
      </c>
      <c r="M324" s="3" t="str">
        <f>IF("Q"&amp;ROUNDUP(MONTH(Finance_Data!G320)/3,0)=Finance_Data!Q320,"Valid","Invalid")</f>
        <v>Valid</v>
      </c>
      <c r="N324" s="7" t="str">
        <f t="shared" si="4"/>
        <v>Pass</v>
      </c>
    </row>
    <row r="325" spans="1:14" x14ac:dyDescent="0.35">
      <c r="A325" s="17" t="s">
        <v>72</v>
      </c>
      <c r="B325" s="3" t="str">
        <f>IF(ISBLANK(Table3[[#This Row],[Campaign_ID]]),"Invalid","Valid")</f>
        <v>Valid</v>
      </c>
      <c r="C325" s="3" t="str">
        <f>IF(COUNTA(Finance_Data!A321:R321)=18,"Valid","Missing")</f>
        <v>Valid</v>
      </c>
      <c r="D325" s="3" t="str">
        <f>IF(COUNTIF(Finance_Data!$T$2:$T$1001,Finance_Data!T321)&gt;1,"Duplicate","Valid")</f>
        <v>Valid</v>
      </c>
      <c r="E325" s="3" t="str">
        <f>IF(Finance_Data!H321&gt;Finance_Data!G321,"Valid","Invalid")</f>
        <v>Valid</v>
      </c>
      <c r="F325" s="3" t="str" cm="1">
        <f t="array" ref="F325">_xlfn.IFS(Finance_Data!S321&lt;7,"Short",Finance_Data!S321&lt;=30,"Normal",Finance_Data!S321&lt;=60,"Long",Finance_Data!S321&gt;60,"Very Long")</f>
        <v>Very Long</v>
      </c>
      <c r="G325" s="3" t="str">
        <f>IF(ABS(Finance_Data!I321*Finance_Data!J321)-Finance_Data!K321&lt;1,"Valid","Invalid")</f>
        <v>Valid</v>
      </c>
      <c r="H325" s="3" t="str">
        <f>IF(Finance_Data!L321&gt;0,"Valid","Invalid")</f>
        <v>Valid</v>
      </c>
      <c r="I325" s="3" t="str">
        <f>IF(Finance_Data!L321&gt;=Finance_Data!M321,"Valid","Invalid")</f>
        <v>Valid</v>
      </c>
      <c r="J325" s="3" t="str">
        <f>IF(AND(Finance_Data!I321&gt;=0,Finance_Data!K321&gt;=0),"Valid","Invalid")</f>
        <v>Valid</v>
      </c>
      <c r="K325" s="3" t="str">
        <f>IF(Finance_Data!N321&gt;=0,"Valid","Invalid")</f>
        <v>Valid</v>
      </c>
      <c r="L325" s="3" t="str">
        <f>IF(TEXT(Finance_Data!G321,"mmmm")=Finance_Data!P321,"Valid","Invalid")</f>
        <v>Valid</v>
      </c>
      <c r="M325" s="3" t="str">
        <f>IF("Q"&amp;ROUNDUP(MONTH(Finance_Data!G321)/3,0)=Finance_Data!Q321,"Valid","Invalid")</f>
        <v>Valid</v>
      </c>
      <c r="N325" s="7" t="str">
        <f t="shared" si="4"/>
        <v>Pass</v>
      </c>
    </row>
    <row r="326" spans="1:14" x14ac:dyDescent="0.35">
      <c r="A326" s="17" t="s">
        <v>119</v>
      </c>
      <c r="B326" s="3" t="str">
        <f>IF(ISBLANK(Table3[[#This Row],[Campaign_ID]]),"Invalid","Valid")</f>
        <v>Valid</v>
      </c>
      <c r="C326" s="3" t="str">
        <f>IF(COUNTA(Finance_Data!A322:R322)=18,"Valid","Missing")</f>
        <v>Valid</v>
      </c>
      <c r="D326" s="3" t="str">
        <f>IF(COUNTIF(Finance_Data!$T$2:$T$1001,Finance_Data!T322)&gt;1,"Duplicate","Valid")</f>
        <v>Valid</v>
      </c>
      <c r="E326" s="3" t="str">
        <f>IF(Finance_Data!H322&gt;Finance_Data!G322,"Valid","Invalid")</f>
        <v>Valid</v>
      </c>
      <c r="F326" s="3" t="str" cm="1">
        <f t="array" ref="F326">_xlfn.IFS(Finance_Data!S322&lt;7,"Short",Finance_Data!S322&lt;=30,"Normal",Finance_Data!S322&lt;=60,"Long",Finance_Data!S322&gt;60,"Very Long")</f>
        <v>Long</v>
      </c>
      <c r="G326" s="3" t="str">
        <f>IF(ABS(Finance_Data!I322*Finance_Data!J322)-Finance_Data!K322&lt;1,"Valid","Invalid")</f>
        <v>Valid</v>
      </c>
      <c r="H326" s="3" t="str">
        <f>IF(Finance_Data!L322&gt;0,"Valid","Invalid")</f>
        <v>Valid</v>
      </c>
      <c r="I326" s="3" t="str">
        <f>IF(Finance_Data!L322&gt;=Finance_Data!M322,"Valid","Invalid")</f>
        <v>Valid</v>
      </c>
      <c r="J326" s="3" t="str">
        <f>IF(AND(Finance_Data!I322&gt;=0,Finance_Data!K322&gt;=0),"Valid","Invalid")</f>
        <v>Valid</v>
      </c>
      <c r="K326" s="3" t="str">
        <f>IF(Finance_Data!N322&gt;=0,"Valid","Invalid")</f>
        <v>Valid</v>
      </c>
      <c r="L326" s="3" t="str">
        <f>IF(TEXT(Finance_Data!G322,"mmmm")=Finance_Data!P322,"Valid","Invalid")</f>
        <v>Valid</v>
      </c>
      <c r="M326" s="3" t="str">
        <f>IF("Q"&amp;ROUNDUP(MONTH(Finance_Data!G322)/3,0)=Finance_Data!Q322,"Valid","Invalid")</f>
        <v>Valid</v>
      </c>
      <c r="N326" s="7" t="str">
        <f t="shared" ref="N326:N389" si="5">IF(AND(B326="Valid",E326="Valid",G326="Valid",H326="Valid",I326="Valid",J326="Valid",K326="Valid",L326="Valid",M326="Valid"),"Pass","Fail")</f>
        <v>Pass</v>
      </c>
    </row>
    <row r="327" spans="1:14" x14ac:dyDescent="0.35">
      <c r="A327" s="17" t="s">
        <v>18</v>
      </c>
      <c r="B327" s="3" t="str">
        <f>IF(ISBLANK(Table3[[#This Row],[Campaign_ID]]),"Invalid","Valid")</f>
        <v>Valid</v>
      </c>
      <c r="C327" s="3" t="str">
        <f>IF(COUNTA(Finance_Data!A323:R323)=18,"Valid","Missing")</f>
        <v>Valid</v>
      </c>
      <c r="D327" s="3" t="str">
        <f>IF(COUNTIF(Finance_Data!$T$2:$T$1001,Finance_Data!T323)&gt;1,"Duplicate","Valid")</f>
        <v>Valid</v>
      </c>
      <c r="E327" s="3" t="str">
        <f>IF(Finance_Data!H323&gt;Finance_Data!G323,"Valid","Invalid")</f>
        <v>Valid</v>
      </c>
      <c r="F327" s="3" t="str" cm="1">
        <f t="array" ref="F327">_xlfn.IFS(Finance_Data!S323&lt;7,"Short",Finance_Data!S323&lt;=30,"Normal",Finance_Data!S323&lt;=60,"Long",Finance_Data!S323&gt;60,"Very Long")</f>
        <v>Long</v>
      </c>
      <c r="G327" s="3" t="str">
        <f>IF(ABS(Finance_Data!I323*Finance_Data!J323)-Finance_Data!K323&lt;1,"Valid","Invalid")</f>
        <v>Valid</v>
      </c>
      <c r="H327" s="3" t="str">
        <f>IF(Finance_Data!L323&gt;0,"Valid","Invalid")</f>
        <v>Valid</v>
      </c>
      <c r="I327" s="3" t="str">
        <f>IF(Finance_Data!L323&gt;=Finance_Data!M323,"Valid","Invalid")</f>
        <v>Valid</v>
      </c>
      <c r="J327" s="3" t="str">
        <f>IF(AND(Finance_Data!I323&gt;=0,Finance_Data!K323&gt;=0),"Valid","Invalid")</f>
        <v>Valid</v>
      </c>
      <c r="K327" s="3" t="str">
        <f>IF(Finance_Data!N323&gt;=0,"Valid","Invalid")</f>
        <v>Valid</v>
      </c>
      <c r="L327" s="3" t="str">
        <f>IF(TEXT(Finance_Data!G323,"mmmm")=Finance_Data!P323,"Valid","Invalid")</f>
        <v>Valid</v>
      </c>
      <c r="M327" s="3" t="str">
        <f>IF("Q"&amp;ROUNDUP(MONTH(Finance_Data!G323)/3,0)=Finance_Data!Q323,"Valid","Invalid")</f>
        <v>Valid</v>
      </c>
      <c r="N327" s="7" t="str">
        <f t="shared" si="5"/>
        <v>Pass</v>
      </c>
    </row>
    <row r="328" spans="1:14" x14ac:dyDescent="0.35">
      <c r="A328" s="17" t="s">
        <v>119</v>
      </c>
      <c r="B328" s="3" t="str">
        <f>IF(ISBLANK(Table3[[#This Row],[Campaign_ID]]),"Invalid","Valid")</f>
        <v>Valid</v>
      </c>
      <c r="C328" s="3" t="str">
        <f>IF(COUNTA(Finance_Data!A324:R324)=18,"Valid","Missing")</f>
        <v>Valid</v>
      </c>
      <c r="D328" s="3" t="str">
        <f>IF(COUNTIF(Finance_Data!$T$2:$T$1001,Finance_Data!T324)&gt;1,"Duplicate","Valid")</f>
        <v>Valid</v>
      </c>
      <c r="E328" s="3" t="str">
        <f>IF(Finance_Data!H324&gt;Finance_Data!G324,"Valid","Invalid")</f>
        <v>Valid</v>
      </c>
      <c r="F328" s="3" t="str" cm="1">
        <f t="array" ref="F328">_xlfn.IFS(Finance_Data!S324&lt;7,"Short",Finance_Data!S324&lt;=30,"Normal",Finance_Data!S324&lt;=60,"Long",Finance_Data!S324&gt;60,"Very Long")</f>
        <v>Long</v>
      </c>
      <c r="G328" s="3" t="str">
        <f>IF(ABS(Finance_Data!I324*Finance_Data!J324)-Finance_Data!K324&lt;1,"Valid","Invalid")</f>
        <v>Valid</v>
      </c>
      <c r="H328" s="3" t="str">
        <f>IF(Finance_Data!L324&gt;0,"Valid","Invalid")</f>
        <v>Valid</v>
      </c>
      <c r="I328" s="3" t="str">
        <f>IF(Finance_Data!L324&gt;=Finance_Data!M324,"Valid","Invalid")</f>
        <v>Valid</v>
      </c>
      <c r="J328" s="3" t="str">
        <f>IF(AND(Finance_Data!I324&gt;=0,Finance_Data!K324&gt;=0),"Valid","Invalid")</f>
        <v>Valid</v>
      </c>
      <c r="K328" s="3" t="str">
        <f>IF(Finance_Data!N324&gt;=0,"Valid","Invalid")</f>
        <v>Valid</v>
      </c>
      <c r="L328" s="3" t="str">
        <f>IF(TEXT(Finance_Data!G324,"mmmm")=Finance_Data!P324,"Valid","Invalid")</f>
        <v>Valid</v>
      </c>
      <c r="M328" s="3" t="str">
        <f>IF("Q"&amp;ROUNDUP(MONTH(Finance_Data!G324)/3,0)=Finance_Data!Q324,"Valid","Invalid")</f>
        <v>Valid</v>
      </c>
      <c r="N328" s="7" t="str">
        <f t="shared" si="5"/>
        <v>Pass</v>
      </c>
    </row>
    <row r="329" spans="1:14" x14ac:dyDescent="0.35">
      <c r="A329" s="17" t="s">
        <v>64</v>
      </c>
      <c r="B329" s="3" t="str">
        <f>IF(ISBLANK(Table3[[#This Row],[Campaign_ID]]),"Invalid","Valid")</f>
        <v>Valid</v>
      </c>
      <c r="C329" s="3" t="str">
        <f>IF(COUNTA(Finance_Data!A325:R325)=18,"Valid","Missing")</f>
        <v>Valid</v>
      </c>
      <c r="D329" s="3" t="str">
        <f>IF(COUNTIF(Finance_Data!$T$2:$T$1001,Finance_Data!T325)&gt;1,"Duplicate","Valid")</f>
        <v>Valid</v>
      </c>
      <c r="E329" s="3" t="str">
        <f>IF(Finance_Data!H325&gt;Finance_Data!G325,"Valid","Invalid")</f>
        <v>Valid</v>
      </c>
      <c r="F329" s="3" t="str" cm="1">
        <f t="array" ref="F329">_xlfn.IFS(Finance_Data!S325&lt;7,"Short",Finance_Data!S325&lt;=30,"Normal",Finance_Data!S325&lt;=60,"Long",Finance_Data!S325&gt;60,"Very Long")</f>
        <v>Long</v>
      </c>
      <c r="G329" s="3" t="str">
        <f>IF(ABS(Finance_Data!I325*Finance_Data!J325)-Finance_Data!K325&lt;1,"Valid","Invalid")</f>
        <v>Valid</v>
      </c>
      <c r="H329" s="3" t="str">
        <f>IF(Finance_Data!L325&gt;0,"Valid","Invalid")</f>
        <v>Valid</v>
      </c>
      <c r="I329" s="3" t="str">
        <f>IF(Finance_Data!L325&gt;=Finance_Data!M325,"Valid","Invalid")</f>
        <v>Valid</v>
      </c>
      <c r="J329" s="3" t="str">
        <f>IF(AND(Finance_Data!I325&gt;=0,Finance_Data!K325&gt;=0),"Valid","Invalid")</f>
        <v>Valid</v>
      </c>
      <c r="K329" s="3" t="str">
        <f>IF(Finance_Data!N325&gt;=0,"Valid","Invalid")</f>
        <v>Valid</v>
      </c>
      <c r="L329" s="3" t="str">
        <f>IF(TEXT(Finance_Data!G325,"mmmm")=Finance_Data!P325,"Valid","Invalid")</f>
        <v>Valid</v>
      </c>
      <c r="M329" s="3" t="str">
        <f>IF("Q"&amp;ROUNDUP(MONTH(Finance_Data!G325)/3,0)=Finance_Data!Q325,"Valid","Invalid")</f>
        <v>Valid</v>
      </c>
      <c r="N329" s="7" t="str">
        <f t="shared" si="5"/>
        <v>Pass</v>
      </c>
    </row>
    <row r="330" spans="1:14" x14ac:dyDescent="0.35">
      <c r="A330" s="17" t="s">
        <v>107</v>
      </c>
      <c r="B330" s="3" t="str">
        <f>IF(ISBLANK(Table3[[#This Row],[Campaign_ID]]),"Invalid","Valid")</f>
        <v>Valid</v>
      </c>
      <c r="C330" s="3" t="str">
        <f>IF(COUNTA(Finance_Data!A326:R326)=18,"Valid","Missing")</f>
        <v>Valid</v>
      </c>
      <c r="D330" s="3" t="str">
        <f>IF(COUNTIF(Finance_Data!$T$2:$T$1001,Finance_Data!T326)&gt;1,"Duplicate","Valid")</f>
        <v>Valid</v>
      </c>
      <c r="E330" s="3" t="str">
        <f>IF(Finance_Data!H326&gt;Finance_Data!G326,"Valid","Invalid")</f>
        <v>Valid</v>
      </c>
      <c r="F330" s="3" t="str" cm="1">
        <f t="array" ref="F330">_xlfn.IFS(Finance_Data!S326&lt;7,"Short",Finance_Data!S326&lt;=30,"Normal",Finance_Data!S326&lt;=60,"Long",Finance_Data!S326&gt;60,"Very Long")</f>
        <v>Long</v>
      </c>
      <c r="G330" s="3" t="str">
        <f>IF(ABS(Finance_Data!I326*Finance_Data!J326)-Finance_Data!K326&lt;1,"Valid","Invalid")</f>
        <v>Valid</v>
      </c>
      <c r="H330" s="3" t="str">
        <f>IF(Finance_Data!L326&gt;0,"Valid","Invalid")</f>
        <v>Valid</v>
      </c>
      <c r="I330" s="3" t="str">
        <f>IF(Finance_Data!L326&gt;=Finance_Data!M326,"Valid","Invalid")</f>
        <v>Valid</v>
      </c>
      <c r="J330" s="3" t="str">
        <f>IF(AND(Finance_Data!I326&gt;=0,Finance_Data!K326&gt;=0),"Valid","Invalid")</f>
        <v>Valid</v>
      </c>
      <c r="K330" s="3" t="str">
        <f>IF(Finance_Data!N326&gt;=0,"Valid","Invalid")</f>
        <v>Valid</v>
      </c>
      <c r="L330" s="3" t="str">
        <f>IF(TEXT(Finance_Data!G326,"mmmm")=Finance_Data!P326,"Valid","Invalid")</f>
        <v>Valid</v>
      </c>
      <c r="M330" s="3" t="str">
        <f>IF("Q"&amp;ROUNDUP(MONTH(Finance_Data!G326)/3,0)=Finance_Data!Q326,"Valid","Invalid")</f>
        <v>Valid</v>
      </c>
      <c r="N330" s="7" t="str">
        <f t="shared" si="5"/>
        <v>Pass</v>
      </c>
    </row>
    <row r="331" spans="1:14" x14ac:dyDescent="0.35">
      <c r="A331" s="17" t="s">
        <v>89</v>
      </c>
      <c r="B331" s="3" t="str">
        <f>IF(ISBLANK(Table3[[#This Row],[Campaign_ID]]),"Invalid","Valid")</f>
        <v>Valid</v>
      </c>
      <c r="C331" s="3" t="str">
        <f>IF(COUNTA(Finance_Data!A327:R327)=18,"Valid","Missing")</f>
        <v>Valid</v>
      </c>
      <c r="D331" s="3" t="str">
        <f>IF(COUNTIF(Finance_Data!$T$2:$T$1001,Finance_Data!T327)&gt;1,"Duplicate","Valid")</f>
        <v>Valid</v>
      </c>
      <c r="E331" s="3" t="str">
        <f>IF(Finance_Data!H327&gt;Finance_Data!G327,"Valid","Invalid")</f>
        <v>Valid</v>
      </c>
      <c r="F331" s="3" t="str" cm="1">
        <f t="array" ref="F331">_xlfn.IFS(Finance_Data!S327&lt;7,"Short",Finance_Data!S327&lt;=30,"Normal",Finance_Data!S327&lt;=60,"Long",Finance_Data!S327&gt;60,"Very Long")</f>
        <v>Long</v>
      </c>
      <c r="G331" s="3" t="str">
        <f>IF(ABS(Finance_Data!I327*Finance_Data!J327)-Finance_Data!K327&lt;1,"Valid","Invalid")</f>
        <v>Valid</v>
      </c>
      <c r="H331" s="3" t="str">
        <f>IF(Finance_Data!L327&gt;0,"Valid","Invalid")</f>
        <v>Valid</v>
      </c>
      <c r="I331" s="3" t="str">
        <f>IF(Finance_Data!L327&gt;=Finance_Data!M327,"Valid","Invalid")</f>
        <v>Valid</v>
      </c>
      <c r="J331" s="3" t="str">
        <f>IF(AND(Finance_Data!I327&gt;=0,Finance_Data!K327&gt;=0),"Valid","Invalid")</f>
        <v>Valid</v>
      </c>
      <c r="K331" s="3" t="str">
        <f>IF(Finance_Data!N327&gt;=0,"Valid","Invalid")</f>
        <v>Valid</v>
      </c>
      <c r="L331" s="3" t="str">
        <f>IF(TEXT(Finance_Data!G327,"mmmm")=Finance_Data!P327,"Valid","Invalid")</f>
        <v>Valid</v>
      </c>
      <c r="M331" s="3" t="str">
        <f>IF("Q"&amp;ROUNDUP(MONTH(Finance_Data!G327)/3,0)=Finance_Data!Q327,"Valid","Invalid")</f>
        <v>Valid</v>
      </c>
      <c r="N331" s="7" t="str">
        <f t="shared" si="5"/>
        <v>Pass</v>
      </c>
    </row>
    <row r="332" spans="1:14" x14ac:dyDescent="0.35">
      <c r="A332" s="17" t="s">
        <v>111</v>
      </c>
      <c r="B332" s="3" t="str">
        <f>IF(ISBLANK(Table3[[#This Row],[Campaign_ID]]),"Invalid","Valid")</f>
        <v>Valid</v>
      </c>
      <c r="C332" s="3" t="str">
        <f>IF(COUNTA(Finance_Data!A328:R328)=18,"Valid","Missing")</f>
        <v>Valid</v>
      </c>
      <c r="D332" s="3" t="str">
        <f>IF(COUNTIF(Finance_Data!$T$2:$T$1001,Finance_Data!T328)&gt;1,"Duplicate","Valid")</f>
        <v>Valid</v>
      </c>
      <c r="E332" s="3" t="str">
        <f>IF(Finance_Data!H328&gt;Finance_Data!G328,"Valid","Invalid")</f>
        <v>Valid</v>
      </c>
      <c r="F332" s="3" t="str" cm="1">
        <f t="array" ref="F332">_xlfn.IFS(Finance_Data!S328&lt;7,"Short",Finance_Data!S328&lt;=30,"Normal",Finance_Data!S328&lt;=60,"Long",Finance_Data!S328&gt;60,"Very Long")</f>
        <v>Long</v>
      </c>
      <c r="G332" s="3" t="str">
        <f>IF(ABS(Finance_Data!I328*Finance_Data!J328)-Finance_Data!K328&lt;1,"Valid","Invalid")</f>
        <v>Valid</v>
      </c>
      <c r="H332" s="3" t="str">
        <f>IF(Finance_Data!L328&gt;0,"Valid","Invalid")</f>
        <v>Valid</v>
      </c>
      <c r="I332" s="3" t="str">
        <f>IF(Finance_Data!L328&gt;=Finance_Data!M328,"Valid","Invalid")</f>
        <v>Valid</v>
      </c>
      <c r="J332" s="3" t="str">
        <f>IF(AND(Finance_Data!I328&gt;=0,Finance_Data!K328&gt;=0),"Valid","Invalid")</f>
        <v>Valid</v>
      </c>
      <c r="K332" s="3" t="str">
        <f>IF(Finance_Data!N328&gt;=0,"Valid","Invalid")</f>
        <v>Valid</v>
      </c>
      <c r="L332" s="3" t="str">
        <f>IF(TEXT(Finance_Data!G328,"mmmm")=Finance_Data!P328,"Valid","Invalid")</f>
        <v>Valid</v>
      </c>
      <c r="M332" s="3" t="str">
        <f>IF("Q"&amp;ROUNDUP(MONTH(Finance_Data!G328)/3,0)=Finance_Data!Q328,"Valid","Invalid")</f>
        <v>Valid</v>
      </c>
      <c r="N332" s="7" t="str">
        <f t="shared" si="5"/>
        <v>Pass</v>
      </c>
    </row>
    <row r="333" spans="1:14" x14ac:dyDescent="0.35">
      <c r="A333" s="17" t="s">
        <v>100</v>
      </c>
      <c r="B333" s="3" t="str">
        <f>IF(ISBLANK(Table3[[#This Row],[Campaign_ID]]),"Invalid","Valid")</f>
        <v>Valid</v>
      </c>
      <c r="C333" s="3" t="str">
        <f>IF(COUNTA(Finance_Data!A329:R329)=18,"Valid","Missing")</f>
        <v>Valid</v>
      </c>
      <c r="D333" s="3" t="str">
        <f>IF(COUNTIF(Finance_Data!$T$2:$T$1001,Finance_Data!T329)&gt;1,"Duplicate","Valid")</f>
        <v>Valid</v>
      </c>
      <c r="E333" s="3" t="str">
        <f>IF(Finance_Data!H329&gt;Finance_Data!G329,"Valid","Invalid")</f>
        <v>Valid</v>
      </c>
      <c r="F333" s="3" t="str" cm="1">
        <f t="array" ref="F333">_xlfn.IFS(Finance_Data!S329&lt;7,"Short",Finance_Data!S329&lt;=30,"Normal",Finance_Data!S329&lt;=60,"Long",Finance_Data!S329&gt;60,"Very Long")</f>
        <v>Long</v>
      </c>
      <c r="G333" s="3" t="str">
        <f>IF(ABS(Finance_Data!I329*Finance_Data!J329)-Finance_Data!K329&lt;1,"Valid","Invalid")</f>
        <v>Valid</v>
      </c>
      <c r="H333" s="3" t="str">
        <f>IF(Finance_Data!L329&gt;0,"Valid","Invalid")</f>
        <v>Valid</v>
      </c>
      <c r="I333" s="3" t="str">
        <f>IF(Finance_Data!L329&gt;=Finance_Data!M329,"Valid","Invalid")</f>
        <v>Valid</v>
      </c>
      <c r="J333" s="3" t="str">
        <f>IF(AND(Finance_Data!I329&gt;=0,Finance_Data!K329&gt;=0),"Valid","Invalid")</f>
        <v>Valid</v>
      </c>
      <c r="K333" s="3" t="str">
        <f>IF(Finance_Data!N329&gt;=0,"Valid","Invalid")</f>
        <v>Valid</v>
      </c>
      <c r="L333" s="3" t="str">
        <f>IF(TEXT(Finance_Data!G329,"mmmm")=Finance_Data!P329,"Valid","Invalid")</f>
        <v>Valid</v>
      </c>
      <c r="M333" s="3" t="str">
        <f>IF("Q"&amp;ROUNDUP(MONTH(Finance_Data!G329)/3,0)=Finance_Data!Q329,"Valid","Invalid")</f>
        <v>Valid</v>
      </c>
      <c r="N333" s="7" t="str">
        <f t="shared" si="5"/>
        <v>Pass</v>
      </c>
    </row>
    <row r="334" spans="1:14" x14ac:dyDescent="0.35">
      <c r="A334" s="17" t="s">
        <v>34</v>
      </c>
      <c r="B334" s="3" t="str">
        <f>IF(ISBLANK(Table3[[#This Row],[Campaign_ID]]),"Invalid","Valid")</f>
        <v>Valid</v>
      </c>
      <c r="C334" s="3" t="str">
        <f>IF(COUNTA(Finance_Data!A330:R330)=18,"Valid","Missing")</f>
        <v>Valid</v>
      </c>
      <c r="D334" s="3" t="str">
        <f>IF(COUNTIF(Finance_Data!$T$2:$T$1001,Finance_Data!T330)&gt;1,"Duplicate","Valid")</f>
        <v>Valid</v>
      </c>
      <c r="E334" s="3" t="str">
        <f>IF(Finance_Data!H330&gt;Finance_Data!G330,"Valid","Invalid")</f>
        <v>Valid</v>
      </c>
      <c r="F334" s="3" t="str" cm="1">
        <f t="array" ref="F334">_xlfn.IFS(Finance_Data!S330&lt;7,"Short",Finance_Data!S330&lt;=30,"Normal",Finance_Data!S330&lt;=60,"Long",Finance_Data!S330&gt;60,"Very Long")</f>
        <v>Normal</v>
      </c>
      <c r="G334" s="3" t="str">
        <f>IF(ABS(Finance_Data!I330*Finance_Data!J330)-Finance_Data!K330&lt;1,"Valid","Invalid")</f>
        <v>Valid</v>
      </c>
      <c r="H334" s="3" t="str">
        <f>IF(Finance_Data!L330&gt;0,"Valid","Invalid")</f>
        <v>Valid</v>
      </c>
      <c r="I334" s="3" t="str">
        <f>IF(Finance_Data!L330&gt;=Finance_Data!M330,"Valid","Invalid")</f>
        <v>Valid</v>
      </c>
      <c r="J334" s="3" t="str">
        <f>IF(AND(Finance_Data!I330&gt;=0,Finance_Data!K330&gt;=0),"Valid","Invalid")</f>
        <v>Valid</v>
      </c>
      <c r="K334" s="3" t="str">
        <f>IF(Finance_Data!N330&gt;=0,"Valid","Invalid")</f>
        <v>Valid</v>
      </c>
      <c r="L334" s="3" t="str">
        <f>IF(TEXT(Finance_Data!G330,"mmmm")=Finance_Data!P330,"Valid","Invalid")</f>
        <v>Valid</v>
      </c>
      <c r="M334" s="3" t="str">
        <f>IF("Q"&amp;ROUNDUP(MONTH(Finance_Data!G330)/3,0)=Finance_Data!Q330,"Valid","Invalid")</f>
        <v>Valid</v>
      </c>
      <c r="N334" s="7" t="str">
        <f t="shared" si="5"/>
        <v>Pass</v>
      </c>
    </row>
    <row r="335" spans="1:14" x14ac:dyDescent="0.35">
      <c r="A335" s="17" t="s">
        <v>115</v>
      </c>
      <c r="B335" s="3" t="str">
        <f>IF(ISBLANK(Table3[[#This Row],[Campaign_ID]]),"Invalid","Valid")</f>
        <v>Valid</v>
      </c>
      <c r="C335" s="3" t="str">
        <f>IF(COUNTA(Finance_Data!A331:R331)=18,"Valid","Missing")</f>
        <v>Valid</v>
      </c>
      <c r="D335" s="3" t="str">
        <f>IF(COUNTIF(Finance_Data!$T$2:$T$1001,Finance_Data!T331)&gt;1,"Duplicate","Valid")</f>
        <v>Valid</v>
      </c>
      <c r="E335" s="3" t="str">
        <f>IF(Finance_Data!H331&gt;Finance_Data!G331,"Valid","Invalid")</f>
        <v>Valid</v>
      </c>
      <c r="F335" s="3" t="str" cm="1">
        <f t="array" ref="F335">_xlfn.IFS(Finance_Data!S331&lt;7,"Short",Finance_Data!S331&lt;=30,"Normal",Finance_Data!S331&lt;=60,"Long",Finance_Data!S331&gt;60,"Very Long")</f>
        <v>Long</v>
      </c>
      <c r="G335" s="3" t="str">
        <f>IF(ABS(Finance_Data!I331*Finance_Data!J331)-Finance_Data!K331&lt;1,"Valid","Invalid")</f>
        <v>Valid</v>
      </c>
      <c r="H335" s="3" t="str">
        <f>IF(Finance_Data!L331&gt;0,"Valid","Invalid")</f>
        <v>Valid</v>
      </c>
      <c r="I335" s="3" t="str">
        <f>IF(Finance_Data!L331&gt;=Finance_Data!M331,"Valid","Invalid")</f>
        <v>Valid</v>
      </c>
      <c r="J335" s="3" t="str">
        <f>IF(AND(Finance_Data!I331&gt;=0,Finance_Data!K331&gt;=0),"Valid","Invalid")</f>
        <v>Valid</v>
      </c>
      <c r="K335" s="3" t="str">
        <f>IF(Finance_Data!N331&gt;=0,"Valid","Invalid")</f>
        <v>Valid</v>
      </c>
      <c r="L335" s="3" t="str">
        <f>IF(TEXT(Finance_Data!G331,"mmmm")=Finance_Data!P331,"Valid","Invalid")</f>
        <v>Valid</v>
      </c>
      <c r="M335" s="3" t="str">
        <f>IF("Q"&amp;ROUNDUP(MONTH(Finance_Data!G331)/3,0)=Finance_Data!Q331,"Valid","Invalid")</f>
        <v>Valid</v>
      </c>
      <c r="N335" s="7" t="str">
        <f t="shared" si="5"/>
        <v>Pass</v>
      </c>
    </row>
    <row r="336" spans="1:14" x14ac:dyDescent="0.35">
      <c r="A336" s="17" t="s">
        <v>111</v>
      </c>
      <c r="B336" s="3" t="str">
        <f>IF(ISBLANK(Table3[[#This Row],[Campaign_ID]]),"Invalid","Valid")</f>
        <v>Valid</v>
      </c>
      <c r="C336" s="3" t="str">
        <f>IF(COUNTA(Finance_Data!A332:R332)=18,"Valid","Missing")</f>
        <v>Valid</v>
      </c>
      <c r="D336" s="3" t="str">
        <f>IF(COUNTIF(Finance_Data!$T$2:$T$1001,Finance_Data!T332)&gt;1,"Duplicate","Valid")</f>
        <v>Valid</v>
      </c>
      <c r="E336" s="3" t="str">
        <f>IF(Finance_Data!H332&gt;Finance_Data!G332,"Valid","Invalid")</f>
        <v>Valid</v>
      </c>
      <c r="F336" s="3" t="str" cm="1">
        <f t="array" ref="F336">_xlfn.IFS(Finance_Data!S332&lt;7,"Short",Finance_Data!S332&lt;=30,"Normal",Finance_Data!S332&lt;=60,"Long",Finance_Data!S332&gt;60,"Very Long")</f>
        <v>Normal</v>
      </c>
      <c r="G336" s="3" t="str">
        <f>IF(ABS(Finance_Data!I332*Finance_Data!J332)-Finance_Data!K332&lt;1,"Valid","Invalid")</f>
        <v>Valid</v>
      </c>
      <c r="H336" s="3" t="str">
        <f>IF(Finance_Data!L332&gt;0,"Valid","Invalid")</f>
        <v>Valid</v>
      </c>
      <c r="I336" s="3" t="str">
        <f>IF(Finance_Data!L332&gt;=Finance_Data!M332,"Valid","Invalid")</f>
        <v>Valid</v>
      </c>
      <c r="J336" s="3" t="str">
        <f>IF(AND(Finance_Data!I332&gt;=0,Finance_Data!K332&gt;=0),"Valid","Invalid")</f>
        <v>Valid</v>
      </c>
      <c r="K336" s="3" t="str">
        <f>IF(Finance_Data!N332&gt;=0,"Valid","Invalid")</f>
        <v>Valid</v>
      </c>
      <c r="L336" s="3" t="str">
        <f>IF(TEXT(Finance_Data!G332,"mmmm")=Finance_Data!P332,"Valid","Invalid")</f>
        <v>Valid</v>
      </c>
      <c r="M336" s="3" t="str">
        <f>IF("Q"&amp;ROUNDUP(MONTH(Finance_Data!G332)/3,0)=Finance_Data!Q332,"Valid","Invalid")</f>
        <v>Valid</v>
      </c>
      <c r="N336" s="7" t="str">
        <f t="shared" si="5"/>
        <v>Pass</v>
      </c>
    </row>
    <row r="337" spans="1:14" x14ac:dyDescent="0.35">
      <c r="A337" s="17" t="s">
        <v>100</v>
      </c>
      <c r="B337" s="3" t="str">
        <f>IF(ISBLANK(Table3[[#This Row],[Campaign_ID]]),"Invalid","Valid")</f>
        <v>Valid</v>
      </c>
      <c r="C337" s="3" t="str">
        <f>IF(COUNTA(Finance_Data!A333:R333)=18,"Valid","Missing")</f>
        <v>Valid</v>
      </c>
      <c r="D337" s="3" t="str">
        <f>IF(COUNTIF(Finance_Data!$T$2:$T$1001,Finance_Data!T333)&gt;1,"Duplicate","Valid")</f>
        <v>Valid</v>
      </c>
      <c r="E337" s="3" t="str">
        <f>IF(Finance_Data!H333&gt;Finance_Data!G333,"Valid","Invalid")</f>
        <v>Valid</v>
      </c>
      <c r="F337" s="3" t="str" cm="1">
        <f t="array" ref="F337">_xlfn.IFS(Finance_Data!S333&lt;7,"Short",Finance_Data!S333&lt;=30,"Normal",Finance_Data!S333&lt;=60,"Long",Finance_Data!S333&gt;60,"Very Long")</f>
        <v>Long</v>
      </c>
      <c r="G337" s="3" t="str">
        <f>IF(ABS(Finance_Data!I333*Finance_Data!J333)-Finance_Data!K333&lt;1,"Valid","Invalid")</f>
        <v>Valid</v>
      </c>
      <c r="H337" s="3" t="str">
        <f>IF(Finance_Data!L333&gt;0,"Valid","Invalid")</f>
        <v>Valid</v>
      </c>
      <c r="I337" s="3" t="str">
        <f>IF(Finance_Data!L333&gt;=Finance_Data!M333,"Valid","Invalid")</f>
        <v>Valid</v>
      </c>
      <c r="J337" s="3" t="str">
        <f>IF(AND(Finance_Data!I333&gt;=0,Finance_Data!K333&gt;=0),"Valid","Invalid")</f>
        <v>Valid</v>
      </c>
      <c r="K337" s="3" t="str">
        <f>IF(Finance_Data!N333&gt;=0,"Valid","Invalid")</f>
        <v>Valid</v>
      </c>
      <c r="L337" s="3" t="str">
        <f>IF(TEXT(Finance_Data!G333,"mmmm")=Finance_Data!P333,"Valid","Invalid")</f>
        <v>Valid</v>
      </c>
      <c r="M337" s="3" t="str">
        <f>IF("Q"&amp;ROUNDUP(MONTH(Finance_Data!G333)/3,0)=Finance_Data!Q333,"Valid","Invalid")</f>
        <v>Valid</v>
      </c>
      <c r="N337" s="7" t="str">
        <f t="shared" si="5"/>
        <v>Pass</v>
      </c>
    </row>
    <row r="338" spans="1:14" x14ac:dyDescent="0.35">
      <c r="A338" s="17" t="s">
        <v>57</v>
      </c>
      <c r="B338" s="3" t="str">
        <f>IF(ISBLANK(Table3[[#This Row],[Campaign_ID]]),"Invalid","Valid")</f>
        <v>Valid</v>
      </c>
      <c r="C338" s="3" t="str">
        <f>IF(COUNTA(Finance_Data!A334:R334)=18,"Valid","Missing")</f>
        <v>Valid</v>
      </c>
      <c r="D338" s="3" t="str">
        <f>IF(COUNTIF(Finance_Data!$T$2:$T$1001,Finance_Data!T334)&gt;1,"Duplicate","Valid")</f>
        <v>Valid</v>
      </c>
      <c r="E338" s="3" t="str">
        <f>IF(Finance_Data!H334&gt;Finance_Data!G334,"Valid","Invalid")</f>
        <v>Valid</v>
      </c>
      <c r="F338" s="3" t="str" cm="1">
        <f t="array" ref="F338">_xlfn.IFS(Finance_Data!S334&lt;7,"Short",Finance_Data!S334&lt;=30,"Normal",Finance_Data!S334&lt;=60,"Long",Finance_Data!S334&gt;60,"Very Long")</f>
        <v>Normal</v>
      </c>
      <c r="G338" s="3" t="str">
        <f>IF(ABS(Finance_Data!I334*Finance_Data!J334)-Finance_Data!K334&lt;1,"Valid","Invalid")</f>
        <v>Valid</v>
      </c>
      <c r="H338" s="3" t="str">
        <f>IF(Finance_Data!L334&gt;0,"Valid","Invalid")</f>
        <v>Valid</v>
      </c>
      <c r="I338" s="3" t="str">
        <f>IF(Finance_Data!L334&gt;=Finance_Data!M334,"Valid","Invalid")</f>
        <v>Valid</v>
      </c>
      <c r="J338" s="3" t="str">
        <f>IF(AND(Finance_Data!I334&gt;=0,Finance_Data!K334&gt;=0),"Valid","Invalid")</f>
        <v>Valid</v>
      </c>
      <c r="K338" s="3" t="str">
        <f>IF(Finance_Data!N334&gt;=0,"Valid","Invalid")</f>
        <v>Valid</v>
      </c>
      <c r="L338" s="3" t="str">
        <f>IF(TEXT(Finance_Data!G334,"mmmm")=Finance_Data!P334,"Valid","Invalid")</f>
        <v>Valid</v>
      </c>
      <c r="M338" s="3" t="str">
        <f>IF("Q"&amp;ROUNDUP(MONTH(Finance_Data!G334)/3,0)=Finance_Data!Q334,"Valid","Invalid")</f>
        <v>Valid</v>
      </c>
      <c r="N338" s="7" t="str">
        <f t="shared" si="5"/>
        <v>Pass</v>
      </c>
    </row>
    <row r="339" spans="1:14" x14ac:dyDescent="0.35">
      <c r="A339" s="17" t="s">
        <v>113</v>
      </c>
      <c r="B339" s="3" t="str">
        <f>IF(ISBLANK(Table3[[#This Row],[Campaign_ID]]),"Invalid","Valid")</f>
        <v>Valid</v>
      </c>
      <c r="C339" s="3" t="str">
        <f>IF(COUNTA(Finance_Data!A335:R335)=18,"Valid","Missing")</f>
        <v>Valid</v>
      </c>
      <c r="D339" s="3" t="str">
        <f>IF(COUNTIF(Finance_Data!$T$2:$T$1001,Finance_Data!T335)&gt;1,"Duplicate","Valid")</f>
        <v>Valid</v>
      </c>
      <c r="E339" s="3" t="str">
        <f>IF(Finance_Data!H335&gt;Finance_Data!G335,"Valid","Invalid")</f>
        <v>Valid</v>
      </c>
      <c r="F339" s="3" t="str" cm="1">
        <f t="array" ref="F339">_xlfn.IFS(Finance_Data!S335&lt;7,"Short",Finance_Data!S335&lt;=30,"Normal",Finance_Data!S335&lt;=60,"Long",Finance_Data!S335&gt;60,"Very Long")</f>
        <v>Long</v>
      </c>
      <c r="G339" s="3" t="str">
        <f>IF(ABS(Finance_Data!I335*Finance_Data!J335)-Finance_Data!K335&lt;1,"Valid","Invalid")</f>
        <v>Valid</v>
      </c>
      <c r="H339" s="3" t="str">
        <f>IF(Finance_Data!L335&gt;0,"Valid","Invalid")</f>
        <v>Valid</v>
      </c>
      <c r="I339" s="3" t="str">
        <f>IF(Finance_Data!L335&gt;=Finance_Data!M335,"Valid","Invalid")</f>
        <v>Valid</v>
      </c>
      <c r="J339" s="3" t="str">
        <f>IF(AND(Finance_Data!I335&gt;=0,Finance_Data!K335&gt;=0),"Valid","Invalid")</f>
        <v>Valid</v>
      </c>
      <c r="K339" s="3" t="str">
        <f>IF(Finance_Data!N335&gt;=0,"Valid","Invalid")</f>
        <v>Valid</v>
      </c>
      <c r="L339" s="3" t="str">
        <f>IF(TEXT(Finance_Data!G335,"mmmm")=Finance_Data!P335,"Valid","Invalid")</f>
        <v>Valid</v>
      </c>
      <c r="M339" s="3" t="str">
        <f>IF("Q"&amp;ROUNDUP(MONTH(Finance_Data!G335)/3,0)=Finance_Data!Q335,"Valid","Invalid")</f>
        <v>Valid</v>
      </c>
      <c r="N339" s="7" t="str">
        <f t="shared" si="5"/>
        <v>Pass</v>
      </c>
    </row>
    <row r="340" spans="1:14" x14ac:dyDescent="0.35">
      <c r="A340" s="17" t="s">
        <v>110</v>
      </c>
      <c r="B340" s="3" t="str">
        <f>IF(ISBLANK(Table3[[#This Row],[Campaign_ID]]),"Invalid","Valid")</f>
        <v>Valid</v>
      </c>
      <c r="C340" s="3" t="str">
        <f>IF(COUNTA(Finance_Data!A336:R336)=18,"Valid","Missing")</f>
        <v>Valid</v>
      </c>
      <c r="D340" s="3" t="str">
        <f>IF(COUNTIF(Finance_Data!$T$2:$T$1001,Finance_Data!T336)&gt;1,"Duplicate","Valid")</f>
        <v>Valid</v>
      </c>
      <c r="E340" s="3" t="str">
        <f>IF(Finance_Data!H336&gt;Finance_Data!G336,"Valid","Invalid")</f>
        <v>Valid</v>
      </c>
      <c r="F340" s="3" t="str" cm="1">
        <f t="array" ref="F340">_xlfn.IFS(Finance_Data!S336&lt;7,"Short",Finance_Data!S336&lt;=30,"Normal",Finance_Data!S336&lt;=60,"Long",Finance_Data!S336&gt;60,"Very Long")</f>
        <v>Long</v>
      </c>
      <c r="G340" s="3" t="str">
        <f>IF(ABS(Finance_Data!I336*Finance_Data!J336)-Finance_Data!K336&lt;1,"Valid","Invalid")</f>
        <v>Valid</v>
      </c>
      <c r="H340" s="3" t="str">
        <f>IF(Finance_Data!L336&gt;0,"Valid","Invalid")</f>
        <v>Valid</v>
      </c>
      <c r="I340" s="3" t="str">
        <f>IF(Finance_Data!L336&gt;=Finance_Data!M336,"Valid","Invalid")</f>
        <v>Valid</v>
      </c>
      <c r="J340" s="3" t="str">
        <f>IF(AND(Finance_Data!I336&gt;=0,Finance_Data!K336&gt;=0),"Valid","Invalid")</f>
        <v>Valid</v>
      </c>
      <c r="K340" s="3" t="str">
        <f>IF(Finance_Data!N336&gt;=0,"Valid","Invalid")</f>
        <v>Valid</v>
      </c>
      <c r="L340" s="3" t="str">
        <f>IF(TEXT(Finance_Data!G336,"mmmm")=Finance_Data!P336,"Valid","Invalid")</f>
        <v>Valid</v>
      </c>
      <c r="M340" s="3" t="str">
        <f>IF("Q"&amp;ROUNDUP(MONTH(Finance_Data!G336)/3,0)=Finance_Data!Q336,"Valid","Invalid")</f>
        <v>Valid</v>
      </c>
      <c r="N340" s="7" t="str">
        <f t="shared" si="5"/>
        <v>Pass</v>
      </c>
    </row>
    <row r="341" spans="1:14" x14ac:dyDescent="0.35">
      <c r="A341" s="17" t="s">
        <v>87</v>
      </c>
      <c r="B341" s="3" t="str">
        <f>IF(ISBLANK(Table3[[#This Row],[Campaign_ID]]),"Invalid","Valid")</f>
        <v>Valid</v>
      </c>
      <c r="C341" s="3" t="str">
        <f>IF(COUNTA(Finance_Data!A337:R337)=18,"Valid","Missing")</f>
        <v>Valid</v>
      </c>
      <c r="D341" s="3" t="str">
        <f>IF(COUNTIF(Finance_Data!$T$2:$T$1001,Finance_Data!T337)&gt;1,"Duplicate","Valid")</f>
        <v>Valid</v>
      </c>
      <c r="E341" s="3" t="str">
        <f>IF(Finance_Data!H337&gt;Finance_Data!G337,"Valid","Invalid")</f>
        <v>Valid</v>
      </c>
      <c r="F341" s="3" t="str" cm="1">
        <f t="array" ref="F341">_xlfn.IFS(Finance_Data!S337&lt;7,"Short",Finance_Data!S337&lt;=30,"Normal",Finance_Data!S337&lt;=60,"Long",Finance_Data!S337&gt;60,"Very Long")</f>
        <v>Long</v>
      </c>
      <c r="G341" s="3" t="str">
        <f>IF(ABS(Finance_Data!I337*Finance_Data!J337)-Finance_Data!K337&lt;1,"Valid","Invalid")</f>
        <v>Valid</v>
      </c>
      <c r="H341" s="3" t="str">
        <f>IF(Finance_Data!L337&gt;0,"Valid","Invalid")</f>
        <v>Valid</v>
      </c>
      <c r="I341" s="3" t="str">
        <f>IF(Finance_Data!L337&gt;=Finance_Data!M337,"Valid","Invalid")</f>
        <v>Valid</v>
      </c>
      <c r="J341" s="3" t="str">
        <f>IF(AND(Finance_Data!I337&gt;=0,Finance_Data!K337&gt;=0),"Valid","Invalid")</f>
        <v>Valid</v>
      </c>
      <c r="K341" s="3" t="str">
        <f>IF(Finance_Data!N337&gt;=0,"Valid","Invalid")</f>
        <v>Valid</v>
      </c>
      <c r="L341" s="3" t="str">
        <f>IF(TEXT(Finance_Data!G337,"mmmm")=Finance_Data!P337,"Valid","Invalid")</f>
        <v>Valid</v>
      </c>
      <c r="M341" s="3" t="str">
        <f>IF("Q"&amp;ROUNDUP(MONTH(Finance_Data!G337)/3,0)=Finance_Data!Q337,"Valid","Invalid")</f>
        <v>Valid</v>
      </c>
      <c r="N341" s="7" t="str">
        <f t="shared" si="5"/>
        <v>Pass</v>
      </c>
    </row>
    <row r="342" spans="1:14" x14ac:dyDescent="0.35">
      <c r="A342" s="17" t="s">
        <v>89</v>
      </c>
      <c r="B342" s="3" t="str">
        <f>IF(ISBLANK(Table3[[#This Row],[Campaign_ID]]),"Invalid","Valid")</f>
        <v>Valid</v>
      </c>
      <c r="C342" s="3" t="str">
        <f>IF(COUNTA(Finance_Data!A338:R338)=18,"Valid","Missing")</f>
        <v>Valid</v>
      </c>
      <c r="D342" s="3" t="str">
        <f>IF(COUNTIF(Finance_Data!$T$2:$T$1001,Finance_Data!T338)&gt;1,"Duplicate","Valid")</f>
        <v>Valid</v>
      </c>
      <c r="E342" s="3" t="str">
        <f>IF(Finance_Data!H338&gt;Finance_Data!G338,"Valid","Invalid")</f>
        <v>Valid</v>
      </c>
      <c r="F342" s="3" t="str" cm="1">
        <f t="array" ref="F342">_xlfn.IFS(Finance_Data!S338&lt;7,"Short",Finance_Data!S338&lt;=30,"Normal",Finance_Data!S338&lt;=60,"Long",Finance_Data!S338&gt;60,"Very Long")</f>
        <v>Normal</v>
      </c>
      <c r="G342" s="3" t="str">
        <f>IF(ABS(Finance_Data!I338*Finance_Data!J338)-Finance_Data!K338&lt;1,"Valid","Invalid")</f>
        <v>Valid</v>
      </c>
      <c r="H342" s="3" t="str">
        <f>IF(Finance_Data!L338&gt;0,"Valid","Invalid")</f>
        <v>Valid</v>
      </c>
      <c r="I342" s="3" t="str">
        <f>IF(Finance_Data!L338&gt;=Finance_Data!M338,"Valid","Invalid")</f>
        <v>Valid</v>
      </c>
      <c r="J342" s="3" t="str">
        <f>IF(AND(Finance_Data!I338&gt;=0,Finance_Data!K338&gt;=0),"Valid","Invalid")</f>
        <v>Valid</v>
      </c>
      <c r="K342" s="3" t="str">
        <f>IF(Finance_Data!N338&gt;=0,"Valid","Invalid")</f>
        <v>Valid</v>
      </c>
      <c r="L342" s="3" t="str">
        <f>IF(TEXT(Finance_Data!G338,"mmmm")=Finance_Data!P338,"Valid","Invalid")</f>
        <v>Valid</v>
      </c>
      <c r="M342" s="3" t="str">
        <f>IF("Q"&amp;ROUNDUP(MONTH(Finance_Data!G338)/3,0)=Finance_Data!Q338,"Valid","Invalid")</f>
        <v>Valid</v>
      </c>
      <c r="N342" s="7" t="str">
        <f t="shared" si="5"/>
        <v>Pass</v>
      </c>
    </row>
    <row r="343" spans="1:14" x14ac:dyDescent="0.35">
      <c r="A343" s="17" t="s">
        <v>83</v>
      </c>
      <c r="B343" s="3" t="str">
        <f>IF(ISBLANK(Table3[[#This Row],[Campaign_ID]]),"Invalid","Valid")</f>
        <v>Valid</v>
      </c>
      <c r="C343" s="3" t="str">
        <f>IF(COUNTA(Finance_Data!A339:R339)=18,"Valid","Missing")</f>
        <v>Valid</v>
      </c>
      <c r="D343" s="3" t="str">
        <f>IF(COUNTIF(Finance_Data!$T$2:$T$1001,Finance_Data!T339)&gt;1,"Duplicate","Valid")</f>
        <v>Valid</v>
      </c>
      <c r="E343" s="3" t="str">
        <f>IF(Finance_Data!H339&gt;Finance_Data!G339,"Valid","Invalid")</f>
        <v>Valid</v>
      </c>
      <c r="F343" s="3" t="str" cm="1">
        <f t="array" ref="F343">_xlfn.IFS(Finance_Data!S339&lt;7,"Short",Finance_Data!S339&lt;=30,"Normal",Finance_Data!S339&lt;=60,"Long",Finance_Data!S339&gt;60,"Very Long")</f>
        <v>Normal</v>
      </c>
      <c r="G343" s="3" t="str">
        <f>IF(ABS(Finance_Data!I339*Finance_Data!J339)-Finance_Data!K339&lt;1,"Valid","Invalid")</f>
        <v>Valid</v>
      </c>
      <c r="H343" s="3" t="str">
        <f>IF(Finance_Data!L339&gt;0,"Valid","Invalid")</f>
        <v>Valid</v>
      </c>
      <c r="I343" s="3" t="str">
        <f>IF(Finance_Data!L339&gt;=Finance_Data!M339,"Valid","Invalid")</f>
        <v>Valid</v>
      </c>
      <c r="J343" s="3" t="str">
        <f>IF(AND(Finance_Data!I339&gt;=0,Finance_Data!K339&gt;=0),"Valid","Invalid")</f>
        <v>Valid</v>
      </c>
      <c r="K343" s="3" t="str">
        <f>IF(Finance_Data!N339&gt;=0,"Valid","Invalid")</f>
        <v>Valid</v>
      </c>
      <c r="L343" s="3" t="str">
        <f>IF(TEXT(Finance_Data!G339,"mmmm")=Finance_Data!P339,"Valid","Invalid")</f>
        <v>Valid</v>
      </c>
      <c r="M343" s="3" t="str">
        <f>IF("Q"&amp;ROUNDUP(MONTH(Finance_Data!G339)/3,0)=Finance_Data!Q339,"Valid","Invalid")</f>
        <v>Valid</v>
      </c>
      <c r="N343" s="7" t="str">
        <f t="shared" si="5"/>
        <v>Pass</v>
      </c>
    </row>
    <row r="344" spans="1:14" x14ac:dyDescent="0.35">
      <c r="A344" s="17" t="s">
        <v>72</v>
      </c>
      <c r="B344" s="3" t="str">
        <f>IF(ISBLANK(Table3[[#This Row],[Campaign_ID]]),"Invalid","Valid")</f>
        <v>Valid</v>
      </c>
      <c r="C344" s="3" t="str">
        <f>IF(COUNTA(Finance_Data!A340:R340)=18,"Valid","Missing")</f>
        <v>Valid</v>
      </c>
      <c r="D344" s="3" t="str">
        <f>IF(COUNTIF(Finance_Data!$T$2:$T$1001,Finance_Data!T340)&gt;1,"Duplicate","Valid")</f>
        <v>Valid</v>
      </c>
      <c r="E344" s="3" t="str">
        <f>IF(Finance_Data!H340&gt;Finance_Data!G340,"Valid","Invalid")</f>
        <v>Valid</v>
      </c>
      <c r="F344" s="3" t="str" cm="1">
        <f t="array" ref="F344">_xlfn.IFS(Finance_Data!S340&lt;7,"Short",Finance_Data!S340&lt;=30,"Normal",Finance_Data!S340&lt;=60,"Long",Finance_Data!S340&gt;60,"Very Long")</f>
        <v>Long</v>
      </c>
      <c r="G344" s="3" t="str">
        <f>IF(ABS(Finance_Data!I340*Finance_Data!J340)-Finance_Data!K340&lt;1,"Valid","Invalid")</f>
        <v>Valid</v>
      </c>
      <c r="H344" s="3" t="str">
        <f>IF(Finance_Data!L340&gt;0,"Valid","Invalid")</f>
        <v>Valid</v>
      </c>
      <c r="I344" s="3" t="str">
        <f>IF(Finance_Data!L340&gt;=Finance_Data!M340,"Valid","Invalid")</f>
        <v>Valid</v>
      </c>
      <c r="J344" s="3" t="str">
        <f>IF(AND(Finance_Data!I340&gt;=0,Finance_Data!K340&gt;=0),"Valid","Invalid")</f>
        <v>Valid</v>
      </c>
      <c r="K344" s="3" t="str">
        <f>IF(Finance_Data!N340&gt;=0,"Valid","Invalid")</f>
        <v>Valid</v>
      </c>
      <c r="L344" s="3" t="str">
        <f>IF(TEXT(Finance_Data!G340,"mmmm")=Finance_Data!P340,"Valid","Invalid")</f>
        <v>Valid</v>
      </c>
      <c r="M344" s="3" t="str">
        <f>IF("Q"&amp;ROUNDUP(MONTH(Finance_Data!G340)/3,0)=Finance_Data!Q340,"Valid","Invalid")</f>
        <v>Valid</v>
      </c>
      <c r="N344" s="7" t="str">
        <f t="shared" si="5"/>
        <v>Pass</v>
      </c>
    </row>
    <row r="345" spans="1:14" x14ac:dyDescent="0.35">
      <c r="A345" s="17" t="s">
        <v>108</v>
      </c>
      <c r="B345" s="3" t="str">
        <f>IF(ISBLANK(Table3[[#This Row],[Campaign_ID]]),"Invalid","Valid")</f>
        <v>Valid</v>
      </c>
      <c r="C345" s="3" t="str">
        <f>IF(COUNTA(Finance_Data!A341:R341)=18,"Valid","Missing")</f>
        <v>Valid</v>
      </c>
      <c r="D345" s="3" t="str">
        <f>IF(COUNTIF(Finance_Data!$T$2:$T$1001,Finance_Data!T341)&gt;1,"Duplicate","Valid")</f>
        <v>Valid</v>
      </c>
      <c r="E345" s="3" t="str">
        <f>IF(Finance_Data!H341&gt;Finance_Data!G341,"Valid","Invalid")</f>
        <v>Valid</v>
      </c>
      <c r="F345" s="3" t="str" cm="1">
        <f t="array" ref="F345">_xlfn.IFS(Finance_Data!S341&lt;7,"Short",Finance_Data!S341&lt;=30,"Normal",Finance_Data!S341&lt;=60,"Long",Finance_Data!S341&gt;60,"Very Long")</f>
        <v>Long</v>
      </c>
      <c r="G345" s="3" t="str">
        <f>IF(ABS(Finance_Data!I341*Finance_Data!J341)-Finance_Data!K341&lt;1,"Valid","Invalid")</f>
        <v>Valid</v>
      </c>
      <c r="H345" s="3" t="str">
        <f>IF(Finance_Data!L341&gt;0,"Valid","Invalid")</f>
        <v>Valid</v>
      </c>
      <c r="I345" s="3" t="str">
        <f>IF(Finance_Data!L341&gt;=Finance_Data!M341,"Valid","Invalid")</f>
        <v>Valid</v>
      </c>
      <c r="J345" s="3" t="str">
        <f>IF(AND(Finance_Data!I341&gt;=0,Finance_Data!K341&gt;=0),"Valid","Invalid")</f>
        <v>Valid</v>
      </c>
      <c r="K345" s="3" t="str">
        <f>IF(Finance_Data!N341&gt;=0,"Valid","Invalid")</f>
        <v>Valid</v>
      </c>
      <c r="L345" s="3" t="str">
        <f>IF(TEXT(Finance_Data!G341,"mmmm")=Finance_Data!P341,"Valid","Invalid")</f>
        <v>Valid</v>
      </c>
      <c r="M345" s="3" t="str">
        <f>IF("Q"&amp;ROUNDUP(MONTH(Finance_Data!G341)/3,0)=Finance_Data!Q341,"Valid","Invalid")</f>
        <v>Valid</v>
      </c>
      <c r="N345" s="7" t="str">
        <f t="shared" si="5"/>
        <v>Pass</v>
      </c>
    </row>
    <row r="346" spans="1:14" x14ac:dyDescent="0.35">
      <c r="A346" s="17" t="s">
        <v>91</v>
      </c>
      <c r="B346" s="3" t="str">
        <f>IF(ISBLANK(Table3[[#This Row],[Campaign_ID]]),"Invalid","Valid")</f>
        <v>Valid</v>
      </c>
      <c r="C346" s="3" t="str">
        <f>IF(COUNTA(Finance_Data!A342:R342)=18,"Valid","Missing")</f>
        <v>Valid</v>
      </c>
      <c r="D346" s="3" t="str">
        <f>IF(COUNTIF(Finance_Data!$T$2:$T$1001,Finance_Data!T342)&gt;1,"Duplicate","Valid")</f>
        <v>Valid</v>
      </c>
      <c r="E346" s="3" t="str">
        <f>IF(Finance_Data!H342&gt;Finance_Data!G342,"Valid","Invalid")</f>
        <v>Valid</v>
      </c>
      <c r="F346" s="3" t="str" cm="1">
        <f t="array" ref="F346">_xlfn.IFS(Finance_Data!S342&lt;7,"Short",Finance_Data!S342&lt;=30,"Normal",Finance_Data!S342&lt;=60,"Long",Finance_Data!S342&gt;60,"Very Long")</f>
        <v>Long</v>
      </c>
      <c r="G346" s="3" t="str">
        <f>IF(ABS(Finance_Data!I342*Finance_Data!J342)-Finance_Data!K342&lt;1,"Valid","Invalid")</f>
        <v>Valid</v>
      </c>
      <c r="H346" s="3" t="str">
        <f>IF(Finance_Data!L342&gt;0,"Valid","Invalid")</f>
        <v>Valid</v>
      </c>
      <c r="I346" s="3" t="str">
        <f>IF(Finance_Data!L342&gt;=Finance_Data!M342,"Valid","Invalid")</f>
        <v>Valid</v>
      </c>
      <c r="J346" s="3" t="str">
        <f>IF(AND(Finance_Data!I342&gt;=0,Finance_Data!K342&gt;=0),"Valid","Invalid")</f>
        <v>Valid</v>
      </c>
      <c r="K346" s="3" t="str">
        <f>IF(Finance_Data!N342&gt;=0,"Valid","Invalid")</f>
        <v>Valid</v>
      </c>
      <c r="L346" s="3" t="str">
        <f>IF(TEXT(Finance_Data!G342,"mmmm")=Finance_Data!P342,"Valid","Invalid")</f>
        <v>Valid</v>
      </c>
      <c r="M346" s="3" t="str">
        <f>IF("Q"&amp;ROUNDUP(MONTH(Finance_Data!G342)/3,0)=Finance_Data!Q342,"Valid","Invalid")</f>
        <v>Valid</v>
      </c>
      <c r="N346" s="7" t="str">
        <f t="shared" si="5"/>
        <v>Pass</v>
      </c>
    </row>
    <row r="347" spans="1:14" x14ac:dyDescent="0.35">
      <c r="A347" s="17" t="s">
        <v>97</v>
      </c>
      <c r="B347" s="3" t="str">
        <f>IF(ISBLANK(Table3[[#This Row],[Campaign_ID]]),"Invalid","Valid")</f>
        <v>Valid</v>
      </c>
      <c r="C347" s="3" t="str">
        <f>IF(COUNTA(Finance_Data!A343:R343)=18,"Valid","Missing")</f>
        <v>Valid</v>
      </c>
      <c r="D347" s="3" t="str">
        <f>IF(COUNTIF(Finance_Data!$T$2:$T$1001,Finance_Data!T343)&gt;1,"Duplicate","Valid")</f>
        <v>Valid</v>
      </c>
      <c r="E347" s="3" t="str">
        <f>IF(Finance_Data!H343&gt;Finance_Data!G343,"Valid","Invalid")</f>
        <v>Valid</v>
      </c>
      <c r="F347" s="3" t="str" cm="1">
        <f t="array" ref="F347">_xlfn.IFS(Finance_Data!S343&lt;7,"Short",Finance_Data!S343&lt;=30,"Normal",Finance_Data!S343&lt;=60,"Long",Finance_Data!S343&gt;60,"Very Long")</f>
        <v>Long</v>
      </c>
      <c r="G347" s="3" t="str">
        <f>IF(ABS(Finance_Data!I343*Finance_Data!J343)-Finance_Data!K343&lt;1,"Valid","Invalid")</f>
        <v>Valid</v>
      </c>
      <c r="H347" s="3" t="str">
        <f>IF(Finance_Data!L343&gt;0,"Valid","Invalid")</f>
        <v>Valid</v>
      </c>
      <c r="I347" s="3" t="str">
        <f>IF(Finance_Data!L343&gt;=Finance_Data!M343,"Valid","Invalid")</f>
        <v>Valid</v>
      </c>
      <c r="J347" s="3" t="str">
        <f>IF(AND(Finance_Data!I343&gt;=0,Finance_Data!K343&gt;=0),"Valid","Invalid")</f>
        <v>Valid</v>
      </c>
      <c r="K347" s="3" t="str">
        <f>IF(Finance_Data!N343&gt;=0,"Valid","Invalid")</f>
        <v>Valid</v>
      </c>
      <c r="L347" s="3" t="str">
        <f>IF(TEXT(Finance_Data!G343,"mmmm")=Finance_Data!P343,"Valid","Invalid")</f>
        <v>Valid</v>
      </c>
      <c r="M347" s="3" t="str">
        <f>IF("Q"&amp;ROUNDUP(MONTH(Finance_Data!G343)/3,0)=Finance_Data!Q343,"Valid","Invalid")</f>
        <v>Valid</v>
      </c>
      <c r="N347" s="7" t="str">
        <f t="shared" si="5"/>
        <v>Pass</v>
      </c>
    </row>
    <row r="348" spans="1:14" x14ac:dyDescent="0.35">
      <c r="A348" s="17" t="s">
        <v>34</v>
      </c>
      <c r="B348" s="3" t="str">
        <f>IF(ISBLANK(Table3[[#This Row],[Campaign_ID]]),"Invalid","Valid")</f>
        <v>Valid</v>
      </c>
      <c r="C348" s="3" t="str">
        <f>IF(COUNTA(Finance_Data!A344:R344)=18,"Valid","Missing")</f>
        <v>Valid</v>
      </c>
      <c r="D348" s="3" t="str">
        <f>IF(COUNTIF(Finance_Data!$T$2:$T$1001,Finance_Data!T344)&gt;1,"Duplicate","Valid")</f>
        <v>Valid</v>
      </c>
      <c r="E348" s="3" t="str">
        <f>IF(Finance_Data!H344&gt;Finance_Data!G344,"Valid","Invalid")</f>
        <v>Valid</v>
      </c>
      <c r="F348" s="3" t="str" cm="1">
        <f t="array" ref="F348">_xlfn.IFS(Finance_Data!S344&lt;7,"Short",Finance_Data!S344&lt;=30,"Normal",Finance_Data!S344&lt;=60,"Long",Finance_Data!S344&gt;60,"Very Long")</f>
        <v>Normal</v>
      </c>
      <c r="G348" s="3" t="str">
        <f>IF(ABS(Finance_Data!I344*Finance_Data!J344)-Finance_Data!K344&lt;1,"Valid","Invalid")</f>
        <v>Valid</v>
      </c>
      <c r="H348" s="3" t="str">
        <f>IF(Finance_Data!L344&gt;0,"Valid","Invalid")</f>
        <v>Valid</v>
      </c>
      <c r="I348" s="3" t="str">
        <f>IF(Finance_Data!L344&gt;=Finance_Data!M344,"Valid","Invalid")</f>
        <v>Valid</v>
      </c>
      <c r="J348" s="3" t="str">
        <f>IF(AND(Finance_Data!I344&gt;=0,Finance_Data!K344&gt;=0),"Valid","Invalid")</f>
        <v>Valid</v>
      </c>
      <c r="K348" s="3" t="str">
        <f>IF(Finance_Data!N344&gt;=0,"Valid","Invalid")</f>
        <v>Valid</v>
      </c>
      <c r="L348" s="3" t="str">
        <f>IF(TEXT(Finance_Data!G344,"mmmm")=Finance_Data!P344,"Valid","Invalid")</f>
        <v>Valid</v>
      </c>
      <c r="M348" s="3" t="str">
        <f>IF("Q"&amp;ROUNDUP(MONTH(Finance_Data!G344)/3,0)=Finance_Data!Q344,"Valid","Invalid")</f>
        <v>Valid</v>
      </c>
      <c r="N348" s="7" t="str">
        <f t="shared" si="5"/>
        <v>Pass</v>
      </c>
    </row>
    <row r="349" spans="1:14" x14ac:dyDescent="0.35">
      <c r="A349" s="17" t="s">
        <v>85</v>
      </c>
      <c r="B349" s="3" t="str">
        <f>IF(ISBLANK(Table3[[#This Row],[Campaign_ID]]),"Invalid","Valid")</f>
        <v>Valid</v>
      </c>
      <c r="C349" s="3" t="str">
        <f>IF(COUNTA(Finance_Data!A345:R345)=18,"Valid","Missing")</f>
        <v>Valid</v>
      </c>
      <c r="D349" s="3" t="str">
        <f>IF(COUNTIF(Finance_Data!$T$2:$T$1001,Finance_Data!T345)&gt;1,"Duplicate","Valid")</f>
        <v>Valid</v>
      </c>
      <c r="E349" s="3" t="str">
        <f>IF(Finance_Data!H345&gt;Finance_Data!G345,"Valid","Invalid")</f>
        <v>Valid</v>
      </c>
      <c r="F349" s="3" t="str" cm="1">
        <f t="array" ref="F349">_xlfn.IFS(Finance_Data!S345&lt;7,"Short",Finance_Data!S345&lt;=30,"Normal",Finance_Data!S345&lt;=60,"Long",Finance_Data!S345&gt;60,"Very Long")</f>
        <v>Long</v>
      </c>
      <c r="G349" s="3" t="str">
        <f>IF(ABS(Finance_Data!I345*Finance_Data!J345)-Finance_Data!K345&lt;1,"Valid","Invalid")</f>
        <v>Valid</v>
      </c>
      <c r="H349" s="3" t="str">
        <f>IF(Finance_Data!L345&gt;0,"Valid","Invalid")</f>
        <v>Valid</v>
      </c>
      <c r="I349" s="3" t="str">
        <f>IF(Finance_Data!L345&gt;=Finance_Data!M345,"Valid","Invalid")</f>
        <v>Valid</v>
      </c>
      <c r="J349" s="3" t="str">
        <f>IF(AND(Finance_Data!I345&gt;=0,Finance_Data!K345&gt;=0),"Valid","Invalid")</f>
        <v>Valid</v>
      </c>
      <c r="K349" s="3" t="str">
        <f>IF(Finance_Data!N345&gt;=0,"Valid","Invalid")</f>
        <v>Valid</v>
      </c>
      <c r="L349" s="3" t="str">
        <f>IF(TEXT(Finance_Data!G345,"mmmm")=Finance_Data!P345,"Valid","Invalid")</f>
        <v>Valid</v>
      </c>
      <c r="M349" s="3" t="str">
        <f>IF("Q"&amp;ROUNDUP(MONTH(Finance_Data!G345)/3,0)=Finance_Data!Q345,"Valid","Invalid")</f>
        <v>Valid</v>
      </c>
      <c r="N349" s="7" t="str">
        <f t="shared" si="5"/>
        <v>Pass</v>
      </c>
    </row>
    <row r="350" spans="1:14" x14ac:dyDescent="0.35">
      <c r="A350" s="17" t="s">
        <v>93</v>
      </c>
      <c r="B350" s="3" t="str">
        <f>IF(ISBLANK(Table3[[#This Row],[Campaign_ID]]),"Invalid","Valid")</f>
        <v>Valid</v>
      </c>
      <c r="C350" s="3" t="str">
        <f>IF(COUNTA(Finance_Data!A346:R346)=18,"Valid","Missing")</f>
        <v>Valid</v>
      </c>
      <c r="D350" s="3" t="str">
        <f>IF(COUNTIF(Finance_Data!$T$2:$T$1001,Finance_Data!T346)&gt;1,"Duplicate","Valid")</f>
        <v>Valid</v>
      </c>
      <c r="E350" s="3" t="str">
        <f>IF(Finance_Data!H346&gt;Finance_Data!G346,"Valid","Invalid")</f>
        <v>Valid</v>
      </c>
      <c r="F350" s="3" t="str" cm="1">
        <f t="array" ref="F350">_xlfn.IFS(Finance_Data!S346&lt;7,"Short",Finance_Data!S346&lt;=30,"Normal",Finance_Data!S346&lt;=60,"Long",Finance_Data!S346&gt;60,"Very Long")</f>
        <v>Normal</v>
      </c>
      <c r="G350" s="3" t="str">
        <f>IF(ABS(Finance_Data!I346*Finance_Data!J346)-Finance_Data!K346&lt;1,"Valid","Invalid")</f>
        <v>Valid</v>
      </c>
      <c r="H350" s="3" t="str">
        <f>IF(Finance_Data!L346&gt;0,"Valid","Invalid")</f>
        <v>Valid</v>
      </c>
      <c r="I350" s="3" t="str">
        <f>IF(Finance_Data!L346&gt;=Finance_Data!M346,"Valid","Invalid")</f>
        <v>Valid</v>
      </c>
      <c r="J350" s="3" t="str">
        <f>IF(AND(Finance_Data!I346&gt;=0,Finance_Data!K346&gt;=0),"Valid","Invalid")</f>
        <v>Valid</v>
      </c>
      <c r="K350" s="3" t="str">
        <f>IF(Finance_Data!N346&gt;=0,"Valid","Invalid")</f>
        <v>Valid</v>
      </c>
      <c r="L350" s="3" t="str">
        <f>IF(TEXT(Finance_Data!G346,"mmmm")=Finance_Data!P346,"Valid","Invalid")</f>
        <v>Valid</v>
      </c>
      <c r="M350" s="3" t="str">
        <f>IF("Q"&amp;ROUNDUP(MONTH(Finance_Data!G346)/3,0)=Finance_Data!Q346,"Valid","Invalid")</f>
        <v>Valid</v>
      </c>
      <c r="N350" s="7" t="str">
        <f t="shared" si="5"/>
        <v>Pass</v>
      </c>
    </row>
    <row r="351" spans="1:14" x14ac:dyDescent="0.35">
      <c r="A351" s="17" t="s">
        <v>108</v>
      </c>
      <c r="B351" s="3" t="str">
        <f>IF(ISBLANK(Table3[[#This Row],[Campaign_ID]]),"Invalid","Valid")</f>
        <v>Valid</v>
      </c>
      <c r="C351" s="3" t="str">
        <f>IF(COUNTA(Finance_Data!A347:R347)=18,"Valid","Missing")</f>
        <v>Valid</v>
      </c>
      <c r="D351" s="3" t="str">
        <f>IF(COUNTIF(Finance_Data!$T$2:$T$1001,Finance_Data!T347)&gt;1,"Duplicate","Valid")</f>
        <v>Valid</v>
      </c>
      <c r="E351" s="3" t="str">
        <f>IF(Finance_Data!H347&gt;Finance_Data!G347,"Valid","Invalid")</f>
        <v>Valid</v>
      </c>
      <c r="F351" s="3" t="str" cm="1">
        <f t="array" ref="F351">_xlfn.IFS(Finance_Data!S347&lt;7,"Short",Finance_Data!S347&lt;=30,"Normal",Finance_Data!S347&lt;=60,"Long",Finance_Data!S347&gt;60,"Very Long")</f>
        <v>Short</v>
      </c>
      <c r="G351" s="3" t="str">
        <f>IF(ABS(Finance_Data!I347*Finance_Data!J347)-Finance_Data!K347&lt;1,"Valid","Invalid")</f>
        <v>Valid</v>
      </c>
      <c r="H351" s="3" t="str">
        <f>IF(Finance_Data!L347&gt;0,"Valid","Invalid")</f>
        <v>Valid</v>
      </c>
      <c r="I351" s="3" t="str">
        <f>IF(Finance_Data!L347&gt;=Finance_Data!M347,"Valid","Invalid")</f>
        <v>Valid</v>
      </c>
      <c r="J351" s="3" t="str">
        <f>IF(AND(Finance_Data!I347&gt;=0,Finance_Data!K347&gt;=0),"Valid","Invalid")</f>
        <v>Valid</v>
      </c>
      <c r="K351" s="3" t="str">
        <f>IF(Finance_Data!N347&gt;=0,"Valid","Invalid")</f>
        <v>Valid</v>
      </c>
      <c r="L351" s="3" t="str">
        <f>IF(TEXT(Finance_Data!G347,"mmmm")=Finance_Data!P347,"Valid","Invalid")</f>
        <v>Valid</v>
      </c>
      <c r="M351" s="3" t="str">
        <f>IF("Q"&amp;ROUNDUP(MONTH(Finance_Data!G347)/3,0)=Finance_Data!Q347,"Valid","Invalid")</f>
        <v>Valid</v>
      </c>
      <c r="N351" s="7" t="str">
        <f t="shared" si="5"/>
        <v>Pass</v>
      </c>
    </row>
    <row r="352" spans="1:14" x14ac:dyDescent="0.35">
      <c r="A352" s="17" t="s">
        <v>75</v>
      </c>
      <c r="B352" s="3" t="str">
        <f>IF(ISBLANK(Table3[[#This Row],[Campaign_ID]]),"Invalid","Valid")</f>
        <v>Valid</v>
      </c>
      <c r="C352" s="3" t="str">
        <f>IF(COUNTA(Finance_Data!A348:R348)=18,"Valid","Missing")</f>
        <v>Valid</v>
      </c>
      <c r="D352" s="3" t="str">
        <f>IF(COUNTIF(Finance_Data!$T$2:$T$1001,Finance_Data!T348)&gt;1,"Duplicate","Valid")</f>
        <v>Valid</v>
      </c>
      <c r="E352" s="3" t="str">
        <f>IF(Finance_Data!H348&gt;Finance_Data!G348,"Valid","Invalid")</f>
        <v>Valid</v>
      </c>
      <c r="F352" s="3" t="str" cm="1">
        <f t="array" ref="F352">_xlfn.IFS(Finance_Data!S348&lt;7,"Short",Finance_Data!S348&lt;=30,"Normal",Finance_Data!S348&lt;=60,"Long",Finance_Data!S348&gt;60,"Very Long")</f>
        <v>Normal</v>
      </c>
      <c r="G352" s="3" t="str">
        <f>IF(ABS(Finance_Data!I348*Finance_Data!J348)-Finance_Data!K348&lt;1,"Valid","Invalid")</f>
        <v>Valid</v>
      </c>
      <c r="H352" s="3" t="str">
        <f>IF(Finance_Data!L348&gt;0,"Valid","Invalid")</f>
        <v>Valid</v>
      </c>
      <c r="I352" s="3" t="str">
        <f>IF(Finance_Data!L348&gt;=Finance_Data!M348,"Valid","Invalid")</f>
        <v>Valid</v>
      </c>
      <c r="J352" s="3" t="str">
        <f>IF(AND(Finance_Data!I348&gt;=0,Finance_Data!K348&gt;=0),"Valid","Invalid")</f>
        <v>Valid</v>
      </c>
      <c r="K352" s="3" t="str">
        <f>IF(Finance_Data!N348&gt;=0,"Valid","Invalid")</f>
        <v>Valid</v>
      </c>
      <c r="L352" s="3" t="str">
        <f>IF(TEXT(Finance_Data!G348,"mmmm")=Finance_Data!P348,"Valid","Invalid")</f>
        <v>Valid</v>
      </c>
      <c r="M352" s="3" t="str">
        <f>IF("Q"&amp;ROUNDUP(MONTH(Finance_Data!G348)/3,0)=Finance_Data!Q348,"Valid","Invalid")</f>
        <v>Valid</v>
      </c>
      <c r="N352" s="7" t="str">
        <f t="shared" si="5"/>
        <v>Pass</v>
      </c>
    </row>
    <row r="353" spans="1:14" x14ac:dyDescent="0.35">
      <c r="A353" s="17" t="s">
        <v>84</v>
      </c>
      <c r="B353" s="3" t="str">
        <f>IF(ISBLANK(Table3[[#This Row],[Campaign_ID]]),"Invalid","Valid")</f>
        <v>Valid</v>
      </c>
      <c r="C353" s="3" t="str">
        <f>IF(COUNTA(Finance_Data!A349:R349)=18,"Valid","Missing")</f>
        <v>Valid</v>
      </c>
      <c r="D353" s="3" t="str">
        <f>IF(COUNTIF(Finance_Data!$T$2:$T$1001,Finance_Data!T349)&gt;1,"Duplicate","Valid")</f>
        <v>Valid</v>
      </c>
      <c r="E353" s="3" t="str">
        <f>IF(Finance_Data!H349&gt;Finance_Data!G349,"Valid","Invalid")</f>
        <v>Valid</v>
      </c>
      <c r="F353" s="3" t="str" cm="1">
        <f t="array" ref="F353">_xlfn.IFS(Finance_Data!S349&lt;7,"Short",Finance_Data!S349&lt;=30,"Normal",Finance_Data!S349&lt;=60,"Long",Finance_Data!S349&gt;60,"Very Long")</f>
        <v>Normal</v>
      </c>
      <c r="G353" s="3" t="str">
        <f>IF(ABS(Finance_Data!I349*Finance_Data!J349)-Finance_Data!K349&lt;1,"Valid","Invalid")</f>
        <v>Valid</v>
      </c>
      <c r="H353" s="3" t="str">
        <f>IF(Finance_Data!L349&gt;0,"Valid","Invalid")</f>
        <v>Valid</v>
      </c>
      <c r="I353" s="3" t="str">
        <f>IF(Finance_Data!L349&gt;=Finance_Data!M349,"Valid","Invalid")</f>
        <v>Valid</v>
      </c>
      <c r="J353" s="3" t="str">
        <f>IF(AND(Finance_Data!I349&gt;=0,Finance_Data!K349&gt;=0),"Valid","Invalid")</f>
        <v>Valid</v>
      </c>
      <c r="K353" s="3" t="str">
        <f>IF(Finance_Data!N349&gt;=0,"Valid","Invalid")</f>
        <v>Valid</v>
      </c>
      <c r="L353" s="3" t="str">
        <f>IF(TEXT(Finance_Data!G349,"mmmm")=Finance_Data!P349,"Valid","Invalid")</f>
        <v>Valid</v>
      </c>
      <c r="M353" s="3" t="str">
        <f>IF("Q"&amp;ROUNDUP(MONTH(Finance_Data!G349)/3,0)=Finance_Data!Q349,"Valid","Invalid")</f>
        <v>Valid</v>
      </c>
      <c r="N353" s="7" t="str">
        <f t="shared" si="5"/>
        <v>Pass</v>
      </c>
    </row>
    <row r="354" spans="1:14" x14ac:dyDescent="0.35">
      <c r="A354" s="17" t="s">
        <v>100</v>
      </c>
      <c r="B354" s="3" t="str">
        <f>IF(ISBLANK(Table3[[#This Row],[Campaign_ID]]),"Invalid","Valid")</f>
        <v>Valid</v>
      </c>
      <c r="C354" s="3" t="str">
        <f>IF(COUNTA(Finance_Data!A350:R350)=18,"Valid","Missing")</f>
        <v>Valid</v>
      </c>
      <c r="D354" s="3" t="str">
        <f>IF(COUNTIF(Finance_Data!$T$2:$T$1001,Finance_Data!T350)&gt;1,"Duplicate","Valid")</f>
        <v>Valid</v>
      </c>
      <c r="E354" s="3" t="str">
        <f>IF(Finance_Data!H350&gt;Finance_Data!G350,"Valid","Invalid")</f>
        <v>Valid</v>
      </c>
      <c r="F354" s="3" t="str" cm="1">
        <f t="array" ref="F354">_xlfn.IFS(Finance_Data!S350&lt;7,"Short",Finance_Data!S350&lt;=30,"Normal",Finance_Data!S350&lt;=60,"Long",Finance_Data!S350&gt;60,"Very Long")</f>
        <v>Long</v>
      </c>
      <c r="G354" s="3" t="str">
        <f>IF(ABS(Finance_Data!I350*Finance_Data!J350)-Finance_Data!K350&lt;1,"Valid","Invalid")</f>
        <v>Valid</v>
      </c>
      <c r="H354" s="3" t="str">
        <f>IF(Finance_Data!L350&gt;0,"Valid","Invalid")</f>
        <v>Valid</v>
      </c>
      <c r="I354" s="3" t="str">
        <f>IF(Finance_Data!L350&gt;=Finance_Data!M350,"Valid","Invalid")</f>
        <v>Valid</v>
      </c>
      <c r="J354" s="3" t="str">
        <f>IF(AND(Finance_Data!I350&gt;=0,Finance_Data!K350&gt;=0),"Valid","Invalid")</f>
        <v>Valid</v>
      </c>
      <c r="K354" s="3" t="str">
        <f>IF(Finance_Data!N350&gt;=0,"Valid","Invalid")</f>
        <v>Valid</v>
      </c>
      <c r="L354" s="3" t="str">
        <f>IF(TEXT(Finance_Data!G350,"mmmm")=Finance_Data!P350,"Valid","Invalid")</f>
        <v>Valid</v>
      </c>
      <c r="M354" s="3" t="str">
        <f>IF("Q"&amp;ROUNDUP(MONTH(Finance_Data!G350)/3,0)=Finance_Data!Q350,"Valid","Invalid")</f>
        <v>Valid</v>
      </c>
      <c r="N354" s="7" t="str">
        <f t="shared" si="5"/>
        <v>Pass</v>
      </c>
    </row>
    <row r="355" spans="1:14" x14ac:dyDescent="0.35">
      <c r="A355" s="17" t="s">
        <v>62</v>
      </c>
      <c r="B355" s="3" t="str">
        <f>IF(ISBLANK(Table3[[#This Row],[Campaign_ID]]),"Invalid","Valid")</f>
        <v>Valid</v>
      </c>
      <c r="C355" s="3" t="str">
        <f>IF(COUNTA(Finance_Data!A351:R351)=18,"Valid","Missing")</f>
        <v>Valid</v>
      </c>
      <c r="D355" s="3" t="str">
        <f>IF(COUNTIF(Finance_Data!$T$2:$T$1001,Finance_Data!T351)&gt;1,"Duplicate","Valid")</f>
        <v>Valid</v>
      </c>
      <c r="E355" s="3" t="str">
        <f>IF(Finance_Data!H351&gt;Finance_Data!G351,"Valid","Invalid")</f>
        <v>Valid</v>
      </c>
      <c r="F355" s="3" t="str" cm="1">
        <f t="array" ref="F355">_xlfn.IFS(Finance_Data!S351&lt;7,"Short",Finance_Data!S351&lt;=30,"Normal",Finance_Data!S351&lt;=60,"Long",Finance_Data!S351&gt;60,"Very Long")</f>
        <v>Normal</v>
      </c>
      <c r="G355" s="3" t="str">
        <f>IF(ABS(Finance_Data!I351*Finance_Data!J351)-Finance_Data!K351&lt;1,"Valid","Invalid")</f>
        <v>Valid</v>
      </c>
      <c r="H355" s="3" t="str">
        <f>IF(Finance_Data!L351&gt;0,"Valid","Invalid")</f>
        <v>Valid</v>
      </c>
      <c r="I355" s="3" t="str">
        <f>IF(Finance_Data!L351&gt;=Finance_Data!M351,"Valid","Invalid")</f>
        <v>Valid</v>
      </c>
      <c r="J355" s="3" t="str">
        <f>IF(AND(Finance_Data!I351&gt;=0,Finance_Data!K351&gt;=0),"Valid","Invalid")</f>
        <v>Valid</v>
      </c>
      <c r="K355" s="3" t="str">
        <f>IF(Finance_Data!N351&gt;=0,"Valid","Invalid")</f>
        <v>Valid</v>
      </c>
      <c r="L355" s="3" t="str">
        <f>IF(TEXT(Finance_Data!G351,"mmmm")=Finance_Data!P351,"Valid","Invalid")</f>
        <v>Valid</v>
      </c>
      <c r="M355" s="3" t="str">
        <f>IF("Q"&amp;ROUNDUP(MONTH(Finance_Data!G351)/3,0)=Finance_Data!Q351,"Valid","Invalid")</f>
        <v>Valid</v>
      </c>
      <c r="N355" s="7" t="str">
        <f t="shared" si="5"/>
        <v>Pass</v>
      </c>
    </row>
    <row r="356" spans="1:14" x14ac:dyDescent="0.35">
      <c r="A356" s="17" t="s">
        <v>109</v>
      </c>
      <c r="B356" s="3" t="str">
        <f>IF(ISBLANK(Table3[[#This Row],[Campaign_ID]]),"Invalid","Valid")</f>
        <v>Valid</v>
      </c>
      <c r="C356" s="3" t="str">
        <f>IF(COUNTA(Finance_Data!A352:R352)=18,"Valid","Missing")</f>
        <v>Valid</v>
      </c>
      <c r="D356" s="3" t="str">
        <f>IF(COUNTIF(Finance_Data!$T$2:$T$1001,Finance_Data!T352)&gt;1,"Duplicate","Valid")</f>
        <v>Valid</v>
      </c>
      <c r="E356" s="3" t="str">
        <f>IF(Finance_Data!H352&gt;Finance_Data!G352,"Valid","Invalid")</f>
        <v>Valid</v>
      </c>
      <c r="F356" s="3" t="str" cm="1">
        <f t="array" ref="F356">_xlfn.IFS(Finance_Data!S352&lt;7,"Short",Finance_Data!S352&lt;=30,"Normal",Finance_Data!S352&lt;=60,"Long",Finance_Data!S352&gt;60,"Very Long")</f>
        <v>Long</v>
      </c>
      <c r="G356" s="3" t="str">
        <f>IF(ABS(Finance_Data!I352*Finance_Data!J352)-Finance_Data!K352&lt;1,"Valid","Invalid")</f>
        <v>Valid</v>
      </c>
      <c r="H356" s="3" t="str">
        <f>IF(Finance_Data!L352&gt;0,"Valid","Invalid")</f>
        <v>Valid</v>
      </c>
      <c r="I356" s="3" t="str">
        <f>IF(Finance_Data!L352&gt;=Finance_Data!M352,"Valid","Invalid")</f>
        <v>Valid</v>
      </c>
      <c r="J356" s="3" t="str">
        <f>IF(AND(Finance_Data!I352&gt;=0,Finance_Data!K352&gt;=0),"Valid","Invalid")</f>
        <v>Valid</v>
      </c>
      <c r="K356" s="3" t="str">
        <f>IF(Finance_Data!N352&gt;=0,"Valid","Invalid")</f>
        <v>Valid</v>
      </c>
      <c r="L356" s="3" t="str">
        <f>IF(TEXT(Finance_Data!G352,"mmmm")=Finance_Data!P352,"Valid","Invalid")</f>
        <v>Valid</v>
      </c>
      <c r="M356" s="3" t="str">
        <f>IF("Q"&amp;ROUNDUP(MONTH(Finance_Data!G352)/3,0)=Finance_Data!Q352,"Valid","Invalid")</f>
        <v>Valid</v>
      </c>
      <c r="N356" s="7" t="str">
        <f t="shared" si="5"/>
        <v>Pass</v>
      </c>
    </row>
    <row r="357" spans="1:14" x14ac:dyDescent="0.35">
      <c r="A357" s="17" t="s">
        <v>108</v>
      </c>
      <c r="B357" s="3" t="str">
        <f>IF(ISBLANK(Table3[[#This Row],[Campaign_ID]]),"Invalid","Valid")</f>
        <v>Valid</v>
      </c>
      <c r="C357" s="3" t="str">
        <f>IF(COUNTA(Finance_Data!A353:R353)=18,"Valid","Missing")</f>
        <v>Valid</v>
      </c>
      <c r="D357" s="3" t="str">
        <f>IF(COUNTIF(Finance_Data!$T$2:$T$1001,Finance_Data!T353)&gt;1,"Duplicate","Valid")</f>
        <v>Valid</v>
      </c>
      <c r="E357" s="3" t="str">
        <f>IF(Finance_Data!H353&gt;Finance_Data!G353,"Valid","Invalid")</f>
        <v>Valid</v>
      </c>
      <c r="F357" s="3" t="str" cm="1">
        <f t="array" ref="F357">_xlfn.IFS(Finance_Data!S353&lt;7,"Short",Finance_Data!S353&lt;=30,"Normal",Finance_Data!S353&lt;=60,"Long",Finance_Data!S353&gt;60,"Very Long")</f>
        <v>Normal</v>
      </c>
      <c r="G357" s="3" t="str">
        <f>IF(ABS(Finance_Data!I353*Finance_Data!J353)-Finance_Data!K353&lt;1,"Valid","Invalid")</f>
        <v>Valid</v>
      </c>
      <c r="H357" s="3" t="str">
        <f>IF(Finance_Data!L353&gt;0,"Valid","Invalid")</f>
        <v>Valid</v>
      </c>
      <c r="I357" s="3" t="str">
        <f>IF(Finance_Data!L353&gt;=Finance_Data!M353,"Valid","Invalid")</f>
        <v>Valid</v>
      </c>
      <c r="J357" s="3" t="str">
        <f>IF(AND(Finance_Data!I353&gt;=0,Finance_Data!K353&gt;=0),"Valid","Invalid")</f>
        <v>Valid</v>
      </c>
      <c r="K357" s="3" t="str">
        <f>IF(Finance_Data!N353&gt;=0,"Valid","Invalid")</f>
        <v>Valid</v>
      </c>
      <c r="L357" s="3" t="str">
        <f>IF(TEXT(Finance_Data!G353,"mmmm")=Finance_Data!P353,"Valid","Invalid")</f>
        <v>Valid</v>
      </c>
      <c r="M357" s="3" t="str">
        <f>IF("Q"&amp;ROUNDUP(MONTH(Finance_Data!G353)/3,0)=Finance_Data!Q353,"Valid","Invalid")</f>
        <v>Valid</v>
      </c>
      <c r="N357" s="7" t="str">
        <f t="shared" si="5"/>
        <v>Pass</v>
      </c>
    </row>
    <row r="358" spans="1:14" x14ac:dyDescent="0.35">
      <c r="A358" s="17" t="s">
        <v>82</v>
      </c>
      <c r="B358" s="3" t="str">
        <f>IF(ISBLANK(Table3[[#This Row],[Campaign_ID]]),"Invalid","Valid")</f>
        <v>Valid</v>
      </c>
      <c r="C358" s="3" t="str">
        <f>IF(COUNTA(Finance_Data!A354:R354)=18,"Valid","Missing")</f>
        <v>Valid</v>
      </c>
      <c r="D358" s="3" t="str">
        <f>IF(COUNTIF(Finance_Data!$T$2:$T$1001,Finance_Data!T354)&gt;1,"Duplicate","Valid")</f>
        <v>Valid</v>
      </c>
      <c r="E358" s="3" t="str">
        <f>IF(Finance_Data!H354&gt;Finance_Data!G354,"Valid","Invalid")</f>
        <v>Valid</v>
      </c>
      <c r="F358" s="3" t="str" cm="1">
        <f t="array" ref="F358">_xlfn.IFS(Finance_Data!S354&lt;7,"Short",Finance_Data!S354&lt;=30,"Normal",Finance_Data!S354&lt;=60,"Long",Finance_Data!S354&gt;60,"Very Long")</f>
        <v>Long</v>
      </c>
      <c r="G358" s="3" t="str">
        <f>IF(ABS(Finance_Data!I354*Finance_Data!J354)-Finance_Data!K354&lt;1,"Valid","Invalid")</f>
        <v>Valid</v>
      </c>
      <c r="H358" s="3" t="str">
        <f>IF(Finance_Data!L354&gt;0,"Valid","Invalid")</f>
        <v>Valid</v>
      </c>
      <c r="I358" s="3" t="str">
        <f>IF(Finance_Data!L354&gt;=Finance_Data!M354,"Valid","Invalid")</f>
        <v>Valid</v>
      </c>
      <c r="J358" s="3" t="str">
        <f>IF(AND(Finance_Data!I354&gt;=0,Finance_Data!K354&gt;=0),"Valid","Invalid")</f>
        <v>Valid</v>
      </c>
      <c r="K358" s="3" t="str">
        <f>IF(Finance_Data!N354&gt;=0,"Valid","Invalid")</f>
        <v>Valid</v>
      </c>
      <c r="L358" s="3" t="str">
        <f>IF(TEXT(Finance_Data!G354,"mmmm")=Finance_Data!P354,"Valid","Invalid")</f>
        <v>Valid</v>
      </c>
      <c r="M358" s="3" t="str">
        <f>IF("Q"&amp;ROUNDUP(MONTH(Finance_Data!G354)/3,0)=Finance_Data!Q354,"Valid","Invalid")</f>
        <v>Valid</v>
      </c>
      <c r="N358" s="7" t="str">
        <f t="shared" si="5"/>
        <v>Pass</v>
      </c>
    </row>
    <row r="359" spans="1:14" x14ac:dyDescent="0.35">
      <c r="A359" s="17" t="s">
        <v>62</v>
      </c>
      <c r="B359" s="3" t="str">
        <f>IF(ISBLANK(Table3[[#This Row],[Campaign_ID]]),"Invalid","Valid")</f>
        <v>Valid</v>
      </c>
      <c r="C359" s="3" t="str">
        <f>IF(COUNTA(Finance_Data!A355:R355)=18,"Valid","Missing")</f>
        <v>Valid</v>
      </c>
      <c r="D359" s="3" t="str">
        <f>IF(COUNTIF(Finance_Data!$T$2:$T$1001,Finance_Data!T355)&gt;1,"Duplicate","Valid")</f>
        <v>Valid</v>
      </c>
      <c r="E359" s="3" t="str">
        <f>IF(Finance_Data!H355&gt;Finance_Data!G355,"Valid","Invalid")</f>
        <v>Valid</v>
      </c>
      <c r="F359" s="3" t="str" cm="1">
        <f t="array" ref="F359">_xlfn.IFS(Finance_Data!S355&lt;7,"Short",Finance_Data!S355&lt;=30,"Normal",Finance_Data!S355&lt;=60,"Long",Finance_Data!S355&gt;60,"Very Long")</f>
        <v>Long</v>
      </c>
      <c r="G359" s="3" t="str">
        <f>IF(ABS(Finance_Data!I355*Finance_Data!J355)-Finance_Data!K355&lt;1,"Valid","Invalid")</f>
        <v>Valid</v>
      </c>
      <c r="H359" s="3" t="str">
        <f>IF(Finance_Data!L355&gt;0,"Valid","Invalid")</f>
        <v>Valid</v>
      </c>
      <c r="I359" s="3" t="str">
        <f>IF(Finance_Data!L355&gt;=Finance_Data!M355,"Valid","Invalid")</f>
        <v>Valid</v>
      </c>
      <c r="J359" s="3" t="str">
        <f>IF(AND(Finance_Data!I355&gt;=0,Finance_Data!K355&gt;=0),"Valid","Invalid")</f>
        <v>Valid</v>
      </c>
      <c r="K359" s="3" t="str">
        <f>IF(Finance_Data!N355&gt;=0,"Valid","Invalid")</f>
        <v>Valid</v>
      </c>
      <c r="L359" s="3" t="str">
        <f>IF(TEXT(Finance_Data!G355,"mmmm")=Finance_Data!P355,"Valid","Invalid")</f>
        <v>Valid</v>
      </c>
      <c r="M359" s="3" t="str">
        <f>IF("Q"&amp;ROUNDUP(MONTH(Finance_Data!G355)/3,0)=Finance_Data!Q355,"Valid","Invalid")</f>
        <v>Valid</v>
      </c>
      <c r="N359" s="7" t="str">
        <f t="shared" si="5"/>
        <v>Pass</v>
      </c>
    </row>
    <row r="360" spans="1:14" x14ac:dyDescent="0.35">
      <c r="A360" s="17" t="s">
        <v>87</v>
      </c>
      <c r="B360" s="3" t="str">
        <f>IF(ISBLANK(Table3[[#This Row],[Campaign_ID]]),"Invalid","Valid")</f>
        <v>Valid</v>
      </c>
      <c r="C360" s="3" t="str">
        <f>IF(COUNTA(Finance_Data!A356:R356)=18,"Valid","Missing")</f>
        <v>Valid</v>
      </c>
      <c r="D360" s="3" t="str">
        <f>IF(COUNTIF(Finance_Data!$T$2:$T$1001,Finance_Data!T356)&gt;1,"Duplicate","Valid")</f>
        <v>Valid</v>
      </c>
      <c r="E360" s="3" t="str">
        <f>IF(Finance_Data!H356&gt;Finance_Data!G356,"Valid","Invalid")</f>
        <v>Valid</v>
      </c>
      <c r="F360" s="3" t="str" cm="1">
        <f t="array" ref="F360">_xlfn.IFS(Finance_Data!S356&lt;7,"Short",Finance_Data!S356&lt;=30,"Normal",Finance_Data!S356&lt;=60,"Long",Finance_Data!S356&gt;60,"Very Long")</f>
        <v>Normal</v>
      </c>
      <c r="G360" s="3" t="str">
        <f>IF(ABS(Finance_Data!I356*Finance_Data!J356)-Finance_Data!K356&lt;1,"Valid","Invalid")</f>
        <v>Valid</v>
      </c>
      <c r="H360" s="3" t="str">
        <f>IF(Finance_Data!L356&gt;0,"Valid","Invalid")</f>
        <v>Valid</v>
      </c>
      <c r="I360" s="3" t="str">
        <f>IF(Finance_Data!L356&gt;=Finance_Data!M356,"Valid","Invalid")</f>
        <v>Valid</v>
      </c>
      <c r="J360" s="3" t="str">
        <f>IF(AND(Finance_Data!I356&gt;=0,Finance_Data!K356&gt;=0),"Valid","Invalid")</f>
        <v>Valid</v>
      </c>
      <c r="K360" s="3" t="str">
        <f>IF(Finance_Data!N356&gt;=0,"Valid","Invalid")</f>
        <v>Valid</v>
      </c>
      <c r="L360" s="3" t="str">
        <f>IF(TEXT(Finance_Data!G356,"mmmm")=Finance_Data!P356,"Valid","Invalid")</f>
        <v>Valid</v>
      </c>
      <c r="M360" s="3" t="str">
        <f>IF("Q"&amp;ROUNDUP(MONTH(Finance_Data!G356)/3,0)=Finance_Data!Q356,"Valid","Invalid")</f>
        <v>Valid</v>
      </c>
      <c r="N360" s="7" t="str">
        <f t="shared" si="5"/>
        <v>Pass</v>
      </c>
    </row>
    <row r="361" spans="1:14" x14ac:dyDescent="0.35">
      <c r="A361" s="17" t="s">
        <v>67</v>
      </c>
      <c r="B361" s="3" t="str">
        <f>IF(ISBLANK(Table3[[#This Row],[Campaign_ID]]),"Invalid","Valid")</f>
        <v>Valid</v>
      </c>
      <c r="C361" s="3" t="str">
        <f>IF(COUNTA(Finance_Data!A357:R357)=18,"Valid","Missing")</f>
        <v>Valid</v>
      </c>
      <c r="D361" s="3" t="str">
        <f>IF(COUNTIF(Finance_Data!$T$2:$T$1001,Finance_Data!T357)&gt;1,"Duplicate","Valid")</f>
        <v>Valid</v>
      </c>
      <c r="E361" s="3" t="str">
        <f>IF(Finance_Data!H357&gt;Finance_Data!G357,"Valid","Invalid")</f>
        <v>Valid</v>
      </c>
      <c r="F361" s="3" t="str" cm="1">
        <f t="array" ref="F361">_xlfn.IFS(Finance_Data!S357&lt;7,"Short",Finance_Data!S357&lt;=30,"Normal",Finance_Data!S357&lt;=60,"Long",Finance_Data!S357&gt;60,"Very Long")</f>
        <v>Long</v>
      </c>
      <c r="G361" s="3" t="str">
        <f>IF(ABS(Finance_Data!I357*Finance_Data!J357)-Finance_Data!K357&lt;1,"Valid","Invalid")</f>
        <v>Valid</v>
      </c>
      <c r="H361" s="3" t="str">
        <f>IF(Finance_Data!L357&gt;0,"Valid","Invalid")</f>
        <v>Valid</v>
      </c>
      <c r="I361" s="3" t="str">
        <f>IF(Finance_Data!L357&gt;=Finance_Data!M357,"Valid","Invalid")</f>
        <v>Invalid</v>
      </c>
      <c r="J361" s="3" t="str">
        <f>IF(AND(Finance_Data!I357&gt;=0,Finance_Data!K357&gt;=0),"Valid","Invalid")</f>
        <v>Valid</v>
      </c>
      <c r="K361" s="3" t="str">
        <f>IF(Finance_Data!N357&gt;=0,"Valid","Invalid")</f>
        <v>Valid</v>
      </c>
      <c r="L361" s="3" t="str">
        <f>IF(TEXT(Finance_Data!G357,"mmmm")=Finance_Data!P357,"Valid","Invalid")</f>
        <v>Valid</v>
      </c>
      <c r="M361" s="3" t="str">
        <f>IF("Q"&amp;ROUNDUP(MONTH(Finance_Data!G357)/3,0)=Finance_Data!Q357,"Valid","Invalid")</f>
        <v>Valid</v>
      </c>
      <c r="N361" s="7" t="str">
        <f t="shared" si="5"/>
        <v>Fail</v>
      </c>
    </row>
    <row r="362" spans="1:14" x14ac:dyDescent="0.35">
      <c r="A362" s="17" t="s">
        <v>95</v>
      </c>
      <c r="B362" s="3" t="str">
        <f>IF(ISBLANK(Table3[[#This Row],[Campaign_ID]]),"Invalid","Valid")</f>
        <v>Valid</v>
      </c>
      <c r="C362" s="3" t="str">
        <f>IF(COUNTA(Finance_Data!A358:R358)=18,"Valid","Missing")</f>
        <v>Valid</v>
      </c>
      <c r="D362" s="3" t="str">
        <f>IF(COUNTIF(Finance_Data!$T$2:$T$1001,Finance_Data!T358)&gt;1,"Duplicate","Valid")</f>
        <v>Valid</v>
      </c>
      <c r="E362" s="3" t="str">
        <f>IF(Finance_Data!H358&gt;Finance_Data!G358,"Valid","Invalid")</f>
        <v>Valid</v>
      </c>
      <c r="F362" s="3" t="str" cm="1">
        <f t="array" ref="F362">_xlfn.IFS(Finance_Data!S358&lt;7,"Short",Finance_Data!S358&lt;=30,"Normal",Finance_Data!S358&lt;=60,"Long",Finance_Data!S358&gt;60,"Very Long")</f>
        <v>Normal</v>
      </c>
      <c r="G362" s="3" t="str">
        <f>IF(ABS(Finance_Data!I358*Finance_Data!J358)-Finance_Data!K358&lt;1,"Valid","Invalid")</f>
        <v>Valid</v>
      </c>
      <c r="H362" s="3" t="str">
        <f>IF(Finance_Data!L358&gt;0,"Valid","Invalid")</f>
        <v>Valid</v>
      </c>
      <c r="I362" s="3" t="str">
        <f>IF(Finance_Data!L358&gt;=Finance_Data!M358,"Valid","Invalid")</f>
        <v>Valid</v>
      </c>
      <c r="J362" s="3" t="str">
        <f>IF(AND(Finance_Data!I358&gt;=0,Finance_Data!K358&gt;=0),"Valid","Invalid")</f>
        <v>Valid</v>
      </c>
      <c r="K362" s="3" t="str">
        <f>IF(Finance_Data!N358&gt;=0,"Valid","Invalid")</f>
        <v>Valid</v>
      </c>
      <c r="L362" s="3" t="str">
        <f>IF(TEXT(Finance_Data!G358,"mmmm")=Finance_Data!P358,"Valid","Invalid")</f>
        <v>Valid</v>
      </c>
      <c r="M362" s="3" t="str">
        <f>IF("Q"&amp;ROUNDUP(MONTH(Finance_Data!G358)/3,0)=Finance_Data!Q358,"Valid","Invalid")</f>
        <v>Valid</v>
      </c>
      <c r="N362" s="7" t="str">
        <f t="shared" si="5"/>
        <v>Pass</v>
      </c>
    </row>
    <row r="363" spans="1:14" x14ac:dyDescent="0.35">
      <c r="A363" s="17" t="s">
        <v>88</v>
      </c>
      <c r="B363" s="3" t="str">
        <f>IF(ISBLANK(Table3[[#This Row],[Campaign_ID]]),"Invalid","Valid")</f>
        <v>Valid</v>
      </c>
      <c r="C363" s="3" t="str">
        <f>IF(COUNTA(Finance_Data!A359:R359)=18,"Valid","Missing")</f>
        <v>Valid</v>
      </c>
      <c r="D363" s="3" t="str">
        <f>IF(COUNTIF(Finance_Data!$T$2:$T$1001,Finance_Data!T359)&gt;1,"Duplicate","Valid")</f>
        <v>Valid</v>
      </c>
      <c r="E363" s="3" t="str">
        <f>IF(Finance_Data!H359&gt;Finance_Data!G359,"Valid","Invalid")</f>
        <v>Valid</v>
      </c>
      <c r="F363" s="3" t="str" cm="1">
        <f t="array" ref="F363">_xlfn.IFS(Finance_Data!S359&lt;7,"Short",Finance_Data!S359&lt;=30,"Normal",Finance_Data!S359&lt;=60,"Long",Finance_Data!S359&gt;60,"Very Long")</f>
        <v>Long</v>
      </c>
      <c r="G363" s="3" t="str">
        <f>IF(ABS(Finance_Data!I359*Finance_Data!J359)-Finance_Data!K359&lt;1,"Valid","Invalid")</f>
        <v>Valid</v>
      </c>
      <c r="H363" s="3" t="str">
        <f>IF(Finance_Data!L359&gt;0,"Valid","Invalid")</f>
        <v>Valid</v>
      </c>
      <c r="I363" s="3" t="str">
        <f>IF(Finance_Data!L359&gt;=Finance_Data!M359,"Valid","Invalid")</f>
        <v>Valid</v>
      </c>
      <c r="J363" s="3" t="str">
        <f>IF(AND(Finance_Data!I359&gt;=0,Finance_Data!K359&gt;=0),"Valid","Invalid")</f>
        <v>Valid</v>
      </c>
      <c r="K363" s="3" t="str">
        <f>IF(Finance_Data!N359&gt;=0,"Valid","Invalid")</f>
        <v>Valid</v>
      </c>
      <c r="L363" s="3" t="str">
        <f>IF(TEXT(Finance_Data!G359,"mmmm")=Finance_Data!P359,"Valid","Invalid")</f>
        <v>Valid</v>
      </c>
      <c r="M363" s="3" t="str">
        <f>IF("Q"&amp;ROUNDUP(MONTH(Finance_Data!G359)/3,0)=Finance_Data!Q359,"Valid","Invalid")</f>
        <v>Valid</v>
      </c>
      <c r="N363" s="7" t="str">
        <f t="shared" si="5"/>
        <v>Pass</v>
      </c>
    </row>
    <row r="364" spans="1:14" x14ac:dyDescent="0.35">
      <c r="A364" s="17" t="s">
        <v>66</v>
      </c>
      <c r="B364" s="3" t="str">
        <f>IF(ISBLANK(Table3[[#This Row],[Campaign_ID]]),"Invalid","Valid")</f>
        <v>Valid</v>
      </c>
      <c r="C364" s="3" t="str">
        <f>IF(COUNTA(Finance_Data!A360:R360)=18,"Valid","Missing")</f>
        <v>Valid</v>
      </c>
      <c r="D364" s="3" t="str">
        <f>IF(COUNTIF(Finance_Data!$T$2:$T$1001,Finance_Data!T360)&gt;1,"Duplicate","Valid")</f>
        <v>Valid</v>
      </c>
      <c r="E364" s="3" t="str">
        <f>IF(Finance_Data!H360&gt;Finance_Data!G360,"Valid","Invalid")</f>
        <v>Valid</v>
      </c>
      <c r="F364" s="3" t="str" cm="1">
        <f t="array" ref="F364">_xlfn.IFS(Finance_Data!S360&lt;7,"Short",Finance_Data!S360&lt;=30,"Normal",Finance_Data!S360&lt;=60,"Long",Finance_Data!S360&gt;60,"Very Long")</f>
        <v>Normal</v>
      </c>
      <c r="G364" s="3" t="str">
        <f>IF(ABS(Finance_Data!I360*Finance_Data!J360)-Finance_Data!K360&lt;1,"Valid","Invalid")</f>
        <v>Valid</v>
      </c>
      <c r="H364" s="3" t="str">
        <f>IF(Finance_Data!L360&gt;0,"Valid","Invalid")</f>
        <v>Valid</v>
      </c>
      <c r="I364" s="3" t="str">
        <f>IF(Finance_Data!L360&gt;=Finance_Data!M360,"Valid","Invalid")</f>
        <v>Valid</v>
      </c>
      <c r="J364" s="3" t="str">
        <f>IF(AND(Finance_Data!I360&gt;=0,Finance_Data!K360&gt;=0),"Valid","Invalid")</f>
        <v>Valid</v>
      </c>
      <c r="K364" s="3" t="str">
        <f>IF(Finance_Data!N360&gt;=0,"Valid","Invalid")</f>
        <v>Valid</v>
      </c>
      <c r="L364" s="3" t="str">
        <f>IF(TEXT(Finance_Data!G360,"mmmm")=Finance_Data!P360,"Valid","Invalid")</f>
        <v>Valid</v>
      </c>
      <c r="M364" s="3" t="str">
        <f>IF("Q"&amp;ROUNDUP(MONTH(Finance_Data!G360)/3,0)=Finance_Data!Q360,"Valid","Invalid")</f>
        <v>Valid</v>
      </c>
      <c r="N364" s="7" t="str">
        <f t="shared" si="5"/>
        <v>Pass</v>
      </c>
    </row>
    <row r="365" spans="1:14" x14ac:dyDescent="0.35">
      <c r="A365" s="17" t="s">
        <v>42</v>
      </c>
      <c r="B365" s="3" t="str">
        <f>IF(ISBLANK(Table3[[#This Row],[Campaign_ID]]),"Invalid","Valid")</f>
        <v>Valid</v>
      </c>
      <c r="C365" s="3" t="str">
        <f>IF(COUNTA(Finance_Data!A361:R361)=18,"Valid","Missing")</f>
        <v>Valid</v>
      </c>
      <c r="D365" s="3" t="str">
        <f>IF(COUNTIF(Finance_Data!$T$2:$T$1001,Finance_Data!T361)&gt;1,"Duplicate","Valid")</f>
        <v>Valid</v>
      </c>
      <c r="E365" s="3" t="str">
        <f>IF(Finance_Data!H361&gt;Finance_Data!G361,"Valid","Invalid")</f>
        <v>Valid</v>
      </c>
      <c r="F365" s="3" t="str" cm="1">
        <f t="array" ref="F365">_xlfn.IFS(Finance_Data!S361&lt;7,"Short",Finance_Data!S361&lt;=30,"Normal",Finance_Data!S361&lt;=60,"Long",Finance_Data!S361&gt;60,"Very Long")</f>
        <v>Long</v>
      </c>
      <c r="G365" s="3" t="str">
        <f>IF(ABS(Finance_Data!I361*Finance_Data!J361)-Finance_Data!K361&lt;1,"Valid","Invalid")</f>
        <v>Valid</v>
      </c>
      <c r="H365" s="3" t="str">
        <f>IF(Finance_Data!L361&gt;0,"Valid","Invalid")</f>
        <v>Valid</v>
      </c>
      <c r="I365" s="3" t="str">
        <f>IF(Finance_Data!L361&gt;=Finance_Data!M361,"Valid","Invalid")</f>
        <v>Valid</v>
      </c>
      <c r="J365" s="3" t="str">
        <f>IF(AND(Finance_Data!I361&gt;=0,Finance_Data!K361&gt;=0),"Valid","Invalid")</f>
        <v>Valid</v>
      </c>
      <c r="K365" s="3" t="str">
        <f>IF(Finance_Data!N361&gt;=0,"Valid","Invalid")</f>
        <v>Valid</v>
      </c>
      <c r="L365" s="3" t="str">
        <f>IF(TEXT(Finance_Data!G361,"mmmm")=Finance_Data!P361,"Valid","Invalid")</f>
        <v>Valid</v>
      </c>
      <c r="M365" s="3" t="str">
        <f>IF("Q"&amp;ROUNDUP(MONTH(Finance_Data!G361)/3,0)=Finance_Data!Q361,"Valid","Invalid")</f>
        <v>Valid</v>
      </c>
      <c r="N365" s="7" t="str">
        <f t="shared" si="5"/>
        <v>Pass</v>
      </c>
    </row>
    <row r="366" spans="1:14" x14ac:dyDescent="0.35">
      <c r="A366" s="17" t="s">
        <v>106</v>
      </c>
      <c r="B366" s="3" t="str">
        <f>IF(ISBLANK(Table3[[#This Row],[Campaign_ID]]),"Invalid","Valid")</f>
        <v>Valid</v>
      </c>
      <c r="C366" s="3" t="str">
        <f>IF(COUNTA(Finance_Data!A362:R362)=18,"Valid","Missing")</f>
        <v>Valid</v>
      </c>
      <c r="D366" s="3" t="str">
        <f>IF(COUNTIF(Finance_Data!$T$2:$T$1001,Finance_Data!T362)&gt;1,"Duplicate","Valid")</f>
        <v>Valid</v>
      </c>
      <c r="E366" s="3" t="str">
        <f>IF(Finance_Data!H362&gt;Finance_Data!G362,"Valid","Invalid")</f>
        <v>Valid</v>
      </c>
      <c r="F366" s="3" t="str" cm="1">
        <f t="array" ref="F366">_xlfn.IFS(Finance_Data!S362&lt;7,"Short",Finance_Data!S362&lt;=30,"Normal",Finance_Data!S362&lt;=60,"Long",Finance_Data!S362&gt;60,"Very Long")</f>
        <v>Long</v>
      </c>
      <c r="G366" s="3" t="str">
        <f>IF(ABS(Finance_Data!I362*Finance_Data!J362)-Finance_Data!K362&lt;1,"Valid","Invalid")</f>
        <v>Valid</v>
      </c>
      <c r="H366" s="3" t="str">
        <f>IF(Finance_Data!L362&gt;0,"Valid","Invalid")</f>
        <v>Valid</v>
      </c>
      <c r="I366" s="3" t="str">
        <f>IF(Finance_Data!L362&gt;=Finance_Data!M362,"Valid","Invalid")</f>
        <v>Valid</v>
      </c>
      <c r="J366" s="3" t="str">
        <f>IF(AND(Finance_Data!I362&gt;=0,Finance_Data!K362&gt;=0),"Valid","Invalid")</f>
        <v>Valid</v>
      </c>
      <c r="K366" s="3" t="str">
        <f>IF(Finance_Data!N362&gt;=0,"Valid","Invalid")</f>
        <v>Valid</v>
      </c>
      <c r="L366" s="3" t="str">
        <f>IF(TEXT(Finance_Data!G362,"mmmm")=Finance_Data!P362,"Valid","Invalid")</f>
        <v>Valid</v>
      </c>
      <c r="M366" s="3" t="str">
        <f>IF("Q"&amp;ROUNDUP(MONTH(Finance_Data!G362)/3,0)=Finance_Data!Q362,"Valid","Invalid")</f>
        <v>Valid</v>
      </c>
      <c r="N366" s="7" t="str">
        <f t="shared" si="5"/>
        <v>Pass</v>
      </c>
    </row>
    <row r="367" spans="1:14" x14ac:dyDescent="0.35">
      <c r="A367" s="17" t="s">
        <v>102</v>
      </c>
      <c r="B367" s="3" t="str">
        <f>IF(ISBLANK(Table3[[#This Row],[Campaign_ID]]),"Invalid","Valid")</f>
        <v>Valid</v>
      </c>
      <c r="C367" s="3" t="str">
        <f>IF(COUNTA(Finance_Data!A363:R363)=18,"Valid","Missing")</f>
        <v>Valid</v>
      </c>
      <c r="D367" s="3" t="str">
        <f>IF(COUNTIF(Finance_Data!$T$2:$T$1001,Finance_Data!T363)&gt;1,"Duplicate","Valid")</f>
        <v>Valid</v>
      </c>
      <c r="E367" s="3" t="str">
        <f>IF(Finance_Data!H363&gt;Finance_Data!G363,"Valid","Invalid")</f>
        <v>Valid</v>
      </c>
      <c r="F367" s="3" t="str" cm="1">
        <f t="array" ref="F367">_xlfn.IFS(Finance_Data!S363&lt;7,"Short",Finance_Data!S363&lt;=30,"Normal",Finance_Data!S363&lt;=60,"Long",Finance_Data!S363&gt;60,"Very Long")</f>
        <v>Long</v>
      </c>
      <c r="G367" s="3" t="str">
        <f>IF(ABS(Finance_Data!I363*Finance_Data!J363)-Finance_Data!K363&lt;1,"Valid","Invalid")</f>
        <v>Valid</v>
      </c>
      <c r="H367" s="3" t="str">
        <f>IF(Finance_Data!L363&gt;0,"Valid","Invalid")</f>
        <v>Valid</v>
      </c>
      <c r="I367" s="3" t="str">
        <f>IF(Finance_Data!L363&gt;=Finance_Data!M363,"Valid","Invalid")</f>
        <v>Valid</v>
      </c>
      <c r="J367" s="3" t="str">
        <f>IF(AND(Finance_Data!I363&gt;=0,Finance_Data!K363&gt;=0),"Valid","Invalid")</f>
        <v>Valid</v>
      </c>
      <c r="K367" s="3" t="str">
        <f>IF(Finance_Data!N363&gt;=0,"Valid","Invalid")</f>
        <v>Valid</v>
      </c>
      <c r="L367" s="3" t="str">
        <f>IF(TEXT(Finance_Data!G363,"mmmm")=Finance_Data!P363,"Valid","Invalid")</f>
        <v>Valid</v>
      </c>
      <c r="M367" s="3" t="str">
        <f>IF("Q"&amp;ROUNDUP(MONTH(Finance_Data!G363)/3,0)=Finance_Data!Q363,"Valid","Invalid")</f>
        <v>Valid</v>
      </c>
      <c r="N367" s="7" t="str">
        <f t="shared" si="5"/>
        <v>Pass</v>
      </c>
    </row>
    <row r="368" spans="1:14" x14ac:dyDescent="0.35">
      <c r="A368" s="17" t="s">
        <v>106</v>
      </c>
      <c r="B368" s="3" t="str">
        <f>IF(ISBLANK(Table3[[#This Row],[Campaign_ID]]),"Invalid","Valid")</f>
        <v>Valid</v>
      </c>
      <c r="C368" s="3" t="str">
        <f>IF(COUNTA(Finance_Data!A364:R364)=18,"Valid","Missing")</f>
        <v>Valid</v>
      </c>
      <c r="D368" s="3" t="str">
        <f>IF(COUNTIF(Finance_Data!$T$2:$T$1001,Finance_Data!T364)&gt;1,"Duplicate","Valid")</f>
        <v>Valid</v>
      </c>
      <c r="E368" s="3" t="str">
        <f>IF(Finance_Data!H364&gt;Finance_Data!G364,"Valid","Invalid")</f>
        <v>Valid</v>
      </c>
      <c r="F368" s="3" t="str" cm="1">
        <f t="array" ref="F368">_xlfn.IFS(Finance_Data!S364&lt;7,"Short",Finance_Data!S364&lt;=30,"Normal",Finance_Data!S364&lt;=60,"Long",Finance_Data!S364&gt;60,"Very Long")</f>
        <v>Long</v>
      </c>
      <c r="G368" s="3" t="str">
        <f>IF(ABS(Finance_Data!I364*Finance_Data!J364)-Finance_Data!K364&lt;1,"Valid","Invalid")</f>
        <v>Valid</v>
      </c>
      <c r="H368" s="3" t="str">
        <f>IF(Finance_Data!L364&gt;0,"Valid","Invalid")</f>
        <v>Valid</v>
      </c>
      <c r="I368" s="3" t="str">
        <f>IF(Finance_Data!L364&gt;=Finance_Data!M364,"Valid","Invalid")</f>
        <v>Valid</v>
      </c>
      <c r="J368" s="3" t="str">
        <f>IF(AND(Finance_Data!I364&gt;=0,Finance_Data!K364&gt;=0),"Valid","Invalid")</f>
        <v>Valid</v>
      </c>
      <c r="K368" s="3" t="str">
        <f>IF(Finance_Data!N364&gt;=0,"Valid","Invalid")</f>
        <v>Valid</v>
      </c>
      <c r="L368" s="3" t="str">
        <f>IF(TEXT(Finance_Data!G364,"mmmm")=Finance_Data!P364,"Valid","Invalid")</f>
        <v>Valid</v>
      </c>
      <c r="M368" s="3" t="str">
        <f>IF("Q"&amp;ROUNDUP(MONTH(Finance_Data!G364)/3,0)=Finance_Data!Q364,"Valid","Invalid")</f>
        <v>Valid</v>
      </c>
      <c r="N368" s="7" t="str">
        <f t="shared" si="5"/>
        <v>Pass</v>
      </c>
    </row>
    <row r="369" spans="1:14" x14ac:dyDescent="0.35">
      <c r="A369" s="17" t="s">
        <v>95</v>
      </c>
      <c r="B369" s="3" t="str">
        <f>IF(ISBLANK(Table3[[#This Row],[Campaign_ID]]),"Invalid","Valid")</f>
        <v>Valid</v>
      </c>
      <c r="C369" s="3" t="str">
        <f>IF(COUNTA(Finance_Data!A365:R365)=18,"Valid","Missing")</f>
        <v>Valid</v>
      </c>
      <c r="D369" s="3" t="str">
        <f>IF(COUNTIF(Finance_Data!$T$2:$T$1001,Finance_Data!T365)&gt;1,"Duplicate","Valid")</f>
        <v>Valid</v>
      </c>
      <c r="E369" s="3" t="str">
        <f>IF(Finance_Data!H365&gt;Finance_Data!G365,"Valid","Invalid")</f>
        <v>Valid</v>
      </c>
      <c r="F369" s="3" t="str" cm="1">
        <f t="array" ref="F369">_xlfn.IFS(Finance_Data!S365&lt;7,"Short",Finance_Data!S365&lt;=30,"Normal",Finance_Data!S365&lt;=60,"Long",Finance_Data!S365&gt;60,"Very Long")</f>
        <v>Normal</v>
      </c>
      <c r="G369" s="3" t="str">
        <f>IF(ABS(Finance_Data!I365*Finance_Data!J365)-Finance_Data!K365&lt;1,"Valid","Invalid")</f>
        <v>Valid</v>
      </c>
      <c r="H369" s="3" t="str">
        <f>IF(Finance_Data!L365&gt;0,"Valid","Invalid")</f>
        <v>Valid</v>
      </c>
      <c r="I369" s="3" t="str">
        <f>IF(Finance_Data!L365&gt;=Finance_Data!M365,"Valid","Invalid")</f>
        <v>Valid</v>
      </c>
      <c r="J369" s="3" t="str">
        <f>IF(AND(Finance_Data!I365&gt;=0,Finance_Data!K365&gt;=0),"Valid","Invalid")</f>
        <v>Valid</v>
      </c>
      <c r="K369" s="3" t="str">
        <f>IF(Finance_Data!N365&gt;=0,"Valid","Invalid")</f>
        <v>Valid</v>
      </c>
      <c r="L369" s="3" t="str">
        <f>IF(TEXT(Finance_Data!G365,"mmmm")=Finance_Data!P365,"Valid","Invalid")</f>
        <v>Valid</v>
      </c>
      <c r="M369" s="3" t="str">
        <f>IF("Q"&amp;ROUNDUP(MONTH(Finance_Data!G365)/3,0)=Finance_Data!Q365,"Valid","Invalid")</f>
        <v>Valid</v>
      </c>
      <c r="N369" s="7" t="str">
        <f t="shared" si="5"/>
        <v>Pass</v>
      </c>
    </row>
    <row r="370" spans="1:14" x14ac:dyDescent="0.35">
      <c r="A370" s="17" t="s">
        <v>68</v>
      </c>
      <c r="B370" s="3" t="str">
        <f>IF(ISBLANK(Table3[[#This Row],[Campaign_ID]]),"Invalid","Valid")</f>
        <v>Valid</v>
      </c>
      <c r="C370" s="3" t="str">
        <f>IF(COUNTA(Finance_Data!A366:R366)=18,"Valid","Missing")</f>
        <v>Valid</v>
      </c>
      <c r="D370" s="3" t="str">
        <f>IF(COUNTIF(Finance_Data!$T$2:$T$1001,Finance_Data!T366)&gt;1,"Duplicate","Valid")</f>
        <v>Valid</v>
      </c>
      <c r="E370" s="3" t="str">
        <f>IF(Finance_Data!H366&gt;Finance_Data!G366,"Valid","Invalid")</f>
        <v>Valid</v>
      </c>
      <c r="F370" s="3" t="str" cm="1">
        <f t="array" ref="F370">_xlfn.IFS(Finance_Data!S366&lt;7,"Short",Finance_Data!S366&lt;=30,"Normal",Finance_Data!S366&lt;=60,"Long",Finance_Data!S366&gt;60,"Very Long")</f>
        <v>Long</v>
      </c>
      <c r="G370" s="3" t="str">
        <f>IF(ABS(Finance_Data!I366*Finance_Data!J366)-Finance_Data!K366&lt;1,"Valid","Invalid")</f>
        <v>Valid</v>
      </c>
      <c r="H370" s="3" t="str">
        <f>IF(Finance_Data!L366&gt;0,"Valid","Invalid")</f>
        <v>Valid</v>
      </c>
      <c r="I370" s="3" t="str">
        <f>IF(Finance_Data!L366&gt;=Finance_Data!M366,"Valid","Invalid")</f>
        <v>Valid</v>
      </c>
      <c r="J370" s="3" t="str">
        <f>IF(AND(Finance_Data!I366&gt;=0,Finance_Data!K366&gt;=0),"Valid","Invalid")</f>
        <v>Valid</v>
      </c>
      <c r="K370" s="3" t="str">
        <f>IF(Finance_Data!N366&gt;=0,"Valid","Invalid")</f>
        <v>Valid</v>
      </c>
      <c r="L370" s="3" t="str">
        <f>IF(TEXT(Finance_Data!G366,"mmmm")=Finance_Data!P366,"Valid","Invalid")</f>
        <v>Valid</v>
      </c>
      <c r="M370" s="3" t="str">
        <f>IF("Q"&amp;ROUNDUP(MONTH(Finance_Data!G366)/3,0)=Finance_Data!Q366,"Valid","Invalid")</f>
        <v>Valid</v>
      </c>
      <c r="N370" s="7" t="str">
        <f t="shared" si="5"/>
        <v>Pass</v>
      </c>
    </row>
    <row r="371" spans="1:14" x14ac:dyDescent="0.35">
      <c r="A371" s="17" t="s">
        <v>95</v>
      </c>
      <c r="B371" s="3" t="str">
        <f>IF(ISBLANK(Table3[[#This Row],[Campaign_ID]]),"Invalid","Valid")</f>
        <v>Valid</v>
      </c>
      <c r="C371" s="3" t="str">
        <f>IF(COUNTA(Finance_Data!A367:R367)=18,"Valid","Missing")</f>
        <v>Valid</v>
      </c>
      <c r="D371" s="3" t="str">
        <f>IF(COUNTIF(Finance_Data!$T$2:$T$1001,Finance_Data!T367)&gt;1,"Duplicate","Valid")</f>
        <v>Valid</v>
      </c>
      <c r="E371" s="3" t="str">
        <f>IF(Finance_Data!H367&gt;Finance_Data!G367,"Valid","Invalid")</f>
        <v>Valid</v>
      </c>
      <c r="F371" s="3" t="str" cm="1">
        <f t="array" ref="F371">_xlfn.IFS(Finance_Data!S367&lt;7,"Short",Finance_Data!S367&lt;=30,"Normal",Finance_Data!S367&lt;=60,"Long",Finance_Data!S367&gt;60,"Very Long")</f>
        <v>Normal</v>
      </c>
      <c r="G371" s="3" t="str">
        <f>IF(ABS(Finance_Data!I367*Finance_Data!J367)-Finance_Data!K367&lt;1,"Valid","Invalid")</f>
        <v>Valid</v>
      </c>
      <c r="H371" s="3" t="str">
        <f>IF(Finance_Data!L367&gt;0,"Valid","Invalid")</f>
        <v>Valid</v>
      </c>
      <c r="I371" s="3" t="str">
        <f>IF(Finance_Data!L367&gt;=Finance_Data!M367,"Valid","Invalid")</f>
        <v>Valid</v>
      </c>
      <c r="J371" s="3" t="str">
        <f>IF(AND(Finance_Data!I367&gt;=0,Finance_Data!K367&gt;=0),"Valid","Invalid")</f>
        <v>Valid</v>
      </c>
      <c r="K371" s="3" t="str">
        <f>IF(Finance_Data!N367&gt;=0,"Valid","Invalid")</f>
        <v>Valid</v>
      </c>
      <c r="L371" s="3" t="str">
        <f>IF(TEXT(Finance_Data!G367,"mmmm")=Finance_Data!P367,"Valid","Invalid")</f>
        <v>Valid</v>
      </c>
      <c r="M371" s="3" t="str">
        <f>IF("Q"&amp;ROUNDUP(MONTH(Finance_Data!G367)/3,0)=Finance_Data!Q367,"Valid","Invalid")</f>
        <v>Valid</v>
      </c>
      <c r="N371" s="7" t="str">
        <f t="shared" si="5"/>
        <v>Pass</v>
      </c>
    </row>
    <row r="372" spans="1:14" x14ac:dyDescent="0.35">
      <c r="A372" s="17" t="s">
        <v>93</v>
      </c>
      <c r="B372" s="3" t="str">
        <f>IF(ISBLANK(Table3[[#This Row],[Campaign_ID]]),"Invalid","Valid")</f>
        <v>Valid</v>
      </c>
      <c r="C372" s="3" t="str">
        <f>IF(COUNTA(Finance_Data!A368:R368)=18,"Valid","Missing")</f>
        <v>Valid</v>
      </c>
      <c r="D372" s="3" t="str">
        <f>IF(COUNTIF(Finance_Data!$T$2:$T$1001,Finance_Data!T368)&gt;1,"Duplicate","Valid")</f>
        <v>Valid</v>
      </c>
      <c r="E372" s="3" t="str">
        <f>IF(Finance_Data!H368&gt;Finance_Data!G368,"Valid","Invalid")</f>
        <v>Valid</v>
      </c>
      <c r="F372" s="3" t="str" cm="1">
        <f t="array" ref="F372">_xlfn.IFS(Finance_Data!S368&lt;7,"Short",Finance_Data!S368&lt;=30,"Normal",Finance_Data!S368&lt;=60,"Long",Finance_Data!S368&gt;60,"Very Long")</f>
        <v>Very Long</v>
      </c>
      <c r="G372" s="3" t="str">
        <f>IF(ABS(Finance_Data!I368*Finance_Data!J368)-Finance_Data!K368&lt;1,"Valid","Invalid")</f>
        <v>Valid</v>
      </c>
      <c r="H372" s="3" t="str">
        <f>IF(Finance_Data!L368&gt;0,"Valid","Invalid")</f>
        <v>Valid</v>
      </c>
      <c r="I372" s="3" t="str">
        <f>IF(Finance_Data!L368&gt;=Finance_Data!M368,"Valid","Invalid")</f>
        <v>Valid</v>
      </c>
      <c r="J372" s="3" t="str">
        <f>IF(AND(Finance_Data!I368&gt;=0,Finance_Data!K368&gt;=0),"Valid","Invalid")</f>
        <v>Valid</v>
      </c>
      <c r="K372" s="3" t="str">
        <f>IF(Finance_Data!N368&gt;=0,"Valid","Invalid")</f>
        <v>Valid</v>
      </c>
      <c r="L372" s="3" t="str">
        <f>IF(TEXT(Finance_Data!G368,"mmmm")=Finance_Data!P368,"Valid","Invalid")</f>
        <v>Valid</v>
      </c>
      <c r="M372" s="3" t="str">
        <f>IF("Q"&amp;ROUNDUP(MONTH(Finance_Data!G368)/3,0)=Finance_Data!Q368,"Valid","Invalid")</f>
        <v>Valid</v>
      </c>
      <c r="N372" s="7" t="str">
        <f t="shared" si="5"/>
        <v>Pass</v>
      </c>
    </row>
    <row r="373" spans="1:14" x14ac:dyDescent="0.35">
      <c r="A373" s="17" t="s">
        <v>87</v>
      </c>
      <c r="B373" s="3" t="str">
        <f>IF(ISBLANK(Table3[[#This Row],[Campaign_ID]]),"Invalid","Valid")</f>
        <v>Valid</v>
      </c>
      <c r="C373" s="3" t="str">
        <f>IF(COUNTA(Finance_Data!A369:R369)=18,"Valid","Missing")</f>
        <v>Valid</v>
      </c>
      <c r="D373" s="3" t="str">
        <f>IF(COUNTIF(Finance_Data!$T$2:$T$1001,Finance_Data!T369)&gt;1,"Duplicate","Valid")</f>
        <v>Valid</v>
      </c>
      <c r="E373" s="3" t="str">
        <f>IF(Finance_Data!H369&gt;Finance_Data!G369,"Valid","Invalid")</f>
        <v>Valid</v>
      </c>
      <c r="F373" s="3" t="str" cm="1">
        <f t="array" ref="F373">_xlfn.IFS(Finance_Data!S369&lt;7,"Short",Finance_Data!S369&lt;=30,"Normal",Finance_Data!S369&lt;=60,"Long",Finance_Data!S369&gt;60,"Very Long")</f>
        <v>Long</v>
      </c>
      <c r="G373" s="3" t="str">
        <f>IF(ABS(Finance_Data!I369*Finance_Data!J369)-Finance_Data!K369&lt;1,"Valid","Invalid")</f>
        <v>Valid</v>
      </c>
      <c r="H373" s="3" t="str">
        <f>IF(Finance_Data!L369&gt;0,"Valid","Invalid")</f>
        <v>Valid</v>
      </c>
      <c r="I373" s="3" t="str">
        <f>IF(Finance_Data!L369&gt;=Finance_Data!M369,"Valid","Invalid")</f>
        <v>Valid</v>
      </c>
      <c r="J373" s="3" t="str">
        <f>IF(AND(Finance_Data!I369&gt;=0,Finance_Data!K369&gt;=0),"Valid","Invalid")</f>
        <v>Valid</v>
      </c>
      <c r="K373" s="3" t="str">
        <f>IF(Finance_Data!N369&gt;=0,"Valid","Invalid")</f>
        <v>Valid</v>
      </c>
      <c r="L373" s="3" t="str">
        <f>IF(TEXT(Finance_Data!G369,"mmmm")=Finance_Data!P369,"Valid","Invalid")</f>
        <v>Valid</v>
      </c>
      <c r="M373" s="3" t="str">
        <f>IF("Q"&amp;ROUNDUP(MONTH(Finance_Data!G369)/3,0)=Finance_Data!Q369,"Valid","Invalid")</f>
        <v>Valid</v>
      </c>
      <c r="N373" s="7" t="str">
        <f t="shared" si="5"/>
        <v>Pass</v>
      </c>
    </row>
    <row r="374" spans="1:14" x14ac:dyDescent="0.35">
      <c r="A374" s="17" t="s">
        <v>111</v>
      </c>
      <c r="B374" s="3" t="str">
        <f>IF(ISBLANK(Table3[[#This Row],[Campaign_ID]]),"Invalid","Valid")</f>
        <v>Valid</v>
      </c>
      <c r="C374" s="3" t="str">
        <f>IF(COUNTA(Finance_Data!A370:R370)=18,"Valid","Missing")</f>
        <v>Valid</v>
      </c>
      <c r="D374" s="3" t="str">
        <f>IF(COUNTIF(Finance_Data!$T$2:$T$1001,Finance_Data!T370)&gt;1,"Duplicate","Valid")</f>
        <v>Valid</v>
      </c>
      <c r="E374" s="3" t="str">
        <f>IF(Finance_Data!H370&gt;Finance_Data!G370,"Valid","Invalid")</f>
        <v>Valid</v>
      </c>
      <c r="F374" s="3" t="str" cm="1">
        <f t="array" ref="F374">_xlfn.IFS(Finance_Data!S370&lt;7,"Short",Finance_Data!S370&lt;=30,"Normal",Finance_Data!S370&lt;=60,"Long",Finance_Data!S370&gt;60,"Very Long")</f>
        <v>Long</v>
      </c>
      <c r="G374" s="3" t="str">
        <f>IF(ABS(Finance_Data!I370*Finance_Data!J370)-Finance_Data!K370&lt;1,"Valid","Invalid")</f>
        <v>Valid</v>
      </c>
      <c r="H374" s="3" t="str">
        <f>IF(Finance_Data!L370&gt;0,"Valid","Invalid")</f>
        <v>Valid</v>
      </c>
      <c r="I374" s="3" t="str">
        <f>IF(Finance_Data!L370&gt;=Finance_Data!M370,"Valid","Invalid")</f>
        <v>Valid</v>
      </c>
      <c r="J374" s="3" t="str">
        <f>IF(AND(Finance_Data!I370&gt;=0,Finance_Data!K370&gt;=0),"Valid","Invalid")</f>
        <v>Valid</v>
      </c>
      <c r="K374" s="3" t="str">
        <f>IF(Finance_Data!N370&gt;=0,"Valid","Invalid")</f>
        <v>Valid</v>
      </c>
      <c r="L374" s="3" t="str">
        <f>IF(TEXT(Finance_Data!G370,"mmmm")=Finance_Data!P370,"Valid","Invalid")</f>
        <v>Valid</v>
      </c>
      <c r="M374" s="3" t="str">
        <f>IF("Q"&amp;ROUNDUP(MONTH(Finance_Data!G370)/3,0)=Finance_Data!Q370,"Valid","Invalid")</f>
        <v>Valid</v>
      </c>
      <c r="N374" s="7" t="str">
        <f t="shared" si="5"/>
        <v>Pass</v>
      </c>
    </row>
    <row r="375" spans="1:14" x14ac:dyDescent="0.35">
      <c r="A375" s="17" t="s">
        <v>92</v>
      </c>
      <c r="B375" s="3" t="str">
        <f>IF(ISBLANK(Table3[[#This Row],[Campaign_ID]]),"Invalid","Valid")</f>
        <v>Valid</v>
      </c>
      <c r="C375" s="3" t="str">
        <f>IF(COUNTA(Finance_Data!A371:R371)=18,"Valid","Missing")</f>
        <v>Valid</v>
      </c>
      <c r="D375" s="3" t="str">
        <f>IF(COUNTIF(Finance_Data!$T$2:$T$1001,Finance_Data!T371)&gt;1,"Duplicate","Valid")</f>
        <v>Valid</v>
      </c>
      <c r="E375" s="3" t="str">
        <f>IF(Finance_Data!H371&gt;Finance_Data!G371,"Valid","Invalid")</f>
        <v>Valid</v>
      </c>
      <c r="F375" s="3" t="str" cm="1">
        <f t="array" ref="F375">_xlfn.IFS(Finance_Data!S371&lt;7,"Short",Finance_Data!S371&lt;=30,"Normal",Finance_Data!S371&lt;=60,"Long",Finance_Data!S371&gt;60,"Very Long")</f>
        <v>Normal</v>
      </c>
      <c r="G375" s="3" t="str">
        <f>IF(ABS(Finance_Data!I371*Finance_Data!J371)-Finance_Data!K371&lt;1,"Valid","Invalid")</f>
        <v>Valid</v>
      </c>
      <c r="H375" s="3" t="str">
        <f>IF(Finance_Data!L371&gt;0,"Valid","Invalid")</f>
        <v>Valid</v>
      </c>
      <c r="I375" s="3" t="str">
        <f>IF(Finance_Data!L371&gt;=Finance_Data!M371,"Valid","Invalid")</f>
        <v>Valid</v>
      </c>
      <c r="J375" s="3" t="str">
        <f>IF(AND(Finance_Data!I371&gt;=0,Finance_Data!K371&gt;=0),"Valid","Invalid")</f>
        <v>Valid</v>
      </c>
      <c r="K375" s="3" t="str">
        <f>IF(Finance_Data!N371&gt;=0,"Valid","Invalid")</f>
        <v>Valid</v>
      </c>
      <c r="L375" s="3" t="str">
        <f>IF(TEXT(Finance_Data!G371,"mmmm")=Finance_Data!P371,"Valid","Invalid")</f>
        <v>Valid</v>
      </c>
      <c r="M375" s="3" t="str">
        <f>IF("Q"&amp;ROUNDUP(MONTH(Finance_Data!G371)/3,0)=Finance_Data!Q371,"Valid","Invalid")</f>
        <v>Valid</v>
      </c>
      <c r="N375" s="7" t="str">
        <f t="shared" si="5"/>
        <v>Pass</v>
      </c>
    </row>
    <row r="376" spans="1:14" x14ac:dyDescent="0.35">
      <c r="A376" s="17" t="s">
        <v>108</v>
      </c>
      <c r="B376" s="3" t="str">
        <f>IF(ISBLANK(Table3[[#This Row],[Campaign_ID]]),"Invalid","Valid")</f>
        <v>Valid</v>
      </c>
      <c r="C376" s="3" t="str">
        <f>IF(COUNTA(Finance_Data!A372:R372)=18,"Valid","Missing")</f>
        <v>Valid</v>
      </c>
      <c r="D376" s="3" t="str">
        <f>IF(COUNTIF(Finance_Data!$T$2:$T$1001,Finance_Data!T372)&gt;1,"Duplicate","Valid")</f>
        <v>Valid</v>
      </c>
      <c r="E376" s="3" t="str">
        <f>IF(Finance_Data!H372&gt;Finance_Data!G372,"Valid","Invalid")</f>
        <v>Valid</v>
      </c>
      <c r="F376" s="3" t="str" cm="1">
        <f t="array" ref="F376">_xlfn.IFS(Finance_Data!S372&lt;7,"Short",Finance_Data!S372&lt;=30,"Normal",Finance_Data!S372&lt;=60,"Long",Finance_Data!S372&gt;60,"Very Long")</f>
        <v>Long</v>
      </c>
      <c r="G376" s="3" t="str">
        <f>IF(ABS(Finance_Data!I372*Finance_Data!J372)-Finance_Data!K372&lt;1,"Valid","Invalid")</f>
        <v>Valid</v>
      </c>
      <c r="H376" s="3" t="str">
        <f>IF(Finance_Data!L372&gt;0,"Valid","Invalid")</f>
        <v>Valid</v>
      </c>
      <c r="I376" s="3" t="str">
        <f>IF(Finance_Data!L372&gt;=Finance_Data!M372,"Valid","Invalid")</f>
        <v>Valid</v>
      </c>
      <c r="J376" s="3" t="str">
        <f>IF(AND(Finance_Data!I372&gt;=0,Finance_Data!K372&gt;=0),"Valid","Invalid")</f>
        <v>Valid</v>
      </c>
      <c r="K376" s="3" t="str">
        <f>IF(Finance_Data!N372&gt;=0,"Valid","Invalid")</f>
        <v>Valid</v>
      </c>
      <c r="L376" s="3" t="str">
        <f>IF(TEXT(Finance_Data!G372,"mmmm")=Finance_Data!P372,"Valid","Invalid")</f>
        <v>Valid</v>
      </c>
      <c r="M376" s="3" t="str">
        <f>IF("Q"&amp;ROUNDUP(MONTH(Finance_Data!G372)/3,0)=Finance_Data!Q372,"Valid","Invalid")</f>
        <v>Valid</v>
      </c>
      <c r="N376" s="7" t="str">
        <f t="shared" si="5"/>
        <v>Pass</v>
      </c>
    </row>
    <row r="377" spans="1:14" x14ac:dyDescent="0.35">
      <c r="A377" s="17" t="s">
        <v>109</v>
      </c>
      <c r="B377" s="3" t="str">
        <f>IF(ISBLANK(Table3[[#This Row],[Campaign_ID]]),"Invalid","Valid")</f>
        <v>Valid</v>
      </c>
      <c r="C377" s="3" t="str">
        <f>IF(COUNTA(Finance_Data!A373:R373)=18,"Valid","Missing")</f>
        <v>Valid</v>
      </c>
      <c r="D377" s="3" t="str">
        <f>IF(COUNTIF(Finance_Data!$T$2:$T$1001,Finance_Data!T373)&gt;1,"Duplicate","Valid")</f>
        <v>Valid</v>
      </c>
      <c r="E377" s="3" t="str">
        <f>IF(Finance_Data!H373&gt;Finance_Data!G373,"Valid","Invalid")</f>
        <v>Valid</v>
      </c>
      <c r="F377" s="3" t="str" cm="1">
        <f t="array" ref="F377">_xlfn.IFS(Finance_Data!S373&lt;7,"Short",Finance_Data!S373&lt;=30,"Normal",Finance_Data!S373&lt;=60,"Long",Finance_Data!S373&gt;60,"Very Long")</f>
        <v>Long</v>
      </c>
      <c r="G377" s="3" t="str">
        <f>IF(ABS(Finance_Data!I373*Finance_Data!J373)-Finance_Data!K373&lt;1,"Valid","Invalid")</f>
        <v>Valid</v>
      </c>
      <c r="H377" s="3" t="str">
        <f>IF(Finance_Data!L373&gt;0,"Valid","Invalid")</f>
        <v>Valid</v>
      </c>
      <c r="I377" s="3" t="str">
        <f>IF(Finance_Data!L373&gt;=Finance_Data!M373,"Valid","Invalid")</f>
        <v>Valid</v>
      </c>
      <c r="J377" s="3" t="str">
        <f>IF(AND(Finance_Data!I373&gt;=0,Finance_Data!K373&gt;=0),"Valid","Invalid")</f>
        <v>Valid</v>
      </c>
      <c r="K377" s="3" t="str">
        <f>IF(Finance_Data!N373&gt;=0,"Valid","Invalid")</f>
        <v>Valid</v>
      </c>
      <c r="L377" s="3" t="str">
        <f>IF(TEXT(Finance_Data!G373,"mmmm")=Finance_Data!P373,"Valid","Invalid")</f>
        <v>Valid</v>
      </c>
      <c r="M377" s="3" t="str">
        <f>IF("Q"&amp;ROUNDUP(MONTH(Finance_Data!G373)/3,0)=Finance_Data!Q373,"Valid","Invalid")</f>
        <v>Valid</v>
      </c>
      <c r="N377" s="7" t="str">
        <f t="shared" si="5"/>
        <v>Pass</v>
      </c>
    </row>
    <row r="378" spans="1:14" x14ac:dyDescent="0.35">
      <c r="A378" s="17" t="s">
        <v>105</v>
      </c>
      <c r="B378" s="3" t="str">
        <f>IF(ISBLANK(Table3[[#This Row],[Campaign_ID]]),"Invalid","Valid")</f>
        <v>Valid</v>
      </c>
      <c r="C378" s="3" t="str">
        <f>IF(COUNTA(Finance_Data!A374:R374)=18,"Valid","Missing")</f>
        <v>Valid</v>
      </c>
      <c r="D378" s="3" t="str">
        <f>IF(COUNTIF(Finance_Data!$T$2:$T$1001,Finance_Data!T374)&gt;1,"Duplicate","Valid")</f>
        <v>Valid</v>
      </c>
      <c r="E378" s="3" t="str">
        <f>IF(Finance_Data!H374&gt;Finance_Data!G374,"Valid","Invalid")</f>
        <v>Valid</v>
      </c>
      <c r="F378" s="3" t="str" cm="1">
        <f t="array" ref="F378">_xlfn.IFS(Finance_Data!S374&lt;7,"Short",Finance_Data!S374&lt;=30,"Normal",Finance_Data!S374&lt;=60,"Long",Finance_Data!S374&gt;60,"Very Long")</f>
        <v>Normal</v>
      </c>
      <c r="G378" s="3" t="str">
        <f>IF(ABS(Finance_Data!I374*Finance_Data!J374)-Finance_Data!K374&lt;1,"Valid","Invalid")</f>
        <v>Valid</v>
      </c>
      <c r="H378" s="3" t="str">
        <f>IF(Finance_Data!L374&gt;0,"Valid","Invalid")</f>
        <v>Valid</v>
      </c>
      <c r="I378" s="3" t="str">
        <f>IF(Finance_Data!L374&gt;=Finance_Data!M374,"Valid","Invalid")</f>
        <v>Valid</v>
      </c>
      <c r="J378" s="3" t="str">
        <f>IF(AND(Finance_Data!I374&gt;=0,Finance_Data!K374&gt;=0),"Valid","Invalid")</f>
        <v>Valid</v>
      </c>
      <c r="K378" s="3" t="str">
        <f>IF(Finance_Data!N374&gt;=0,"Valid","Invalid")</f>
        <v>Valid</v>
      </c>
      <c r="L378" s="3" t="str">
        <f>IF(TEXT(Finance_Data!G374,"mmmm")=Finance_Data!P374,"Valid","Invalid")</f>
        <v>Valid</v>
      </c>
      <c r="M378" s="3" t="str">
        <f>IF("Q"&amp;ROUNDUP(MONTH(Finance_Data!G374)/3,0)=Finance_Data!Q374,"Valid","Invalid")</f>
        <v>Valid</v>
      </c>
      <c r="N378" s="7" t="str">
        <f t="shared" si="5"/>
        <v>Pass</v>
      </c>
    </row>
    <row r="379" spans="1:14" x14ac:dyDescent="0.35">
      <c r="A379" s="17" t="s">
        <v>110</v>
      </c>
      <c r="B379" s="3" t="str">
        <f>IF(ISBLANK(Table3[[#This Row],[Campaign_ID]]),"Invalid","Valid")</f>
        <v>Valid</v>
      </c>
      <c r="C379" s="3" t="str">
        <f>IF(COUNTA(Finance_Data!A375:R375)=18,"Valid","Missing")</f>
        <v>Valid</v>
      </c>
      <c r="D379" s="3" t="str">
        <f>IF(COUNTIF(Finance_Data!$T$2:$T$1001,Finance_Data!T375)&gt;1,"Duplicate","Valid")</f>
        <v>Valid</v>
      </c>
      <c r="E379" s="3" t="str">
        <f>IF(Finance_Data!H375&gt;Finance_Data!G375,"Valid","Invalid")</f>
        <v>Valid</v>
      </c>
      <c r="F379" s="3" t="str" cm="1">
        <f t="array" ref="F379">_xlfn.IFS(Finance_Data!S375&lt;7,"Short",Finance_Data!S375&lt;=30,"Normal",Finance_Data!S375&lt;=60,"Long",Finance_Data!S375&gt;60,"Very Long")</f>
        <v>Long</v>
      </c>
      <c r="G379" s="3" t="str">
        <f>IF(ABS(Finance_Data!I375*Finance_Data!J375)-Finance_Data!K375&lt;1,"Valid","Invalid")</f>
        <v>Valid</v>
      </c>
      <c r="H379" s="3" t="str">
        <f>IF(Finance_Data!L375&gt;0,"Valid","Invalid")</f>
        <v>Valid</v>
      </c>
      <c r="I379" s="3" t="str">
        <f>IF(Finance_Data!L375&gt;=Finance_Data!M375,"Valid","Invalid")</f>
        <v>Valid</v>
      </c>
      <c r="J379" s="3" t="str">
        <f>IF(AND(Finance_Data!I375&gt;=0,Finance_Data!K375&gt;=0),"Valid","Invalid")</f>
        <v>Valid</v>
      </c>
      <c r="K379" s="3" t="str">
        <f>IF(Finance_Data!N375&gt;=0,"Valid","Invalid")</f>
        <v>Valid</v>
      </c>
      <c r="L379" s="3" t="str">
        <f>IF(TEXT(Finance_Data!G375,"mmmm")=Finance_Data!P375,"Valid","Invalid")</f>
        <v>Valid</v>
      </c>
      <c r="M379" s="3" t="str">
        <f>IF("Q"&amp;ROUNDUP(MONTH(Finance_Data!G375)/3,0)=Finance_Data!Q375,"Valid","Invalid")</f>
        <v>Valid</v>
      </c>
      <c r="N379" s="7" t="str">
        <f t="shared" si="5"/>
        <v>Pass</v>
      </c>
    </row>
    <row r="380" spans="1:14" x14ac:dyDescent="0.35">
      <c r="A380" s="17" t="s">
        <v>70</v>
      </c>
      <c r="B380" s="3" t="str">
        <f>IF(ISBLANK(Table3[[#This Row],[Campaign_ID]]),"Invalid","Valid")</f>
        <v>Valid</v>
      </c>
      <c r="C380" s="3" t="str">
        <f>IF(COUNTA(Finance_Data!A376:R376)=18,"Valid","Missing")</f>
        <v>Valid</v>
      </c>
      <c r="D380" s="3" t="str">
        <f>IF(COUNTIF(Finance_Data!$T$2:$T$1001,Finance_Data!T376)&gt;1,"Duplicate","Valid")</f>
        <v>Valid</v>
      </c>
      <c r="E380" s="3" t="str">
        <f>IF(Finance_Data!H376&gt;Finance_Data!G376,"Valid","Invalid")</f>
        <v>Valid</v>
      </c>
      <c r="F380" s="3" t="str" cm="1">
        <f t="array" ref="F380">_xlfn.IFS(Finance_Data!S376&lt;7,"Short",Finance_Data!S376&lt;=30,"Normal",Finance_Data!S376&lt;=60,"Long",Finance_Data!S376&gt;60,"Very Long")</f>
        <v>Long</v>
      </c>
      <c r="G380" s="3" t="str">
        <f>IF(ABS(Finance_Data!I376*Finance_Data!J376)-Finance_Data!K376&lt;1,"Valid","Invalid")</f>
        <v>Valid</v>
      </c>
      <c r="H380" s="3" t="str">
        <f>IF(Finance_Data!L376&gt;0,"Valid","Invalid")</f>
        <v>Valid</v>
      </c>
      <c r="I380" s="3" t="str">
        <f>IF(Finance_Data!L376&gt;=Finance_Data!M376,"Valid","Invalid")</f>
        <v>Valid</v>
      </c>
      <c r="J380" s="3" t="str">
        <f>IF(AND(Finance_Data!I376&gt;=0,Finance_Data!K376&gt;=0),"Valid","Invalid")</f>
        <v>Valid</v>
      </c>
      <c r="K380" s="3" t="str">
        <f>IF(Finance_Data!N376&gt;=0,"Valid","Invalid")</f>
        <v>Valid</v>
      </c>
      <c r="L380" s="3" t="str">
        <f>IF(TEXT(Finance_Data!G376,"mmmm")=Finance_Data!P376,"Valid","Invalid")</f>
        <v>Valid</v>
      </c>
      <c r="M380" s="3" t="str">
        <f>IF("Q"&amp;ROUNDUP(MONTH(Finance_Data!G376)/3,0)=Finance_Data!Q376,"Valid","Invalid")</f>
        <v>Valid</v>
      </c>
      <c r="N380" s="7" t="str">
        <f t="shared" si="5"/>
        <v>Pass</v>
      </c>
    </row>
    <row r="381" spans="1:14" x14ac:dyDescent="0.35">
      <c r="A381" s="17" t="s">
        <v>67</v>
      </c>
      <c r="B381" s="3" t="str">
        <f>IF(ISBLANK(Table3[[#This Row],[Campaign_ID]]),"Invalid","Valid")</f>
        <v>Valid</v>
      </c>
      <c r="C381" s="3" t="str">
        <f>IF(COUNTA(Finance_Data!A377:R377)=18,"Valid","Missing")</f>
        <v>Valid</v>
      </c>
      <c r="D381" s="3" t="str">
        <f>IF(COUNTIF(Finance_Data!$T$2:$T$1001,Finance_Data!T377)&gt;1,"Duplicate","Valid")</f>
        <v>Valid</v>
      </c>
      <c r="E381" s="3" t="str">
        <f>IF(Finance_Data!H377&gt;Finance_Data!G377,"Valid","Invalid")</f>
        <v>Valid</v>
      </c>
      <c r="F381" s="3" t="str" cm="1">
        <f t="array" ref="F381">_xlfn.IFS(Finance_Data!S377&lt;7,"Short",Finance_Data!S377&lt;=30,"Normal",Finance_Data!S377&lt;=60,"Long",Finance_Data!S377&gt;60,"Very Long")</f>
        <v>Long</v>
      </c>
      <c r="G381" s="3" t="str">
        <f>IF(ABS(Finance_Data!I377*Finance_Data!J377)-Finance_Data!K377&lt;1,"Valid","Invalid")</f>
        <v>Valid</v>
      </c>
      <c r="H381" s="3" t="str">
        <f>IF(Finance_Data!L377&gt;0,"Valid","Invalid")</f>
        <v>Valid</v>
      </c>
      <c r="I381" s="3" t="str">
        <f>IF(Finance_Data!L377&gt;=Finance_Data!M377,"Valid","Invalid")</f>
        <v>Valid</v>
      </c>
      <c r="J381" s="3" t="str">
        <f>IF(AND(Finance_Data!I377&gt;=0,Finance_Data!K377&gt;=0),"Valid","Invalid")</f>
        <v>Valid</v>
      </c>
      <c r="K381" s="3" t="str">
        <f>IF(Finance_Data!N377&gt;=0,"Valid","Invalid")</f>
        <v>Valid</v>
      </c>
      <c r="L381" s="3" t="str">
        <f>IF(TEXT(Finance_Data!G377,"mmmm")=Finance_Data!P377,"Valid","Invalid")</f>
        <v>Valid</v>
      </c>
      <c r="M381" s="3" t="str">
        <f>IF("Q"&amp;ROUNDUP(MONTH(Finance_Data!G377)/3,0)=Finance_Data!Q377,"Valid","Invalid")</f>
        <v>Valid</v>
      </c>
      <c r="N381" s="7" t="str">
        <f t="shared" si="5"/>
        <v>Pass</v>
      </c>
    </row>
    <row r="382" spans="1:14" x14ac:dyDescent="0.35">
      <c r="A382" s="17" t="s">
        <v>87</v>
      </c>
      <c r="B382" s="3" t="str">
        <f>IF(ISBLANK(Table3[[#This Row],[Campaign_ID]]),"Invalid","Valid")</f>
        <v>Valid</v>
      </c>
      <c r="C382" s="3" t="str">
        <f>IF(COUNTA(Finance_Data!A378:R378)=18,"Valid","Missing")</f>
        <v>Valid</v>
      </c>
      <c r="D382" s="3" t="str">
        <f>IF(COUNTIF(Finance_Data!$T$2:$T$1001,Finance_Data!T378)&gt;1,"Duplicate","Valid")</f>
        <v>Valid</v>
      </c>
      <c r="E382" s="3" t="str">
        <f>IF(Finance_Data!H378&gt;Finance_Data!G378,"Valid","Invalid")</f>
        <v>Valid</v>
      </c>
      <c r="F382" s="3" t="str" cm="1">
        <f t="array" ref="F382">_xlfn.IFS(Finance_Data!S378&lt;7,"Short",Finance_Data!S378&lt;=30,"Normal",Finance_Data!S378&lt;=60,"Long",Finance_Data!S378&gt;60,"Very Long")</f>
        <v>Long</v>
      </c>
      <c r="G382" s="3" t="str">
        <f>IF(ABS(Finance_Data!I378*Finance_Data!J378)-Finance_Data!K378&lt;1,"Valid","Invalid")</f>
        <v>Valid</v>
      </c>
      <c r="H382" s="3" t="str">
        <f>IF(Finance_Data!L378&gt;0,"Valid","Invalid")</f>
        <v>Valid</v>
      </c>
      <c r="I382" s="3" t="str">
        <f>IF(Finance_Data!L378&gt;=Finance_Data!M378,"Valid","Invalid")</f>
        <v>Valid</v>
      </c>
      <c r="J382" s="3" t="str">
        <f>IF(AND(Finance_Data!I378&gt;=0,Finance_Data!K378&gt;=0),"Valid","Invalid")</f>
        <v>Valid</v>
      </c>
      <c r="K382" s="3" t="str">
        <f>IF(Finance_Data!N378&gt;=0,"Valid","Invalid")</f>
        <v>Valid</v>
      </c>
      <c r="L382" s="3" t="str">
        <f>IF(TEXT(Finance_Data!G378,"mmmm")=Finance_Data!P378,"Valid","Invalid")</f>
        <v>Valid</v>
      </c>
      <c r="M382" s="3" t="str">
        <f>IF("Q"&amp;ROUNDUP(MONTH(Finance_Data!G378)/3,0)=Finance_Data!Q378,"Valid","Invalid")</f>
        <v>Valid</v>
      </c>
      <c r="N382" s="7" t="str">
        <f t="shared" si="5"/>
        <v>Pass</v>
      </c>
    </row>
    <row r="383" spans="1:14" x14ac:dyDescent="0.35">
      <c r="A383" s="17" t="s">
        <v>101</v>
      </c>
      <c r="B383" s="3" t="str">
        <f>IF(ISBLANK(Table3[[#This Row],[Campaign_ID]]),"Invalid","Valid")</f>
        <v>Valid</v>
      </c>
      <c r="C383" s="3" t="str">
        <f>IF(COUNTA(Finance_Data!A379:R379)=18,"Valid","Missing")</f>
        <v>Valid</v>
      </c>
      <c r="D383" s="3" t="str">
        <f>IF(COUNTIF(Finance_Data!$T$2:$T$1001,Finance_Data!T379)&gt;1,"Duplicate","Valid")</f>
        <v>Valid</v>
      </c>
      <c r="E383" s="3" t="str">
        <f>IF(Finance_Data!H379&gt;Finance_Data!G379,"Valid","Invalid")</f>
        <v>Valid</v>
      </c>
      <c r="F383" s="3" t="str" cm="1">
        <f t="array" ref="F383">_xlfn.IFS(Finance_Data!S379&lt;7,"Short",Finance_Data!S379&lt;=30,"Normal",Finance_Data!S379&lt;=60,"Long",Finance_Data!S379&gt;60,"Very Long")</f>
        <v>Long</v>
      </c>
      <c r="G383" s="3" t="str">
        <f>IF(ABS(Finance_Data!I379*Finance_Data!J379)-Finance_Data!K379&lt;1,"Valid","Invalid")</f>
        <v>Valid</v>
      </c>
      <c r="H383" s="3" t="str">
        <f>IF(Finance_Data!L379&gt;0,"Valid","Invalid")</f>
        <v>Valid</v>
      </c>
      <c r="I383" s="3" t="str">
        <f>IF(Finance_Data!L379&gt;=Finance_Data!M379,"Valid","Invalid")</f>
        <v>Valid</v>
      </c>
      <c r="J383" s="3" t="str">
        <f>IF(AND(Finance_Data!I379&gt;=0,Finance_Data!K379&gt;=0),"Valid","Invalid")</f>
        <v>Valid</v>
      </c>
      <c r="K383" s="3" t="str">
        <f>IF(Finance_Data!N379&gt;=0,"Valid","Invalid")</f>
        <v>Valid</v>
      </c>
      <c r="L383" s="3" t="str">
        <f>IF(TEXT(Finance_Data!G379,"mmmm")=Finance_Data!P379,"Valid","Invalid")</f>
        <v>Valid</v>
      </c>
      <c r="M383" s="3" t="str">
        <f>IF("Q"&amp;ROUNDUP(MONTH(Finance_Data!G379)/3,0)=Finance_Data!Q379,"Valid","Invalid")</f>
        <v>Valid</v>
      </c>
      <c r="N383" s="7" t="str">
        <f t="shared" si="5"/>
        <v>Pass</v>
      </c>
    </row>
    <row r="384" spans="1:14" x14ac:dyDescent="0.35">
      <c r="A384" s="17" t="s">
        <v>86</v>
      </c>
      <c r="B384" s="3" t="str">
        <f>IF(ISBLANK(Table3[[#This Row],[Campaign_ID]]),"Invalid","Valid")</f>
        <v>Valid</v>
      </c>
      <c r="C384" s="3" t="str">
        <f>IF(COUNTA(Finance_Data!A380:R380)=18,"Valid","Missing")</f>
        <v>Valid</v>
      </c>
      <c r="D384" s="3" t="str">
        <f>IF(COUNTIF(Finance_Data!$T$2:$T$1001,Finance_Data!T380)&gt;1,"Duplicate","Valid")</f>
        <v>Valid</v>
      </c>
      <c r="E384" s="3" t="str">
        <f>IF(Finance_Data!H380&gt;Finance_Data!G380,"Valid","Invalid")</f>
        <v>Valid</v>
      </c>
      <c r="F384" s="3" t="str" cm="1">
        <f t="array" ref="F384">_xlfn.IFS(Finance_Data!S380&lt;7,"Short",Finance_Data!S380&lt;=30,"Normal",Finance_Data!S380&lt;=60,"Long",Finance_Data!S380&gt;60,"Very Long")</f>
        <v>Long</v>
      </c>
      <c r="G384" s="3" t="str">
        <f>IF(ABS(Finance_Data!I380*Finance_Data!J380)-Finance_Data!K380&lt;1,"Valid","Invalid")</f>
        <v>Valid</v>
      </c>
      <c r="H384" s="3" t="str">
        <f>IF(Finance_Data!L380&gt;0,"Valid","Invalid")</f>
        <v>Valid</v>
      </c>
      <c r="I384" s="3" t="str">
        <f>IF(Finance_Data!L380&gt;=Finance_Data!M380,"Valid","Invalid")</f>
        <v>Valid</v>
      </c>
      <c r="J384" s="3" t="str">
        <f>IF(AND(Finance_Data!I380&gt;=0,Finance_Data!K380&gt;=0),"Valid","Invalid")</f>
        <v>Valid</v>
      </c>
      <c r="K384" s="3" t="str">
        <f>IF(Finance_Data!N380&gt;=0,"Valid","Invalid")</f>
        <v>Valid</v>
      </c>
      <c r="L384" s="3" t="str">
        <f>IF(TEXT(Finance_Data!G380,"mmmm")=Finance_Data!P380,"Valid","Invalid")</f>
        <v>Valid</v>
      </c>
      <c r="M384" s="3" t="str">
        <f>IF("Q"&amp;ROUNDUP(MONTH(Finance_Data!G380)/3,0)=Finance_Data!Q380,"Valid","Invalid")</f>
        <v>Valid</v>
      </c>
      <c r="N384" s="7" t="str">
        <f t="shared" si="5"/>
        <v>Pass</v>
      </c>
    </row>
    <row r="385" spans="1:14" x14ac:dyDescent="0.35">
      <c r="A385" s="17" t="s">
        <v>93</v>
      </c>
      <c r="B385" s="3" t="str">
        <f>IF(ISBLANK(Table3[[#This Row],[Campaign_ID]]),"Invalid","Valid")</f>
        <v>Valid</v>
      </c>
      <c r="C385" s="3" t="str">
        <f>IF(COUNTA(Finance_Data!A381:R381)=18,"Valid","Missing")</f>
        <v>Valid</v>
      </c>
      <c r="D385" s="3" t="str">
        <f>IF(COUNTIF(Finance_Data!$T$2:$T$1001,Finance_Data!T381)&gt;1,"Duplicate","Valid")</f>
        <v>Valid</v>
      </c>
      <c r="E385" s="3" t="str">
        <f>IF(Finance_Data!H381&gt;Finance_Data!G381,"Valid","Invalid")</f>
        <v>Valid</v>
      </c>
      <c r="F385" s="3" t="str" cm="1">
        <f t="array" ref="F385">_xlfn.IFS(Finance_Data!S381&lt;7,"Short",Finance_Data!S381&lt;=30,"Normal",Finance_Data!S381&lt;=60,"Long",Finance_Data!S381&gt;60,"Very Long")</f>
        <v>Long</v>
      </c>
      <c r="G385" s="3" t="str">
        <f>IF(ABS(Finance_Data!I381*Finance_Data!J381)-Finance_Data!K381&lt;1,"Valid","Invalid")</f>
        <v>Valid</v>
      </c>
      <c r="H385" s="3" t="str">
        <f>IF(Finance_Data!L381&gt;0,"Valid","Invalid")</f>
        <v>Valid</v>
      </c>
      <c r="I385" s="3" t="str">
        <f>IF(Finance_Data!L381&gt;=Finance_Data!M381,"Valid","Invalid")</f>
        <v>Valid</v>
      </c>
      <c r="J385" s="3" t="str">
        <f>IF(AND(Finance_Data!I381&gt;=0,Finance_Data!K381&gt;=0),"Valid","Invalid")</f>
        <v>Valid</v>
      </c>
      <c r="K385" s="3" t="str">
        <f>IF(Finance_Data!N381&gt;=0,"Valid","Invalid")</f>
        <v>Valid</v>
      </c>
      <c r="L385" s="3" t="str">
        <f>IF(TEXT(Finance_Data!G381,"mmmm")=Finance_Data!P381,"Valid","Invalid")</f>
        <v>Valid</v>
      </c>
      <c r="M385" s="3" t="str">
        <f>IF("Q"&amp;ROUNDUP(MONTH(Finance_Data!G381)/3,0)=Finance_Data!Q381,"Valid","Invalid")</f>
        <v>Valid</v>
      </c>
      <c r="N385" s="7" t="str">
        <f t="shared" si="5"/>
        <v>Pass</v>
      </c>
    </row>
    <row r="386" spans="1:14" x14ac:dyDescent="0.35">
      <c r="A386" s="17" t="s">
        <v>55</v>
      </c>
      <c r="B386" s="3" t="str">
        <f>IF(ISBLANK(Table3[[#This Row],[Campaign_ID]]),"Invalid","Valid")</f>
        <v>Valid</v>
      </c>
      <c r="C386" s="3" t="str">
        <f>IF(COUNTA(Finance_Data!A382:R382)=18,"Valid","Missing")</f>
        <v>Valid</v>
      </c>
      <c r="D386" s="3" t="str">
        <f>IF(COUNTIF(Finance_Data!$T$2:$T$1001,Finance_Data!T382)&gt;1,"Duplicate","Valid")</f>
        <v>Valid</v>
      </c>
      <c r="E386" s="3" t="str">
        <f>IF(Finance_Data!H382&gt;Finance_Data!G382,"Valid","Invalid")</f>
        <v>Valid</v>
      </c>
      <c r="F386" s="3" t="str" cm="1">
        <f t="array" ref="F386">_xlfn.IFS(Finance_Data!S382&lt;7,"Short",Finance_Data!S382&lt;=30,"Normal",Finance_Data!S382&lt;=60,"Long",Finance_Data!S382&gt;60,"Very Long")</f>
        <v>Normal</v>
      </c>
      <c r="G386" s="3" t="str">
        <f>IF(ABS(Finance_Data!I382*Finance_Data!J382)-Finance_Data!K382&lt;1,"Valid","Invalid")</f>
        <v>Valid</v>
      </c>
      <c r="H386" s="3" t="str">
        <f>IF(Finance_Data!L382&gt;0,"Valid","Invalid")</f>
        <v>Valid</v>
      </c>
      <c r="I386" s="3" t="str">
        <f>IF(Finance_Data!L382&gt;=Finance_Data!M382,"Valid","Invalid")</f>
        <v>Valid</v>
      </c>
      <c r="J386" s="3" t="str">
        <f>IF(AND(Finance_Data!I382&gt;=0,Finance_Data!K382&gt;=0),"Valid","Invalid")</f>
        <v>Valid</v>
      </c>
      <c r="K386" s="3" t="str">
        <f>IF(Finance_Data!N382&gt;=0,"Valid","Invalid")</f>
        <v>Valid</v>
      </c>
      <c r="L386" s="3" t="str">
        <f>IF(TEXT(Finance_Data!G382,"mmmm")=Finance_Data!P382,"Valid","Invalid")</f>
        <v>Valid</v>
      </c>
      <c r="M386" s="3" t="str">
        <f>IF("Q"&amp;ROUNDUP(MONTH(Finance_Data!G382)/3,0)=Finance_Data!Q382,"Valid","Invalid")</f>
        <v>Valid</v>
      </c>
      <c r="N386" s="7" t="str">
        <f t="shared" si="5"/>
        <v>Pass</v>
      </c>
    </row>
    <row r="387" spans="1:14" x14ac:dyDescent="0.35">
      <c r="A387" s="17" t="s">
        <v>79</v>
      </c>
      <c r="B387" s="3" t="str">
        <f>IF(ISBLANK(Table3[[#This Row],[Campaign_ID]]),"Invalid","Valid")</f>
        <v>Valid</v>
      </c>
      <c r="C387" s="3" t="str">
        <f>IF(COUNTA(Finance_Data!A383:R383)=18,"Valid","Missing")</f>
        <v>Valid</v>
      </c>
      <c r="D387" s="3" t="str">
        <f>IF(COUNTIF(Finance_Data!$T$2:$T$1001,Finance_Data!T383)&gt;1,"Duplicate","Valid")</f>
        <v>Valid</v>
      </c>
      <c r="E387" s="3" t="str">
        <f>IF(Finance_Data!H383&gt;Finance_Data!G383,"Valid","Invalid")</f>
        <v>Valid</v>
      </c>
      <c r="F387" s="3" t="str" cm="1">
        <f t="array" ref="F387">_xlfn.IFS(Finance_Data!S383&lt;7,"Short",Finance_Data!S383&lt;=30,"Normal",Finance_Data!S383&lt;=60,"Long",Finance_Data!S383&gt;60,"Very Long")</f>
        <v>Long</v>
      </c>
      <c r="G387" s="3" t="str">
        <f>IF(ABS(Finance_Data!I383*Finance_Data!J383)-Finance_Data!K383&lt;1,"Valid","Invalid")</f>
        <v>Valid</v>
      </c>
      <c r="H387" s="3" t="str">
        <f>IF(Finance_Data!L383&gt;0,"Valid","Invalid")</f>
        <v>Valid</v>
      </c>
      <c r="I387" s="3" t="str">
        <f>IF(Finance_Data!L383&gt;=Finance_Data!M383,"Valid","Invalid")</f>
        <v>Valid</v>
      </c>
      <c r="J387" s="3" t="str">
        <f>IF(AND(Finance_Data!I383&gt;=0,Finance_Data!K383&gt;=0),"Valid","Invalid")</f>
        <v>Valid</v>
      </c>
      <c r="K387" s="3" t="str">
        <f>IF(Finance_Data!N383&gt;=0,"Valid","Invalid")</f>
        <v>Valid</v>
      </c>
      <c r="L387" s="3" t="str">
        <f>IF(TEXT(Finance_Data!G383,"mmmm")=Finance_Data!P383,"Valid","Invalid")</f>
        <v>Valid</v>
      </c>
      <c r="M387" s="3" t="str">
        <f>IF("Q"&amp;ROUNDUP(MONTH(Finance_Data!G383)/3,0)=Finance_Data!Q383,"Valid","Invalid")</f>
        <v>Valid</v>
      </c>
      <c r="N387" s="7" t="str">
        <f t="shared" si="5"/>
        <v>Pass</v>
      </c>
    </row>
    <row r="388" spans="1:14" x14ac:dyDescent="0.35">
      <c r="A388" s="17" t="s">
        <v>111</v>
      </c>
      <c r="B388" s="3" t="str">
        <f>IF(ISBLANK(Table3[[#This Row],[Campaign_ID]]),"Invalid","Valid")</f>
        <v>Valid</v>
      </c>
      <c r="C388" s="3" t="str">
        <f>IF(COUNTA(Finance_Data!A384:R384)=18,"Valid","Missing")</f>
        <v>Valid</v>
      </c>
      <c r="D388" s="3" t="str">
        <f>IF(COUNTIF(Finance_Data!$T$2:$T$1001,Finance_Data!T384)&gt;1,"Duplicate","Valid")</f>
        <v>Valid</v>
      </c>
      <c r="E388" s="3" t="str">
        <f>IF(Finance_Data!H384&gt;Finance_Data!G384,"Valid","Invalid")</f>
        <v>Valid</v>
      </c>
      <c r="F388" s="3" t="str" cm="1">
        <f t="array" ref="F388">_xlfn.IFS(Finance_Data!S384&lt;7,"Short",Finance_Data!S384&lt;=30,"Normal",Finance_Data!S384&lt;=60,"Long",Finance_Data!S384&gt;60,"Very Long")</f>
        <v>Normal</v>
      </c>
      <c r="G388" s="3" t="str">
        <f>IF(ABS(Finance_Data!I384*Finance_Data!J384)-Finance_Data!K384&lt;1,"Valid","Invalid")</f>
        <v>Valid</v>
      </c>
      <c r="H388" s="3" t="str">
        <f>IF(Finance_Data!L384&gt;0,"Valid","Invalid")</f>
        <v>Valid</v>
      </c>
      <c r="I388" s="3" t="str">
        <f>IF(Finance_Data!L384&gt;=Finance_Data!M384,"Valid","Invalid")</f>
        <v>Valid</v>
      </c>
      <c r="J388" s="3" t="str">
        <f>IF(AND(Finance_Data!I384&gt;=0,Finance_Data!K384&gt;=0),"Valid","Invalid")</f>
        <v>Valid</v>
      </c>
      <c r="K388" s="3" t="str">
        <f>IF(Finance_Data!N384&gt;=0,"Valid","Invalid")</f>
        <v>Valid</v>
      </c>
      <c r="L388" s="3" t="str">
        <f>IF(TEXT(Finance_Data!G384,"mmmm")=Finance_Data!P384,"Valid","Invalid")</f>
        <v>Valid</v>
      </c>
      <c r="M388" s="3" t="str">
        <f>IF("Q"&amp;ROUNDUP(MONTH(Finance_Data!G384)/3,0)=Finance_Data!Q384,"Valid","Invalid")</f>
        <v>Valid</v>
      </c>
      <c r="N388" s="7" t="str">
        <f t="shared" si="5"/>
        <v>Pass</v>
      </c>
    </row>
    <row r="389" spans="1:14" x14ac:dyDescent="0.35">
      <c r="A389" s="17" t="s">
        <v>57</v>
      </c>
      <c r="B389" s="3" t="str">
        <f>IF(ISBLANK(Table3[[#This Row],[Campaign_ID]]),"Invalid","Valid")</f>
        <v>Valid</v>
      </c>
      <c r="C389" s="3" t="str">
        <f>IF(COUNTA(Finance_Data!A385:R385)=18,"Valid","Missing")</f>
        <v>Valid</v>
      </c>
      <c r="D389" s="3" t="str">
        <f>IF(COUNTIF(Finance_Data!$T$2:$T$1001,Finance_Data!T385)&gt;1,"Duplicate","Valid")</f>
        <v>Valid</v>
      </c>
      <c r="E389" s="3" t="str">
        <f>IF(Finance_Data!H385&gt;Finance_Data!G385,"Valid","Invalid")</f>
        <v>Valid</v>
      </c>
      <c r="F389" s="3" t="str" cm="1">
        <f t="array" ref="F389">_xlfn.IFS(Finance_Data!S385&lt;7,"Short",Finance_Data!S385&lt;=30,"Normal",Finance_Data!S385&lt;=60,"Long",Finance_Data!S385&gt;60,"Very Long")</f>
        <v>Normal</v>
      </c>
      <c r="G389" s="3" t="str">
        <f>IF(ABS(Finance_Data!I385*Finance_Data!J385)-Finance_Data!K385&lt;1,"Valid","Invalid")</f>
        <v>Valid</v>
      </c>
      <c r="H389" s="3" t="str">
        <f>IF(Finance_Data!L385&gt;0,"Valid","Invalid")</f>
        <v>Valid</v>
      </c>
      <c r="I389" s="3" t="str">
        <f>IF(Finance_Data!L385&gt;=Finance_Data!M385,"Valid","Invalid")</f>
        <v>Valid</v>
      </c>
      <c r="J389" s="3" t="str">
        <f>IF(AND(Finance_Data!I385&gt;=0,Finance_Data!K385&gt;=0),"Valid","Invalid")</f>
        <v>Valid</v>
      </c>
      <c r="K389" s="3" t="str">
        <f>IF(Finance_Data!N385&gt;=0,"Valid","Invalid")</f>
        <v>Valid</v>
      </c>
      <c r="L389" s="3" t="str">
        <f>IF(TEXT(Finance_Data!G385,"mmmm")=Finance_Data!P385,"Valid","Invalid")</f>
        <v>Valid</v>
      </c>
      <c r="M389" s="3" t="str">
        <f>IF("Q"&amp;ROUNDUP(MONTH(Finance_Data!G385)/3,0)=Finance_Data!Q385,"Valid","Invalid")</f>
        <v>Valid</v>
      </c>
      <c r="N389" s="7" t="str">
        <f t="shared" si="5"/>
        <v>Pass</v>
      </c>
    </row>
    <row r="390" spans="1:14" x14ac:dyDescent="0.35">
      <c r="A390" s="17" t="s">
        <v>113</v>
      </c>
      <c r="B390" s="3" t="str">
        <f>IF(ISBLANK(Table3[[#This Row],[Campaign_ID]]),"Invalid","Valid")</f>
        <v>Valid</v>
      </c>
      <c r="C390" s="3" t="str">
        <f>IF(COUNTA(Finance_Data!A386:R386)=18,"Valid","Missing")</f>
        <v>Valid</v>
      </c>
      <c r="D390" s="3" t="str">
        <f>IF(COUNTIF(Finance_Data!$T$2:$T$1001,Finance_Data!T386)&gt;1,"Duplicate","Valid")</f>
        <v>Valid</v>
      </c>
      <c r="E390" s="3" t="str">
        <f>IF(Finance_Data!H386&gt;Finance_Data!G386,"Valid","Invalid")</f>
        <v>Valid</v>
      </c>
      <c r="F390" s="3" t="str" cm="1">
        <f t="array" ref="F390">_xlfn.IFS(Finance_Data!S386&lt;7,"Short",Finance_Data!S386&lt;=30,"Normal",Finance_Data!S386&lt;=60,"Long",Finance_Data!S386&gt;60,"Very Long")</f>
        <v>Long</v>
      </c>
      <c r="G390" s="3" t="str">
        <f>IF(ABS(Finance_Data!I386*Finance_Data!J386)-Finance_Data!K386&lt;1,"Valid","Invalid")</f>
        <v>Valid</v>
      </c>
      <c r="H390" s="3" t="str">
        <f>IF(Finance_Data!L386&gt;0,"Valid","Invalid")</f>
        <v>Valid</v>
      </c>
      <c r="I390" s="3" t="str">
        <f>IF(Finance_Data!L386&gt;=Finance_Data!M386,"Valid","Invalid")</f>
        <v>Valid</v>
      </c>
      <c r="J390" s="3" t="str">
        <f>IF(AND(Finance_Data!I386&gt;=0,Finance_Data!K386&gt;=0),"Valid","Invalid")</f>
        <v>Valid</v>
      </c>
      <c r="K390" s="3" t="str">
        <f>IF(Finance_Data!N386&gt;=0,"Valid","Invalid")</f>
        <v>Valid</v>
      </c>
      <c r="L390" s="3" t="str">
        <f>IF(TEXT(Finance_Data!G386,"mmmm")=Finance_Data!P386,"Valid","Invalid")</f>
        <v>Valid</v>
      </c>
      <c r="M390" s="3" t="str">
        <f>IF("Q"&amp;ROUNDUP(MONTH(Finance_Data!G386)/3,0)=Finance_Data!Q386,"Valid","Invalid")</f>
        <v>Valid</v>
      </c>
      <c r="N390" s="7" t="str">
        <f t="shared" ref="N390:N453" si="6">IF(AND(B390="Valid",E390="Valid",G390="Valid",H390="Valid",I390="Valid",J390="Valid",K390="Valid",L390="Valid",M390="Valid"),"Pass","Fail")</f>
        <v>Pass</v>
      </c>
    </row>
    <row r="391" spans="1:14" x14ac:dyDescent="0.35">
      <c r="A391" s="17" t="s">
        <v>91</v>
      </c>
      <c r="B391" s="3" t="str">
        <f>IF(ISBLANK(Table3[[#This Row],[Campaign_ID]]),"Invalid","Valid")</f>
        <v>Valid</v>
      </c>
      <c r="C391" s="3" t="str">
        <f>IF(COUNTA(Finance_Data!A387:R387)=18,"Valid","Missing")</f>
        <v>Valid</v>
      </c>
      <c r="D391" s="3" t="str">
        <f>IF(COUNTIF(Finance_Data!$T$2:$T$1001,Finance_Data!T387)&gt;1,"Duplicate","Valid")</f>
        <v>Valid</v>
      </c>
      <c r="E391" s="3" t="str">
        <f>IF(Finance_Data!H387&gt;Finance_Data!G387,"Valid","Invalid")</f>
        <v>Valid</v>
      </c>
      <c r="F391" s="3" t="str" cm="1">
        <f t="array" ref="F391">_xlfn.IFS(Finance_Data!S387&lt;7,"Short",Finance_Data!S387&lt;=30,"Normal",Finance_Data!S387&lt;=60,"Long",Finance_Data!S387&gt;60,"Very Long")</f>
        <v>Long</v>
      </c>
      <c r="G391" s="3" t="str">
        <f>IF(ABS(Finance_Data!I387*Finance_Data!J387)-Finance_Data!K387&lt;1,"Valid","Invalid")</f>
        <v>Valid</v>
      </c>
      <c r="H391" s="3" t="str">
        <f>IF(Finance_Data!L387&gt;0,"Valid","Invalid")</f>
        <v>Valid</v>
      </c>
      <c r="I391" s="3" t="str">
        <f>IF(Finance_Data!L387&gt;=Finance_Data!M387,"Valid","Invalid")</f>
        <v>Valid</v>
      </c>
      <c r="J391" s="3" t="str">
        <f>IF(AND(Finance_Data!I387&gt;=0,Finance_Data!K387&gt;=0),"Valid","Invalid")</f>
        <v>Valid</v>
      </c>
      <c r="K391" s="3" t="str">
        <f>IF(Finance_Data!N387&gt;=0,"Valid","Invalid")</f>
        <v>Valid</v>
      </c>
      <c r="L391" s="3" t="str">
        <f>IF(TEXT(Finance_Data!G387,"mmmm")=Finance_Data!P387,"Valid","Invalid")</f>
        <v>Valid</v>
      </c>
      <c r="M391" s="3" t="str">
        <f>IF("Q"&amp;ROUNDUP(MONTH(Finance_Data!G387)/3,0)=Finance_Data!Q387,"Valid","Invalid")</f>
        <v>Valid</v>
      </c>
      <c r="N391" s="7" t="str">
        <f t="shared" si="6"/>
        <v>Pass</v>
      </c>
    </row>
    <row r="392" spans="1:14" x14ac:dyDescent="0.35">
      <c r="A392" s="17" t="s">
        <v>119</v>
      </c>
      <c r="B392" s="3" t="str">
        <f>IF(ISBLANK(Table3[[#This Row],[Campaign_ID]]),"Invalid","Valid")</f>
        <v>Valid</v>
      </c>
      <c r="C392" s="3" t="str">
        <f>IF(COUNTA(Finance_Data!A388:R388)=18,"Valid","Missing")</f>
        <v>Valid</v>
      </c>
      <c r="D392" s="3" t="str">
        <f>IF(COUNTIF(Finance_Data!$T$2:$T$1001,Finance_Data!T388)&gt;1,"Duplicate","Valid")</f>
        <v>Valid</v>
      </c>
      <c r="E392" s="3" t="str">
        <f>IF(Finance_Data!H388&gt;Finance_Data!G388,"Valid","Invalid")</f>
        <v>Valid</v>
      </c>
      <c r="F392" s="3" t="str" cm="1">
        <f t="array" ref="F392">_xlfn.IFS(Finance_Data!S388&lt;7,"Short",Finance_Data!S388&lt;=30,"Normal",Finance_Data!S388&lt;=60,"Long",Finance_Data!S388&gt;60,"Very Long")</f>
        <v>Long</v>
      </c>
      <c r="G392" s="3" t="str">
        <f>IF(ABS(Finance_Data!I388*Finance_Data!J388)-Finance_Data!K388&lt;1,"Valid","Invalid")</f>
        <v>Valid</v>
      </c>
      <c r="H392" s="3" t="str">
        <f>IF(Finance_Data!L388&gt;0,"Valid","Invalid")</f>
        <v>Valid</v>
      </c>
      <c r="I392" s="3" t="str">
        <f>IF(Finance_Data!L388&gt;=Finance_Data!M388,"Valid","Invalid")</f>
        <v>Valid</v>
      </c>
      <c r="J392" s="3" t="str">
        <f>IF(AND(Finance_Data!I388&gt;=0,Finance_Data!K388&gt;=0),"Valid","Invalid")</f>
        <v>Valid</v>
      </c>
      <c r="K392" s="3" t="str">
        <f>IF(Finance_Data!N388&gt;=0,"Valid","Invalid")</f>
        <v>Valid</v>
      </c>
      <c r="L392" s="3" t="str">
        <f>IF(TEXT(Finance_Data!G388,"mmmm")=Finance_Data!P388,"Valid","Invalid")</f>
        <v>Valid</v>
      </c>
      <c r="M392" s="3" t="str">
        <f>IF("Q"&amp;ROUNDUP(MONTH(Finance_Data!G388)/3,0)=Finance_Data!Q388,"Valid","Invalid")</f>
        <v>Valid</v>
      </c>
      <c r="N392" s="7" t="str">
        <f t="shared" si="6"/>
        <v>Pass</v>
      </c>
    </row>
    <row r="393" spans="1:14" x14ac:dyDescent="0.35">
      <c r="A393" s="17" t="s">
        <v>86</v>
      </c>
      <c r="B393" s="3" t="str">
        <f>IF(ISBLANK(Table3[[#This Row],[Campaign_ID]]),"Invalid","Valid")</f>
        <v>Valid</v>
      </c>
      <c r="C393" s="3" t="str">
        <f>IF(COUNTA(Finance_Data!A389:R389)=18,"Valid","Missing")</f>
        <v>Valid</v>
      </c>
      <c r="D393" s="3" t="str">
        <f>IF(COUNTIF(Finance_Data!$T$2:$T$1001,Finance_Data!T389)&gt;1,"Duplicate","Valid")</f>
        <v>Valid</v>
      </c>
      <c r="E393" s="3" t="str">
        <f>IF(Finance_Data!H389&gt;Finance_Data!G389,"Valid","Invalid")</f>
        <v>Valid</v>
      </c>
      <c r="F393" s="3" t="str" cm="1">
        <f t="array" ref="F393">_xlfn.IFS(Finance_Data!S389&lt;7,"Short",Finance_Data!S389&lt;=30,"Normal",Finance_Data!S389&lt;=60,"Long",Finance_Data!S389&gt;60,"Very Long")</f>
        <v>Long</v>
      </c>
      <c r="G393" s="3" t="str">
        <f>IF(ABS(Finance_Data!I389*Finance_Data!J389)-Finance_Data!K389&lt;1,"Valid","Invalid")</f>
        <v>Valid</v>
      </c>
      <c r="H393" s="3" t="str">
        <f>IF(Finance_Data!L389&gt;0,"Valid","Invalid")</f>
        <v>Valid</v>
      </c>
      <c r="I393" s="3" t="str">
        <f>IF(Finance_Data!L389&gt;=Finance_Data!M389,"Valid","Invalid")</f>
        <v>Valid</v>
      </c>
      <c r="J393" s="3" t="str">
        <f>IF(AND(Finance_Data!I389&gt;=0,Finance_Data!K389&gt;=0),"Valid","Invalid")</f>
        <v>Valid</v>
      </c>
      <c r="K393" s="3" t="str">
        <f>IF(Finance_Data!N389&gt;=0,"Valid","Invalid")</f>
        <v>Valid</v>
      </c>
      <c r="L393" s="3" t="str">
        <f>IF(TEXT(Finance_Data!G389,"mmmm")=Finance_Data!P389,"Valid","Invalid")</f>
        <v>Valid</v>
      </c>
      <c r="M393" s="3" t="str">
        <f>IF("Q"&amp;ROUNDUP(MONTH(Finance_Data!G389)/3,0)=Finance_Data!Q389,"Valid","Invalid")</f>
        <v>Valid</v>
      </c>
      <c r="N393" s="7" t="str">
        <f t="shared" si="6"/>
        <v>Pass</v>
      </c>
    </row>
    <row r="394" spans="1:14" x14ac:dyDescent="0.35">
      <c r="A394" s="17" t="s">
        <v>66</v>
      </c>
      <c r="B394" s="3" t="str">
        <f>IF(ISBLANK(Table3[[#This Row],[Campaign_ID]]),"Invalid","Valid")</f>
        <v>Valid</v>
      </c>
      <c r="C394" s="3" t="str">
        <f>IF(COUNTA(Finance_Data!A390:R390)=18,"Valid","Missing")</f>
        <v>Valid</v>
      </c>
      <c r="D394" s="3" t="str">
        <f>IF(COUNTIF(Finance_Data!$T$2:$T$1001,Finance_Data!T390)&gt;1,"Duplicate","Valid")</f>
        <v>Valid</v>
      </c>
      <c r="E394" s="3" t="str">
        <f>IF(Finance_Data!H390&gt;Finance_Data!G390,"Valid","Invalid")</f>
        <v>Valid</v>
      </c>
      <c r="F394" s="3" t="str" cm="1">
        <f t="array" ref="F394">_xlfn.IFS(Finance_Data!S390&lt;7,"Short",Finance_Data!S390&lt;=30,"Normal",Finance_Data!S390&lt;=60,"Long",Finance_Data!S390&gt;60,"Very Long")</f>
        <v>Long</v>
      </c>
      <c r="G394" s="3" t="str">
        <f>IF(ABS(Finance_Data!I390*Finance_Data!J390)-Finance_Data!K390&lt;1,"Valid","Invalid")</f>
        <v>Valid</v>
      </c>
      <c r="H394" s="3" t="str">
        <f>IF(Finance_Data!L390&gt;0,"Valid","Invalid")</f>
        <v>Valid</v>
      </c>
      <c r="I394" s="3" t="str">
        <f>IF(Finance_Data!L390&gt;=Finance_Data!M390,"Valid","Invalid")</f>
        <v>Valid</v>
      </c>
      <c r="J394" s="3" t="str">
        <f>IF(AND(Finance_Data!I390&gt;=0,Finance_Data!K390&gt;=0),"Valid","Invalid")</f>
        <v>Valid</v>
      </c>
      <c r="K394" s="3" t="str">
        <f>IF(Finance_Data!N390&gt;=0,"Valid","Invalid")</f>
        <v>Valid</v>
      </c>
      <c r="L394" s="3" t="str">
        <f>IF(TEXT(Finance_Data!G390,"mmmm")=Finance_Data!P390,"Valid","Invalid")</f>
        <v>Valid</v>
      </c>
      <c r="M394" s="3" t="str">
        <f>IF("Q"&amp;ROUNDUP(MONTH(Finance_Data!G390)/3,0)=Finance_Data!Q390,"Valid","Invalid")</f>
        <v>Valid</v>
      </c>
      <c r="N394" s="7" t="str">
        <f t="shared" si="6"/>
        <v>Pass</v>
      </c>
    </row>
    <row r="395" spans="1:14" x14ac:dyDescent="0.35">
      <c r="A395" s="17" t="s">
        <v>18</v>
      </c>
      <c r="B395" s="3" t="str">
        <f>IF(ISBLANK(Table3[[#This Row],[Campaign_ID]]),"Invalid","Valid")</f>
        <v>Valid</v>
      </c>
      <c r="C395" s="3" t="str">
        <f>IF(COUNTA(Finance_Data!A391:R391)=18,"Valid","Missing")</f>
        <v>Valid</v>
      </c>
      <c r="D395" s="3" t="str">
        <f>IF(COUNTIF(Finance_Data!$T$2:$T$1001,Finance_Data!T391)&gt;1,"Duplicate","Valid")</f>
        <v>Valid</v>
      </c>
      <c r="E395" s="3" t="str">
        <f>IF(Finance_Data!H391&gt;Finance_Data!G391,"Valid","Invalid")</f>
        <v>Valid</v>
      </c>
      <c r="F395" s="3" t="str" cm="1">
        <f t="array" ref="F395">_xlfn.IFS(Finance_Data!S391&lt;7,"Short",Finance_Data!S391&lt;=30,"Normal",Finance_Data!S391&lt;=60,"Long",Finance_Data!S391&gt;60,"Very Long")</f>
        <v>Long</v>
      </c>
      <c r="G395" s="3" t="str">
        <f>IF(ABS(Finance_Data!I391*Finance_Data!J391)-Finance_Data!K391&lt;1,"Valid","Invalid")</f>
        <v>Valid</v>
      </c>
      <c r="H395" s="3" t="str">
        <f>IF(Finance_Data!L391&gt;0,"Valid","Invalid")</f>
        <v>Valid</v>
      </c>
      <c r="I395" s="3" t="str">
        <f>IF(Finance_Data!L391&gt;=Finance_Data!M391,"Valid","Invalid")</f>
        <v>Valid</v>
      </c>
      <c r="J395" s="3" t="str">
        <f>IF(AND(Finance_Data!I391&gt;=0,Finance_Data!K391&gt;=0),"Valid","Invalid")</f>
        <v>Valid</v>
      </c>
      <c r="K395" s="3" t="str">
        <f>IF(Finance_Data!N391&gt;=0,"Valid","Invalid")</f>
        <v>Valid</v>
      </c>
      <c r="L395" s="3" t="str">
        <f>IF(TEXT(Finance_Data!G391,"mmmm")=Finance_Data!P391,"Valid","Invalid")</f>
        <v>Valid</v>
      </c>
      <c r="M395" s="3" t="str">
        <f>IF("Q"&amp;ROUNDUP(MONTH(Finance_Data!G391)/3,0)=Finance_Data!Q391,"Valid","Invalid")</f>
        <v>Valid</v>
      </c>
      <c r="N395" s="7" t="str">
        <f t="shared" si="6"/>
        <v>Pass</v>
      </c>
    </row>
    <row r="396" spans="1:14" x14ac:dyDescent="0.35">
      <c r="A396" s="17" t="s">
        <v>68</v>
      </c>
      <c r="B396" s="3" t="str">
        <f>IF(ISBLANK(Table3[[#This Row],[Campaign_ID]]),"Invalid","Valid")</f>
        <v>Valid</v>
      </c>
      <c r="C396" s="3" t="str">
        <f>IF(COUNTA(Finance_Data!A392:R392)=18,"Valid","Missing")</f>
        <v>Valid</v>
      </c>
      <c r="D396" s="3" t="str">
        <f>IF(COUNTIF(Finance_Data!$T$2:$T$1001,Finance_Data!T392)&gt;1,"Duplicate","Valid")</f>
        <v>Valid</v>
      </c>
      <c r="E396" s="3" t="str">
        <f>IF(Finance_Data!H392&gt;Finance_Data!G392,"Valid","Invalid")</f>
        <v>Valid</v>
      </c>
      <c r="F396" s="3" t="str" cm="1">
        <f t="array" ref="F396">_xlfn.IFS(Finance_Data!S392&lt;7,"Short",Finance_Data!S392&lt;=30,"Normal",Finance_Data!S392&lt;=60,"Long",Finance_Data!S392&gt;60,"Very Long")</f>
        <v>Normal</v>
      </c>
      <c r="G396" s="3" t="str">
        <f>IF(ABS(Finance_Data!I392*Finance_Data!J392)-Finance_Data!K392&lt;1,"Valid","Invalid")</f>
        <v>Valid</v>
      </c>
      <c r="H396" s="3" t="str">
        <f>IF(Finance_Data!L392&gt;0,"Valid","Invalid")</f>
        <v>Valid</v>
      </c>
      <c r="I396" s="3" t="str">
        <f>IF(Finance_Data!L392&gt;=Finance_Data!M392,"Valid","Invalid")</f>
        <v>Valid</v>
      </c>
      <c r="J396" s="3" t="str">
        <f>IF(AND(Finance_Data!I392&gt;=0,Finance_Data!K392&gt;=0),"Valid","Invalid")</f>
        <v>Valid</v>
      </c>
      <c r="K396" s="3" t="str">
        <f>IF(Finance_Data!N392&gt;=0,"Valid","Invalid")</f>
        <v>Valid</v>
      </c>
      <c r="L396" s="3" t="str">
        <f>IF(TEXT(Finance_Data!G392,"mmmm")=Finance_Data!P392,"Valid","Invalid")</f>
        <v>Valid</v>
      </c>
      <c r="M396" s="3" t="str">
        <f>IF("Q"&amp;ROUNDUP(MONTH(Finance_Data!G392)/3,0)=Finance_Data!Q392,"Valid","Invalid")</f>
        <v>Valid</v>
      </c>
      <c r="N396" s="7" t="str">
        <f t="shared" si="6"/>
        <v>Pass</v>
      </c>
    </row>
    <row r="397" spans="1:14" x14ac:dyDescent="0.35">
      <c r="A397" s="17" t="s">
        <v>97</v>
      </c>
      <c r="B397" s="3" t="str">
        <f>IF(ISBLANK(Table3[[#This Row],[Campaign_ID]]),"Invalid","Valid")</f>
        <v>Valid</v>
      </c>
      <c r="C397" s="3" t="str">
        <f>IF(COUNTA(Finance_Data!A393:R393)=18,"Valid","Missing")</f>
        <v>Valid</v>
      </c>
      <c r="D397" s="3" t="str">
        <f>IF(COUNTIF(Finance_Data!$T$2:$T$1001,Finance_Data!T393)&gt;1,"Duplicate","Valid")</f>
        <v>Valid</v>
      </c>
      <c r="E397" s="3" t="str">
        <f>IF(Finance_Data!H393&gt;Finance_Data!G393,"Valid","Invalid")</f>
        <v>Valid</v>
      </c>
      <c r="F397" s="3" t="str" cm="1">
        <f t="array" ref="F397">_xlfn.IFS(Finance_Data!S393&lt;7,"Short",Finance_Data!S393&lt;=30,"Normal",Finance_Data!S393&lt;=60,"Long",Finance_Data!S393&gt;60,"Very Long")</f>
        <v>Normal</v>
      </c>
      <c r="G397" s="3" t="str">
        <f>IF(ABS(Finance_Data!I393*Finance_Data!J393)-Finance_Data!K393&lt;1,"Valid","Invalid")</f>
        <v>Valid</v>
      </c>
      <c r="H397" s="3" t="str">
        <f>IF(Finance_Data!L393&gt;0,"Valid","Invalid")</f>
        <v>Valid</v>
      </c>
      <c r="I397" s="3" t="str">
        <f>IF(Finance_Data!L393&gt;=Finance_Data!M393,"Valid","Invalid")</f>
        <v>Valid</v>
      </c>
      <c r="J397" s="3" t="str">
        <f>IF(AND(Finance_Data!I393&gt;=0,Finance_Data!K393&gt;=0),"Valid","Invalid")</f>
        <v>Valid</v>
      </c>
      <c r="K397" s="3" t="str">
        <f>IF(Finance_Data!N393&gt;=0,"Valid","Invalid")</f>
        <v>Valid</v>
      </c>
      <c r="L397" s="3" t="str">
        <f>IF(TEXT(Finance_Data!G393,"mmmm")=Finance_Data!P393,"Valid","Invalid")</f>
        <v>Valid</v>
      </c>
      <c r="M397" s="3" t="str">
        <f>IF("Q"&amp;ROUNDUP(MONTH(Finance_Data!G393)/3,0)=Finance_Data!Q393,"Valid","Invalid")</f>
        <v>Valid</v>
      </c>
      <c r="N397" s="7" t="str">
        <f t="shared" si="6"/>
        <v>Pass</v>
      </c>
    </row>
    <row r="398" spans="1:14" x14ac:dyDescent="0.35">
      <c r="A398" s="17" t="s">
        <v>91</v>
      </c>
      <c r="B398" s="3" t="str">
        <f>IF(ISBLANK(Table3[[#This Row],[Campaign_ID]]),"Invalid","Valid")</f>
        <v>Valid</v>
      </c>
      <c r="C398" s="3" t="str">
        <f>IF(COUNTA(Finance_Data!A394:R394)=18,"Valid","Missing")</f>
        <v>Valid</v>
      </c>
      <c r="D398" s="3" t="str">
        <f>IF(COUNTIF(Finance_Data!$T$2:$T$1001,Finance_Data!T394)&gt;1,"Duplicate","Valid")</f>
        <v>Valid</v>
      </c>
      <c r="E398" s="3" t="str">
        <f>IF(Finance_Data!H394&gt;Finance_Data!G394,"Valid","Invalid")</f>
        <v>Valid</v>
      </c>
      <c r="F398" s="3" t="str" cm="1">
        <f t="array" ref="F398">_xlfn.IFS(Finance_Data!S394&lt;7,"Short",Finance_Data!S394&lt;=30,"Normal",Finance_Data!S394&lt;=60,"Long",Finance_Data!S394&gt;60,"Very Long")</f>
        <v>Long</v>
      </c>
      <c r="G398" s="3" t="str">
        <f>IF(ABS(Finance_Data!I394*Finance_Data!J394)-Finance_Data!K394&lt;1,"Valid","Invalid")</f>
        <v>Valid</v>
      </c>
      <c r="H398" s="3" t="str">
        <f>IF(Finance_Data!L394&gt;0,"Valid","Invalid")</f>
        <v>Valid</v>
      </c>
      <c r="I398" s="3" t="str">
        <f>IF(Finance_Data!L394&gt;=Finance_Data!M394,"Valid","Invalid")</f>
        <v>Valid</v>
      </c>
      <c r="J398" s="3" t="str">
        <f>IF(AND(Finance_Data!I394&gt;=0,Finance_Data!K394&gt;=0),"Valid","Invalid")</f>
        <v>Valid</v>
      </c>
      <c r="K398" s="3" t="str">
        <f>IF(Finance_Data!N394&gt;=0,"Valid","Invalid")</f>
        <v>Valid</v>
      </c>
      <c r="L398" s="3" t="str">
        <f>IF(TEXT(Finance_Data!G394,"mmmm")=Finance_Data!P394,"Valid","Invalid")</f>
        <v>Valid</v>
      </c>
      <c r="M398" s="3" t="str">
        <f>IF("Q"&amp;ROUNDUP(MONTH(Finance_Data!G394)/3,0)=Finance_Data!Q394,"Valid","Invalid")</f>
        <v>Valid</v>
      </c>
      <c r="N398" s="7" t="str">
        <f t="shared" si="6"/>
        <v>Pass</v>
      </c>
    </row>
    <row r="399" spans="1:14" x14ac:dyDescent="0.35">
      <c r="A399" s="17" t="s">
        <v>57</v>
      </c>
      <c r="B399" s="3" t="str">
        <f>IF(ISBLANK(Table3[[#This Row],[Campaign_ID]]),"Invalid","Valid")</f>
        <v>Valid</v>
      </c>
      <c r="C399" s="3" t="str">
        <f>IF(COUNTA(Finance_Data!A395:R395)=18,"Valid","Missing")</f>
        <v>Valid</v>
      </c>
      <c r="D399" s="3" t="str">
        <f>IF(COUNTIF(Finance_Data!$T$2:$T$1001,Finance_Data!T395)&gt;1,"Duplicate","Valid")</f>
        <v>Valid</v>
      </c>
      <c r="E399" s="3" t="str">
        <f>IF(Finance_Data!H395&gt;Finance_Data!G395,"Valid","Invalid")</f>
        <v>Valid</v>
      </c>
      <c r="F399" s="3" t="str" cm="1">
        <f t="array" ref="F399">_xlfn.IFS(Finance_Data!S395&lt;7,"Short",Finance_Data!S395&lt;=30,"Normal",Finance_Data!S395&lt;=60,"Long",Finance_Data!S395&gt;60,"Very Long")</f>
        <v>Long</v>
      </c>
      <c r="G399" s="3" t="str">
        <f>IF(ABS(Finance_Data!I395*Finance_Data!J395)-Finance_Data!K395&lt;1,"Valid","Invalid")</f>
        <v>Valid</v>
      </c>
      <c r="H399" s="3" t="str">
        <f>IF(Finance_Data!L395&gt;0,"Valid","Invalid")</f>
        <v>Valid</v>
      </c>
      <c r="I399" s="3" t="str">
        <f>IF(Finance_Data!L395&gt;=Finance_Data!M395,"Valid","Invalid")</f>
        <v>Valid</v>
      </c>
      <c r="J399" s="3" t="str">
        <f>IF(AND(Finance_Data!I395&gt;=0,Finance_Data!K395&gt;=0),"Valid","Invalid")</f>
        <v>Valid</v>
      </c>
      <c r="K399" s="3" t="str">
        <f>IF(Finance_Data!N395&gt;=0,"Valid","Invalid")</f>
        <v>Valid</v>
      </c>
      <c r="L399" s="3" t="str">
        <f>IF(TEXT(Finance_Data!G395,"mmmm")=Finance_Data!P395,"Valid","Invalid")</f>
        <v>Valid</v>
      </c>
      <c r="M399" s="3" t="str">
        <f>IF("Q"&amp;ROUNDUP(MONTH(Finance_Data!G395)/3,0)=Finance_Data!Q395,"Valid","Invalid")</f>
        <v>Valid</v>
      </c>
      <c r="N399" s="7" t="str">
        <f t="shared" si="6"/>
        <v>Pass</v>
      </c>
    </row>
    <row r="400" spans="1:14" x14ac:dyDescent="0.35">
      <c r="A400" s="17" t="s">
        <v>98</v>
      </c>
      <c r="B400" s="3" t="str">
        <f>IF(ISBLANK(Table3[[#This Row],[Campaign_ID]]),"Invalid","Valid")</f>
        <v>Valid</v>
      </c>
      <c r="C400" s="3" t="str">
        <f>IF(COUNTA(Finance_Data!A396:R396)=18,"Valid","Missing")</f>
        <v>Valid</v>
      </c>
      <c r="D400" s="3" t="str">
        <f>IF(COUNTIF(Finance_Data!$T$2:$T$1001,Finance_Data!T396)&gt;1,"Duplicate","Valid")</f>
        <v>Valid</v>
      </c>
      <c r="E400" s="3" t="str">
        <f>IF(Finance_Data!H396&gt;Finance_Data!G396,"Valid","Invalid")</f>
        <v>Valid</v>
      </c>
      <c r="F400" s="3" t="str" cm="1">
        <f t="array" ref="F400">_xlfn.IFS(Finance_Data!S396&lt;7,"Short",Finance_Data!S396&lt;=30,"Normal",Finance_Data!S396&lt;=60,"Long",Finance_Data!S396&gt;60,"Very Long")</f>
        <v>Normal</v>
      </c>
      <c r="G400" s="3" t="str">
        <f>IF(ABS(Finance_Data!I396*Finance_Data!J396)-Finance_Data!K396&lt;1,"Valid","Invalid")</f>
        <v>Valid</v>
      </c>
      <c r="H400" s="3" t="str">
        <f>IF(Finance_Data!L396&gt;0,"Valid","Invalid")</f>
        <v>Valid</v>
      </c>
      <c r="I400" s="3" t="str">
        <f>IF(Finance_Data!L396&gt;=Finance_Data!M396,"Valid","Invalid")</f>
        <v>Valid</v>
      </c>
      <c r="J400" s="3" t="str">
        <f>IF(AND(Finance_Data!I396&gt;=0,Finance_Data!K396&gt;=0),"Valid","Invalid")</f>
        <v>Valid</v>
      </c>
      <c r="K400" s="3" t="str">
        <f>IF(Finance_Data!N396&gt;=0,"Valid","Invalid")</f>
        <v>Valid</v>
      </c>
      <c r="L400" s="3" t="str">
        <f>IF(TEXT(Finance_Data!G396,"mmmm")=Finance_Data!P396,"Valid","Invalid")</f>
        <v>Valid</v>
      </c>
      <c r="M400" s="3" t="str">
        <f>IF("Q"&amp;ROUNDUP(MONTH(Finance_Data!G396)/3,0)=Finance_Data!Q396,"Valid","Invalid")</f>
        <v>Valid</v>
      </c>
      <c r="N400" s="7" t="str">
        <f t="shared" si="6"/>
        <v>Pass</v>
      </c>
    </row>
    <row r="401" spans="1:14" x14ac:dyDescent="0.35">
      <c r="A401" s="17" t="s">
        <v>94</v>
      </c>
      <c r="B401" s="3" t="str">
        <f>IF(ISBLANK(Table3[[#This Row],[Campaign_ID]]),"Invalid","Valid")</f>
        <v>Valid</v>
      </c>
      <c r="C401" s="3" t="str">
        <f>IF(COUNTA(Finance_Data!A397:R397)=18,"Valid","Missing")</f>
        <v>Valid</v>
      </c>
      <c r="D401" s="3" t="str">
        <f>IF(COUNTIF(Finance_Data!$T$2:$T$1001,Finance_Data!T397)&gt;1,"Duplicate","Valid")</f>
        <v>Valid</v>
      </c>
      <c r="E401" s="3" t="str">
        <f>IF(Finance_Data!H397&gt;Finance_Data!G397,"Valid","Invalid")</f>
        <v>Valid</v>
      </c>
      <c r="F401" s="3" t="str" cm="1">
        <f t="array" ref="F401">_xlfn.IFS(Finance_Data!S397&lt;7,"Short",Finance_Data!S397&lt;=30,"Normal",Finance_Data!S397&lt;=60,"Long",Finance_Data!S397&gt;60,"Very Long")</f>
        <v>Long</v>
      </c>
      <c r="G401" s="3" t="str">
        <f>IF(ABS(Finance_Data!I397*Finance_Data!J397)-Finance_Data!K397&lt;1,"Valid","Invalid")</f>
        <v>Valid</v>
      </c>
      <c r="H401" s="3" t="str">
        <f>IF(Finance_Data!L397&gt;0,"Valid","Invalid")</f>
        <v>Valid</v>
      </c>
      <c r="I401" s="3" t="str">
        <f>IF(Finance_Data!L397&gt;=Finance_Data!M397,"Valid","Invalid")</f>
        <v>Valid</v>
      </c>
      <c r="J401" s="3" t="str">
        <f>IF(AND(Finance_Data!I397&gt;=0,Finance_Data!K397&gt;=0),"Valid","Invalid")</f>
        <v>Valid</v>
      </c>
      <c r="K401" s="3" t="str">
        <f>IF(Finance_Data!N397&gt;=0,"Valid","Invalid")</f>
        <v>Valid</v>
      </c>
      <c r="L401" s="3" t="str">
        <f>IF(TEXT(Finance_Data!G397,"mmmm")=Finance_Data!P397,"Valid","Invalid")</f>
        <v>Valid</v>
      </c>
      <c r="M401" s="3" t="str">
        <f>IF("Q"&amp;ROUNDUP(MONTH(Finance_Data!G397)/3,0)=Finance_Data!Q397,"Valid","Invalid")</f>
        <v>Valid</v>
      </c>
      <c r="N401" s="7" t="str">
        <f t="shared" si="6"/>
        <v>Pass</v>
      </c>
    </row>
    <row r="402" spans="1:14" x14ac:dyDescent="0.35">
      <c r="A402" s="17" t="s">
        <v>67</v>
      </c>
      <c r="B402" s="3" t="str">
        <f>IF(ISBLANK(Table3[[#This Row],[Campaign_ID]]),"Invalid","Valid")</f>
        <v>Valid</v>
      </c>
      <c r="C402" s="3" t="str">
        <f>IF(COUNTA(Finance_Data!A398:R398)=18,"Valid","Missing")</f>
        <v>Valid</v>
      </c>
      <c r="D402" s="3" t="str">
        <f>IF(COUNTIF(Finance_Data!$T$2:$T$1001,Finance_Data!T398)&gt;1,"Duplicate","Valid")</f>
        <v>Valid</v>
      </c>
      <c r="E402" s="3" t="str">
        <f>IF(Finance_Data!H398&gt;Finance_Data!G398,"Valid","Invalid")</f>
        <v>Valid</v>
      </c>
      <c r="F402" s="3" t="str" cm="1">
        <f t="array" ref="F402">_xlfn.IFS(Finance_Data!S398&lt;7,"Short",Finance_Data!S398&lt;=30,"Normal",Finance_Data!S398&lt;=60,"Long",Finance_Data!S398&gt;60,"Very Long")</f>
        <v>Long</v>
      </c>
      <c r="G402" s="3" t="str">
        <f>IF(ABS(Finance_Data!I398*Finance_Data!J398)-Finance_Data!K398&lt;1,"Valid","Invalid")</f>
        <v>Valid</v>
      </c>
      <c r="H402" s="3" t="str">
        <f>IF(Finance_Data!L398&gt;0,"Valid","Invalid")</f>
        <v>Valid</v>
      </c>
      <c r="I402" s="3" t="str">
        <f>IF(Finance_Data!L398&gt;=Finance_Data!M398,"Valid","Invalid")</f>
        <v>Valid</v>
      </c>
      <c r="J402" s="3" t="str">
        <f>IF(AND(Finance_Data!I398&gt;=0,Finance_Data!K398&gt;=0),"Valid","Invalid")</f>
        <v>Valid</v>
      </c>
      <c r="K402" s="3" t="str">
        <f>IF(Finance_Data!N398&gt;=0,"Valid","Invalid")</f>
        <v>Valid</v>
      </c>
      <c r="L402" s="3" t="str">
        <f>IF(TEXT(Finance_Data!G398,"mmmm")=Finance_Data!P398,"Valid","Invalid")</f>
        <v>Valid</v>
      </c>
      <c r="M402" s="3" t="str">
        <f>IF("Q"&amp;ROUNDUP(MONTH(Finance_Data!G398)/3,0)=Finance_Data!Q398,"Valid","Invalid")</f>
        <v>Valid</v>
      </c>
      <c r="N402" s="7" t="str">
        <f t="shared" si="6"/>
        <v>Pass</v>
      </c>
    </row>
    <row r="403" spans="1:14" x14ac:dyDescent="0.35">
      <c r="A403" s="17" t="s">
        <v>105</v>
      </c>
      <c r="B403" s="3" t="str">
        <f>IF(ISBLANK(Table3[[#This Row],[Campaign_ID]]),"Invalid","Valid")</f>
        <v>Valid</v>
      </c>
      <c r="C403" s="3" t="str">
        <f>IF(COUNTA(Finance_Data!A399:R399)=18,"Valid","Missing")</f>
        <v>Valid</v>
      </c>
      <c r="D403" s="3" t="str">
        <f>IF(COUNTIF(Finance_Data!$T$2:$T$1001,Finance_Data!T399)&gt;1,"Duplicate","Valid")</f>
        <v>Valid</v>
      </c>
      <c r="E403" s="3" t="str">
        <f>IF(Finance_Data!H399&gt;Finance_Data!G399,"Valid","Invalid")</f>
        <v>Valid</v>
      </c>
      <c r="F403" s="3" t="str" cm="1">
        <f t="array" ref="F403">_xlfn.IFS(Finance_Data!S399&lt;7,"Short",Finance_Data!S399&lt;=30,"Normal",Finance_Data!S399&lt;=60,"Long",Finance_Data!S399&gt;60,"Very Long")</f>
        <v>Normal</v>
      </c>
      <c r="G403" s="3" t="str">
        <f>IF(ABS(Finance_Data!I399*Finance_Data!J399)-Finance_Data!K399&lt;1,"Valid","Invalid")</f>
        <v>Valid</v>
      </c>
      <c r="H403" s="3" t="str">
        <f>IF(Finance_Data!L399&gt;0,"Valid","Invalid")</f>
        <v>Valid</v>
      </c>
      <c r="I403" s="3" t="str">
        <f>IF(Finance_Data!L399&gt;=Finance_Data!M399,"Valid","Invalid")</f>
        <v>Valid</v>
      </c>
      <c r="J403" s="3" t="str">
        <f>IF(AND(Finance_Data!I399&gt;=0,Finance_Data!K399&gt;=0),"Valid","Invalid")</f>
        <v>Valid</v>
      </c>
      <c r="K403" s="3" t="str">
        <f>IF(Finance_Data!N399&gt;=0,"Valid","Invalid")</f>
        <v>Valid</v>
      </c>
      <c r="L403" s="3" t="str">
        <f>IF(TEXT(Finance_Data!G399,"mmmm")=Finance_Data!P399,"Valid","Invalid")</f>
        <v>Valid</v>
      </c>
      <c r="M403" s="3" t="str">
        <f>IF("Q"&amp;ROUNDUP(MONTH(Finance_Data!G399)/3,0)=Finance_Data!Q399,"Valid","Invalid")</f>
        <v>Valid</v>
      </c>
      <c r="N403" s="7" t="str">
        <f t="shared" si="6"/>
        <v>Pass</v>
      </c>
    </row>
    <row r="404" spans="1:14" x14ac:dyDescent="0.35">
      <c r="A404" s="17" t="s">
        <v>42</v>
      </c>
      <c r="B404" s="3" t="str">
        <f>IF(ISBLANK(Table3[[#This Row],[Campaign_ID]]),"Invalid","Valid")</f>
        <v>Valid</v>
      </c>
      <c r="C404" s="3" t="str">
        <f>IF(COUNTA(Finance_Data!A400:R400)=18,"Valid","Missing")</f>
        <v>Valid</v>
      </c>
      <c r="D404" s="3" t="str">
        <f>IF(COUNTIF(Finance_Data!$T$2:$T$1001,Finance_Data!T400)&gt;1,"Duplicate","Valid")</f>
        <v>Valid</v>
      </c>
      <c r="E404" s="3" t="str">
        <f>IF(Finance_Data!H400&gt;Finance_Data!G400,"Valid","Invalid")</f>
        <v>Valid</v>
      </c>
      <c r="F404" s="3" t="str" cm="1">
        <f t="array" ref="F404">_xlfn.IFS(Finance_Data!S400&lt;7,"Short",Finance_Data!S400&lt;=30,"Normal",Finance_Data!S400&lt;=60,"Long",Finance_Data!S400&gt;60,"Very Long")</f>
        <v>Normal</v>
      </c>
      <c r="G404" s="3" t="str">
        <f>IF(ABS(Finance_Data!I400*Finance_Data!J400)-Finance_Data!K400&lt;1,"Valid","Invalid")</f>
        <v>Valid</v>
      </c>
      <c r="H404" s="3" t="str">
        <f>IF(Finance_Data!L400&gt;0,"Valid","Invalid")</f>
        <v>Valid</v>
      </c>
      <c r="I404" s="3" t="str">
        <f>IF(Finance_Data!L400&gt;=Finance_Data!M400,"Valid","Invalid")</f>
        <v>Valid</v>
      </c>
      <c r="J404" s="3" t="str">
        <f>IF(AND(Finance_Data!I400&gt;=0,Finance_Data!K400&gt;=0),"Valid","Invalid")</f>
        <v>Valid</v>
      </c>
      <c r="K404" s="3" t="str">
        <f>IF(Finance_Data!N400&gt;=0,"Valid","Invalid")</f>
        <v>Valid</v>
      </c>
      <c r="L404" s="3" t="str">
        <f>IF(TEXT(Finance_Data!G400,"mmmm")=Finance_Data!P400,"Valid","Invalid")</f>
        <v>Valid</v>
      </c>
      <c r="M404" s="3" t="str">
        <f>IF("Q"&amp;ROUNDUP(MONTH(Finance_Data!G400)/3,0)=Finance_Data!Q400,"Valid","Invalid")</f>
        <v>Valid</v>
      </c>
      <c r="N404" s="7" t="str">
        <f t="shared" si="6"/>
        <v>Pass</v>
      </c>
    </row>
    <row r="405" spans="1:14" x14ac:dyDescent="0.35">
      <c r="A405" s="17" t="s">
        <v>27</v>
      </c>
      <c r="B405" s="3" t="str">
        <f>IF(ISBLANK(Table3[[#This Row],[Campaign_ID]]),"Invalid","Valid")</f>
        <v>Valid</v>
      </c>
      <c r="C405" s="3" t="str">
        <f>IF(COUNTA(Finance_Data!A401:R401)=18,"Valid","Missing")</f>
        <v>Valid</v>
      </c>
      <c r="D405" s="3" t="str">
        <f>IF(COUNTIF(Finance_Data!$T$2:$T$1001,Finance_Data!T401)&gt;1,"Duplicate","Valid")</f>
        <v>Valid</v>
      </c>
      <c r="E405" s="3" t="str">
        <f>IF(Finance_Data!H401&gt;Finance_Data!G401,"Valid","Invalid")</f>
        <v>Valid</v>
      </c>
      <c r="F405" s="3" t="str" cm="1">
        <f t="array" ref="F405">_xlfn.IFS(Finance_Data!S401&lt;7,"Short",Finance_Data!S401&lt;=30,"Normal",Finance_Data!S401&lt;=60,"Long",Finance_Data!S401&gt;60,"Very Long")</f>
        <v>Normal</v>
      </c>
      <c r="G405" s="3" t="str">
        <f>IF(ABS(Finance_Data!I401*Finance_Data!J401)-Finance_Data!K401&lt;1,"Valid","Invalid")</f>
        <v>Valid</v>
      </c>
      <c r="H405" s="3" t="str">
        <f>IF(Finance_Data!L401&gt;0,"Valid","Invalid")</f>
        <v>Valid</v>
      </c>
      <c r="I405" s="3" t="str">
        <f>IF(Finance_Data!L401&gt;=Finance_Data!M401,"Valid","Invalid")</f>
        <v>Valid</v>
      </c>
      <c r="J405" s="3" t="str">
        <f>IF(AND(Finance_Data!I401&gt;=0,Finance_Data!K401&gt;=0),"Valid","Invalid")</f>
        <v>Valid</v>
      </c>
      <c r="K405" s="3" t="str">
        <f>IF(Finance_Data!N401&gt;=0,"Valid","Invalid")</f>
        <v>Valid</v>
      </c>
      <c r="L405" s="3" t="str">
        <f>IF(TEXT(Finance_Data!G401,"mmmm")=Finance_Data!P401,"Valid","Invalid")</f>
        <v>Valid</v>
      </c>
      <c r="M405" s="3" t="str">
        <f>IF("Q"&amp;ROUNDUP(MONTH(Finance_Data!G401)/3,0)=Finance_Data!Q401,"Valid","Invalid")</f>
        <v>Valid</v>
      </c>
      <c r="N405" s="7" t="str">
        <f t="shared" si="6"/>
        <v>Pass</v>
      </c>
    </row>
    <row r="406" spans="1:14" x14ac:dyDescent="0.35">
      <c r="A406" s="17" t="s">
        <v>86</v>
      </c>
      <c r="B406" s="3" t="str">
        <f>IF(ISBLANK(Table3[[#This Row],[Campaign_ID]]),"Invalid","Valid")</f>
        <v>Valid</v>
      </c>
      <c r="C406" s="3" t="str">
        <f>IF(COUNTA(Finance_Data!A402:R402)=18,"Valid","Missing")</f>
        <v>Valid</v>
      </c>
      <c r="D406" s="3" t="str">
        <f>IF(COUNTIF(Finance_Data!$T$2:$T$1001,Finance_Data!T402)&gt;1,"Duplicate","Valid")</f>
        <v>Valid</v>
      </c>
      <c r="E406" s="3" t="str">
        <f>IF(Finance_Data!H402&gt;Finance_Data!G402,"Valid","Invalid")</f>
        <v>Valid</v>
      </c>
      <c r="F406" s="3" t="str" cm="1">
        <f t="array" ref="F406">_xlfn.IFS(Finance_Data!S402&lt;7,"Short",Finance_Data!S402&lt;=30,"Normal",Finance_Data!S402&lt;=60,"Long",Finance_Data!S402&gt;60,"Very Long")</f>
        <v>Long</v>
      </c>
      <c r="G406" s="3" t="str">
        <f>IF(ABS(Finance_Data!I402*Finance_Data!J402)-Finance_Data!K402&lt;1,"Valid","Invalid")</f>
        <v>Valid</v>
      </c>
      <c r="H406" s="3" t="str">
        <f>IF(Finance_Data!L402&gt;0,"Valid","Invalid")</f>
        <v>Valid</v>
      </c>
      <c r="I406" s="3" t="str">
        <f>IF(Finance_Data!L402&gt;=Finance_Data!M402,"Valid","Invalid")</f>
        <v>Valid</v>
      </c>
      <c r="J406" s="3" t="str">
        <f>IF(AND(Finance_Data!I402&gt;=0,Finance_Data!K402&gt;=0),"Valid","Invalid")</f>
        <v>Valid</v>
      </c>
      <c r="K406" s="3" t="str">
        <f>IF(Finance_Data!N402&gt;=0,"Valid","Invalid")</f>
        <v>Valid</v>
      </c>
      <c r="L406" s="3" t="str">
        <f>IF(TEXT(Finance_Data!G402,"mmmm")=Finance_Data!P402,"Valid","Invalid")</f>
        <v>Valid</v>
      </c>
      <c r="M406" s="3" t="str">
        <f>IF("Q"&amp;ROUNDUP(MONTH(Finance_Data!G402)/3,0)=Finance_Data!Q402,"Valid","Invalid")</f>
        <v>Valid</v>
      </c>
      <c r="N406" s="7" t="str">
        <f t="shared" si="6"/>
        <v>Pass</v>
      </c>
    </row>
    <row r="407" spans="1:14" x14ac:dyDescent="0.35">
      <c r="A407" s="17" t="s">
        <v>87</v>
      </c>
      <c r="B407" s="3" t="str">
        <f>IF(ISBLANK(Table3[[#This Row],[Campaign_ID]]),"Invalid","Valid")</f>
        <v>Valid</v>
      </c>
      <c r="C407" s="3" t="str">
        <f>IF(COUNTA(Finance_Data!A403:R403)=18,"Valid","Missing")</f>
        <v>Valid</v>
      </c>
      <c r="D407" s="3" t="str">
        <f>IF(COUNTIF(Finance_Data!$T$2:$T$1001,Finance_Data!T403)&gt;1,"Duplicate","Valid")</f>
        <v>Valid</v>
      </c>
      <c r="E407" s="3" t="str">
        <f>IF(Finance_Data!H403&gt;Finance_Data!G403,"Valid","Invalid")</f>
        <v>Valid</v>
      </c>
      <c r="F407" s="3" t="str" cm="1">
        <f t="array" ref="F407">_xlfn.IFS(Finance_Data!S403&lt;7,"Short",Finance_Data!S403&lt;=30,"Normal",Finance_Data!S403&lt;=60,"Long",Finance_Data!S403&gt;60,"Very Long")</f>
        <v>Short</v>
      </c>
      <c r="G407" s="3" t="str">
        <f>IF(ABS(Finance_Data!I403*Finance_Data!J403)-Finance_Data!K403&lt;1,"Valid","Invalid")</f>
        <v>Valid</v>
      </c>
      <c r="H407" s="3" t="str">
        <f>IF(Finance_Data!L403&gt;0,"Valid","Invalid")</f>
        <v>Valid</v>
      </c>
      <c r="I407" s="3" t="str">
        <f>IF(Finance_Data!L403&gt;=Finance_Data!M403,"Valid","Invalid")</f>
        <v>Valid</v>
      </c>
      <c r="J407" s="3" t="str">
        <f>IF(AND(Finance_Data!I403&gt;=0,Finance_Data!K403&gt;=0),"Valid","Invalid")</f>
        <v>Valid</v>
      </c>
      <c r="K407" s="3" t="str">
        <f>IF(Finance_Data!N403&gt;=0,"Valid","Invalid")</f>
        <v>Valid</v>
      </c>
      <c r="L407" s="3" t="str">
        <f>IF(TEXT(Finance_Data!G403,"mmmm")=Finance_Data!P403,"Valid","Invalid")</f>
        <v>Valid</v>
      </c>
      <c r="M407" s="3" t="str">
        <f>IF("Q"&amp;ROUNDUP(MONTH(Finance_Data!G403)/3,0)=Finance_Data!Q403,"Valid","Invalid")</f>
        <v>Valid</v>
      </c>
      <c r="N407" s="7" t="str">
        <f t="shared" si="6"/>
        <v>Pass</v>
      </c>
    </row>
    <row r="408" spans="1:14" x14ac:dyDescent="0.35">
      <c r="A408" s="17" t="s">
        <v>85</v>
      </c>
      <c r="B408" s="3" t="str">
        <f>IF(ISBLANK(Table3[[#This Row],[Campaign_ID]]),"Invalid","Valid")</f>
        <v>Valid</v>
      </c>
      <c r="C408" s="3" t="str">
        <f>IF(COUNTA(Finance_Data!A404:R404)=18,"Valid","Missing")</f>
        <v>Valid</v>
      </c>
      <c r="D408" s="3" t="str">
        <f>IF(COUNTIF(Finance_Data!$T$2:$T$1001,Finance_Data!T404)&gt;1,"Duplicate","Valid")</f>
        <v>Valid</v>
      </c>
      <c r="E408" s="3" t="str">
        <f>IF(Finance_Data!H404&gt;Finance_Data!G404,"Valid","Invalid")</f>
        <v>Valid</v>
      </c>
      <c r="F408" s="3" t="str" cm="1">
        <f t="array" ref="F408">_xlfn.IFS(Finance_Data!S404&lt;7,"Short",Finance_Data!S404&lt;=30,"Normal",Finance_Data!S404&lt;=60,"Long",Finance_Data!S404&gt;60,"Very Long")</f>
        <v>Long</v>
      </c>
      <c r="G408" s="3" t="str">
        <f>IF(ABS(Finance_Data!I404*Finance_Data!J404)-Finance_Data!K404&lt;1,"Valid","Invalid")</f>
        <v>Valid</v>
      </c>
      <c r="H408" s="3" t="str">
        <f>IF(Finance_Data!L404&gt;0,"Valid","Invalid")</f>
        <v>Valid</v>
      </c>
      <c r="I408" s="3" t="str">
        <f>IF(Finance_Data!L404&gt;=Finance_Data!M404,"Valid","Invalid")</f>
        <v>Valid</v>
      </c>
      <c r="J408" s="3" t="str">
        <f>IF(AND(Finance_Data!I404&gt;=0,Finance_Data!K404&gt;=0),"Valid","Invalid")</f>
        <v>Valid</v>
      </c>
      <c r="K408" s="3" t="str">
        <f>IF(Finance_Data!N404&gt;=0,"Valid","Invalid")</f>
        <v>Valid</v>
      </c>
      <c r="L408" s="3" t="str">
        <f>IF(TEXT(Finance_Data!G404,"mmmm")=Finance_Data!P404,"Valid","Invalid")</f>
        <v>Valid</v>
      </c>
      <c r="M408" s="3" t="str">
        <f>IF("Q"&amp;ROUNDUP(MONTH(Finance_Data!G404)/3,0)=Finance_Data!Q404,"Valid","Invalid")</f>
        <v>Valid</v>
      </c>
      <c r="N408" s="7" t="str">
        <f t="shared" si="6"/>
        <v>Pass</v>
      </c>
    </row>
    <row r="409" spans="1:14" x14ac:dyDescent="0.35">
      <c r="A409" s="17" t="s">
        <v>95</v>
      </c>
      <c r="B409" s="3" t="str">
        <f>IF(ISBLANK(Table3[[#This Row],[Campaign_ID]]),"Invalid","Valid")</f>
        <v>Valid</v>
      </c>
      <c r="C409" s="3" t="str">
        <f>IF(COUNTA(Finance_Data!A405:R405)=18,"Valid","Missing")</f>
        <v>Valid</v>
      </c>
      <c r="D409" s="3" t="str">
        <f>IF(COUNTIF(Finance_Data!$T$2:$T$1001,Finance_Data!T405)&gt;1,"Duplicate","Valid")</f>
        <v>Valid</v>
      </c>
      <c r="E409" s="3" t="str">
        <f>IF(Finance_Data!H405&gt;Finance_Data!G405,"Valid","Invalid")</f>
        <v>Valid</v>
      </c>
      <c r="F409" s="3" t="str" cm="1">
        <f t="array" ref="F409">_xlfn.IFS(Finance_Data!S405&lt;7,"Short",Finance_Data!S405&lt;=30,"Normal",Finance_Data!S405&lt;=60,"Long",Finance_Data!S405&gt;60,"Very Long")</f>
        <v>Long</v>
      </c>
      <c r="G409" s="3" t="str">
        <f>IF(ABS(Finance_Data!I405*Finance_Data!J405)-Finance_Data!K405&lt;1,"Valid","Invalid")</f>
        <v>Valid</v>
      </c>
      <c r="H409" s="3" t="str">
        <f>IF(Finance_Data!L405&gt;0,"Valid","Invalid")</f>
        <v>Valid</v>
      </c>
      <c r="I409" s="3" t="str">
        <f>IF(Finance_Data!L405&gt;=Finance_Data!M405,"Valid","Invalid")</f>
        <v>Valid</v>
      </c>
      <c r="J409" s="3" t="str">
        <f>IF(AND(Finance_Data!I405&gt;=0,Finance_Data!K405&gt;=0),"Valid","Invalid")</f>
        <v>Valid</v>
      </c>
      <c r="K409" s="3" t="str">
        <f>IF(Finance_Data!N405&gt;=0,"Valid","Invalid")</f>
        <v>Valid</v>
      </c>
      <c r="L409" s="3" t="str">
        <f>IF(TEXT(Finance_Data!G405,"mmmm")=Finance_Data!P405,"Valid","Invalid")</f>
        <v>Valid</v>
      </c>
      <c r="M409" s="3" t="str">
        <f>IF("Q"&amp;ROUNDUP(MONTH(Finance_Data!G405)/3,0)=Finance_Data!Q405,"Valid","Invalid")</f>
        <v>Valid</v>
      </c>
      <c r="N409" s="7" t="str">
        <f t="shared" si="6"/>
        <v>Pass</v>
      </c>
    </row>
    <row r="410" spans="1:14" x14ac:dyDescent="0.35">
      <c r="A410" s="17" t="s">
        <v>114</v>
      </c>
      <c r="B410" s="3" t="str">
        <f>IF(ISBLANK(Table3[[#This Row],[Campaign_ID]]),"Invalid","Valid")</f>
        <v>Valid</v>
      </c>
      <c r="C410" s="3" t="str">
        <f>IF(COUNTA(Finance_Data!A406:R406)=18,"Valid","Missing")</f>
        <v>Valid</v>
      </c>
      <c r="D410" s="3" t="str">
        <f>IF(COUNTIF(Finance_Data!$T$2:$T$1001,Finance_Data!T406)&gt;1,"Duplicate","Valid")</f>
        <v>Valid</v>
      </c>
      <c r="E410" s="3" t="str">
        <f>IF(Finance_Data!H406&gt;Finance_Data!G406,"Valid","Invalid")</f>
        <v>Valid</v>
      </c>
      <c r="F410" s="3" t="str" cm="1">
        <f t="array" ref="F410">_xlfn.IFS(Finance_Data!S406&lt;7,"Short",Finance_Data!S406&lt;=30,"Normal",Finance_Data!S406&lt;=60,"Long",Finance_Data!S406&gt;60,"Very Long")</f>
        <v>Normal</v>
      </c>
      <c r="G410" s="3" t="str">
        <f>IF(ABS(Finance_Data!I406*Finance_Data!J406)-Finance_Data!K406&lt;1,"Valid","Invalid")</f>
        <v>Valid</v>
      </c>
      <c r="H410" s="3" t="str">
        <f>IF(Finance_Data!L406&gt;0,"Valid","Invalid")</f>
        <v>Valid</v>
      </c>
      <c r="I410" s="3" t="str">
        <f>IF(Finance_Data!L406&gt;=Finance_Data!M406,"Valid","Invalid")</f>
        <v>Valid</v>
      </c>
      <c r="J410" s="3" t="str">
        <f>IF(AND(Finance_Data!I406&gt;=0,Finance_Data!K406&gt;=0),"Valid","Invalid")</f>
        <v>Valid</v>
      </c>
      <c r="K410" s="3" t="str">
        <f>IF(Finance_Data!N406&gt;=0,"Valid","Invalid")</f>
        <v>Valid</v>
      </c>
      <c r="L410" s="3" t="str">
        <f>IF(TEXT(Finance_Data!G406,"mmmm")=Finance_Data!P406,"Valid","Invalid")</f>
        <v>Valid</v>
      </c>
      <c r="M410" s="3" t="str">
        <f>IF("Q"&amp;ROUNDUP(MONTH(Finance_Data!G406)/3,0)=Finance_Data!Q406,"Valid","Invalid")</f>
        <v>Valid</v>
      </c>
      <c r="N410" s="7" t="str">
        <f t="shared" si="6"/>
        <v>Pass</v>
      </c>
    </row>
    <row r="411" spans="1:14" x14ac:dyDescent="0.35">
      <c r="A411" s="17" t="s">
        <v>27</v>
      </c>
      <c r="B411" s="3" t="str">
        <f>IF(ISBLANK(Table3[[#This Row],[Campaign_ID]]),"Invalid","Valid")</f>
        <v>Valid</v>
      </c>
      <c r="C411" s="3" t="str">
        <f>IF(COUNTA(Finance_Data!A407:R407)=18,"Valid","Missing")</f>
        <v>Valid</v>
      </c>
      <c r="D411" s="3" t="str">
        <f>IF(COUNTIF(Finance_Data!$T$2:$T$1001,Finance_Data!T407)&gt;1,"Duplicate","Valid")</f>
        <v>Valid</v>
      </c>
      <c r="E411" s="3" t="str">
        <f>IF(Finance_Data!H407&gt;Finance_Data!G407,"Valid","Invalid")</f>
        <v>Valid</v>
      </c>
      <c r="F411" s="3" t="str" cm="1">
        <f t="array" ref="F411">_xlfn.IFS(Finance_Data!S407&lt;7,"Short",Finance_Data!S407&lt;=30,"Normal",Finance_Data!S407&lt;=60,"Long",Finance_Data!S407&gt;60,"Very Long")</f>
        <v>Long</v>
      </c>
      <c r="G411" s="3" t="str">
        <f>IF(ABS(Finance_Data!I407*Finance_Data!J407)-Finance_Data!K407&lt;1,"Valid","Invalid")</f>
        <v>Valid</v>
      </c>
      <c r="H411" s="3" t="str">
        <f>IF(Finance_Data!L407&gt;0,"Valid","Invalid")</f>
        <v>Valid</v>
      </c>
      <c r="I411" s="3" t="str">
        <f>IF(Finance_Data!L407&gt;=Finance_Data!M407,"Valid","Invalid")</f>
        <v>Valid</v>
      </c>
      <c r="J411" s="3" t="str">
        <f>IF(AND(Finance_Data!I407&gt;=0,Finance_Data!K407&gt;=0),"Valid","Invalid")</f>
        <v>Valid</v>
      </c>
      <c r="K411" s="3" t="str">
        <f>IF(Finance_Data!N407&gt;=0,"Valid","Invalid")</f>
        <v>Valid</v>
      </c>
      <c r="L411" s="3" t="str">
        <f>IF(TEXT(Finance_Data!G407,"mmmm")=Finance_Data!P407,"Valid","Invalid")</f>
        <v>Valid</v>
      </c>
      <c r="M411" s="3" t="str">
        <f>IF("Q"&amp;ROUNDUP(MONTH(Finance_Data!G407)/3,0)=Finance_Data!Q407,"Valid","Invalid")</f>
        <v>Valid</v>
      </c>
      <c r="N411" s="7" t="str">
        <f t="shared" si="6"/>
        <v>Pass</v>
      </c>
    </row>
    <row r="412" spans="1:14" x14ac:dyDescent="0.35">
      <c r="A412" s="17" t="s">
        <v>62</v>
      </c>
      <c r="B412" s="3" t="str">
        <f>IF(ISBLANK(Table3[[#This Row],[Campaign_ID]]),"Invalid","Valid")</f>
        <v>Valid</v>
      </c>
      <c r="C412" s="3" t="str">
        <f>IF(COUNTA(Finance_Data!A408:R408)=18,"Valid","Missing")</f>
        <v>Valid</v>
      </c>
      <c r="D412" s="3" t="str">
        <f>IF(COUNTIF(Finance_Data!$T$2:$T$1001,Finance_Data!T408)&gt;1,"Duplicate","Valid")</f>
        <v>Valid</v>
      </c>
      <c r="E412" s="3" t="str">
        <f>IF(Finance_Data!H408&gt;Finance_Data!G408,"Valid","Invalid")</f>
        <v>Valid</v>
      </c>
      <c r="F412" s="3" t="str" cm="1">
        <f t="array" ref="F412">_xlfn.IFS(Finance_Data!S408&lt;7,"Short",Finance_Data!S408&lt;=30,"Normal",Finance_Data!S408&lt;=60,"Long",Finance_Data!S408&gt;60,"Very Long")</f>
        <v>Long</v>
      </c>
      <c r="G412" s="3" t="str">
        <f>IF(ABS(Finance_Data!I408*Finance_Data!J408)-Finance_Data!K408&lt;1,"Valid","Invalid")</f>
        <v>Valid</v>
      </c>
      <c r="H412" s="3" t="str">
        <f>IF(Finance_Data!L408&gt;0,"Valid","Invalid")</f>
        <v>Valid</v>
      </c>
      <c r="I412" s="3" t="str">
        <f>IF(Finance_Data!L408&gt;=Finance_Data!M408,"Valid","Invalid")</f>
        <v>Valid</v>
      </c>
      <c r="J412" s="3" t="str">
        <f>IF(AND(Finance_Data!I408&gt;=0,Finance_Data!K408&gt;=0),"Valid","Invalid")</f>
        <v>Valid</v>
      </c>
      <c r="K412" s="3" t="str">
        <f>IF(Finance_Data!N408&gt;=0,"Valid","Invalid")</f>
        <v>Valid</v>
      </c>
      <c r="L412" s="3" t="str">
        <f>IF(TEXT(Finance_Data!G408,"mmmm")=Finance_Data!P408,"Valid","Invalid")</f>
        <v>Valid</v>
      </c>
      <c r="M412" s="3" t="str">
        <f>IF("Q"&amp;ROUNDUP(MONTH(Finance_Data!G408)/3,0)=Finance_Data!Q408,"Valid","Invalid")</f>
        <v>Valid</v>
      </c>
      <c r="N412" s="7" t="str">
        <f t="shared" si="6"/>
        <v>Pass</v>
      </c>
    </row>
    <row r="413" spans="1:14" x14ac:dyDescent="0.35">
      <c r="A413" s="17" t="s">
        <v>81</v>
      </c>
      <c r="B413" s="3" t="str">
        <f>IF(ISBLANK(Table3[[#This Row],[Campaign_ID]]),"Invalid","Valid")</f>
        <v>Valid</v>
      </c>
      <c r="C413" s="3" t="str">
        <f>IF(COUNTA(Finance_Data!A409:R409)=18,"Valid","Missing")</f>
        <v>Valid</v>
      </c>
      <c r="D413" s="3" t="str">
        <f>IF(COUNTIF(Finance_Data!$T$2:$T$1001,Finance_Data!T409)&gt;1,"Duplicate","Valid")</f>
        <v>Valid</v>
      </c>
      <c r="E413" s="3" t="str">
        <f>IF(Finance_Data!H409&gt;Finance_Data!G409,"Valid","Invalid")</f>
        <v>Valid</v>
      </c>
      <c r="F413" s="3" t="str" cm="1">
        <f t="array" ref="F413">_xlfn.IFS(Finance_Data!S409&lt;7,"Short",Finance_Data!S409&lt;=30,"Normal",Finance_Data!S409&lt;=60,"Long",Finance_Data!S409&gt;60,"Very Long")</f>
        <v>Normal</v>
      </c>
      <c r="G413" s="3" t="str">
        <f>IF(ABS(Finance_Data!I409*Finance_Data!J409)-Finance_Data!K409&lt;1,"Valid","Invalid")</f>
        <v>Valid</v>
      </c>
      <c r="H413" s="3" t="str">
        <f>IF(Finance_Data!L409&gt;0,"Valid","Invalid")</f>
        <v>Valid</v>
      </c>
      <c r="I413" s="3" t="str">
        <f>IF(Finance_Data!L409&gt;=Finance_Data!M409,"Valid","Invalid")</f>
        <v>Valid</v>
      </c>
      <c r="J413" s="3" t="str">
        <f>IF(AND(Finance_Data!I409&gt;=0,Finance_Data!K409&gt;=0),"Valid","Invalid")</f>
        <v>Valid</v>
      </c>
      <c r="K413" s="3" t="str">
        <f>IF(Finance_Data!N409&gt;=0,"Valid","Invalid")</f>
        <v>Valid</v>
      </c>
      <c r="L413" s="3" t="str">
        <f>IF(TEXT(Finance_Data!G409,"mmmm")=Finance_Data!P409,"Valid","Invalid")</f>
        <v>Valid</v>
      </c>
      <c r="M413" s="3" t="str">
        <f>IF("Q"&amp;ROUNDUP(MONTH(Finance_Data!G409)/3,0)=Finance_Data!Q409,"Valid","Invalid")</f>
        <v>Valid</v>
      </c>
      <c r="N413" s="7" t="str">
        <f t="shared" si="6"/>
        <v>Pass</v>
      </c>
    </row>
    <row r="414" spans="1:14" x14ac:dyDescent="0.35">
      <c r="A414" s="17" t="s">
        <v>115</v>
      </c>
      <c r="B414" s="3" t="str">
        <f>IF(ISBLANK(Table3[[#This Row],[Campaign_ID]]),"Invalid","Valid")</f>
        <v>Valid</v>
      </c>
      <c r="C414" s="3" t="str">
        <f>IF(COUNTA(Finance_Data!A410:R410)=18,"Valid","Missing")</f>
        <v>Valid</v>
      </c>
      <c r="D414" s="3" t="str">
        <f>IF(COUNTIF(Finance_Data!$T$2:$T$1001,Finance_Data!T410)&gt;1,"Duplicate","Valid")</f>
        <v>Valid</v>
      </c>
      <c r="E414" s="3" t="str">
        <f>IF(Finance_Data!H410&gt;Finance_Data!G410,"Valid","Invalid")</f>
        <v>Valid</v>
      </c>
      <c r="F414" s="3" t="str" cm="1">
        <f t="array" ref="F414">_xlfn.IFS(Finance_Data!S410&lt;7,"Short",Finance_Data!S410&lt;=30,"Normal",Finance_Data!S410&lt;=60,"Long",Finance_Data!S410&gt;60,"Very Long")</f>
        <v>Normal</v>
      </c>
      <c r="G414" s="3" t="str">
        <f>IF(ABS(Finance_Data!I410*Finance_Data!J410)-Finance_Data!K410&lt;1,"Valid","Invalid")</f>
        <v>Valid</v>
      </c>
      <c r="H414" s="3" t="str">
        <f>IF(Finance_Data!L410&gt;0,"Valid","Invalid")</f>
        <v>Valid</v>
      </c>
      <c r="I414" s="3" t="str">
        <f>IF(Finance_Data!L410&gt;=Finance_Data!M410,"Valid","Invalid")</f>
        <v>Valid</v>
      </c>
      <c r="J414" s="3" t="str">
        <f>IF(AND(Finance_Data!I410&gt;=0,Finance_Data!K410&gt;=0),"Valid","Invalid")</f>
        <v>Valid</v>
      </c>
      <c r="K414" s="3" t="str">
        <f>IF(Finance_Data!N410&gt;=0,"Valid","Invalid")</f>
        <v>Valid</v>
      </c>
      <c r="L414" s="3" t="str">
        <f>IF(TEXT(Finance_Data!G410,"mmmm")=Finance_Data!P410,"Valid","Invalid")</f>
        <v>Valid</v>
      </c>
      <c r="M414" s="3" t="str">
        <f>IF("Q"&amp;ROUNDUP(MONTH(Finance_Data!G410)/3,0)=Finance_Data!Q410,"Valid","Invalid")</f>
        <v>Valid</v>
      </c>
      <c r="N414" s="7" t="str">
        <f t="shared" si="6"/>
        <v>Pass</v>
      </c>
    </row>
    <row r="415" spans="1:14" x14ac:dyDescent="0.35">
      <c r="A415" s="17" t="s">
        <v>101</v>
      </c>
      <c r="B415" s="3" t="str">
        <f>IF(ISBLANK(Table3[[#This Row],[Campaign_ID]]),"Invalid","Valid")</f>
        <v>Valid</v>
      </c>
      <c r="C415" s="3" t="str">
        <f>IF(COUNTA(Finance_Data!A411:R411)=18,"Valid","Missing")</f>
        <v>Valid</v>
      </c>
      <c r="D415" s="3" t="str">
        <f>IF(COUNTIF(Finance_Data!$T$2:$T$1001,Finance_Data!T411)&gt;1,"Duplicate","Valid")</f>
        <v>Valid</v>
      </c>
      <c r="E415" s="3" t="str">
        <f>IF(Finance_Data!H411&gt;Finance_Data!G411,"Valid","Invalid")</f>
        <v>Valid</v>
      </c>
      <c r="F415" s="3" t="str" cm="1">
        <f t="array" ref="F415">_xlfn.IFS(Finance_Data!S411&lt;7,"Short",Finance_Data!S411&lt;=30,"Normal",Finance_Data!S411&lt;=60,"Long",Finance_Data!S411&gt;60,"Very Long")</f>
        <v>Long</v>
      </c>
      <c r="G415" s="3" t="str">
        <f>IF(ABS(Finance_Data!I411*Finance_Data!J411)-Finance_Data!K411&lt;1,"Valid","Invalid")</f>
        <v>Valid</v>
      </c>
      <c r="H415" s="3" t="str">
        <f>IF(Finance_Data!L411&gt;0,"Valid","Invalid")</f>
        <v>Valid</v>
      </c>
      <c r="I415" s="3" t="str">
        <f>IF(Finance_Data!L411&gt;=Finance_Data!M411,"Valid","Invalid")</f>
        <v>Valid</v>
      </c>
      <c r="J415" s="3" t="str">
        <f>IF(AND(Finance_Data!I411&gt;=0,Finance_Data!K411&gt;=0),"Valid","Invalid")</f>
        <v>Valid</v>
      </c>
      <c r="K415" s="3" t="str">
        <f>IF(Finance_Data!N411&gt;=0,"Valid","Invalid")</f>
        <v>Valid</v>
      </c>
      <c r="L415" s="3" t="str">
        <f>IF(TEXT(Finance_Data!G411,"mmmm")=Finance_Data!P411,"Valid","Invalid")</f>
        <v>Valid</v>
      </c>
      <c r="M415" s="3" t="str">
        <f>IF("Q"&amp;ROUNDUP(MONTH(Finance_Data!G411)/3,0)=Finance_Data!Q411,"Valid","Invalid")</f>
        <v>Valid</v>
      </c>
      <c r="N415" s="7" t="str">
        <f t="shared" si="6"/>
        <v>Pass</v>
      </c>
    </row>
    <row r="416" spans="1:14" x14ac:dyDescent="0.35">
      <c r="A416" s="17" t="s">
        <v>42</v>
      </c>
      <c r="B416" s="3" t="str">
        <f>IF(ISBLANK(Table3[[#This Row],[Campaign_ID]]),"Invalid","Valid")</f>
        <v>Valid</v>
      </c>
      <c r="C416" s="3" t="str">
        <f>IF(COUNTA(Finance_Data!A412:R412)=18,"Valid","Missing")</f>
        <v>Valid</v>
      </c>
      <c r="D416" s="3" t="str">
        <f>IF(COUNTIF(Finance_Data!$T$2:$T$1001,Finance_Data!T412)&gt;1,"Duplicate","Valid")</f>
        <v>Valid</v>
      </c>
      <c r="E416" s="3" t="str">
        <f>IF(Finance_Data!H412&gt;Finance_Data!G412,"Valid","Invalid")</f>
        <v>Valid</v>
      </c>
      <c r="F416" s="3" t="str" cm="1">
        <f t="array" ref="F416">_xlfn.IFS(Finance_Data!S412&lt;7,"Short",Finance_Data!S412&lt;=30,"Normal",Finance_Data!S412&lt;=60,"Long",Finance_Data!S412&gt;60,"Very Long")</f>
        <v>Long</v>
      </c>
      <c r="G416" s="3" t="str">
        <f>IF(ABS(Finance_Data!I412*Finance_Data!J412)-Finance_Data!K412&lt;1,"Valid","Invalid")</f>
        <v>Valid</v>
      </c>
      <c r="H416" s="3" t="str">
        <f>IF(Finance_Data!L412&gt;0,"Valid","Invalid")</f>
        <v>Valid</v>
      </c>
      <c r="I416" s="3" t="str">
        <f>IF(Finance_Data!L412&gt;=Finance_Data!M412,"Valid","Invalid")</f>
        <v>Valid</v>
      </c>
      <c r="J416" s="3" t="str">
        <f>IF(AND(Finance_Data!I412&gt;=0,Finance_Data!K412&gt;=0),"Valid","Invalid")</f>
        <v>Valid</v>
      </c>
      <c r="K416" s="3" t="str">
        <f>IF(Finance_Data!N412&gt;=0,"Valid","Invalid")</f>
        <v>Valid</v>
      </c>
      <c r="L416" s="3" t="str">
        <f>IF(TEXT(Finance_Data!G412,"mmmm")=Finance_Data!P412,"Valid","Invalid")</f>
        <v>Valid</v>
      </c>
      <c r="M416" s="3" t="str">
        <f>IF("Q"&amp;ROUNDUP(MONTH(Finance_Data!G412)/3,0)=Finance_Data!Q412,"Valid","Invalid")</f>
        <v>Valid</v>
      </c>
      <c r="N416" s="7" t="str">
        <f t="shared" si="6"/>
        <v>Pass</v>
      </c>
    </row>
    <row r="417" spans="1:14" x14ac:dyDescent="0.35">
      <c r="A417" s="17" t="s">
        <v>34</v>
      </c>
      <c r="B417" s="3" t="str">
        <f>IF(ISBLANK(Table3[[#This Row],[Campaign_ID]]),"Invalid","Valid")</f>
        <v>Valid</v>
      </c>
      <c r="C417" s="3" t="str">
        <f>IF(COUNTA(Finance_Data!A413:R413)=18,"Valid","Missing")</f>
        <v>Valid</v>
      </c>
      <c r="D417" s="3" t="str">
        <f>IF(COUNTIF(Finance_Data!$T$2:$T$1001,Finance_Data!T413)&gt;1,"Duplicate","Valid")</f>
        <v>Valid</v>
      </c>
      <c r="E417" s="3" t="str">
        <f>IF(Finance_Data!H413&gt;Finance_Data!G413,"Valid","Invalid")</f>
        <v>Valid</v>
      </c>
      <c r="F417" s="3" t="str" cm="1">
        <f t="array" ref="F417">_xlfn.IFS(Finance_Data!S413&lt;7,"Short",Finance_Data!S413&lt;=30,"Normal",Finance_Data!S413&lt;=60,"Long",Finance_Data!S413&gt;60,"Very Long")</f>
        <v>Normal</v>
      </c>
      <c r="G417" s="3" t="str">
        <f>IF(ABS(Finance_Data!I413*Finance_Data!J413)-Finance_Data!K413&lt;1,"Valid","Invalid")</f>
        <v>Valid</v>
      </c>
      <c r="H417" s="3" t="str">
        <f>IF(Finance_Data!L413&gt;0,"Valid","Invalid")</f>
        <v>Valid</v>
      </c>
      <c r="I417" s="3" t="str">
        <f>IF(Finance_Data!L413&gt;=Finance_Data!M413,"Valid","Invalid")</f>
        <v>Valid</v>
      </c>
      <c r="J417" s="3" t="str">
        <f>IF(AND(Finance_Data!I413&gt;=0,Finance_Data!K413&gt;=0),"Valid","Invalid")</f>
        <v>Valid</v>
      </c>
      <c r="K417" s="3" t="str">
        <f>IF(Finance_Data!N413&gt;=0,"Valid","Invalid")</f>
        <v>Valid</v>
      </c>
      <c r="L417" s="3" t="str">
        <f>IF(TEXT(Finance_Data!G413,"mmmm")=Finance_Data!P413,"Valid","Invalid")</f>
        <v>Valid</v>
      </c>
      <c r="M417" s="3" t="str">
        <f>IF("Q"&amp;ROUNDUP(MONTH(Finance_Data!G413)/3,0)=Finance_Data!Q413,"Valid","Invalid")</f>
        <v>Valid</v>
      </c>
      <c r="N417" s="7" t="str">
        <f t="shared" si="6"/>
        <v>Pass</v>
      </c>
    </row>
    <row r="418" spans="1:14" x14ac:dyDescent="0.35">
      <c r="A418" s="17" t="s">
        <v>42</v>
      </c>
      <c r="B418" s="3" t="str">
        <f>IF(ISBLANK(Table3[[#This Row],[Campaign_ID]]),"Invalid","Valid")</f>
        <v>Valid</v>
      </c>
      <c r="C418" s="3" t="str">
        <f>IF(COUNTA(Finance_Data!A414:R414)=18,"Valid","Missing")</f>
        <v>Valid</v>
      </c>
      <c r="D418" s="3" t="str">
        <f>IF(COUNTIF(Finance_Data!$T$2:$T$1001,Finance_Data!T414)&gt;1,"Duplicate","Valid")</f>
        <v>Valid</v>
      </c>
      <c r="E418" s="3" t="str">
        <f>IF(Finance_Data!H414&gt;Finance_Data!G414,"Valid","Invalid")</f>
        <v>Valid</v>
      </c>
      <c r="F418" s="3" t="str" cm="1">
        <f t="array" ref="F418">_xlfn.IFS(Finance_Data!S414&lt;7,"Short",Finance_Data!S414&lt;=30,"Normal",Finance_Data!S414&lt;=60,"Long",Finance_Data!S414&gt;60,"Very Long")</f>
        <v>Long</v>
      </c>
      <c r="G418" s="3" t="str">
        <f>IF(ABS(Finance_Data!I414*Finance_Data!J414)-Finance_Data!K414&lt;1,"Valid","Invalid")</f>
        <v>Valid</v>
      </c>
      <c r="H418" s="3" t="str">
        <f>IF(Finance_Data!L414&gt;0,"Valid","Invalid")</f>
        <v>Valid</v>
      </c>
      <c r="I418" s="3" t="str">
        <f>IF(Finance_Data!L414&gt;=Finance_Data!M414,"Valid","Invalid")</f>
        <v>Valid</v>
      </c>
      <c r="J418" s="3" t="str">
        <f>IF(AND(Finance_Data!I414&gt;=0,Finance_Data!K414&gt;=0),"Valid","Invalid")</f>
        <v>Valid</v>
      </c>
      <c r="K418" s="3" t="str">
        <f>IF(Finance_Data!N414&gt;=0,"Valid","Invalid")</f>
        <v>Valid</v>
      </c>
      <c r="L418" s="3" t="str">
        <f>IF(TEXT(Finance_Data!G414,"mmmm")=Finance_Data!P414,"Valid","Invalid")</f>
        <v>Valid</v>
      </c>
      <c r="M418" s="3" t="str">
        <f>IF("Q"&amp;ROUNDUP(MONTH(Finance_Data!G414)/3,0)=Finance_Data!Q414,"Valid","Invalid")</f>
        <v>Valid</v>
      </c>
      <c r="N418" s="7" t="str">
        <f t="shared" si="6"/>
        <v>Pass</v>
      </c>
    </row>
    <row r="419" spans="1:14" x14ac:dyDescent="0.35">
      <c r="A419" s="17" t="s">
        <v>78</v>
      </c>
      <c r="B419" s="3" t="str">
        <f>IF(ISBLANK(Table3[[#This Row],[Campaign_ID]]),"Invalid","Valid")</f>
        <v>Valid</v>
      </c>
      <c r="C419" s="3" t="str">
        <f>IF(COUNTA(Finance_Data!A415:R415)=18,"Valid","Missing")</f>
        <v>Valid</v>
      </c>
      <c r="D419" s="3" t="str">
        <f>IF(COUNTIF(Finance_Data!$T$2:$T$1001,Finance_Data!T415)&gt;1,"Duplicate","Valid")</f>
        <v>Valid</v>
      </c>
      <c r="E419" s="3" t="str">
        <f>IF(Finance_Data!H415&gt;Finance_Data!G415,"Valid","Invalid")</f>
        <v>Valid</v>
      </c>
      <c r="F419" s="3" t="str" cm="1">
        <f t="array" ref="F419">_xlfn.IFS(Finance_Data!S415&lt;7,"Short",Finance_Data!S415&lt;=30,"Normal",Finance_Data!S415&lt;=60,"Long",Finance_Data!S415&gt;60,"Very Long")</f>
        <v>Normal</v>
      </c>
      <c r="G419" s="3" t="str">
        <f>IF(ABS(Finance_Data!I415*Finance_Data!J415)-Finance_Data!K415&lt;1,"Valid","Invalid")</f>
        <v>Valid</v>
      </c>
      <c r="H419" s="3" t="str">
        <f>IF(Finance_Data!L415&gt;0,"Valid","Invalid")</f>
        <v>Valid</v>
      </c>
      <c r="I419" s="3" t="str">
        <f>IF(Finance_Data!L415&gt;=Finance_Data!M415,"Valid","Invalid")</f>
        <v>Valid</v>
      </c>
      <c r="J419" s="3" t="str">
        <f>IF(AND(Finance_Data!I415&gt;=0,Finance_Data!K415&gt;=0),"Valid","Invalid")</f>
        <v>Valid</v>
      </c>
      <c r="K419" s="3" t="str">
        <f>IF(Finance_Data!N415&gt;=0,"Valid","Invalid")</f>
        <v>Valid</v>
      </c>
      <c r="L419" s="3" t="str">
        <f>IF(TEXT(Finance_Data!G415,"mmmm")=Finance_Data!P415,"Valid","Invalid")</f>
        <v>Valid</v>
      </c>
      <c r="M419" s="3" t="str">
        <f>IF("Q"&amp;ROUNDUP(MONTH(Finance_Data!G415)/3,0)=Finance_Data!Q415,"Valid","Invalid")</f>
        <v>Valid</v>
      </c>
      <c r="N419" s="7" t="str">
        <f t="shared" si="6"/>
        <v>Pass</v>
      </c>
    </row>
    <row r="420" spans="1:14" x14ac:dyDescent="0.35">
      <c r="A420" s="17" t="s">
        <v>87</v>
      </c>
      <c r="B420" s="3" t="str">
        <f>IF(ISBLANK(Table3[[#This Row],[Campaign_ID]]),"Invalid","Valid")</f>
        <v>Valid</v>
      </c>
      <c r="C420" s="3" t="str">
        <f>IF(COUNTA(Finance_Data!A416:R416)=18,"Valid","Missing")</f>
        <v>Valid</v>
      </c>
      <c r="D420" s="3" t="str">
        <f>IF(COUNTIF(Finance_Data!$T$2:$T$1001,Finance_Data!T416)&gt;1,"Duplicate","Valid")</f>
        <v>Valid</v>
      </c>
      <c r="E420" s="3" t="str">
        <f>IF(Finance_Data!H416&gt;Finance_Data!G416,"Valid","Invalid")</f>
        <v>Valid</v>
      </c>
      <c r="F420" s="3" t="str" cm="1">
        <f t="array" ref="F420">_xlfn.IFS(Finance_Data!S416&lt;7,"Short",Finance_Data!S416&lt;=30,"Normal",Finance_Data!S416&lt;=60,"Long",Finance_Data!S416&gt;60,"Very Long")</f>
        <v>Long</v>
      </c>
      <c r="G420" s="3" t="str">
        <f>IF(ABS(Finance_Data!I416*Finance_Data!J416)-Finance_Data!K416&lt;1,"Valid","Invalid")</f>
        <v>Valid</v>
      </c>
      <c r="H420" s="3" t="str">
        <f>IF(Finance_Data!L416&gt;0,"Valid","Invalid")</f>
        <v>Valid</v>
      </c>
      <c r="I420" s="3" t="str">
        <f>IF(Finance_Data!L416&gt;=Finance_Data!M416,"Valid","Invalid")</f>
        <v>Valid</v>
      </c>
      <c r="J420" s="3" t="str">
        <f>IF(AND(Finance_Data!I416&gt;=0,Finance_Data!K416&gt;=0),"Valid","Invalid")</f>
        <v>Valid</v>
      </c>
      <c r="K420" s="3" t="str">
        <f>IF(Finance_Data!N416&gt;=0,"Valid","Invalid")</f>
        <v>Valid</v>
      </c>
      <c r="L420" s="3" t="str">
        <f>IF(TEXT(Finance_Data!G416,"mmmm")=Finance_Data!P416,"Valid","Invalid")</f>
        <v>Valid</v>
      </c>
      <c r="M420" s="3" t="str">
        <f>IF("Q"&amp;ROUNDUP(MONTH(Finance_Data!G416)/3,0)=Finance_Data!Q416,"Valid","Invalid")</f>
        <v>Valid</v>
      </c>
      <c r="N420" s="7" t="str">
        <f t="shared" si="6"/>
        <v>Pass</v>
      </c>
    </row>
    <row r="421" spans="1:14" x14ac:dyDescent="0.35">
      <c r="A421" s="17" t="s">
        <v>92</v>
      </c>
      <c r="B421" s="3" t="str">
        <f>IF(ISBLANK(Table3[[#This Row],[Campaign_ID]]),"Invalid","Valid")</f>
        <v>Valid</v>
      </c>
      <c r="C421" s="3" t="str">
        <f>IF(COUNTA(Finance_Data!A417:R417)=18,"Valid","Missing")</f>
        <v>Valid</v>
      </c>
      <c r="D421" s="3" t="str">
        <f>IF(COUNTIF(Finance_Data!$T$2:$T$1001,Finance_Data!T417)&gt;1,"Duplicate","Valid")</f>
        <v>Valid</v>
      </c>
      <c r="E421" s="3" t="str">
        <f>IF(Finance_Data!H417&gt;Finance_Data!G417,"Valid","Invalid")</f>
        <v>Valid</v>
      </c>
      <c r="F421" s="3" t="str" cm="1">
        <f t="array" ref="F421">_xlfn.IFS(Finance_Data!S417&lt;7,"Short",Finance_Data!S417&lt;=30,"Normal",Finance_Data!S417&lt;=60,"Long",Finance_Data!S417&gt;60,"Very Long")</f>
        <v>Long</v>
      </c>
      <c r="G421" s="3" t="str">
        <f>IF(ABS(Finance_Data!I417*Finance_Data!J417)-Finance_Data!K417&lt;1,"Valid","Invalid")</f>
        <v>Valid</v>
      </c>
      <c r="H421" s="3" t="str">
        <f>IF(Finance_Data!L417&gt;0,"Valid","Invalid")</f>
        <v>Valid</v>
      </c>
      <c r="I421" s="3" t="str">
        <f>IF(Finance_Data!L417&gt;=Finance_Data!M417,"Valid","Invalid")</f>
        <v>Valid</v>
      </c>
      <c r="J421" s="3" t="str">
        <f>IF(AND(Finance_Data!I417&gt;=0,Finance_Data!K417&gt;=0),"Valid","Invalid")</f>
        <v>Valid</v>
      </c>
      <c r="K421" s="3" t="str">
        <f>IF(Finance_Data!N417&gt;=0,"Valid","Invalid")</f>
        <v>Valid</v>
      </c>
      <c r="L421" s="3" t="str">
        <f>IF(TEXT(Finance_Data!G417,"mmmm")=Finance_Data!P417,"Valid","Invalid")</f>
        <v>Valid</v>
      </c>
      <c r="M421" s="3" t="str">
        <f>IF("Q"&amp;ROUNDUP(MONTH(Finance_Data!G417)/3,0)=Finance_Data!Q417,"Valid","Invalid")</f>
        <v>Valid</v>
      </c>
      <c r="N421" s="7" t="str">
        <f t="shared" si="6"/>
        <v>Pass</v>
      </c>
    </row>
    <row r="422" spans="1:14" x14ac:dyDescent="0.35">
      <c r="A422" s="17" t="s">
        <v>86</v>
      </c>
      <c r="B422" s="3" t="str">
        <f>IF(ISBLANK(Table3[[#This Row],[Campaign_ID]]),"Invalid","Valid")</f>
        <v>Valid</v>
      </c>
      <c r="C422" s="3" t="str">
        <f>IF(COUNTA(Finance_Data!A418:R418)=18,"Valid","Missing")</f>
        <v>Valid</v>
      </c>
      <c r="D422" s="3" t="str">
        <f>IF(COUNTIF(Finance_Data!$T$2:$T$1001,Finance_Data!T418)&gt;1,"Duplicate","Valid")</f>
        <v>Valid</v>
      </c>
      <c r="E422" s="3" t="str">
        <f>IF(Finance_Data!H418&gt;Finance_Data!G418,"Valid","Invalid")</f>
        <v>Valid</v>
      </c>
      <c r="F422" s="3" t="str" cm="1">
        <f t="array" ref="F422">_xlfn.IFS(Finance_Data!S418&lt;7,"Short",Finance_Data!S418&lt;=30,"Normal",Finance_Data!S418&lt;=60,"Long",Finance_Data!S418&gt;60,"Very Long")</f>
        <v>Long</v>
      </c>
      <c r="G422" s="3" t="str">
        <f>IF(ABS(Finance_Data!I418*Finance_Data!J418)-Finance_Data!K418&lt;1,"Valid","Invalid")</f>
        <v>Valid</v>
      </c>
      <c r="H422" s="3" t="str">
        <f>IF(Finance_Data!L418&gt;0,"Valid","Invalid")</f>
        <v>Valid</v>
      </c>
      <c r="I422" s="3" t="str">
        <f>IF(Finance_Data!L418&gt;=Finance_Data!M418,"Valid","Invalid")</f>
        <v>Valid</v>
      </c>
      <c r="J422" s="3" t="str">
        <f>IF(AND(Finance_Data!I418&gt;=0,Finance_Data!K418&gt;=0),"Valid","Invalid")</f>
        <v>Valid</v>
      </c>
      <c r="K422" s="3" t="str">
        <f>IF(Finance_Data!N418&gt;=0,"Valid","Invalid")</f>
        <v>Valid</v>
      </c>
      <c r="L422" s="3" t="str">
        <f>IF(TEXT(Finance_Data!G418,"mmmm")=Finance_Data!P418,"Valid","Invalid")</f>
        <v>Valid</v>
      </c>
      <c r="M422" s="3" t="str">
        <f>IF("Q"&amp;ROUNDUP(MONTH(Finance_Data!G418)/3,0)=Finance_Data!Q418,"Valid","Invalid")</f>
        <v>Valid</v>
      </c>
      <c r="N422" s="7" t="str">
        <f t="shared" si="6"/>
        <v>Pass</v>
      </c>
    </row>
    <row r="423" spans="1:14" x14ac:dyDescent="0.35">
      <c r="A423" s="17" t="s">
        <v>71</v>
      </c>
      <c r="B423" s="3" t="str">
        <f>IF(ISBLANK(Table3[[#This Row],[Campaign_ID]]),"Invalid","Valid")</f>
        <v>Valid</v>
      </c>
      <c r="C423" s="3" t="str">
        <f>IF(COUNTA(Finance_Data!A419:R419)=18,"Valid","Missing")</f>
        <v>Valid</v>
      </c>
      <c r="D423" s="3" t="str">
        <f>IF(COUNTIF(Finance_Data!$T$2:$T$1001,Finance_Data!T419)&gt;1,"Duplicate","Valid")</f>
        <v>Valid</v>
      </c>
      <c r="E423" s="3" t="str">
        <f>IF(Finance_Data!H419&gt;Finance_Data!G419,"Valid","Invalid")</f>
        <v>Valid</v>
      </c>
      <c r="F423" s="3" t="str" cm="1">
        <f t="array" ref="F423">_xlfn.IFS(Finance_Data!S419&lt;7,"Short",Finance_Data!S419&lt;=30,"Normal",Finance_Data!S419&lt;=60,"Long",Finance_Data!S419&gt;60,"Very Long")</f>
        <v>Long</v>
      </c>
      <c r="G423" s="3" t="str">
        <f>IF(ABS(Finance_Data!I419*Finance_Data!J419)-Finance_Data!K419&lt;1,"Valid","Invalid")</f>
        <v>Valid</v>
      </c>
      <c r="H423" s="3" t="str">
        <f>IF(Finance_Data!L419&gt;0,"Valid","Invalid")</f>
        <v>Valid</v>
      </c>
      <c r="I423" s="3" t="str">
        <f>IF(Finance_Data!L419&gt;=Finance_Data!M419,"Valid","Invalid")</f>
        <v>Valid</v>
      </c>
      <c r="J423" s="3" t="str">
        <f>IF(AND(Finance_Data!I419&gt;=0,Finance_Data!K419&gt;=0),"Valid","Invalid")</f>
        <v>Valid</v>
      </c>
      <c r="K423" s="3" t="str">
        <f>IF(Finance_Data!N419&gt;=0,"Valid","Invalid")</f>
        <v>Valid</v>
      </c>
      <c r="L423" s="3" t="str">
        <f>IF(TEXT(Finance_Data!G419,"mmmm")=Finance_Data!P419,"Valid","Invalid")</f>
        <v>Valid</v>
      </c>
      <c r="M423" s="3" t="str">
        <f>IF("Q"&amp;ROUNDUP(MONTH(Finance_Data!G419)/3,0)=Finance_Data!Q419,"Valid","Invalid")</f>
        <v>Valid</v>
      </c>
      <c r="N423" s="7" t="str">
        <f t="shared" si="6"/>
        <v>Pass</v>
      </c>
    </row>
    <row r="424" spans="1:14" x14ac:dyDescent="0.35">
      <c r="A424" s="17" t="s">
        <v>118</v>
      </c>
      <c r="B424" s="3" t="str">
        <f>IF(ISBLANK(Table3[[#This Row],[Campaign_ID]]),"Invalid","Valid")</f>
        <v>Valid</v>
      </c>
      <c r="C424" s="3" t="str">
        <f>IF(COUNTA(Finance_Data!A420:R420)=18,"Valid","Missing")</f>
        <v>Valid</v>
      </c>
      <c r="D424" s="3" t="str">
        <f>IF(COUNTIF(Finance_Data!$T$2:$T$1001,Finance_Data!T420)&gt;1,"Duplicate","Valid")</f>
        <v>Valid</v>
      </c>
      <c r="E424" s="3" t="str">
        <f>IF(Finance_Data!H420&gt;Finance_Data!G420,"Valid","Invalid")</f>
        <v>Valid</v>
      </c>
      <c r="F424" s="3" t="str" cm="1">
        <f t="array" ref="F424">_xlfn.IFS(Finance_Data!S420&lt;7,"Short",Finance_Data!S420&lt;=30,"Normal",Finance_Data!S420&lt;=60,"Long",Finance_Data!S420&gt;60,"Very Long")</f>
        <v>Long</v>
      </c>
      <c r="G424" s="3" t="str">
        <f>IF(ABS(Finance_Data!I420*Finance_Data!J420)-Finance_Data!K420&lt;1,"Valid","Invalid")</f>
        <v>Valid</v>
      </c>
      <c r="H424" s="3" t="str">
        <f>IF(Finance_Data!L420&gt;0,"Valid","Invalid")</f>
        <v>Valid</v>
      </c>
      <c r="I424" s="3" t="str">
        <f>IF(Finance_Data!L420&gt;=Finance_Data!M420,"Valid","Invalid")</f>
        <v>Valid</v>
      </c>
      <c r="J424" s="3" t="str">
        <f>IF(AND(Finance_Data!I420&gt;=0,Finance_Data!K420&gt;=0),"Valid","Invalid")</f>
        <v>Valid</v>
      </c>
      <c r="K424" s="3" t="str">
        <f>IF(Finance_Data!N420&gt;=0,"Valid","Invalid")</f>
        <v>Valid</v>
      </c>
      <c r="L424" s="3" t="str">
        <f>IF(TEXT(Finance_Data!G420,"mmmm")=Finance_Data!P420,"Valid","Invalid")</f>
        <v>Valid</v>
      </c>
      <c r="M424" s="3" t="str">
        <f>IF("Q"&amp;ROUNDUP(MONTH(Finance_Data!G420)/3,0)=Finance_Data!Q420,"Valid","Invalid")</f>
        <v>Valid</v>
      </c>
      <c r="N424" s="7" t="str">
        <f t="shared" si="6"/>
        <v>Pass</v>
      </c>
    </row>
    <row r="425" spans="1:14" x14ac:dyDescent="0.35">
      <c r="A425" s="17" t="s">
        <v>89</v>
      </c>
      <c r="B425" s="3" t="str">
        <f>IF(ISBLANK(Table3[[#This Row],[Campaign_ID]]),"Invalid","Valid")</f>
        <v>Valid</v>
      </c>
      <c r="C425" s="3" t="str">
        <f>IF(COUNTA(Finance_Data!A421:R421)=18,"Valid","Missing")</f>
        <v>Valid</v>
      </c>
      <c r="D425" s="3" t="str">
        <f>IF(COUNTIF(Finance_Data!$T$2:$T$1001,Finance_Data!T421)&gt;1,"Duplicate","Valid")</f>
        <v>Valid</v>
      </c>
      <c r="E425" s="3" t="str">
        <f>IF(Finance_Data!H421&gt;Finance_Data!G421,"Valid","Invalid")</f>
        <v>Valid</v>
      </c>
      <c r="F425" s="3" t="str" cm="1">
        <f t="array" ref="F425">_xlfn.IFS(Finance_Data!S421&lt;7,"Short",Finance_Data!S421&lt;=30,"Normal",Finance_Data!S421&lt;=60,"Long",Finance_Data!S421&gt;60,"Very Long")</f>
        <v>Long</v>
      </c>
      <c r="G425" s="3" t="str">
        <f>IF(ABS(Finance_Data!I421*Finance_Data!J421)-Finance_Data!K421&lt;1,"Valid","Invalid")</f>
        <v>Valid</v>
      </c>
      <c r="H425" s="3" t="str">
        <f>IF(Finance_Data!L421&gt;0,"Valid","Invalid")</f>
        <v>Valid</v>
      </c>
      <c r="I425" s="3" t="str">
        <f>IF(Finance_Data!L421&gt;=Finance_Data!M421,"Valid","Invalid")</f>
        <v>Valid</v>
      </c>
      <c r="J425" s="3" t="str">
        <f>IF(AND(Finance_Data!I421&gt;=0,Finance_Data!K421&gt;=0),"Valid","Invalid")</f>
        <v>Valid</v>
      </c>
      <c r="K425" s="3" t="str">
        <f>IF(Finance_Data!N421&gt;=0,"Valid","Invalid")</f>
        <v>Valid</v>
      </c>
      <c r="L425" s="3" t="str">
        <f>IF(TEXT(Finance_Data!G421,"mmmm")=Finance_Data!P421,"Valid","Invalid")</f>
        <v>Valid</v>
      </c>
      <c r="M425" s="3" t="str">
        <f>IF("Q"&amp;ROUNDUP(MONTH(Finance_Data!G421)/3,0)=Finance_Data!Q421,"Valid","Invalid")</f>
        <v>Valid</v>
      </c>
      <c r="N425" s="7" t="str">
        <f t="shared" si="6"/>
        <v>Pass</v>
      </c>
    </row>
    <row r="426" spans="1:14" x14ac:dyDescent="0.35">
      <c r="A426" s="17" t="s">
        <v>42</v>
      </c>
      <c r="B426" s="3" t="str">
        <f>IF(ISBLANK(Table3[[#This Row],[Campaign_ID]]),"Invalid","Valid")</f>
        <v>Valid</v>
      </c>
      <c r="C426" s="3" t="str">
        <f>IF(COUNTA(Finance_Data!A422:R422)=18,"Valid","Missing")</f>
        <v>Valid</v>
      </c>
      <c r="D426" s="3" t="str">
        <f>IF(COUNTIF(Finance_Data!$T$2:$T$1001,Finance_Data!T422)&gt;1,"Duplicate","Valid")</f>
        <v>Valid</v>
      </c>
      <c r="E426" s="3" t="str">
        <f>IF(Finance_Data!H422&gt;Finance_Data!G422,"Valid","Invalid")</f>
        <v>Valid</v>
      </c>
      <c r="F426" s="3" t="str" cm="1">
        <f t="array" ref="F426">_xlfn.IFS(Finance_Data!S422&lt;7,"Short",Finance_Data!S422&lt;=30,"Normal",Finance_Data!S422&lt;=60,"Long",Finance_Data!S422&gt;60,"Very Long")</f>
        <v>Long</v>
      </c>
      <c r="G426" s="3" t="str">
        <f>IF(ABS(Finance_Data!I422*Finance_Data!J422)-Finance_Data!K422&lt;1,"Valid","Invalid")</f>
        <v>Valid</v>
      </c>
      <c r="H426" s="3" t="str">
        <f>IF(Finance_Data!L422&gt;0,"Valid","Invalid")</f>
        <v>Valid</v>
      </c>
      <c r="I426" s="3" t="str">
        <f>IF(Finance_Data!L422&gt;=Finance_Data!M422,"Valid","Invalid")</f>
        <v>Valid</v>
      </c>
      <c r="J426" s="3" t="str">
        <f>IF(AND(Finance_Data!I422&gt;=0,Finance_Data!K422&gt;=0),"Valid","Invalid")</f>
        <v>Valid</v>
      </c>
      <c r="K426" s="3" t="str">
        <f>IF(Finance_Data!N422&gt;=0,"Valid","Invalid")</f>
        <v>Valid</v>
      </c>
      <c r="L426" s="3" t="str">
        <f>IF(TEXT(Finance_Data!G422,"mmmm")=Finance_Data!P422,"Valid","Invalid")</f>
        <v>Valid</v>
      </c>
      <c r="M426" s="3" t="str">
        <f>IF("Q"&amp;ROUNDUP(MONTH(Finance_Data!G422)/3,0)=Finance_Data!Q422,"Valid","Invalid")</f>
        <v>Valid</v>
      </c>
      <c r="N426" s="7" t="str">
        <f t="shared" si="6"/>
        <v>Pass</v>
      </c>
    </row>
    <row r="427" spans="1:14" x14ac:dyDescent="0.35">
      <c r="A427" s="17" t="s">
        <v>72</v>
      </c>
      <c r="B427" s="3" t="str">
        <f>IF(ISBLANK(Table3[[#This Row],[Campaign_ID]]),"Invalid","Valid")</f>
        <v>Valid</v>
      </c>
      <c r="C427" s="3" t="str">
        <f>IF(COUNTA(Finance_Data!A423:R423)=18,"Valid","Missing")</f>
        <v>Valid</v>
      </c>
      <c r="D427" s="3" t="str">
        <f>IF(COUNTIF(Finance_Data!$T$2:$T$1001,Finance_Data!T423)&gt;1,"Duplicate","Valid")</f>
        <v>Valid</v>
      </c>
      <c r="E427" s="3" t="str">
        <f>IF(Finance_Data!H423&gt;Finance_Data!G423,"Valid","Invalid")</f>
        <v>Valid</v>
      </c>
      <c r="F427" s="3" t="str" cm="1">
        <f t="array" ref="F427">_xlfn.IFS(Finance_Data!S423&lt;7,"Short",Finance_Data!S423&lt;=30,"Normal",Finance_Data!S423&lt;=60,"Long",Finance_Data!S423&gt;60,"Very Long")</f>
        <v>Long</v>
      </c>
      <c r="G427" s="3" t="str">
        <f>IF(ABS(Finance_Data!I423*Finance_Data!J423)-Finance_Data!K423&lt;1,"Valid","Invalid")</f>
        <v>Valid</v>
      </c>
      <c r="H427" s="3" t="str">
        <f>IF(Finance_Data!L423&gt;0,"Valid","Invalid")</f>
        <v>Valid</v>
      </c>
      <c r="I427" s="3" t="str">
        <f>IF(Finance_Data!L423&gt;=Finance_Data!M423,"Valid","Invalid")</f>
        <v>Valid</v>
      </c>
      <c r="J427" s="3" t="str">
        <f>IF(AND(Finance_Data!I423&gt;=0,Finance_Data!K423&gt;=0),"Valid","Invalid")</f>
        <v>Valid</v>
      </c>
      <c r="K427" s="3" t="str">
        <f>IF(Finance_Data!N423&gt;=0,"Valid","Invalid")</f>
        <v>Valid</v>
      </c>
      <c r="L427" s="3" t="str">
        <f>IF(TEXT(Finance_Data!G423,"mmmm")=Finance_Data!P423,"Valid","Invalid")</f>
        <v>Valid</v>
      </c>
      <c r="M427" s="3" t="str">
        <f>IF("Q"&amp;ROUNDUP(MONTH(Finance_Data!G423)/3,0)=Finance_Data!Q423,"Valid","Invalid")</f>
        <v>Valid</v>
      </c>
      <c r="N427" s="7" t="str">
        <f t="shared" si="6"/>
        <v>Pass</v>
      </c>
    </row>
    <row r="428" spans="1:14" x14ac:dyDescent="0.35">
      <c r="A428" s="17" t="s">
        <v>111</v>
      </c>
      <c r="B428" s="3" t="str">
        <f>IF(ISBLANK(Table3[[#This Row],[Campaign_ID]]),"Invalid","Valid")</f>
        <v>Valid</v>
      </c>
      <c r="C428" s="3" t="str">
        <f>IF(COUNTA(Finance_Data!A424:R424)=18,"Valid","Missing")</f>
        <v>Valid</v>
      </c>
      <c r="D428" s="3" t="str">
        <f>IF(COUNTIF(Finance_Data!$T$2:$T$1001,Finance_Data!T424)&gt;1,"Duplicate","Valid")</f>
        <v>Valid</v>
      </c>
      <c r="E428" s="3" t="str">
        <f>IF(Finance_Data!H424&gt;Finance_Data!G424,"Valid","Invalid")</f>
        <v>Valid</v>
      </c>
      <c r="F428" s="3" t="str" cm="1">
        <f t="array" ref="F428">_xlfn.IFS(Finance_Data!S424&lt;7,"Short",Finance_Data!S424&lt;=30,"Normal",Finance_Data!S424&lt;=60,"Long",Finance_Data!S424&gt;60,"Very Long")</f>
        <v>Very Long</v>
      </c>
      <c r="G428" s="3" t="str">
        <f>IF(ABS(Finance_Data!I424*Finance_Data!J424)-Finance_Data!K424&lt;1,"Valid","Invalid")</f>
        <v>Valid</v>
      </c>
      <c r="H428" s="3" t="str">
        <f>IF(Finance_Data!L424&gt;0,"Valid","Invalid")</f>
        <v>Valid</v>
      </c>
      <c r="I428" s="3" t="str">
        <f>IF(Finance_Data!L424&gt;=Finance_Data!M424,"Valid","Invalid")</f>
        <v>Valid</v>
      </c>
      <c r="J428" s="3" t="str">
        <f>IF(AND(Finance_Data!I424&gt;=0,Finance_Data!K424&gt;=0),"Valid","Invalid")</f>
        <v>Valid</v>
      </c>
      <c r="K428" s="3" t="str">
        <f>IF(Finance_Data!N424&gt;=0,"Valid","Invalid")</f>
        <v>Valid</v>
      </c>
      <c r="L428" s="3" t="str">
        <f>IF(TEXT(Finance_Data!G424,"mmmm")=Finance_Data!P424,"Valid","Invalid")</f>
        <v>Valid</v>
      </c>
      <c r="M428" s="3" t="str">
        <f>IF("Q"&amp;ROUNDUP(MONTH(Finance_Data!G424)/3,0)=Finance_Data!Q424,"Valid","Invalid")</f>
        <v>Valid</v>
      </c>
      <c r="N428" s="7" t="str">
        <f t="shared" si="6"/>
        <v>Pass</v>
      </c>
    </row>
    <row r="429" spans="1:14" x14ac:dyDescent="0.35">
      <c r="A429" s="17" t="s">
        <v>93</v>
      </c>
      <c r="B429" s="3" t="str">
        <f>IF(ISBLANK(Table3[[#This Row],[Campaign_ID]]),"Invalid","Valid")</f>
        <v>Valid</v>
      </c>
      <c r="C429" s="3" t="str">
        <f>IF(COUNTA(Finance_Data!A425:R425)=18,"Valid","Missing")</f>
        <v>Valid</v>
      </c>
      <c r="D429" s="3" t="str">
        <f>IF(COUNTIF(Finance_Data!$T$2:$T$1001,Finance_Data!T425)&gt;1,"Duplicate","Valid")</f>
        <v>Valid</v>
      </c>
      <c r="E429" s="3" t="str">
        <f>IF(Finance_Data!H425&gt;Finance_Data!G425,"Valid","Invalid")</f>
        <v>Valid</v>
      </c>
      <c r="F429" s="3" t="str" cm="1">
        <f t="array" ref="F429">_xlfn.IFS(Finance_Data!S425&lt;7,"Short",Finance_Data!S425&lt;=30,"Normal",Finance_Data!S425&lt;=60,"Long",Finance_Data!S425&gt;60,"Very Long")</f>
        <v>Long</v>
      </c>
      <c r="G429" s="3" t="str">
        <f>IF(ABS(Finance_Data!I425*Finance_Data!J425)-Finance_Data!K425&lt;1,"Valid","Invalid")</f>
        <v>Valid</v>
      </c>
      <c r="H429" s="3" t="str">
        <f>IF(Finance_Data!L425&gt;0,"Valid","Invalid")</f>
        <v>Valid</v>
      </c>
      <c r="I429" s="3" t="str">
        <f>IF(Finance_Data!L425&gt;=Finance_Data!M425,"Valid","Invalid")</f>
        <v>Valid</v>
      </c>
      <c r="J429" s="3" t="str">
        <f>IF(AND(Finance_Data!I425&gt;=0,Finance_Data!K425&gt;=0),"Valid","Invalid")</f>
        <v>Valid</v>
      </c>
      <c r="K429" s="3" t="str">
        <f>IF(Finance_Data!N425&gt;=0,"Valid","Invalid")</f>
        <v>Valid</v>
      </c>
      <c r="L429" s="3" t="str">
        <f>IF(TEXT(Finance_Data!G425,"mmmm")=Finance_Data!P425,"Valid","Invalid")</f>
        <v>Valid</v>
      </c>
      <c r="M429" s="3" t="str">
        <f>IF("Q"&amp;ROUNDUP(MONTH(Finance_Data!G425)/3,0)=Finance_Data!Q425,"Valid","Invalid")</f>
        <v>Valid</v>
      </c>
      <c r="N429" s="7" t="str">
        <f t="shared" si="6"/>
        <v>Pass</v>
      </c>
    </row>
    <row r="430" spans="1:14" x14ac:dyDescent="0.35">
      <c r="A430" s="17" t="s">
        <v>91</v>
      </c>
      <c r="B430" s="3" t="str">
        <f>IF(ISBLANK(Table3[[#This Row],[Campaign_ID]]),"Invalid","Valid")</f>
        <v>Valid</v>
      </c>
      <c r="C430" s="3" t="str">
        <f>IF(COUNTA(Finance_Data!A426:R426)=18,"Valid","Missing")</f>
        <v>Valid</v>
      </c>
      <c r="D430" s="3" t="str">
        <f>IF(COUNTIF(Finance_Data!$T$2:$T$1001,Finance_Data!T426)&gt;1,"Duplicate","Valid")</f>
        <v>Valid</v>
      </c>
      <c r="E430" s="3" t="str">
        <f>IF(Finance_Data!H426&gt;Finance_Data!G426,"Valid","Invalid")</f>
        <v>Valid</v>
      </c>
      <c r="F430" s="3" t="str" cm="1">
        <f t="array" ref="F430">_xlfn.IFS(Finance_Data!S426&lt;7,"Short",Finance_Data!S426&lt;=30,"Normal",Finance_Data!S426&lt;=60,"Long",Finance_Data!S426&gt;60,"Very Long")</f>
        <v>Normal</v>
      </c>
      <c r="G430" s="3" t="str">
        <f>IF(ABS(Finance_Data!I426*Finance_Data!J426)-Finance_Data!K426&lt;1,"Valid","Invalid")</f>
        <v>Valid</v>
      </c>
      <c r="H430" s="3" t="str">
        <f>IF(Finance_Data!L426&gt;0,"Valid","Invalid")</f>
        <v>Valid</v>
      </c>
      <c r="I430" s="3" t="str">
        <f>IF(Finance_Data!L426&gt;=Finance_Data!M426,"Valid","Invalid")</f>
        <v>Valid</v>
      </c>
      <c r="J430" s="3" t="str">
        <f>IF(AND(Finance_Data!I426&gt;=0,Finance_Data!K426&gt;=0),"Valid","Invalid")</f>
        <v>Valid</v>
      </c>
      <c r="K430" s="3" t="str">
        <f>IF(Finance_Data!N426&gt;=0,"Valid","Invalid")</f>
        <v>Valid</v>
      </c>
      <c r="L430" s="3" t="str">
        <f>IF(TEXT(Finance_Data!G426,"mmmm")=Finance_Data!P426,"Valid","Invalid")</f>
        <v>Valid</v>
      </c>
      <c r="M430" s="3" t="str">
        <f>IF("Q"&amp;ROUNDUP(MONTH(Finance_Data!G426)/3,0)=Finance_Data!Q426,"Valid","Invalid")</f>
        <v>Valid</v>
      </c>
      <c r="N430" s="7" t="str">
        <f t="shared" si="6"/>
        <v>Pass</v>
      </c>
    </row>
    <row r="431" spans="1:14" x14ac:dyDescent="0.35">
      <c r="A431" s="17" t="s">
        <v>89</v>
      </c>
      <c r="B431" s="3" t="str">
        <f>IF(ISBLANK(Table3[[#This Row],[Campaign_ID]]),"Invalid","Valid")</f>
        <v>Valid</v>
      </c>
      <c r="C431" s="3" t="str">
        <f>IF(COUNTA(Finance_Data!A427:R427)=18,"Valid","Missing")</f>
        <v>Valid</v>
      </c>
      <c r="D431" s="3" t="str">
        <f>IF(COUNTIF(Finance_Data!$T$2:$T$1001,Finance_Data!T427)&gt;1,"Duplicate","Valid")</f>
        <v>Valid</v>
      </c>
      <c r="E431" s="3" t="str">
        <f>IF(Finance_Data!H427&gt;Finance_Data!G427,"Valid","Invalid")</f>
        <v>Valid</v>
      </c>
      <c r="F431" s="3" t="str" cm="1">
        <f t="array" ref="F431">_xlfn.IFS(Finance_Data!S427&lt;7,"Short",Finance_Data!S427&lt;=30,"Normal",Finance_Data!S427&lt;=60,"Long",Finance_Data!S427&gt;60,"Very Long")</f>
        <v>Long</v>
      </c>
      <c r="G431" s="3" t="str">
        <f>IF(ABS(Finance_Data!I427*Finance_Data!J427)-Finance_Data!K427&lt;1,"Valid","Invalid")</f>
        <v>Valid</v>
      </c>
      <c r="H431" s="3" t="str">
        <f>IF(Finance_Data!L427&gt;0,"Valid","Invalid")</f>
        <v>Valid</v>
      </c>
      <c r="I431" s="3" t="str">
        <f>IF(Finance_Data!L427&gt;=Finance_Data!M427,"Valid","Invalid")</f>
        <v>Valid</v>
      </c>
      <c r="J431" s="3" t="str">
        <f>IF(AND(Finance_Data!I427&gt;=0,Finance_Data!K427&gt;=0),"Valid","Invalid")</f>
        <v>Valid</v>
      </c>
      <c r="K431" s="3" t="str">
        <f>IF(Finance_Data!N427&gt;=0,"Valid","Invalid")</f>
        <v>Valid</v>
      </c>
      <c r="L431" s="3" t="str">
        <f>IF(TEXT(Finance_Data!G427,"mmmm")=Finance_Data!P427,"Valid","Invalid")</f>
        <v>Valid</v>
      </c>
      <c r="M431" s="3" t="str">
        <f>IF("Q"&amp;ROUNDUP(MONTH(Finance_Data!G427)/3,0)=Finance_Data!Q427,"Valid","Invalid")</f>
        <v>Valid</v>
      </c>
      <c r="N431" s="7" t="str">
        <f t="shared" si="6"/>
        <v>Pass</v>
      </c>
    </row>
    <row r="432" spans="1:14" x14ac:dyDescent="0.35">
      <c r="A432" s="17" t="s">
        <v>89</v>
      </c>
      <c r="B432" s="3" t="str">
        <f>IF(ISBLANK(Table3[[#This Row],[Campaign_ID]]),"Invalid","Valid")</f>
        <v>Valid</v>
      </c>
      <c r="C432" s="3" t="str">
        <f>IF(COUNTA(Finance_Data!A428:R428)=18,"Valid","Missing")</f>
        <v>Valid</v>
      </c>
      <c r="D432" s="3" t="str">
        <f>IF(COUNTIF(Finance_Data!$T$2:$T$1001,Finance_Data!T428)&gt;1,"Duplicate","Valid")</f>
        <v>Valid</v>
      </c>
      <c r="E432" s="3" t="str">
        <f>IF(Finance_Data!H428&gt;Finance_Data!G428,"Valid","Invalid")</f>
        <v>Valid</v>
      </c>
      <c r="F432" s="3" t="str" cm="1">
        <f t="array" ref="F432">_xlfn.IFS(Finance_Data!S428&lt;7,"Short",Finance_Data!S428&lt;=30,"Normal",Finance_Data!S428&lt;=60,"Long",Finance_Data!S428&gt;60,"Very Long")</f>
        <v>Normal</v>
      </c>
      <c r="G432" s="3" t="str">
        <f>IF(ABS(Finance_Data!I428*Finance_Data!J428)-Finance_Data!K428&lt;1,"Valid","Invalid")</f>
        <v>Valid</v>
      </c>
      <c r="H432" s="3" t="str">
        <f>IF(Finance_Data!L428&gt;0,"Valid","Invalid")</f>
        <v>Valid</v>
      </c>
      <c r="I432" s="3" t="str">
        <f>IF(Finance_Data!L428&gt;=Finance_Data!M428,"Valid","Invalid")</f>
        <v>Valid</v>
      </c>
      <c r="J432" s="3" t="str">
        <f>IF(AND(Finance_Data!I428&gt;=0,Finance_Data!K428&gt;=0),"Valid","Invalid")</f>
        <v>Valid</v>
      </c>
      <c r="K432" s="3" t="str">
        <f>IF(Finance_Data!N428&gt;=0,"Valid","Invalid")</f>
        <v>Valid</v>
      </c>
      <c r="L432" s="3" t="str">
        <f>IF(TEXT(Finance_Data!G428,"mmmm")=Finance_Data!P428,"Valid","Invalid")</f>
        <v>Valid</v>
      </c>
      <c r="M432" s="3" t="str">
        <f>IF("Q"&amp;ROUNDUP(MONTH(Finance_Data!G428)/3,0)=Finance_Data!Q428,"Valid","Invalid")</f>
        <v>Valid</v>
      </c>
      <c r="N432" s="7" t="str">
        <f t="shared" si="6"/>
        <v>Pass</v>
      </c>
    </row>
    <row r="433" spans="1:14" x14ac:dyDescent="0.35">
      <c r="A433" s="17" t="s">
        <v>18</v>
      </c>
      <c r="B433" s="3" t="str">
        <f>IF(ISBLANK(Table3[[#This Row],[Campaign_ID]]),"Invalid","Valid")</f>
        <v>Valid</v>
      </c>
      <c r="C433" s="3" t="str">
        <f>IF(COUNTA(Finance_Data!A429:R429)=18,"Valid","Missing")</f>
        <v>Valid</v>
      </c>
      <c r="D433" s="3" t="str">
        <f>IF(COUNTIF(Finance_Data!$T$2:$T$1001,Finance_Data!T429)&gt;1,"Duplicate","Valid")</f>
        <v>Valid</v>
      </c>
      <c r="E433" s="3" t="str">
        <f>IF(Finance_Data!H429&gt;Finance_Data!G429,"Valid","Invalid")</f>
        <v>Valid</v>
      </c>
      <c r="F433" s="3" t="str" cm="1">
        <f t="array" ref="F433">_xlfn.IFS(Finance_Data!S429&lt;7,"Short",Finance_Data!S429&lt;=30,"Normal",Finance_Data!S429&lt;=60,"Long",Finance_Data!S429&gt;60,"Very Long")</f>
        <v>Normal</v>
      </c>
      <c r="G433" s="3" t="str">
        <f>IF(ABS(Finance_Data!I429*Finance_Data!J429)-Finance_Data!K429&lt;1,"Valid","Invalid")</f>
        <v>Valid</v>
      </c>
      <c r="H433" s="3" t="str">
        <f>IF(Finance_Data!L429&gt;0,"Valid","Invalid")</f>
        <v>Valid</v>
      </c>
      <c r="I433" s="3" t="str">
        <f>IF(Finance_Data!L429&gt;=Finance_Data!M429,"Valid","Invalid")</f>
        <v>Valid</v>
      </c>
      <c r="J433" s="3" t="str">
        <f>IF(AND(Finance_Data!I429&gt;=0,Finance_Data!K429&gt;=0),"Valid","Invalid")</f>
        <v>Valid</v>
      </c>
      <c r="K433" s="3" t="str">
        <f>IF(Finance_Data!N429&gt;=0,"Valid","Invalid")</f>
        <v>Valid</v>
      </c>
      <c r="L433" s="3" t="str">
        <f>IF(TEXT(Finance_Data!G429,"mmmm")=Finance_Data!P429,"Valid","Invalid")</f>
        <v>Valid</v>
      </c>
      <c r="M433" s="3" t="str">
        <f>IF("Q"&amp;ROUNDUP(MONTH(Finance_Data!G429)/3,0)=Finance_Data!Q429,"Valid","Invalid")</f>
        <v>Valid</v>
      </c>
      <c r="N433" s="7" t="str">
        <f t="shared" si="6"/>
        <v>Pass</v>
      </c>
    </row>
    <row r="434" spans="1:14" x14ac:dyDescent="0.35">
      <c r="A434" s="17" t="s">
        <v>91</v>
      </c>
      <c r="B434" s="3" t="str">
        <f>IF(ISBLANK(Table3[[#This Row],[Campaign_ID]]),"Invalid","Valid")</f>
        <v>Valid</v>
      </c>
      <c r="C434" s="3" t="str">
        <f>IF(COUNTA(Finance_Data!A430:R430)=18,"Valid","Missing")</f>
        <v>Valid</v>
      </c>
      <c r="D434" s="3" t="str">
        <f>IF(COUNTIF(Finance_Data!$T$2:$T$1001,Finance_Data!T430)&gt;1,"Duplicate","Valid")</f>
        <v>Valid</v>
      </c>
      <c r="E434" s="3" t="str">
        <f>IF(Finance_Data!H430&gt;Finance_Data!G430,"Valid","Invalid")</f>
        <v>Valid</v>
      </c>
      <c r="F434" s="3" t="str" cm="1">
        <f t="array" ref="F434">_xlfn.IFS(Finance_Data!S430&lt;7,"Short",Finance_Data!S430&lt;=30,"Normal",Finance_Data!S430&lt;=60,"Long",Finance_Data!S430&gt;60,"Very Long")</f>
        <v>Normal</v>
      </c>
      <c r="G434" s="3" t="str">
        <f>IF(ABS(Finance_Data!I430*Finance_Data!J430)-Finance_Data!K430&lt;1,"Valid","Invalid")</f>
        <v>Valid</v>
      </c>
      <c r="H434" s="3" t="str">
        <f>IF(Finance_Data!L430&gt;0,"Valid","Invalid")</f>
        <v>Valid</v>
      </c>
      <c r="I434" s="3" t="str">
        <f>IF(Finance_Data!L430&gt;=Finance_Data!M430,"Valid","Invalid")</f>
        <v>Valid</v>
      </c>
      <c r="J434" s="3" t="str">
        <f>IF(AND(Finance_Data!I430&gt;=0,Finance_Data!K430&gt;=0),"Valid","Invalid")</f>
        <v>Valid</v>
      </c>
      <c r="K434" s="3" t="str">
        <f>IF(Finance_Data!N430&gt;=0,"Valid","Invalid")</f>
        <v>Valid</v>
      </c>
      <c r="L434" s="3" t="str">
        <f>IF(TEXT(Finance_Data!G430,"mmmm")=Finance_Data!P430,"Valid","Invalid")</f>
        <v>Valid</v>
      </c>
      <c r="M434" s="3" t="str">
        <f>IF("Q"&amp;ROUNDUP(MONTH(Finance_Data!G430)/3,0)=Finance_Data!Q430,"Valid","Invalid")</f>
        <v>Valid</v>
      </c>
      <c r="N434" s="7" t="str">
        <f t="shared" si="6"/>
        <v>Pass</v>
      </c>
    </row>
    <row r="435" spans="1:14" x14ac:dyDescent="0.35">
      <c r="A435" s="17" t="s">
        <v>88</v>
      </c>
      <c r="B435" s="3" t="str">
        <f>IF(ISBLANK(Table3[[#This Row],[Campaign_ID]]),"Invalid","Valid")</f>
        <v>Valid</v>
      </c>
      <c r="C435" s="3" t="str">
        <f>IF(COUNTA(Finance_Data!A431:R431)=18,"Valid","Missing")</f>
        <v>Valid</v>
      </c>
      <c r="D435" s="3" t="str">
        <f>IF(COUNTIF(Finance_Data!$T$2:$T$1001,Finance_Data!T431)&gt;1,"Duplicate","Valid")</f>
        <v>Valid</v>
      </c>
      <c r="E435" s="3" t="str">
        <f>IF(Finance_Data!H431&gt;Finance_Data!G431,"Valid","Invalid")</f>
        <v>Valid</v>
      </c>
      <c r="F435" s="3" t="str" cm="1">
        <f t="array" ref="F435">_xlfn.IFS(Finance_Data!S431&lt;7,"Short",Finance_Data!S431&lt;=30,"Normal",Finance_Data!S431&lt;=60,"Long",Finance_Data!S431&gt;60,"Very Long")</f>
        <v>Normal</v>
      </c>
      <c r="G435" s="3" t="str">
        <f>IF(ABS(Finance_Data!I431*Finance_Data!J431)-Finance_Data!K431&lt;1,"Valid","Invalid")</f>
        <v>Valid</v>
      </c>
      <c r="H435" s="3" t="str">
        <f>IF(Finance_Data!L431&gt;0,"Valid","Invalid")</f>
        <v>Valid</v>
      </c>
      <c r="I435" s="3" t="str">
        <f>IF(Finance_Data!L431&gt;=Finance_Data!M431,"Valid","Invalid")</f>
        <v>Valid</v>
      </c>
      <c r="J435" s="3" t="str">
        <f>IF(AND(Finance_Data!I431&gt;=0,Finance_Data!K431&gt;=0),"Valid","Invalid")</f>
        <v>Valid</v>
      </c>
      <c r="K435" s="3" t="str">
        <f>IF(Finance_Data!N431&gt;=0,"Valid","Invalid")</f>
        <v>Valid</v>
      </c>
      <c r="L435" s="3" t="str">
        <f>IF(TEXT(Finance_Data!G431,"mmmm")=Finance_Data!P431,"Valid","Invalid")</f>
        <v>Valid</v>
      </c>
      <c r="M435" s="3" t="str">
        <f>IF("Q"&amp;ROUNDUP(MONTH(Finance_Data!G431)/3,0)=Finance_Data!Q431,"Valid","Invalid")</f>
        <v>Valid</v>
      </c>
      <c r="N435" s="7" t="str">
        <f t="shared" si="6"/>
        <v>Pass</v>
      </c>
    </row>
    <row r="436" spans="1:14" x14ac:dyDescent="0.35">
      <c r="A436" s="17" t="s">
        <v>96</v>
      </c>
      <c r="B436" s="3" t="str">
        <f>IF(ISBLANK(Table3[[#This Row],[Campaign_ID]]),"Invalid","Valid")</f>
        <v>Valid</v>
      </c>
      <c r="C436" s="3" t="str">
        <f>IF(COUNTA(Finance_Data!A432:R432)=18,"Valid","Missing")</f>
        <v>Valid</v>
      </c>
      <c r="D436" s="3" t="str">
        <f>IF(COUNTIF(Finance_Data!$T$2:$T$1001,Finance_Data!T432)&gt;1,"Duplicate","Valid")</f>
        <v>Valid</v>
      </c>
      <c r="E436" s="3" t="str">
        <f>IF(Finance_Data!H432&gt;Finance_Data!G432,"Valid","Invalid")</f>
        <v>Valid</v>
      </c>
      <c r="F436" s="3" t="str" cm="1">
        <f t="array" ref="F436">_xlfn.IFS(Finance_Data!S432&lt;7,"Short",Finance_Data!S432&lt;=30,"Normal",Finance_Data!S432&lt;=60,"Long",Finance_Data!S432&gt;60,"Very Long")</f>
        <v>Long</v>
      </c>
      <c r="G436" s="3" t="str">
        <f>IF(ABS(Finance_Data!I432*Finance_Data!J432)-Finance_Data!K432&lt;1,"Valid","Invalid")</f>
        <v>Valid</v>
      </c>
      <c r="H436" s="3" t="str">
        <f>IF(Finance_Data!L432&gt;0,"Valid","Invalid")</f>
        <v>Valid</v>
      </c>
      <c r="I436" s="3" t="str">
        <f>IF(Finance_Data!L432&gt;=Finance_Data!M432,"Valid","Invalid")</f>
        <v>Valid</v>
      </c>
      <c r="J436" s="3" t="str">
        <f>IF(AND(Finance_Data!I432&gt;=0,Finance_Data!K432&gt;=0),"Valid","Invalid")</f>
        <v>Valid</v>
      </c>
      <c r="K436" s="3" t="str">
        <f>IF(Finance_Data!N432&gt;=0,"Valid","Invalid")</f>
        <v>Valid</v>
      </c>
      <c r="L436" s="3" t="str">
        <f>IF(TEXT(Finance_Data!G432,"mmmm")=Finance_Data!P432,"Valid","Invalid")</f>
        <v>Valid</v>
      </c>
      <c r="M436" s="3" t="str">
        <f>IF("Q"&amp;ROUNDUP(MONTH(Finance_Data!G432)/3,0)=Finance_Data!Q432,"Valid","Invalid")</f>
        <v>Valid</v>
      </c>
      <c r="N436" s="7" t="str">
        <f t="shared" si="6"/>
        <v>Pass</v>
      </c>
    </row>
    <row r="437" spans="1:14" x14ac:dyDescent="0.35">
      <c r="A437" s="17" t="s">
        <v>114</v>
      </c>
      <c r="B437" s="3" t="str">
        <f>IF(ISBLANK(Table3[[#This Row],[Campaign_ID]]),"Invalid","Valid")</f>
        <v>Valid</v>
      </c>
      <c r="C437" s="3" t="str">
        <f>IF(COUNTA(Finance_Data!A433:R433)=18,"Valid","Missing")</f>
        <v>Valid</v>
      </c>
      <c r="D437" s="3" t="str">
        <f>IF(COUNTIF(Finance_Data!$T$2:$T$1001,Finance_Data!T433)&gt;1,"Duplicate","Valid")</f>
        <v>Valid</v>
      </c>
      <c r="E437" s="3" t="str">
        <f>IF(Finance_Data!H433&gt;Finance_Data!G433,"Valid","Invalid")</f>
        <v>Valid</v>
      </c>
      <c r="F437" s="3" t="str" cm="1">
        <f t="array" ref="F437">_xlfn.IFS(Finance_Data!S433&lt;7,"Short",Finance_Data!S433&lt;=30,"Normal",Finance_Data!S433&lt;=60,"Long",Finance_Data!S433&gt;60,"Very Long")</f>
        <v>Short</v>
      </c>
      <c r="G437" s="3" t="str">
        <f>IF(ABS(Finance_Data!I433*Finance_Data!J433)-Finance_Data!K433&lt;1,"Valid","Invalid")</f>
        <v>Valid</v>
      </c>
      <c r="H437" s="3" t="str">
        <f>IF(Finance_Data!L433&gt;0,"Valid","Invalid")</f>
        <v>Valid</v>
      </c>
      <c r="I437" s="3" t="str">
        <f>IF(Finance_Data!L433&gt;=Finance_Data!M433,"Valid","Invalid")</f>
        <v>Valid</v>
      </c>
      <c r="J437" s="3" t="str">
        <f>IF(AND(Finance_Data!I433&gt;=0,Finance_Data!K433&gt;=0),"Valid","Invalid")</f>
        <v>Valid</v>
      </c>
      <c r="K437" s="3" t="str">
        <f>IF(Finance_Data!N433&gt;=0,"Valid","Invalid")</f>
        <v>Valid</v>
      </c>
      <c r="L437" s="3" t="str">
        <f>IF(TEXT(Finance_Data!G433,"mmmm")=Finance_Data!P433,"Valid","Invalid")</f>
        <v>Valid</v>
      </c>
      <c r="M437" s="3" t="str">
        <f>IF("Q"&amp;ROUNDUP(MONTH(Finance_Data!G433)/3,0)=Finance_Data!Q433,"Valid","Invalid")</f>
        <v>Valid</v>
      </c>
      <c r="N437" s="7" t="str">
        <f t="shared" si="6"/>
        <v>Pass</v>
      </c>
    </row>
    <row r="438" spans="1:14" x14ac:dyDescent="0.35">
      <c r="A438" s="17" t="s">
        <v>107</v>
      </c>
      <c r="B438" s="3" t="str">
        <f>IF(ISBLANK(Table3[[#This Row],[Campaign_ID]]),"Invalid","Valid")</f>
        <v>Valid</v>
      </c>
      <c r="C438" s="3" t="str">
        <f>IF(COUNTA(Finance_Data!A434:R434)=18,"Valid","Missing")</f>
        <v>Valid</v>
      </c>
      <c r="D438" s="3" t="str">
        <f>IF(COUNTIF(Finance_Data!$T$2:$T$1001,Finance_Data!T434)&gt;1,"Duplicate","Valid")</f>
        <v>Valid</v>
      </c>
      <c r="E438" s="3" t="str">
        <f>IF(Finance_Data!H434&gt;Finance_Data!G434,"Valid","Invalid")</f>
        <v>Valid</v>
      </c>
      <c r="F438" s="3" t="str" cm="1">
        <f t="array" ref="F438">_xlfn.IFS(Finance_Data!S434&lt;7,"Short",Finance_Data!S434&lt;=30,"Normal",Finance_Data!S434&lt;=60,"Long",Finance_Data!S434&gt;60,"Very Long")</f>
        <v>Long</v>
      </c>
      <c r="G438" s="3" t="str">
        <f>IF(ABS(Finance_Data!I434*Finance_Data!J434)-Finance_Data!K434&lt;1,"Valid","Invalid")</f>
        <v>Valid</v>
      </c>
      <c r="H438" s="3" t="str">
        <f>IF(Finance_Data!L434&gt;0,"Valid","Invalid")</f>
        <v>Valid</v>
      </c>
      <c r="I438" s="3" t="str">
        <f>IF(Finance_Data!L434&gt;=Finance_Data!M434,"Valid","Invalid")</f>
        <v>Valid</v>
      </c>
      <c r="J438" s="3" t="str">
        <f>IF(AND(Finance_Data!I434&gt;=0,Finance_Data!K434&gt;=0),"Valid","Invalid")</f>
        <v>Valid</v>
      </c>
      <c r="K438" s="3" t="str">
        <f>IF(Finance_Data!N434&gt;=0,"Valid","Invalid")</f>
        <v>Valid</v>
      </c>
      <c r="L438" s="3" t="str">
        <f>IF(TEXT(Finance_Data!G434,"mmmm")=Finance_Data!P434,"Valid","Invalid")</f>
        <v>Valid</v>
      </c>
      <c r="M438" s="3" t="str">
        <f>IF("Q"&amp;ROUNDUP(MONTH(Finance_Data!G434)/3,0)=Finance_Data!Q434,"Valid","Invalid")</f>
        <v>Valid</v>
      </c>
      <c r="N438" s="7" t="str">
        <f t="shared" si="6"/>
        <v>Pass</v>
      </c>
    </row>
    <row r="439" spans="1:14" x14ac:dyDescent="0.35">
      <c r="A439" s="17" t="s">
        <v>67</v>
      </c>
      <c r="B439" s="3" t="str">
        <f>IF(ISBLANK(Table3[[#This Row],[Campaign_ID]]),"Invalid","Valid")</f>
        <v>Valid</v>
      </c>
      <c r="C439" s="3" t="str">
        <f>IF(COUNTA(Finance_Data!A435:R435)=18,"Valid","Missing")</f>
        <v>Valid</v>
      </c>
      <c r="D439" s="3" t="str">
        <f>IF(COUNTIF(Finance_Data!$T$2:$T$1001,Finance_Data!T435)&gt;1,"Duplicate","Valid")</f>
        <v>Valid</v>
      </c>
      <c r="E439" s="3" t="str">
        <f>IF(Finance_Data!H435&gt;Finance_Data!G435,"Valid","Invalid")</f>
        <v>Valid</v>
      </c>
      <c r="F439" s="3" t="str" cm="1">
        <f t="array" ref="F439">_xlfn.IFS(Finance_Data!S435&lt;7,"Short",Finance_Data!S435&lt;=30,"Normal",Finance_Data!S435&lt;=60,"Long",Finance_Data!S435&gt;60,"Very Long")</f>
        <v>Long</v>
      </c>
      <c r="G439" s="3" t="str">
        <f>IF(ABS(Finance_Data!I435*Finance_Data!J435)-Finance_Data!K435&lt;1,"Valid","Invalid")</f>
        <v>Valid</v>
      </c>
      <c r="H439" s="3" t="str">
        <f>IF(Finance_Data!L435&gt;0,"Valid","Invalid")</f>
        <v>Valid</v>
      </c>
      <c r="I439" s="3" t="str">
        <f>IF(Finance_Data!L435&gt;=Finance_Data!M435,"Valid","Invalid")</f>
        <v>Valid</v>
      </c>
      <c r="J439" s="3" t="str">
        <f>IF(AND(Finance_Data!I435&gt;=0,Finance_Data!K435&gt;=0),"Valid","Invalid")</f>
        <v>Valid</v>
      </c>
      <c r="K439" s="3" t="str">
        <f>IF(Finance_Data!N435&gt;=0,"Valid","Invalid")</f>
        <v>Valid</v>
      </c>
      <c r="L439" s="3" t="str">
        <f>IF(TEXT(Finance_Data!G435,"mmmm")=Finance_Data!P435,"Valid","Invalid")</f>
        <v>Valid</v>
      </c>
      <c r="M439" s="3" t="str">
        <f>IF("Q"&amp;ROUNDUP(MONTH(Finance_Data!G435)/3,0)=Finance_Data!Q435,"Valid","Invalid")</f>
        <v>Valid</v>
      </c>
      <c r="N439" s="7" t="str">
        <f t="shared" si="6"/>
        <v>Pass</v>
      </c>
    </row>
    <row r="440" spans="1:14" x14ac:dyDescent="0.35">
      <c r="A440" s="17" t="s">
        <v>103</v>
      </c>
      <c r="B440" s="3" t="str">
        <f>IF(ISBLANK(Table3[[#This Row],[Campaign_ID]]),"Invalid","Valid")</f>
        <v>Valid</v>
      </c>
      <c r="C440" s="3" t="str">
        <f>IF(COUNTA(Finance_Data!A436:R436)=18,"Valid","Missing")</f>
        <v>Valid</v>
      </c>
      <c r="D440" s="3" t="str">
        <f>IF(COUNTIF(Finance_Data!$T$2:$T$1001,Finance_Data!T436)&gt;1,"Duplicate","Valid")</f>
        <v>Valid</v>
      </c>
      <c r="E440" s="3" t="str">
        <f>IF(Finance_Data!H436&gt;Finance_Data!G436,"Valid","Invalid")</f>
        <v>Valid</v>
      </c>
      <c r="F440" s="3" t="str" cm="1">
        <f t="array" ref="F440">_xlfn.IFS(Finance_Data!S436&lt;7,"Short",Finance_Data!S436&lt;=30,"Normal",Finance_Data!S436&lt;=60,"Long",Finance_Data!S436&gt;60,"Very Long")</f>
        <v>Normal</v>
      </c>
      <c r="G440" s="3" t="str">
        <f>IF(ABS(Finance_Data!I436*Finance_Data!J436)-Finance_Data!K436&lt;1,"Valid","Invalid")</f>
        <v>Valid</v>
      </c>
      <c r="H440" s="3" t="str">
        <f>IF(Finance_Data!L436&gt;0,"Valid","Invalid")</f>
        <v>Valid</v>
      </c>
      <c r="I440" s="3" t="str">
        <f>IF(Finance_Data!L436&gt;=Finance_Data!M436,"Valid","Invalid")</f>
        <v>Valid</v>
      </c>
      <c r="J440" s="3" t="str">
        <f>IF(AND(Finance_Data!I436&gt;=0,Finance_Data!K436&gt;=0),"Valid","Invalid")</f>
        <v>Valid</v>
      </c>
      <c r="K440" s="3" t="str">
        <f>IF(Finance_Data!N436&gt;=0,"Valid","Invalid")</f>
        <v>Valid</v>
      </c>
      <c r="L440" s="3" t="str">
        <f>IF(TEXT(Finance_Data!G436,"mmmm")=Finance_Data!P436,"Valid","Invalid")</f>
        <v>Valid</v>
      </c>
      <c r="M440" s="3" t="str">
        <f>IF("Q"&amp;ROUNDUP(MONTH(Finance_Data!G436)/3,0)=Finance_Data!Q436,"Valid","Invalid")</f>
        <v>Valid</v>
      </c>
      <c r="N440" s="7" t="str">
        <f t="shared" si="6"/>
        <v>Pass</v>
      </c>
    </row>
    <row r="441" spans="1:14" x14ac:dyDescent="0.35">
      <c r="A441" s="17" t="s">
        <v>96</v>
      </c>
      <c r="B441" s="3" t="str">
        <f>IF(ISBLANK(Table3[[#This Row],[Campaign_ID]]),"Invalid","Valid")</f>
        <v>Valid</v>
      </c>
      <c r="C441" s="3" t="str">
        <f>IF(COUNTA(Finance_Data!A437:R437)=18,"Valid","Missing")</f>
        <v>Valid</v>
      </c>
      <c r="D441" s="3" t="str">
        <f>IF(COUNTIF(Finance_Data!$T$2:$T$1001,Finance_Data!T437)&gt;1,"Duplicate","Valid")</f>
        <v>Valid</v>
      </c>
      <c r="E441" s="3" t="str">
        <f>IF(Finance_Data!H437&gt;Finance_Data!G437,"Valid","Invalid")</f>
        <v>Valid</v>
      </c>
      <c r="F441" s="3" t="str" cm="1">
        <f t="array" ref="F441">_xlfn.IFS(Finance_Data!S437&lt;7,"Short",Finance_Data!S437&lt;=30,"Normal",Finance_Data!S437&lt;=60,"Long",Finance_Data!S437&gt;60,"Very Long")</f>
        <v>Long</v>
      </c>
      <c r="G441" s="3" t="str">
        <f>IF(ABS(Finance_Data!I437*Finance_Data!J437)-Finance_Data!K437&lt;1,"Valid","Invalid")</f>
        <v>Valid</v>
      </c>
      <c r="H441" s="3" t="str">
        <f>IF(Finance_Data!L437&gt;0,"Valid","Invalid")</f>
        <v>Valid</v>
      </c>
      <c r="I441" s="3" t="str">
        <f>IF(Finance_Data!L437&gt;=Finance_Data!M437,"Valid","Invalid")</f>
        <v>Valid</v>
      </c>
      <c r="J441" s="3" t="str">
        <f>IF(AND(Finance_Data!I437&gt;=0,Finance_Data!K437&gt;=0),"Valid","Invalid")</f>
        <v>Valid</v>
      </c>
      <c r="K441" s="3" t="str">
        <f>IF(Finance_Data!N437&gt;=0,"Valid","Invalid")</f>
        <v>Valid</v>
      </c>
      <c r="L441" s="3" t="str">
        <f>IF(TEXT(Finance_Data!G437,"mmmm")=Finance_Data!P437,"Valid","Invalid")</f>
        <v>Valid</v>
      </c>
      <c r="M441" s="3" t="str">
        <f>IF("Q"&amp;ROUNDUP(MONTH(Finance_Data!G437)/3,0)=Finance_Data!Q437,"Valid","Invalid")</f>
        <v>Valid</v>
      </c>
      <c r="N441" s="7" t="str">
        <f t="shared" si="6"/>
        <v>Pass</v>
      </c>
    </row>
    <row r="442" spans="1:14" x14ac:dyDescent="0.35">
      <c r="A442" s="17" t="s">
        <v>104</v>
      </c>
      <c r="B442" s="3" t="str">
        <f>IF(ISBLANK(Table3[[#This Row],[Campaign_ID]]),"Invalid","Valid")</f>
        <v>Valid</v>
      </c>
      <c r="C442" s="3" t="str">
        <f>IF(COUNTA(Finance_Data!A438:R438)=18,"Valid","Missing")</f>
        <v>Valid</v>
      </c>
      <c r="D442" s="3" t="str">
        <f>IF(COUNTIF(Finance_Data!$T$2:$T$1001,Finance_Data!T438)&gt;1,"Duplicate","Valid")</f>
        <v>Valid</v>
      </c>
      <c r="E442" s="3" t="str">
        <f>IF(Finance_Data!H438&gt;Finance_Data!G438,"Valid","Invalid")</f>
        <v>Valid</v>
      </c>
      <c r="F442" s="3" t="str" cm="1">
        <f t="array" ref="F442">_xlfn.IFS(Finance_Data!S438&lt;7,"Short",Finance_Data!S438&lt;=30,"Normal",Finance_Data!S438&lt;=60,"Long",Finance_Data!S438&gt;60,"Very Long")</f>
        <v>Long</v>
      </c>
      <c r="G442" s="3" t="str">
        <f>IF(ABS(Finance_Data!I438*Finance_Data!J438)-Finance_Data!K438&lt;1,"Valid","Invalid")</f>
        <v>Valid</v>
      </c>
      <c r="H442" s="3" t="str">
        <f>IF(Finance_Data!L438&gt;0,"Valid","Invalid")</f>
        <v>Valid</v>
      </c>
      <c r="I442" s="3" t="str">
        <f>IF(Finance_Data!L438&gt;=Finance_Data!M438,"Valid","Invalid")</f>
        <v>Valid</v>
      </c>
      <c r="J442" s="3" t="str">
        <f>IF(AND(Finance_Data!I438&gt;=0,Finance_Data!K438&gt;=0),"Valid","Invalid")</f>
        <v>Valid</v>
      </c>
      <c r="K442" s="3" t="str">
        <f>IF(Finance_Data!N438&gt;=0,"Valid","Invalid")</f>
        <v>Valid</v>
      </c>
      <c r="L442" s="3" t="str">
        <f>IF(TEXT(Finance_Data!G438,"mmmm")=Finance_Data!P438,"Valid","Invalid")</f>
        <v>Valid</v>
      </c>
      <c r="M442" s="3" t="str">
        <f>IF("Q"&amp;ROUNDUP(MONTH(Finance_Data!G438)/3,0)=Finance_Data!Q438,"Valid","Invalid")</f>
        <v>Valid</v>
      </c>
      <c r="N442" s="7" t="str">
        <f t="shared" si="6"/>
        <v>Pass</v>
      </c>
    </row>
    <row r="443" spans="1:14" x14ac:dyDescent="0.35">
      <c r="A443" s="17" t="s">
        <v>98</v>
      </c>
      <c r="B443" s="3" t="str">
        <f>IF(ISBLANK(Table3[[#This Row],[Campaign_ID]]),"Invalid","Valid")</f>
        <v>Valid</v>
      </c>
      <c r="C443" s="3" t="str">
        <f>IF(COUNTA(Finance_Data!A439:R439)=18,"Valid","Missing")</f>
        <v>Valid</v>
      </c>
      <c r="D443" s="3" t="str">
        <f>IF(COUNTIF(Finance_Data!$T$2:$T$1001,Finance_Data!T439)&gt;1,"Duplicate","Valid")</f>
        <v>Valid</v>
      </c>
      <c r="E443" s="3" t="str">
        <f>IF(Finance_Data!H439&gt;Finance_Data!G439,"Valid","Invalid")</f>
        <v>Valid</v>
      </c>
      <c r="F443" s="3" t="str" cm="1">
        <f t="array" ref="F443">_xlfn.IFS(Finance_Data!S439&lt;7,"Short",Finance_Data!S439&lt;=30,"Normal",Finance_Data!S439&lt;=60,"Long",Finance_Data!S439&gt;60,"Very Long")</f>
        <v>Normal</v>
      </c>
      <c r="G443" s="3" t="str">
        <f>IF(ABS(Finance_Data!I439*Finance_Data!J439)-Finance_Data!K439&lt;1,"Valid","Invalid")</f>
        <v>Valid</v>
      </c>
      <c r="H443" s="3" t="str">
        <f>IF(Finance_Data!L439&gt;0,"Valid","Invalid")</f>
        <v>Valid</v>
      </c>
      <c r="I443" s="3" t="str">
        <f>IF(Finance_Data!L439&gt;=Finance_Data!M439,"Valid","Invalid")</f>
        <v>Valid</v>
      </c>
      <c r="J443" s="3" t="str">
        <f>IF(AND(Finance_Data!I439&gt;=0,Finance_Data!K439&gt;=0),"Valid","Invalid")</f>
        <v>Valid</v>
      </c>
      <c r="K443" s="3" t="str">
        <f>IF(Finance_Data!N439&gt;=0,"Valid","Invalid")</f>
        <v>Valid</v>
      </c>
      <c r="L443" s="3" t="str">
        <f>IF(TEXT(Finance_Data!G439,"mmmm")=Finance_Data!P439,"Valid","Invalid")</f>
        <v>Valid</v>
      </c>
      <c r="M443" s="3" t="str">
        <f>IF("Q"&amp;ROUNDUP(MONTH(Finance_Data!G439)/3,0)=Finance_Data!Q439,"Valid","Invalid")</f>
        <v>Valid</v>
      </c>
      <c r="N443" s="7" t="str">
        <f t="shared" si="6"/>
        <v>Pass</v>
      </c>
    </row>
    <row r="444" spans="1:14" x14ac:dyDescent="0.35">
      <c r="A444" s="17" t="s">
        <v>83</v>
      </c>
      <c r="B444" s="3" t="str">
        <f>IF(ISBLANK(Table3[[#This Row],[Campaign_ID]]),"Invalid","Valid")</f>
        <v>Valid</v>
      </c>
      <c r="C444" s="3" t="str">
        <f>IF(COUNTA(Finance_Data!A440:R440)=18,"Valid","Missing")</f>
        <v>Valid</v>
      </c>
      <c r="D444" s="3" t="str">
        <f>IF(COUNTIF(Finance_Data!$T$2:$T$1001,Finance_Data!T440)&gt;1,"Duplicate","Valid")</f>
        <v>Valid</v>
      </c>
      <c r="E444" s="3" t="str">
        <f>IF(Finance_Data!H440&gt;Finance_Data!G440,"Valid","Invalid")</f>
        <v>Valid</v>
      </c>
      <c r="F444" s="3" t="str" cm="1">
        <f t="array" ref="F444">_xlfn.IFS(Finance_Data!S440&lt;7,"Short",Finance_Data!S440&lt;=30,"Normal",Finance_Data!S440&lt;=60,"Long",Finance_Data!S440&gt;60,"Very Long")</f>
        <v>Long</v>
      </c>
      <c r="G444" s="3" t="str">
        <f>IF(ABS(Finance_Data!I440*Finance_Data!J440)-Finance_Data!K440&lt;1,"Valid","Invalid")</f>
        <v>Valid</v>
      </c>
      <c r="H444" s="3" t="str">
        <f>IF(Finance_Data!L440&gt;0,"Valid","Invalid")</f>
        <v>Valid</v>
      </c>
      <c r="I444" s="3" t="str">
        <f>IF(Finance_Data!L440&gt;=Finance_Data!M440,"Valid","Invalid")</f>
        <v>Valid</v>
      </c>
      <c r="J444" s="3" t="str">
        <f>IF(AND(Finance_Data!I440&gt;=0,Finance_Data!K440&gt;=0),"Valid","Invalid")</f>
        <v>Valid</v>
      </c>
      <c r="K444" s="3" t="str">
        <f>IF(Finance_Data!N440&gt;=0,"Valid","Invalid")</f>
        <v>Valid</v>
      </c>
      <c r="L444" s="3" t="str">
        <f>IF(TEXT(Finance_Data!G440,"mmmm")=Finance_Data!P440,"Valid","Invalid")</f>
        <v>Valid</v>
      </c>
      <c r="M444" s="3" t="str">
        <f>IF("Q"&amp;ROUNDUP(MONTH(Finance_Data!G440)/3,0)=Finance_Data!Q440,"Valid","Invalid")</f>
        <v>Valid</v>
      </c>
      <c r="N444" s="7" t="str">
        <f t="shared" si="6"/>
        <v>Pass</v>
      </c>
    </row>
    <row r="445" spans="1:14" x14ac:dyDescent="0.35">
      <c r="A445" s="17" t="s">
        <v>50</v>
      </c>
      <c r="B445" s="3" t="str">
        <f>IF(ISBLANK(Table3[[#This Row],[Campaign_ID]]),"Invalid","Valid")</f>
        <v>Valid</v>
      </c>
      <c r="C445" s="3" t="str">
        <f>IF(COUNTA(Finance_Data!A441:R441)=18,"Valid","Missing")</f>
        <v>Valid</v>
      </c>
      <c r="D445" s="3" t="str">
        <f>IF(COUNTIF(Finance_Data!$T$2:$T$1001,Finance_Data!T441)&gt;1,"Duplicate","Valid")</f>
        <v>Valid</v>
      </c>
      <c r="E445" s="3" t="str">
        <f>IF(Finance_Data!H441&gt;Finance_Data!G441,"Valid","Invalid")</f>
        <v>Valid</v>
      </c>
      <c r="F445" s="3" t="str" cm="1">
        <f t="array" ref="F445">_xlfn.IFS(Finance_Data!S441&lt;7,"Short",Finance_Data!S441&lt;=30,"Normal",Finance_Data!S441&lt;=60,"Long",Finance_Data!S441&gt;60,"Very Long")</f>
        <v>Long</v>
      </c>
      <c r="G445" s="3" t="str">
        <f>IF(ABS(Finance_Data!I441*Finance_Data!J441)-Finance_Data!K441&lt;1,"Valid","Invalid")</f>
        <v>Valid</v>
      </c>
      <c r="H445" s="3" t="str">
        <f>IF(Finance_Data!L441&gt;0,"Valid","Invalid")</f>
        <v>Valid</v>
      </c>
      <c r="I445" s="3" t="str">
        <f>IF(Finance_Data!L441&gt;=Finance_Data!M441,"Valid","Invalid")</f>
        <v>Valid</v>
      </c>
      <c r="J445" s="3" t="str">
        <f>IF(AND(Finance_Data!I441&gt;=0,Finance_Data!K441&gt;=0),"Valid","Invalid")</f>
        <v>Valid</v>
      </c>
      <c r="K445" s="3" t="str">
        <f>IF(Finance_Data!N441&gt;=0,"Valid","Invalid")</f>
        <v>Valid</v>
      </c>
      <c r="L445" s="3" t="str">
        <f>IF(TEXT(Finance_Data!G441,"mmmm")=Finance_Data!P441,"Valid","Invalid")</f>
        <v>Valid</v>
      </c>
      <c r="M445" s="3" t="str">
        <f>IF("Q"&amp;ROUNDUP(MONTH(Finance_Data!G441)/3,0)=Finance_Data!Q441,"Valid","Invalid")</f>
        <v>Valid</v>
      </c>
      <c r="N445" s="7" t="str">
        <f t="shared" si="6"/>
        <v>Pass</v>
      </c>
    </row>
    <row r="446" spans="1:14" x14ac:dyDescent="0.35">
      <c r="A446" s="17" t="s">
        <v>62</v>
      </c>
      <c r="B446" s="3" t="str">
        <f>IF(ISBLANK(Table3[[#This Row],[Campaign_ID]]),"Invalid","Valid")</f>
        <v>Valid</v>
      </c>
      <c r="C446" s="3" t="str">
        <f>IF(COUNTA(Finance_Data!A442:R442)=18,"Valid","Missing")</f>
        <v>Valid</v>
      </c>
      <c r="D446" s="3" t="str">
        <f>IF(COUNTIF(Finance_Data!$T$2:$T$1001,Finance_Data!T442)&gt;1,"Duplicate","Valid")</f>
        <v>Valid</v>
      </c>
      <c r="E446" s="3" t="str">
        <f>IF(Finance_Data!H442&gt;Finance_Data!G442,"Valid","Invalid")</f>
        <v>Valid</v>
      </c>
      <c r="F446" s="3" t="str" cm="1">
        <f t="array" ref="F446">_xlfn.IFS(Finance_Data!S442&lt;7,"Short",Finance_Data!S442&lt;=30,"Normal",Finance_Data!S442&lt;=60,"Long",Finance_Data!S442&gt;60,"Very Long")</f>
        <v>Normal</v>
      </c>
      <c r="G446" s="3" t="str">
        <f>IF(ABS(Finance_Data!I442*Finance_Data!J442)-Finance_Data!K442&lt;1,"Valid","Invalid")</f>
        <v>Valid</v>
      </c>
      <c r="H446" s="3" t="str">
        <f>IF(Finance_Data!L442&gt;0,"Valid","Invalid")</f>
        <v>Valid</v>
      </c>
      <c r="I446" s="3" t="str">
        <f>IF(Finance_Data!L442&gt;=Finance_Data!M442,"Valid","Invalid")</f>
        <v>Valid</v>
      </c>
      <c r="J446" s="3" t="str">
        <f>IF(AND(Finance_Data!I442&gt;=0,Finance_Data!K442&gt;=0),"Valid","Invalid")</f>
        <v>Valid</v>
      </c>
      <c r="K446" s="3" t="str">
        <f>IF(Finance_Data!N442&gt;=0,"Valid","Invalid")</f>
        <v>Valid</v>
      </c>
      <c r="L446" s="3" t="str">
        <f>IF(TEXT(Finance_Data!G442,"mmmm")=Finance_Data!P442,"Valid","Invalid")</f>
        <v>Valid</v>
      </c>
      <c r="M446" s="3" t="str">
        <f>IF("Q"&amp;ROUNDUP(MONTH(Finance_Data!G442)/3,0)=Finance_Data!Q442,"Valid","Invalid")</f>
        <v>Valid</v>
      </c>
      <c r="N446" s="7" t="str">
        <f t="shared" si="6"/>
        <v>Pass</v>
      </c>
    </row>
    <row r="447" spans="1:14" x14ac:dyDescent="0.35">
      <c r="A447" s="17" t="s">
        <v>72</v>
      </c>
      <c r="B447" s="3" t="str">
        <f>IF(ISBLANK(Table3[[#This Row],[Campaign_ID]]),"Invalid","Valid")</f>
        <v>Valid</v>
      </c>
      <c r="C447" s="3" t="str">
        <f>IF(COUNTA(Finance_Data!A443:R443)=18,"Valid","Missing")</f>
        <v>Valid</v>
      </c>
      <c r="D447" s="3" t="str">
        <f>IF(COUNTIF(Finance_Data!$T$2:$T$1001,Finance_Data!T443)&gt;1,"Duplicate","Valid")</f>
        <v>Valid</v>
      </c>
      <c r="E447" s="3" t="str">
        <f>IF(Finance_Data!H443&gt;Finance_Data!G443,"Valid","Invalid")</f>
        <v>Valid</v>
      </c>
      <c r="F447" s="3" t="str" cm="1">
        <f t="array" ref="F447">_xlfn.IFS(Finance_Data!S443&lt;7,"Short",Finance_Data!S443&lt;=30,"Normal",Finance_Data!S443&lt;=60,"Long",Finance_Data!S443&gt;60,"Very Long")</f>
        <v>Normal</v>
      </c>
      <c r="G447" s="3" t="str">
        <f>IF(ABS(Finance_Data!I443*Finance_Data!J443)-Finance_Data!K443&lt;1,"Valid","Invalid")</f>
        <v>Valid</v>
      </c>
      <c r="H447" s="3" t="str">
        <f>IF(Finance_Data!L443&gt;0,"Valid","Invalid")</f>
        <v>Valid</v>
      </c>
      <c r="I447" s="3" t="str">
        <f>IF(Finance_Data!L443&gt;=Finance_Data!M443,"Valid","Invalid")</f>
        <v>Valid</v>
      </c>
      <c r="J447" s="3" t="str">
        <f>IF(AND(Finance_Data!I443&gt;=0,Finance_Data!K443&gt;=0),"Valid","Invalid")</f>
        <v>Valid</v>
      </c>
      <c r="K447" s="3" t="str">
        <f>IF(Finance_Data!N443&gt;=0,"Valid","Invalid")</f>
        <v>Valid</v>
      </c>
      <c r="L447" s="3" t="str">
        <f>IF(TEXT(Finance_Data!G443,"mmmm")=Finance_Data!P443,"Valid","Invalid")</f>
        <v>Valid</v>
      </c>
      <c r="M447" s="3" t="str">
        <f>IF("Q"&amp;ROUNDUP(MONTH(Finance_Data!G443)/3,0)=Finance_Data!Q443,"Valid","Invalid")</f>
        <v>Valid</v>
      </c>
      <c r="N447" s="7" t="str">
        <f t="shared" si="6"/>
        <v>Pass</v>
      </c>
    </row>
    <row r="448" spans="1:14" x14ac:dyDescent="0.35">
      <c r="A448" s="17" t="s">
        <v>88</v>
      </c>
      <c r="B448" s="3" t="str">
        <f>IF(ISBLANK(Table3[[#This Row],[Campaign_ID]]),"Invalid","Valid")</f>
        <v>Valid</v>
      </c>
      <c r="C448" s="3" t="str">
        <f>IF(COUNTA(Finance_Data!A444:R444)=18,"Valid","Missing")</f>
        <v>Valid</v>
      </c>
      <c r="D448" s="3" t="str">
        <f>IF(COUNTIF(Finance_Data!$T$2:$T$1001,Finance_Data!T444)&gt;1,"Duplicate","Valid")</f>
        <v>Valid</v>
      </c>
      <c r="E448" s="3" t="str">
        <f>IF(Finance_Data!H444&gt;Finance_Data!G444,"Valid","Invalid")</f>
        <v>Valid</v>
      </c>
      <c r="F448" s="3" t="str" cm="1">
        <f t="array" ref="F448">_xlfn.IFS(Finance_Data!S444&lt;7,"Short",Finance_Data!S444&lt;=30,"Normal",Finance_Data!S444&lt;=60,"Long",Finance_Data!S444&gt;60,"Very Long")</f>
        <v>Long</v>
      </c>
      <c r="G448" s="3" t="str">
        <f>IF(ABS(Finance_Data!I444*Finance_Data!J444)-Finance_Data!K444&lt;1,"Valid","Invalid")</f>
        <v>Valid</v>
      </c>
      <c r="H448" s="3" t="str">
        <f>IF(Finance_Data!L444&gt;0,"Valid","Invalid")</f>
        <v>Valid</v>
      </c>
      <c r="I448" s="3" t="str">
        <f>IF(Finance_Data!L444&gt;=Finance_Data!M444,"Valid","Invalid")</f>
        <v>Invalid</v>
      </c>
      <c r="J448" s="3" t="str">
        <f>IF(AND(Finance_Data!I444&gt;=0,Finance_Data!K444&gt;=0),"Valid","Invalid")</f>
        <v>Valid</v>
      </c>
      <c r="K448" s="3" t="str">
        <f>IF(Finance_Data!N444&gt;=0,"Valid","Invalid")</f>
        <v>Valid</v>
      </c>
      <c r="L448" s="3" t="str">
        <f>IF(TEXT(Finance_Data!G444,"mmmm")=Finance_Data!P444,"Valid","Invalid")</f>
        <v>Valid</v>
      </c>
      <c r="M448" s="3" t="str">
        <f>IF("Q"&amp;ROUNDUP(MONTH(Finance_Data!G444)/3,0)=Finance_Data!Q444,"Valid","Invalid")</f>
        <v>Valid</v>
      </c>
      <c r="N448" s="7" t="str">
        <f t="shared" si="6"/>
        <v>Fail</v>
      </c>
    </row>
    <row r="449" spans="1:14" x14ac:dyDescent="0.35">
      <c r="A449" s="17" t="s">
        <v>66</v>
      </c>
      <c r="B449" s="3" t="str">
        <f>IF(ISBLANK(Table3[[#This Row],[Campaign_ID]]),"Invalid","Valid")</f>
        <v>Valid</v>
      </c>
      <c r="C449" s="3" t="str">
        <f>IF(COUNTA(Finance_Data!A445:R445)=18,"Valid","Missing")</f>
        <v>Valid</v>
      </c>
      <c r="D449" s="3" t="str">
        <f>IF(COUNTIF(Finance_Data!$T$2:$T$1001,Finance_Data!T445)&gt;1,"Duplicate","Valid")</f>
        <v>Valid</v>
      </c>
      <c r="E449" s="3" t="str">
        <f>IF(Finance_Data!H445&gt;Finance_Data!G445,"Valid","Invalid")</f>
        <v>Valid</v>
      </c>
      <c r="F449" s="3" t="str" cm="1">
        <f t="array" ref="F449">_xlfn.IFS(Finance_Data!S445&lt;7,"Short",Finance_Data!S445&lt;=30,"Normal",Finance_Data!S445&lt;=60,"Long",Finance_Data!S445&gt;60,"Very Long")</f>
        <v>Normal</v>
      </c>
      <c r="G449" s="3" t="str">
        <f>IF(ABS(Finance_Data!I445*Finance_Data!J445)-Finance_Data!K445&lt;1,"Valid","Invalid")</f>
        <v>Valid</v>
      </c>
      <c r="H449" s="3" t="str">
        <f>IF(Finance_Data!L445&gt;0,"Valid","Invalid")</f>
        <v>Valid</v>
      </c>
      <c r="I449" s="3" t="str">
        <f>IF(Finance_Data!L445&gt;=Finance_Data!M445,"Valid","Invalid")</f>
        <v>Valid</v>
      </c>
      <c r="J449" s="3" t="str">
        <f>IF(AND(Finance_Data!I445&gt;=0,Finance_Data!K445&gt;=0),"Valid","Invalid")</f>
        <v>Valid</v>
      </c>
      <c r="K449" s="3" t="str">
        <f>IF(Finance_Data!N445&gt;=0,"Valid","Invalid")</f>
        <v>Valid</v>
      </c>
      <c r="L449" s="3" t="str">
        <f>IF(TEXT(Finance_Data!G445,"mmmm")=Finance_Data!P445,"Valid","Invalid")</f>
        <v>Valid</v>
      </c>
      <c r="M449" s="3" t="str">
        <f>IF("Q"&amp;ROUNDUP(MONTH(Finance_Data!G445)/3,0)=Finance_Data!Q445,"Valid","Invalid")</f>
        <v>Valid</v>
      </c>
      <c r="N449" s="7" t="str">
        <f t="shared" si="6"/>
        <v>Pass</v>
      </c>
    </row>
    <row r="450" spans="1:14" x14ac:dyDescent="0.35">
      <c r="A450" s="17" t="s">
        <v>82</v>
      </c>
      <c r="B450" s="3" t="str">
        <f>IF(ISBLANK(Table3[[#This Row],[Campaign_ID]]),"Invalid","Valid")</f>
        <v>Valid</v>
      </c>
      <c r="C450" s="3" t="str">
        <f>IF(COUNTA(Finance_Data!A446:R446)=18,"Valid","Missing")</f>
        <v>Valid</v>
      </c>
      <c r="D450" s="3" t="str">
        <f>IF(COUNTIF(Finance_Data!$T$2:$T$1001,Finance_Data!T446)&gt;1,"Duplicate","Valid")</f>
        <v>Valid</v>
      </c>
      <c r="E450" s="3" t="str">
        <f>IF(Finance_Data!H446&gt;Finance_Data!G446,"Valid","Invalid")</f>
        <v>Valid</v>
      </c>
      <c r="F450" s="3" t="str" cm="1">
        <f t="array" ref="F450">_xlfn.IFS(Finance_Data!S446&lt;7,"Short",Finance_Data!S446&lt;=30,"Normal",Finance_Data!S446&lt;=60,"Long",Finance_Data!S446&gt;60,"Very Long")</f>
        <v>Normal</v>
      </c>
      <c r="G450" s="3" t="str">
        <f>IF(ABS(Finance_Data!I446*Finance_Data!J446)-Finance_Data!K446&lt;1,"Valid","Invalid")</f>
        <v>Valid</v>
      </c>
      <c r="H450" s="3" t="str">
        <f>IF(Finance_Data!L446&gt;0,"Valid","Invalid")</f>
        <v>Valid</v>
      </c>
      <c r="I450" s="3" t="str">
        <f>IF(Finance_Data!L446&gt;=Finance_Data!M446,"Valid","Invalid")</f>
        <v>Valid</v>
      </c>
      <c r="J450" s="3" t="str">
        <f>IF(AND(Finance_Data!I446&gt;=0,Finance_Data!K446&gt;=0),"Valid","Invalid")</f>
        <v>Valid</v>
      </c>
      <c r="K450" s="3" t="str">
        <f>IF(Finance_Data!N446&gt;=0,"Valid","Invalid")</f>
        <v>Valid</v>
      </c>
      <c r="L450" s="3" t="str">
        <f>IF(TEXT(Finance_Data!G446,"mmmm")=Finance_Data!P446,"Valid","Invalid")</f>
        <v>Valid</v>
      </c>
      <c r="M450" s="3" t="str">
        <f>IF("Q"&amp;ROUNDUP(MONTH(Finance_Data!G446)/3,0)=Finance_Data!Q446,"Valid","Invalid")</f>
        <v>Valid</v>
      </c>
      <c r="N450" s="7" t="str">
        <f t="shared" si="6"/>
        <v>Pass</v>
      </c>
    </row>
    <row r="451" spans="1:14" x14ac:dyDescent="0.35">
      <c r="A451" s="17" t="s">
        <v>93</v>
      </c>
      <c r="B451" s="3" t="str">
        <f>IF(ISBLANK(Table3[[#This Row],[Campaign_ID]]),"Invalid","Valid")</f>
        <v>Valid</v>
      </c>
      <c r="C451" s="3" t="str">
        <f>IF(COUNTA(Finance_Data!A447:R447)=18,"Valid","Missing")</f>
        <v>Valid</v>
      </c>
      <c r="D451" s="3" t="str">
        <f>IF(COUNTIF(Finance_Data!$T$2:$T$1001,Finance_Data!T447)&gt;1,"Duplicate","Valid")</f>
        <v>Valid</v>
      </c>
      <c r="E451" s="3" t="str">
        <f>IF(Finance_Data!H447&gt;Finance_Data!G447,"Valid","Invalid")</f>
        <v>Valid</v>
      </c>
      <c r="F451" s="3" t="str" cm="1">
        <f t="array" ref="F451">_xlfn.IFS(Finance_Data!S447&lt;7,"Short",Finance_Data!S447&lt;=30,"Normal",Finance_Data!S447&lt;=60,"Long",Finance_Data!S447&gt;60,"Very Long")</f>
        <v>Long</v>
      </c>
      <c r="G451" s="3" t="str">
        <f>IF(ABS(Finance_Data!I447*Finance_Data!J447)-Finance_Data!K447&lt;1,"Valid","Invalid")</f>
        <v>Valid</v>
      </c>
      <c r="H451" s="3" t="str">
        <f>IF(Finance_Data!L447&gt;0,"Valid","Invalid")</f>
        <v>Valid</v>
      </c>
      <c r="I451" s="3" t="str">
        <f>IF(Finance_Data!L447&gt;=Finance_Data!M447,"Valid","Invalid")</f>
        <v>Valid</v>
      </c>
      <c r="J451" s="3" t="str">
        <f>IF(AND(Finance_Data!I447&gt;=0,Finance_Data!K447&gt;=0),"Valid","Invalid")</f>
        <v>Valid</v>
      </c>
      <c r="K451" s="3" t="str">
        <f>IF(Finance_Data!N447&gt;=0,"Valid","Invalid")</f>
        <v>Valid</v>
      </c>
      <c r="L451" s="3" t="str">
        <f>IF(TEXT(Finance_Data!G447,"mmmm")=Finance_Data!P447,"Valid","Invalid")</f>
        <v>Valid</v>
      </c>
      <c r="M451" s="3" t="str">
        <f>IF("Q"&amp;ROUNDUP(MONTH(Finance_Data!G447)/3,0)=Finance_Data!Q447,"Valid","Invalid")</f>
        <v>Valid</v>
      </c>
      <c r="N451" s="7" t="str">
        <f t="shared" si="6"/>
        <v>Pass</v>
      </c>
    </row>
    <row r="452" spans="1:14" x14ac:dyDescent="0.35">
      <c r="A452" s="17" t="s">
        <v>105</v>
      </c>
      <c r="B452" s="3" t="str">
        <f>IF(ISBLANK(Table3[[#This Row],[Campaign_ID]]),"Invalid","Valid")</f>
        <v>Valid</v>
      </c>
      <c r="C452" s="3" t="str">
        <f>IF(COUNTA(Finance_Data!A448:R448)=18,"Valid","Missing")</f>
        <v>Valid</v>
      </c>
      <c r="D452" s="3" t="str">
        <f>IF(COUNTIF(Finance_Data!$T$2:$T$1001,Finance_Data!T448)&gt;1,"Duplicate","Valid")</f>
        <v>Valid</v>
      </c>
      <c r="E452" s="3" t="str">
        <f>IF(Finance_Data!H448&gt;Finance_Data!G448,"Valid","Invalid")</f>
        <v>Valid</v>
      </c>
      <c r="F452" s="3" t="str" cm="1">
        <f t="array" ref="F452">_xlfn.IFS(Finance_Data!S448&lt;7,"Short",Finance_Data!S448&lt;=30,"Normal",Finance_Data!S448&lt;=60,"Long",Finance_Data!S448&gt;60,"Very Long")</f>
        <v>Long</v>
      </c>
      <c r="G452" s="3" t="str">
        <f>IF(ABS(Finance_Data!I448*Finance_Data!J448)-Finance_Data!K448&lt;1,"Valid","Invalid")</f>
        <v>Valid</v>
      </c>
      <c r="H452" s="3" t="str">
        <f>IF(Finance_Data!L448&gt;0,"Valid","Invalid")</f>
        <v>Valid</v>
      </c>
      <c r="I452" s="3" t="str">
        <f>IF(Finance_Data!L448&gt;=Finance_Data!M448,"Valid","Invalid")</f>
        <v>Valid</v>
      </c>
      <c r="J452" s="3" t="str">
        <f>IF(AND(Finance_Data!I448&gt;=0,Finance_Data!K448&gt;=0),"Valid","Invalid")</f>
        <v>Valid</v>
      </c>
      <c r="K452" s="3" t="str">
        <f>IF(Finance_Data!N448&gt;=0,"Valid","Invalid")</f>
        <v>Valid</v>
      </c>
      <c r="L452" s="3" t="str">
        <f>IF(TEXT(Finance_Data!G448,"mmmm")=Finance_Data!P448,"Valid","Invalid")</f>
        <v>Valid</v>
      </c>
      <c r="M452" s="3" t="str">
        <f>IF("Q"&amp;ROUNDUP(MONTH(Finance_Data!G448)/3,0)=Finance_Data!Q448,"Valid","Invalid")</f>
        <v>Valid</v>
      </c>
      <c r="N452" s="7" t="str">
        <f t="shared" si="6"/>
        <v>Pass</v>
      </c>
    </row>
    <row r="453" spans="1:14" x14ac:dyDescent="0.35">
      <c r="A453" s="17" t="s">
        <v>114</v>
      </c>
      <c r="B453" s="3" t="str">
        <f>IF(ISBLANK(Table3[[#This Row],[Campaign_ID]]),"Invalid","Valid")</f>
        <v>Valid</v>
      </c>
      <c r="C453" s="3" t="str">
        <f>IF(COUNTA(Finance_Data!A449:R449)=18,"Valid","Missing")</f>
        <v>Valid</v>
      </c>
      <c r="D453" s="3" t="str">
        <f>IF(COUNTIF(Finance_Data!$T$2:$T$1001,Finance_Data!T449)&gt;1,"Duplicate","Valid")</f>
        <v>Valid</v>
      </c>
      <c r="E453" s="3" t="str">
        <f>IF(Finance_Data!H449&gt;Finance_Data!G449,"Valid","Invalid")</f>
        <v>Valid</v>
      </c>
      <c r="F453" s="3" t="str" cm="1">
        <f t="array" ref="F453">_xlfn.IFS(Finance_Data!S449&lt;7,"Short",Finance_Data!S449&lt;=30,"Normal",Finance_Data!S449&lt;=60,"Long",Finance_Data!S449&gt;60,"Very Long")</f>
        <v>Long</v>
      </c>
      <c r="G453" s="3" t="str">
        <f>IF(ABS(Finance_Data!I449*Finance_Data!J449)-Finance_Data!K449&lt;1,"Valid","Invalid")</f>
        <v>Valid</v>
      </c>
      <c r="H453" s="3" t="str">
        <f>IF(Finance_Data!L449&gt;0,"Valid","Invalid")</f>
        <v>Valid</v>
      </c>
      <c r="I453" s="3" t="str">
        <f>IF(Finance_Data!L449&gt;=Finance_Data!M449,"Valid","Invalid")</f>
        <v>Valid</v>
      </c>
      <c r="J453" s="3" t="str">
        <f>IF(AND(Finance_Data!I449&gt;=0,Finance_Data!K449&gt;=0),"Valid","Invalid")</f>
        <v>Valid</v>
      </c>
      <c r="K453" s="3" t="str">
        <f>IF(Finance_Data!N449&gt;=0,"Valid","Invalid")</f>
        <v>Valid</v>
      </c>
      <c r="L453" s="3" t="str">
        <f>IF(TEXT(Finance_Data!G449,"mmmm")=Finance_Data!P449,"Valid","Invalid")</f>
        <v>Valid</v>
      </c>
      <c r="M453" s="3" t="str">
        <f>IF("Q"&amp;ROUNDUP(MONTH(Finance_Data!G449)/3,0)=Finance_Data!Q449,"Valid","Invalid")</f>
        <v>Valid</v>
      </c>
      <c r="N453" s="7" t="str">
        <f t="shared" si="6"/>
        <v>Pass</v>
      </c>
    </row>
    <row r="454" spans="1:14" x14ac:dyDescent="0.35">
      <c r="A454" s="17" t="s">
        <v>103</v>
      </c>
      <c r="B454" s="3" t="str">
        <f>IF(ISBLANK(Table3[[#This Row],[Campaign_ID]]),"Invalid","Valid")</f>
        <v>Valid</v>
      </c>
      <c r="C454" s="3" t="str">
        <f>IF(COUNTA(Finance_Data!A450:R450)=18,"Valid","Missing")</f>
        <v>Valid</v>
      </c>
      <c r="D454" s="3" t="str">
        <f>IF(COUNTIF(Finance_Data!$T$2:$T$1001,Finance_Data!T450)&gt;1,"Duplicate","Valid")</f>
        <v>Valid</v>
      </c>
      <c r="E454" s="3" t="str">
        <f>IF(Finance_Data!H450&gt;Finance_Data!G450,"Valid","Invalid")</f>
        <v>Valid</v>
      </c>
      <c r="F454" s="3" t="str" cm="1">
        <f t="array" ref="F454">_xlfn.IFS(Finance_Data!S450&lt;7,"Short",Finance_Data!S450&lt;=30,"Normal",Finance_Data!S450&lt;=60,"Long",Finance_Data!S450&gt;60,"Very Long")</f>
        <v>Long</v>
      </c>
      <c r="G454" s="3" t="str">
        <f>IF(ABS(Finance_Data!I450*Finance_Data!J450)-Finance_Data!K450&lt;1,"Valid","Invalid")</f>
        <v>Valid</v>
      </c>
      <c r="H454" s="3" t="str">
        <f>IF(Finance_Data!L450&gt;0,"Valid","Invalid")</f>
        <v>Valid</v>
      </c>
      <c r="I454" s="3" t="str">
        <f>IF(Finance_Data!L450&gt;=Finance_Data!M450,"Valid","Invalid")</f>
        <v>Valid</v>
      </c>
      <c r="J454" s="3" t="str">
        <f>IF(AND(Finance_Data!I450&gt;=0,Finance_Data!K450&gt;=0),"Valid","Invalid")</f>
        <v>Valid</v>
      </c>
      <c r="K454" s="3" t="str">
        <f>IF(Finance_Data!N450&gt;=0,"Valid","Invalid")</f>
        <v>Valid</v>
      </c>
      <c r="L454" s="3" t="str">
        <f>IF(TEXT(Finance_Data!G450,"mmmm")=Finance_Data!P450,"Valid","Invalid")</f>
        <v>Valid</v>
      </c>
      <c r="M454" s="3" t="str">
        <f>IF("Q"&amp;ROUNDUP(MONTH(Finance_Data!G450)/3,0)=Finance_Data!Q450,"Valid","Invalid")</f>
        <v>Valid</v>
      </c>
      <c r="N454" s="7" t="str">
        <f t="shared" ref="N454:N517" si="7">IF(AND(B454="Valid",E454="Valid",G454="Valid",H454="Valid",I454="Valid",J454="Valid",K454="Valid",L454="Valid",M454="Valid"),"Pass","Fail")</f>
        <v>Pass</v>
      </c>
    </row>
    <row r="455" spans="1:14" x14ac:dyDescent="0.35">
      <c r="A455" s="17" t="s">
        <v>67</v>
      </c>
      <c r="B455" s="3" t="str">
        <f>IF(ISBLANK(Table3[[#This Row],[Campaign_ID]]),"Invalid","Valid")</f>
        <v>Valid</v>
      </c>
      <c r="C455" s="3" t="str">
        <f>IF(COUNTA(Finance_Data!A451:R451)=18,"Valid","Missing")</f>
        <v>Valid</v>
      </c>
      <c r="D455" s="3" t="str">
        <f>IF(COUNTIF(Finance_Data!$T$2:$T$1001,Finance_Data!T451)&gt;1,"Duplicate","Valid")</f>
        <v>Valid</v>
      </c>
      <c r="E455" s="3" t="str">
        <f>IF(Finance_Data!H451&gt;Finance_Data!G451,"Valid","Invalid")</f>
        <v>Valid</v>
      </c>
      <c r="F455" s="3" t="str" cm="1">
        <f t="array" ref="F455">_xlfn.IFS(Finance_Data!S451&lt;7,"Short",Finance_Data!S451&lt;=30,"Normal",Finance_Data!S451&lt;=60,"Long",Finance_Data!S451&gt;60,"Very Long")</f>
        <v>Long</v>
      </c>
      <c r="G455" s="3" t="str">
        <f>IF(ABS(Finance_Data!I451*Finance_Data!J451)-Finance_Data!K451&lt;1,"Valid","Invalid")</f>
        <v>Valid</v>
      </c>
      <c r="H455" s="3" t="str">
        <f>IF(Finance_Data!L451&gt;0,"Valid","Invalid")</f>
        <v>Valid</v>
      </c>
      <c r="I455" s="3" t="str">
        <f>IF(Finance_Data!L451&gt;=Finance_Data!M451,"Valid","Invalid")</f>
        <v>Valid</v>
      </c>
      <c r="J455" s="3" t="str">
        <f>IF(AND(Finance_Data!I451&gt;=0,Finance_Data!K451&gt;=0),"Valid","Invalid")</f>
        <v>Valid</v>
      </c>
      <c r="K455" s="3" t="str">
        <f>IF(Finance_Data!N451&gt;=0,"Valid","Invalid")</f>
        <v>Valid</v>
      </c>
      <c r="L455" s="3" t="str">
        <f>IF(TEXT(Finance_Data!G451,"mmmm")=Finance_Data!P451,"Valid","Invalid")</f>
        <v>Valid</v>
      </c>
      <c r="M455" s="3" t="str">
        <f>IF("Q"&amp;ROUNDUP(MONTH(Finance_Data!G451)/3,0)=Finance_Data!Q451,"Valid","Invalid")</f>
        <v>Valid</v>
      </c>
      <c r="N455" s="7" t="str">
        <f t="shared" si="7"/>
        <v>Pass</v>
      </c>
    </row>
    <row r="456" spans="1:14" x14ac:dyDescent="0.35">
      <c r="A456" s="17" t="s">
        <v>55</v>
      </c>
      <c r="B456" s="3" t="str">
        <f>IF(ISBLANK(Table3[[#This Row],[Campaign_ID]]),"Invalid","Valid")</f>
        <v>Valid</v>
      </c>
      <c r="C456" s="3" t="str">
        <f>IF(COUNTA(Finance_Data!A452:R452)=18,"Valid","Missing")</f>
        <v>Valid</v>
      </c>
      <c r="D456" s="3" t="str">
        <f>IF(COUNTIF(Finance_Data!$T$2:$T$1001,Finance_Data!T452)&gt;1,"Duplicate","Valid")</f>
        <v>Valid</v>
      </c>
      <c r="E456" s="3" t="str">
        <f>IF(Finance_Data!H452&gt;Finance_Data!G452,"Valid","Invalid")</f>
        <v>Valid</v>
      </c>
      <c r="F456" s="3" t="str" cm="1">
        <f t="array" ref="F456">_xlfn.IFS(Finance_Data!S452&lt;7,"Short",Finance_Data!S452&lt;=30,"Normal",Finance_Data!S452&lt;=60,"Long",Finance_Data!S452&gt;60,"Very Long")</f>
        <v>Normal</v>
      </c>
      <c r="G456" s="3" t="str">
        <f>IF(ABS(Finance_Data!I452*Finance_Data!J452)-Finance_Data!K452&lt;1,"Valid","Invalid")</f>
        <v>Valid</v>
      </c>
      <c r="H456" s="3" t="str">
        <f>IF(Finance_Data!L452&gt;0,"Valid","Invalid")</f>
        <v>Valid</v>
      </c>
      <c r="I456" s="3" t="str">
        <f>IF(Finance_Data!L452&gt;=Finance_Data!M452,"Valid","Invalid")</f>
        <v>Valid</v>
      </c>
      <c r="J456" s="3" t="str">
        <f>IF(AND(Finance_Data!I452&gt;=0,Finance_Data!K452&gt;=0),"Valid","Invalid")</f>
        <v>Valid</v>
      </c>
      <c r="K456" s="3" t="str">
        <f>IF(Finance_Data!N452&gt;=0,"Valid","Invalid")</f>
        <v>Valid</v>
      </c>
      <c r="L456" s="3" t="str">
        <f>IF(TEXT(Finance_Data!G452,"mmmm")=Finance_Data!P452,"Valid","Invalid")</f>
        <v>Valid</v>
      </c>
      <c r="M456" s="3" t="str">
        <f>IF("Q"&amp;ROUNDUP(MONTH(Finance_Data!G452)/3,0)=Finance_Data!Q452,"Valid","Invalid")</f>
        <v>Valid</v>
      </c>
      <c r="N456" s="7" t="str">
        <f t="shared" si="7"/>
        <v>Pass</v>
      </c>
    </row>
    <row r="457" spans="1:14" x14ac:dyDescent="0.35">
      <c r="A457" s="17" t="s">
        <v>89</v>
      </c>
      <c r="B457" s="3" t="str">
        <f>IF(ISBLANK(Table3[[#This Row],[Campaign_ID]]),"Invalid","Valid")</f>
        <v>Valid</v>
      </c>
      <c r="C457" s="3" t="str">
        <f>IF(COUNTA(Finance_Data!A453:R453)=18,"Valid","Missing")</f>
        <v>Valid</v>
      </c>
      <c r="D457" s="3" t="str">
        <f>IF(COUNTIF(Finance_Data!$T$2:$T$1001,Finance_Data!T453)&gt;1,"Duplicate","Valid")</f>
        <v>Valid</v>
      </c>
      <c r="E457" s="3" t="str">
        <f>IF(Finance_Data!H453&gt;Finance_Data!G453,"Valid","Invalid")</f>
        <v>Valid</v>
      </c>
      <c r="F457" s="3" t="str" cm="1">
        <f t="array" ref="F457">_xlfn.IFS(Finance_Data!S453&lt;7,"Short",Finance_Data!S453&lt;=30,"Normal",Finance_Data!S453&lt;=60,"Long",Finance_Data!S453&gt;60,"Very Long")</f>
        <v>Long</v>
      </c>
      <c r="G457" s="3" t="str">
        <f>IF(ABS(Finance_Data!I453*Finance_Data!J453)-Finance_Data!K453&lt;1,"Valid","Invalid")</f>
        <v>Valid</v>
      </c>
      <c r="H457" s="3" t="str">
        <f>IF(Finance_Data!L453&gt;0,"Valid","Invalid")</f>
        <v>Valid</v>
      </c>
      <c r="I457" s="3" t="str">
        <f>IF(Finance_Data!L453&gt;=Finance_Data!M453,"Valid","Invalid")</f>
        <v>Valid</v>
      </c>
      <c r="J457" s="3" t="str">
        <f>IF(AND(Finance_Data!I453&gt;=0,Finance_Data!K453&gt;=0),"Valid","Invalid")</f>
        <v>Valid</v>
      </c>
      <c r="K457" s="3" t="str">
        <f>IF(Finance_Data!N453&gt;=0,"Valid","Invalid")</f>
        <v>Valid</v>
      </c>
      <c r="L457" s="3" t="str">
        <f>IF(TEXT(Finance_Data!G453,"mmmm")=Finance_Data!P453,"Valid","Invalid")</f>
        <v>Valid</v>
      </c>
      <c r="M457" s="3" t="str">
        <f>IF("Q"&amp;ROUNDUP(MONTH(Finance_Data!G453)/3,0)=Finance_Data!Q453,"Valid","Invalid")</f>
        <v>Valid</v>
      </c>
      <c r="N457" s="7" t="str">
        <f t="shared" si="7"/>
        <v>Pass</v>
      </c>
    </row>
    <row r="458" spans="1:14" x14ac:dyDescent="0.35">
      <c r="A458" s="17" t="s">
        <v>97</v>
      </c>
      <c r="B458" s="3" t="str">
        <f>IF(ISBLANK(Table3[[#This Row],[Campaign_ID]]),"Invalid","Valid")</f>
        <v>Valid</v>
      </c>
      <c r="C458" s="3" t="str">
        <f>IF(COUNTA(Finance_Data!A454:R454)=18,"Valid","Missing")</f>
        <v>Valid</v>
      </c>
      <c r="D458" s="3" t="str">
        <f>IF(COUNTIF(Finance_Data!$T$2:$T$1001,Finance_Data!T454)&gt;1,"Duplicate","Valid")</f>
        <v>Valid</v>
      </c>
      <c r="E458" s="3" t="str">
        <f>IF(Finance_Data!H454&gt;Finance_Data!G454,"Valid","Invalid")</f>
        <v>Valid</v>
      </c>
      <c r="F458" s="3" t="str" cm="1">
        <f t="array" ref="F458">_xlfn.IFS(Finance_Data!S454&lt;7,"Short",Finance_Data!S454&lt;=30,"Normal",Finance_Data!S454&lt;=60,"Long",Finance_Data!S454&gt;60,"Very Long")</f>
        <v>Normal</v>
      </c>
      <c r="G458" s="3" t="str">
        <f>IF(ABS(Finance_Data!I454*Finance_Data!J454)-Finance_Data!K454&lt;1,"Valid","Invalid")</f>
        <v>Valid</v>
      </c>
      <c r="H458" s="3" t="str">
        <f>IF(Finance_Data!L454&gt;0,"Valid","Invalid")</f>
        <v>Valid</v>
      </c>
      <c r="I458" s="3" t="str">
        <f>IF(Finance_Data!L454&gt;=Finance_Data!M454,"Valid","Invalid")</f>
        <v>Valid</v>
      </c>
      <c r="J458" s="3" t="str">
        <f>IF(AND(Finance_Data!I454&gt;=0,Finance_Data!K454&gt;=0),"Valid","Invalid")</f>
        <v>Valid</v>
      </c>
      <c r="K458" s="3" t="str">
        <f>IF(Finance_Data!N454&gt;=0,"Valid","Invalid")</f>
        <v>Valid</v>
      </c>
      <c r="L458" s="3" t="str">
        <f>IF(TEXT(Finance_Data!G454,"mmmm")=Finance_Data!P454,"Valid","Invalid")</f>
        <v>Valid</v>
      </c>
      <c r="M458" s="3" t="str">
        <f>IF("Q"&amp;ROUNDUP(MONTH(Finance_Data!G454)/3,0)=Finance_Data!Q454,"Valid","Invalid")</f>
        <v>Valid</v>
      </c>
      <c r="N458" s="7" t="str">
        <f t="shared" si="7"/>
        <v>Pass</v>
      </c>
    </row>
    <row r="459" spans="1:14" x14ac:dyDescent="0.35">
      <c r="A459" s="17" t="s">
        <v>62</v>
      </c>
      <c r="B459" s="3" t="str">
        <f>IF(ISBLANK(Table3[[#This Row],[Campaign_ID]]),"Invalid","Valid")</f>
        <v>Valid</v>
      </c>
      <c r="C459" s="3" t="str">
        <f>IF(COUNTA(Finance_Data!A455:R455)=18,"Valid","Missing")</f>
        <v>Valid</v>
      </c>
      <c r="D459" s="3" t="str">
        <f>IF(COUNTIF(Finance_Data!$T$2:$T$1001,Finance_Data!T455)&gt;1,"Duplicate","Valid")</f>
        <v>Valid</v>
      </c>
      <c r="E459" s="3" t="str">
        <f>IF(Finance_Data!H455&gt;Finance_Data!G455,"Valid","Invalid")</f>
        <v>Valid</v>
      </c>
      <c r="F459" s="3" t="str" cm="1">
        <f t="array" ref="F459">_xlfn.IFS(Finance_Data!S455&lt;7,"Short",Finance_Data!S455&lt;=30,"Normal",Finance_Data!S455&lt;=60,"Long",Finance_Data!S455&gt;60,"Very Long")</f>
        <v>Long</v>
      </c>
      <c r="G459" s="3" t="str">
        <f>IF(ABS(Finance_Data!I455*Finance_Data!J455)-Finance_Data!K455&lt;1,"Valid","Invalid")</f>
        <v>Valid</v>
      </c>
      <c r="H459" s="3" t="str">
        <f>IF(Finance_Data!L455&gt;0,"Valid","Invalid")</f>
        <v>Valid</v>
      </c>
      <c r="I459" s="3" t="str">
        <f>IF(Finance_Data!L455&gt;=Finance_Data!M455,"Valid","Invalid")</f>
        <v>Valid</v>
      </c>
      <c r="J459" s="3" t="str">
        <f>IF(AND(Finance_Data!I455&gt;=0,Finance_Data!K455&gt;=0),"Valid","Invalid")</f>
        <v>Valid</v>
      </c>
      <c r="K459" s="3" t="str">
        <f>IF(Finance_Data!N455&gt;=0,"Valid","Invalid")</f>
        <v>Valid</v>
      </c>
      <c r="L459" s="3" t="str">
        <f>IF(TEXT(Finance_Data!G455,"mmmm")=Finance_Data!P455,"Valid","Invalid")</f>
        <v>Valid</v>
      </c>
      <c r="M459" s="3" t="str">
        <f>IF("Q"&amp;ROUNDUP(MONTH(Finance_Data!G455)/3,0)=Finance_Data!Q455,"Valid","Invalid")</f>
        <v>Valid</v>
      </c>
      <c r="N459" s="7" t="str">
        <f t="shared" si="7"/>
        <v>Pass</v>
      </c>
    </row>
    <row r="460" spans="1:14" x14ac:dyDescent="0.35">
      <c r="A460" s="17" t="s">
        <v>98</v>
      </c>
      <c r="B460" s="3" t="str">
        <f>IF(ISBLANK(Table3[[#This Row],[Campaign_ID]]),"Invalid","Valid")</f>
        <v>Valid</v>
      </c>
      <c r="C460" s="3" t="str">
        <f>IF(COUNTA(Finance_Data!A456:R456)=18,"Valid","Missing")</f>
        <v>Valid</v>
      </c>
      <c r="D460" s="3" t="str">
        <f>IF(COUNTIF(Finance_Data!$T$2:$T$1001,Finance_Data!T456)&gt;1,"Duplicate","Valid")</f>
        <v>Valid</v>
      </c>
      <c r="E460" s="3" t="str">
        <f>IF(Finance_Data!H456&gt;Finance_Data!G456,"Valid","Invalid")</f>
        <v>Valid</v>
      </c>
      <c r="F460" s="3" t="str" cm="1">
        <f t="array" ref="F460">_xlfn.IFS(Finance_Data!S456&lt;7,"Short",Finance_Data!S456&lt;=30,"Normal",Finance_Data!S456&lt;=60,"Long",Finance_Data!S456&gt;60,"Very Long")</f>
        <v>Normal</v>
      </c>
      <c r="G460" s="3" t="str">
        <f>IF(ABS(Finance_Data!I456*Finance_Data!J456)-Finance_Data!K456&lt;1,"Valid","Invalid")</f>
        <v>Valid</v>
      </c>
      <c r="H460" s="3" t="str">
        <f>IF(Finance_Data!L456&gt;0,"Valid","Invalid")</f>
        <v>Valid</v>
      </c>
      <c r="I460" s="3" t="str">
        <f>IF(Finance_Data!L456&gt;=Finance_Data!M456,"Valid","Invalid")</f>
        <v>Valid</v>
      </c>
      <c r="J460" s="3" t="str">
        <f>IF(AND(Finance_Data!I456&gt;=0,Finance_Data!K456&gt;=0),"Valid","Invalid")</f>
        <v>Valid</v>
      </c>
      <c r="K460" s="3" t="str">
        <f>IF(Finance_Data!N456&gt;=0,"Valid","Invalid")</f>
        <v>Valid</v>
      </c>
      <c r="L460" s="3" t="str">
        <f>IF(TEXT(Finance_Data!G456,"mmmm")=Finance_Data!P456,"Valid","Invalid")</f>
        <v>Valid</v>
      </c>
      <c r="M460" s="3" t="str">
        <f>IF("Q"&amp;ROUNDUP(MONTH(Finance_Data!G456)/3,0)=Finance_Data!Q456,"Valid","Invalid")</f>
        <v>Valid</v>
      </c>
      <c r="N460" s="7" t="str">
        <f t="shared" si="7"/>
        <v>Pass</v>
      </c>
    </row>
    <row r="461" spans="1:14" x14ac:dyDescent="0.35">
      <c r="A461" s="17" t="s">
        <v>104</v>
      </c>
      <c r="B461" s="3" t="str">
        <f>IF(ISBLANK(Table3[[#This Row],[Campaign_ID]]),"Invalid","Valid")</f>
        <v>Valid</v>
      </c>
      <c r="C461" s="3" t="str">
        <f>IF(COUNTA(Finance_Data!A457:R457)=18,"Valid","Missing")</f>
        <v>Valid</v>
      </c>
      <c r="D461" s="3" t="str">
        <f>IF(COUNTIF(Finance_Data!$T$2:$T$1001,Finance_Data!T457)&gt;1,"Duplicate","Valid")</f>
        <v>Valid</v>
      </c>
      <c r="E461" s="3" t="str">
        <f>IF(Finance_Data!H457&gt;Finance_Data!G457,"Valid","Invalid")</f>
        <v>Valid</v>
      </c>
      <c r="F461" s="3" t="str" cm="1">
        <f t="array" ref="F461">_xlfn.IFS(Finance_Data!S457&lt;7,"Short",Finance_Data!S457&lt;=30,"Normal",Finance_Data!S457&lt;=60,"Long",Finance_Data!S457&gt;60,"Very Long")</f>
        <v>Normal</v>
      </c>
      <c r="G461" s="3" t="str">
        <f>IF(ABS(Finance_Data!I457*Finance_Data!J457)-Finance_Data!K457&lt;1,"Valid","Invalid")</f>
        <v>Valid</v>
      </c>
      <c r="H461" s="3" t="str">
        <f>IF(Finance_Data!L457&gt;0,"Valid","Invalid")</f>
        <v>Valid</v>
      </c>
      <c r="I461" s="3" t="str">
        <f>IF(Finance_Data!L457&gt;=Finance_Data!M457,"Valid","Invalid")</f>
        <v>Valid</v>
      </c>
      <c r="J461" s="3" t="str">
        <f>IF(AND(Finance_Data!I457&gt;=0,Finance_Data!K457&gt;=0),"Valid","Invalid")</f>
        <v>Valid</v>
      </c>
      <c r="K461" s="3" t="str">
        <f>IF(Finance_Data!N457&gt;=0,"Valid","Invalid")</f>
        <v>Valid</v>
      </c>
      <c r="L461" s="3" t="str">
        <f>IF(TEXT(Finance_Data!G457,"mmmm")=Finance_Data!P457,"Valid","Invalid")</f>
        <v>Valid</v>
      </c>
      <c r="M461" s="3" t="str">
        <f>IF("Q"&amp;ROUNDUP(MONTH(Finance_Data!G457)/3,0)=Finance_Data!Q457,"Valid","Invalid")</f>
        <v>Valid</v>
      </c>
      <c r="N461" s="7" t="str">
        <f t="shared" si="7"/>
        <v>Pass</v>
      </c>
    </row>
    <row r="462" spans="1:14" x14ac:dyDescent="0.35">
      <c r="A462" s="17" t="s">
        <v>42</v>
      </c>
      <c r="B462" s="3" t="str">
        <f>IF(ISBLANK(Table3[[#This Row],[Campaign_ID]]),"Invalid","Valid")</f>
        <v>Valid</v>
      </c>
      <c r="C462" s="3" t="str">
        <f>IF(COUNTA(Finance_Data!A458:R458)=18,"Valid","Missing")</f>
        <v>Valid</v>
      </c>
      <c r="D462" s="3" t="str">
        <f>IF(COUNTIF(Finance_Data!$T$2:$T$1001,Finance_Data!T458)&gt;1,"Duplicate","Valid")</f>
        <v>Valid</v>
      </c>
      <c r="E462" s="3" t="str">
        <f>IF(Finance_Data!H458&gt;Finance_Data!G458,"Valid","Invalid")</f>
        <v>Valid</v>
      </c>
      <c r="F462" s="3" t="str" cm="1">
        <f t="array" ref="F462">_xlfn.IFS(Finance_Data!S458&lt;7,"Short",Finance_Data!S458&lt;=30,"Normal",Finance_Data!S458&lt;=60,"Long",Finance_Data!S458&gt;60,"Very Long")</f>
        <v>Very Long</v>
      </c>
      <c r="G462" s="3" t="str">
        <f>IF(ABS(Finance_Data!I458*Finance_Data!J458)-Finance_Data!K458&lt;1,"Valid","Invalid")</f>
        <v>Valid</v>
      </c>
      <c r="H462" s="3" t="str">
        <f>IF(Finance_Data!L458&gt;0,"Valid","Invalid")</f>
        <v>Valid</v>
      </c>
      <c r="I462" s="3" t="str">
        <f>IF(Finance_Data!L458&gt;=Finance_Data!M458,"Valid","Invalid")</f>
        <v>Valid</v>
      </c>
      <c r="J462" s="3" t="str">
        <f>IF(AND(Finance_Data!I458&gt;=0,Finance_Data!K458&gt;=0),"Valid","Invalid")</f>
        <v>Valid</v>
      </c>
      <c r="K462" s="3" t="str">
        <f>IF(Finance_Data!N458&gt;=0,"Valid","Invalid")</f>
        <v>Valid</v>
      </c>
      <c r="L462" s="3" t="str">
        <f>IF(TEXT(Finance_Data!G458,"mmmm")=Finance_Data!P458,"Valid","Invalid")</f>
        <v>Valid</v>
      </c>
      <c r="M462" s="3" t="str">
        <f>IF("Q"&amp;ROUNDUP(MONTH(Finance_Data!G458)/3,0)=Finance_Data!Q458,"Valid","Invalid")</f>
        <v>Valid</v>
      </c>
      <c r="N462" s="7" t="str">
        <f t="shared" si="7"/>
        <v>Pass</v>
      </c>
    </row>
    <row r="463" spans="1:14" x14ac:dyDescent="0.35">
      <c r="A463" s="17" t="s">
        <v>50</v>
      </c>
      <c r="B463" s="3" t="str">
        <f>IF(ISBLANK(Table3[[#This Row],[Campaign_ID]]),"Invalid","Valid")</f>
        <v>Valid</v>
      </c>
      <c r="C463" s="3" t="str">
        <f>IF(COUNTA(Finance_Data!A459:R459)=18,"Valid","Missing")</f>
        <v>Valid</v>
      </c>
      <c r="D463" s="3" t="str">
        <f>IF(COUNTIF(Finance_Data!$T$2:$T$1001,Finance_Data!T459)&gt;1,"Duplicate","Valid")</f>
        <v>Valid</v>
      </c>
      <c r="E463" s="3" t="str">
        <f>IF(Finance_Data!H459&gt;Finance_Data!G459,"Valid","Invalid")</f>
        <v>Valid</v>
      </c>
      <c r="F463" s="3" t="str" cm="1">
        <f t="array" ref="F463">_xlfn.IFS(Finance_Data!S459&lt;7,"Short",Finance_Data!S459&lt;=30,"Normal",Finance_Data!S459&lt;=60,"Long",Finance_Data!S459&gt;60,"Very Long")</f>
        <v>Long</v>
      </c>
      <c r="G463" s="3" t="str">
        <f>IF(ABS(Finance_Data!I459*Finance_Data!J459)-Finance_Data!K459&lt;1,"Valid","Invalid")</f>
        <v>Valid</v>
      </c>
      <c r="H463" s="3" t="str">
        <f>IF(Finance_Data!L459&gt;0,"Valid","Invalid")</f>
        <v>Valid</v>
      </c>
      <c r="I463" s="3" t="str">
        <f>IF(Finance_Data!L459&gt;=Finance_Data!M459,"Valid","Invalid")</f>
        <v>Valid</v>
      </c>
      <c r="J463" s="3" t="str">
        <f>IF(AND(Finance_Data!I459&gt;=0,Finance_Data!K459&gt;=0),"Valid","Invalid")</f>
        <v>Valid</v>
      </c>
      <c r="K463" s="3" t="str">
        <f>IF(Finance_Data!N459&gt;=0,"Valid","Invalid")</f>
        <v>Valid</v>
      </c>
      <c r="L463" s="3" t="str">
        <f>IF(TEXT(Finance_Data!G459,"mmmm")=Finance_Data!P459,"Valid","Invalid")</f>
        <v>Valid</v>
      </c>
      <c r="M463" s="3" t="str">
        <f>IF("Q"&amp;ROUNDUP(MONTH(Finance_Data!G459)/3,0)=Finance_Data!Q459,"Valid","Invalid")</f>
        <v>Valid</v>
      </c>
      <c r="N463" s="7" t="str">
        <f t="shared" si="7"/>
        <v>Pass</v>
      </c>
    </row>
    <row r="464" spans="1:14" x14ac:dyDescent="0.35">
      <c r="A464" s="17" t="s">
        <v>86</v>
      </c>
      <c r="B464" s="3" t="str">
        <f>IF(ISBLANK(Table3[[#This Row],[Campaign_ID]]),"Invalid","Valid")</f>
        <v>Valid</v>
      </c>
      <c r="C464" s="3" t="str">
        <f>IF(COUNTA(Finance_Data!A460:R460)=18,"Valid","Missing")</f>
        <v>Valid</v>
      </c>
      <c r="D464" s="3" t="str">
        <f>IF(COUNTIF(Finance_Data!$T$2:$T$1001,Finance_Data!T460)&gt;1,"Duplicate","Valid")</f>
        <v>Valid</v>
      </c>
      <c r="E464" s="3" t="str">
        <f>IF(Finance_Data!H460&gt;Finance_Data!G460,"Valid","Invalid")</f>
        <v>Valid</v>
      </c>
      <c r="F464" s="3" t="str" cm="1">
        <f t="array" ref="F464">_xlfn.IFS(Finance_Data!S460&lt;7,"Short",Finance_Data!S460&lt;=30,"Normal",Finance_Data!S460&lt;=60,"Long",Finance_Data!S460&gt;60,"Very Long")</f>
        <v>Long</v>
      </c>
      <c r="G464" s="3" t="str">
        <f>IF(ABS(Finance_Data!I460*Finance_Data!J460)-Finance_Data!K460&lt;1,"Valid","Invalid")</f>
        <v>Valid</v>
      </c>
      <c r="H464" s="3" t="str">
        <f>IF(Finance_Data!L460&gt;0,"Valid","Invalid")</f>
        <v>Valid</v>
      </c>
      <c r="I464" s="3" t="str">
        <f>IF(Finance_Data!L460&gt;=Finance_Data!M460,"Valid","Invalid")</f>
        <v>Valid</v>
      </c>
      <c r="J464" s="3" t="str">
        <f>IF(AND(Finance_Data!I460&gt;=0,Finance_Data!K460&gt;=0),"Valid","Invalid")</f>
        <v>Valid</v>
      </c>
      <c r="K464" s="3" t="str">
        <f>IF(Finance_Data!N460&gt;=0,"Valid","Invalid")</f>
        <v>Valid</v>
      </c>
      <c r="L464" s="3" t="str">
        <f>IF(TEXT(Finance_Data!G460,"mmmm")=Finance_Data!P460,"Valid","Invalid")</f>
        <v>Valid</v>
      </c>
      <c r="M464" s="3" t="str">
        <f>IF("Q"&amp;ROUNDUP(MONTH(Finance_Data!G460)/3,0)=Finance_Data!Q460,"Valid","Invalid")</f>
        <v>Valid</v>
      </c>
      <c r="N464" s="7" t="str">
        <f t="shared" si="7"/>
        <v>Pass</v>
      </c>
    </row>
    <row r="465" spans="1:14" x14ac:dyDescent="0.35">
      <c r="A465" s="17" t="s">
        <v>109</v>
      </c>
      <c r="B465" s="3" t="str">
        <f>IF(ISBLANK(Table3[[#This Row],[Campaign_ID]]),"Invalid","Valid")</f>
        <v>Valid</v>
      </c>
      <c r="C465" s="3" t="str">
        <f>IF(COUNTA(Finance_Data!A461:R461)=18,"Valid","Missing")</f>
        <v>Valid</v>
      </c>
      <c r="D465" s="3" t="str">
        <f>IF(COUNTIF(Finance_Data!$T$2:$T$1001,Finance_Data!T461)&gt;1,"Duplicate","Valid")</f>
        <v>Valid</v>
      </c>
      <c r="E465" s="3" t="str">
        <f>IF(Finance_Data!H461&gt;Finance_Data!G461,"Valid","Invalid")</f>
        <v>Valid</v>
      </c>
      <c r="F465" s="3" t="str" cm="1">
        <f t="array" ref="F465">_xlfn.IFS(Finance_Data!S461&lt;7,"Short",Finance_Data!S461&lt;=30,"Normal",Finance_Data!S461&lt;=60,"Long",Finance_Data!S461&gt;60,"Very Long")</f>
        <v>Long</v>
      </c>
      <c r="G465" s="3" t="str">
        <f>IF(ABS(Finance_Data!I461*Finance_Data!J461)-Finance_Data!K461&lt;1,"Valid","Invalid")</f>
        <v>Valid</v>
      </c>
      <c r="H465" s="3" t="str">
        <f>IF(Finance_Data!L461&gt;0,"Valid","Invalid")</f>
        <v>Valid</v>
      </c>
      <c r="I465" s="3" t="str">
        <f>IF(Finance_Data!L461&gt;=Finance_Data!M461,"Valid","Invalid")</f>
        <v>Valid</v>
      </c>
      <c r="J465" s="3" t="str">
        <f>IF(AND(Finance_Data!I461&gt;=0,Finance_Data!K461&gt;=0),"Valid","Invalid")</f>
        <v>Valid</v>
      </c>
      <c r="K465" s="3" t="str">
        <f>IF(Finance_Data!N461&gt;=0,"Valid","Invalid")</f>
        <v>Valid</v>
      </c>
      <c r="L465" s="3" t="str">
        <f>IF(TEXT(Finance_Data!G461,"mmmm")=Finance_Data!P461,"Valid","Invalid")</f>
        <v>Valid</v>
      </c>
      <c r="M465" s="3" t="str">
        <f>IF("Q"&amp;ROUNDUP(MONTH(Finance_Data!G461)/3,0)=Finance_Data!Q461,"Valid","Invalid")</f>
        <v>Valid</v>
      </c>
      <c r="N465" s="7" t="str">
        <f t="shared" si="7"/>
        <v>Pass</v>
      </c>
    </row>
    <row r="466" spans="1:14" x14ac:dyDescent="0.35">
      <c r="A466" s="17" t="s">
        <v>104</v>
      </c>
      <c r="B466" s="3" t="str">
        <f>IF(ISBLANK(Table3[[#This Row],[Campaign_ID]]),"Invalid","Valid")</f>
        <v>Valid</v>
      </c>
      <c r="C466" s="3" t="str">
        <f>IF(COUNTA(Finance_Data!A462:R462)=18,"Valid","Missing")</f>
        <v>Valid</v>
      </c>
      <c r="D466" s="3" t="str">
        <f>IF(COUNTIF(Finance_Data!$T$2:$T$1001,Finance_Data!T462)&gt;1,"Duplicate","Valid")</f>
        <v>Valid</v>
      </c>
      <c r="E466" s="3" t="str">
        <f>IF(Finance_Data!H462&gt;Finance_Data!G462,"Valid","Invalid")</f>
        <v>Valid</v>
      </c>
      <c r="F466" s="3" t="str" cm="1">
        <f t="array" ref="F466">_xlfn.IFS(Finance_Data!S462&lt;7,"Short",Finance_Data!S462&lt;=30,"Normal",Finance_Data!S462&lt;=60,"Long",Finance_Data!S462&gt;60,"Very Long")</f>
        <v>Long</v>
      </c>
      <c r="G466" s="3" t="str">
        <f>IF(ABS(Finance_Data!I462*Finance_Data!J462)-Finance_Data!K462&lt;1,"Valid","Invalid")</f>
        <v>Valid</v>
      </c>
      <c r="H466" s="3" t="str">
        <f>IF(Finance_Data!L462&gt;0,"Valid","Invalid")</f>
        <v>Valid</v>
      </c>
      <c r="I466" s="3" t="str">
        <f>IF(Finance_Data!L462&gt;=Finance_Data!M462,"Valid","Invalid")</f>
        <v>Valid</v>
      </c>
      <c r="J466" s="3" t="str">
        <f>IF(AND(Finance_Data!I462&gt;=0,Finance_Data!K462&gt;=0),"Valid","Invalid")</f>
        <v>Valid</v>
      </c>
      <c r="K466" s="3" t="str">
        <f>IF(Finance_Data!N462&gt;=0,"Valid","Invalid")</f>
        <v>Valid</v>
      </c>
      <c r="L466" s="3" t="str">
        <f>IF(TEXT(Finance_Data!G462,"mmmm")=Finance_Data!P462,"Valid","Invalid")</f>
        <v>Valid</v>
      </c>
      <c r="M466" s="3" t="str">
        <f>IF("Q"&amp;ROUNDUP(MONTH(Finance_Data!G462)/3,0)=Finance_Data!Q462,"Valid","Invalid")</f>
        <v>Valid</v>
      </c>
      <c r="N466" s="7" t="str">
        <f t="shared" si="7"/>
        <v>Pass</v>
      </c>
    </row>
    <row r="467" spans="1:14" x14ac:dyDescent="0.35">
      <c r="A467" s="17" t="s">
        <v>97</v>
      </c>
      <c r="B467" s="3" t="str">
        <f>IF(ISBLANK(Table3[[#This Row],[Campaign_ID]]),"Invalid","Valid")</f>
        <v>Valid</v>
      </c>
      <c r="C467" s="3" t="str">
        <f>IF(COUNTA(Finance_Data!A463:R463)=18,"Valid","Missing")</f>
        <v>Valid</v>
      </c>
      <c r="D467" s="3" t="str">
        <f>IF(COUNTIF(Finance_Data!$T$2:$T$1001,Finance_Data!T463)&gt;1,"Duplicate","Valid")</f>
        <v>Valid</v>
      </c>
      <c r="E467" s="3" t="str">
        <f>IF(Finance_Data!H463&gt;Finance_Data!G463,"Valid","Invalid")</f>
        <v>Valid</v>
      </c>
      <c r="F467" s="3" t="str" cm="1">
        <f t="array" ref="F467">_xlfn.IFS(Finance_Data!S463&lt;7,"Short",Finance_Data!S463&lt;=30,"Normal",Finance_Data!S463&lt;=60,"Long",Finance_Data!S463&gt;60,"Very Long")</f>
        <v>Normal</v>
      </c>
      <c r="G467" s="3" t="str">
        <f>IF(ABS(Finance_Data!I463*Finance_Data!J463)-Finance_Data!K463&lt;1,"Valid","Invalid")</f>
        <v>Valid</v>
      </c>
      <c r="H467" s="3" t="str">
        <f>IF(Finance_Data!L463&gt;0,"Valid","Invalid")</f>
        <v>Valid</v>
      </c>
      <c r="I467" s="3" t="str">
        <f>IF(Finance_Data!L463&gt;=Finance_Data!M463,"Valid","Invalid")</f>
        <v>Valid</v>
      </c>
      <c r="J467" s="3" t="str">
        <f>IF(AND(Finance_Data!I463&gt;=0,Finance_Data!K463&gt;=0),"Valid","Invalid")</f>
        <v>Valid</v>
      </c>
      <c r="K467" s="3" t="str">
        <f>IF(Finance_Data!N463&gt;=0,"Valid","Invalid")</f>
        <v>Valid</v>
      </c>
      <c r="L467" s="3" t="str">
        <f>IF(TEXT(Finance_Data!G463,"mmmm")=Finance_Data!P463,"Valid","Invalid")</f>
        <v>Valid</v>
      </c>
      <c r="M467" s="3" t="str">
        <f>IF("Q"&amp;ROUNDUP(MONTH(Finance_Data!G463)/3,0)=Finance_Data!Q463,"Valid","Invalid")</f>
        <v>Valid</v>
      </c>
      <c r="N467" s="7" t="str">
        <f t="shared" si="7"/>
        <v>Pass</v>
      </c>
    </row>
    <row r="468" spans="1:14" x14ac:dyDescent="0.35">
      <c r="A468" s="17" t="s">
        <v>78</v>
      </c>
      <c r="B468" s="3" t="str">
        <f>IF(ISBLANK(Table3[[#This Row],[Campaign_ID]]),"Invalid","Valid")</f>
        <v>Valid</v>
      </c>
      <c r="C468" s="3" t="str">
        <f>IF(COUNTA(Finance_Data!A464:R464)=18,"Valid","Missing")</f>
        <v>Valid</v>
      </c>
      <c r="D468" s="3" t="str">
        <f>IF(COUNTIF(Finance_Data!$T$2:$T$1001,Finance_Data!T464)&gt;1,"Duplicate","Valid")</f>
        <v>Valid</v>
      </c>
      <c r="E468" s="3" t="str">
        <f>IF(Finance_Data!H464&gt;Finance_Data!G464,"Valid","Invalid")</f>
        <v>Valid</v>
      </c>
      <c r="F468" s="3" t="str" cm="1">
        <f t="array" ref="F468">_xlfn.IFS(Finance_Data!S464&lt;7,"Short",Finance_Data!S464&lt;=30,"Normal",Finance_Data!S464&lt;=60,"Long",Finance_Data!S464&gt;60,"Very Long")</f>
        <v>Long</v>
      </c>
      <c r="G468" s="3" t="str">
        <f>IF(ABS(Finance_Data!I464*Finance_Data!J464)-Finance_Data!K464&lt;1,"Valid","Invalid")</f>
        <v>Valid</v>
      </c>
      <c r="H468" s="3" t="str">
        <f>IF(Finance_Data!L464&gt;0,"Valid","Invalid")</f>
        <v>Valid</v>
      </c>
      <c r="I468" s="3" t="str">
        <f>IF(Finance_Data!L464&gt;=Finance_Data!M464,"Valid","Invalid")</f>
        <v>Valid</v>
      </c>
      <c r="J468" s="3" t="str">
        <f>IF(AND(Finance_Data!I464&gt;=0,Finance_Data!K464&gt;=0),"Valid","Invalid")</f>
        <v>Valid</v>
      </c>
      <c r="K468" s="3" t="str">
        <f>IF(Finance_Data!N464&gt;=0,"Valid","Invalid")</f>
        <v>Valid</v>
      </c>
      <c r="L468" s="3" t="str">
        <f>IF(TEXT(Finance_Data!G464,"mmmm")=Finance_Data!P464,"Valid","Invalid")</f>
        <v>Valid</v>
      </c>
      <c r="M468" s="3" t="str">
        <f>IF("Q"&amp;ROUNDUP(MONTH(Finance_Data!G464)/3,0)=Finance_Data!Q464,"Valid","Invalid")</f>
        <v>Valid</v>
      </c>
      <c r="N468" s="7" t="str">
        <f t="shared" si="7"/>
        <v>Pass</v>
      </c>
    </row>
    <row r="469" spans="1:14" x14ac:dyDescent="0.35">
      <c r="A469" s="17" t="s">
        <v>94</v>
      </c>
      <c r="B469" s="3" t="str">
        <f>IF(ISBLANK(Table3[[#This Row],[Campaign_ID]]),"Invalid","Valid")</f>
        <v>Valid</v>
      </c>
      <c r="C469" s="3" t="str">
        <f>IF(COUNTA(Finance_Data!A465:R465)=18,"Valid","Missing")</f>
        <v>Valid</v>
      </c>
      <c r="D469" s="3" t="str">
        <f>IF(COUNTIF(Finance_Data!$T$2:$T$1001,Finance_Data!T465)&gt;1,"Duplicate","Valid")</f>
        <v>Valid</v>
      </c>
      <c r="E469" s="3" t="str">
        <f>IF(Finance_Data!H465&gt;Finance_Data!G465,"Valid","Invalid")</f>
        <v>Valid</v>
      </c>
      <c r="F469" s="3" t="str" cm="1">
        <f t="array" ref="F469">_xlfn.IFS(Finance_Data!S465&lt;7,"Short",Finance_Data!S465&lt;=30,"Normal",Finance_Data!S465&lt;=60,"Long",Finance_Data!S465&gt;60,"Very Long")</f>
        <v>Normal</v>
      </c>
      <c r="G469" s="3" t="str">
        <f>IF(ABS(Finance_Data!I465*Finance_Data!J465)-Finance_Data!K465&lt;1,"Valid","Invalid")</f>
        <v>Valid</v>
      </c>
      <c r="H469" s="3" t="str">
        <f>IF(Finance_Data!L465&gt;0,"Valid","Invalid")</f>
        <v>Valid</v>
      </c>
      <c r="I469" s="3" t="str">
        <f>IF(Finance_Data!L465&gt;=Finance_Data!M465,"Valid","Invalid")</f>
        <v>Valid</v>
      </c>
      <c r="J469" s="3" t="str">
        <f>IF(AND(Finance_Data!I465&gt;=0,Finance_Data!K465&gt;=0),"Valid","Invalid")</f>
        <v>Valid</v>
      </c>
      <c r="K469" s="3" t="str">
        <f>IF(Finance_Data!N465&gt;=0,"Valid","Invalid")</f>
        <v>Valid</v>
      </c>
      <c r="L469" s="3" t="str">
        <f>IF(TEXT(Finance_Data!G465,"mmmm")=Finance_Data!P465,"Valid","Invalid")</f>
        <v>Valid</v>
      </c>
      <c r="M469" s="3" t="str">
        <f>IF("Q"&amp;ROUNDUP(MONTH(Finance_Data!G465)/3,0)=Finance_Data!Q465,"Valid","Invalid")</f>
        <v>Valid</v>
      </c>
      <c r="N469" s="7" t="str">
        <f t="shared" si="7"/>
        <v>Pass</v>
      </c>
    </row>
    <row r="470" spans="1:14" x14ac:dyDescent="0.35">
      <c r="A470" s="17" t="s">
        <v>82</v>
      </c>
      <c r="B470" s="3" t="str">
        <f>IF(ISBLANK(Table3[[#This Row],[Campaign_ID]]),"Invalid","Valid")</f>
        <v>Valid</v>
      </c>
      <c r="C470" s="3" t="str">
        <f>IF(COUNTA(Finance_Data!A466:R466)=18,"Valid","Missing")</f>
        <v>Valid</v>
      </c>
      <c r="D470" s="3" t="str">
        <f>IF(COUNTIF(Finance_Data!$T$2:$T$1001,Finance_Data!T466)&gt;1,"Duplicate","Valid")</f>
        <v>Valid</v>
      </c>
      <c r="E470" s="3" t="str">
        <f>IF(Finance_Data!H466&gt;Finance_Data!G466,"Valid","Invalid")</f>
        <v>Valid</v>
      </c>
      <c r="F470" s="3" t="str" cm="1">
        <f t="array" ref="F470">_xlfn.IFS(Finance_Data!S466&lt;7,"Short",Finance_Data!S466&lt;=30,"Normal",Finance_Data!S466&lt;=60,"Long",Finance_Data!S466&gt;60,"Very Long")</f>
        <v>Normal</v>
      </c>
      <c r="G470" s="3" t="str">
        <f>IF(ABS(Finance_Data!I466*Finance_Data!J466)-Finance_Data!K466&lt;1,"Valid","Invalid")</f>
        <v>Valid</v>
      </c>
      <c r="H470" s="3" t="str">
        <f>IF(Finance_Data!L466&gt;0,"Valid","Invalid")</f>
        <v>Valid</v>
      </c>
      <c r="I470" s="3" t="str">
        <f>IF(Finance_Data!L466&gt;=Finance_Data!M466,"Valid","Invalid")</f>
        <v>Valid</v>
      </c>
      <c r="J470" s="3" t="str">
        <f>IF(AND(Finance_Data!I466&gt;=0,Finance_Data!K466&gt;=0),"Valid","Invalid")</f>
        <v>Valid</v>
      </c>
      <c r="K470" s="3" t="str">
        <f>IF(Finance_Data!N466&gt;=0,"Valid","Invalid")</f>
        <v>Valid</v>
      </c>
      <c r="L470" s="3" t="str">
        <f>IF(TEXT(Finance_Data!G466,"mmmm")=Finance_Data!P466,"Valid","Invalid")</f>
        <v>Valid</v>
      </c>
      <c r="M470" s="3" t="str">
        <f>IF("Q"&amp;ROUNDUP(MONTH(Finance_Data!G466)/3,0)=Finance_Data!Q466,"Valid","Invalid")</f>
        <v>Valid</v>
      </c>
      <c r="N470" s="7" t="str">
        <f t="shared" si="7"/>
        <v>Pass</v>
      </c>
    </row>
    <row r="471" spans="1:14" x14ac:dyDescent="0.35">
      <c r="A471" s="17" t="s">
        <v>99</v>
      </c>
      <c r="B471" s="3" t="str">
        <f>IF(ISBLANK(Table3[[#This Row],[Campaign_ID]]),"Invalid","Valid")</f>
        <v>Valid</v>
      </c>
      <c r="C471" s="3" t="str">
        <f>IF(COUNTA(Finance_Data!A467:R467)=18,"Valid","Missing")</f>
        <v>Valid</v>
      </c>
      <c r="D471" s="3" t="str">
        <f>IF(COUNTIF(Finance_Data!$T$2:$T$1001,Finance_Data!T467)&gt;1,"Duplicate","Valid")</f>
        <v>Valid</v>
      </c>
      <c r="E471" s="3" t="str">
        <f>IF(Finance_Data!H467&gt;Finance_Data!G467,"Valid","Invalid")</f>
        <v>Valid</v>
      </c>
      <c r="F471" s="3" t="str" cm="1">
        <f t="array" ref="F471">_xlfn.IFS(Finance_Data!S467&lt;7,"Short",Finance_Data!S467&lt;=30,"Normal",Finance_Data!S467&lt;=60,"Long",Finance_Data!S467&gt;60,"Very Long")</f>
        <v>Very Long</v>
      </c>
      <c r="G471" s="3" t="str">
        <f>IF(ABS(Finance_Data!I467*Finance_Data!J467)-Finance_Data!K467&lt;1,"Valid","Invalid")</f>
        <v>Valid</v>
      </c>
      <c r="H471" s="3" t="str">
        <f>IF(Finance_Data!L467&gt;0,"Valid","Invalid")</f>
        <v>Valid</v>
      </c>
      <c r="I471" s="3" t="str">
        <f>IF(Finance_Data!L467&gt;=Finance_Data!M467,"Valid","Invalid")</f>
        <v>Valid</v>
      </c>
      <c r="J471" s="3" t="str">
        <f>IF(AND(Finance_Data!I467&gt;=0,Finance_Data!K467&gt;=0),"Valid","Invalid")</f>
        <v>Valid</v>
      </c>
      <c r="K471" s="3" t="str">
        <f>IF(Finance_Data!N467&gt;=0,"Valid","Invalid")</f>
        <v>Valid</v>
      </c>
      <c r="L471" s="3" t="str">
        <f>IF(TEXT(Finance_Data!G467,"mmmm")=Finance_Data!P467,"Valid","Invalid")</f>
        <v>Valid</v>
      </c>
      <c r="M471" s="3" t="str">
        <f>IF("Q"&amp;ROUNDUP(MONTH(Finance_Data!G467)/3,0)=Finance_Data!Q467,"Valid","Invalid")</f>
        <v>Valid</v>
      </c>
      <c r="N471" s="7" t="str">
        <f t="shared" si="7"/>
        <v>Pass</v>
      </c>
    </row>
    <row r="472" spans="1:14" x14ac:dyDescent="0.35">
      <c r="A472" s="17" t="s">
        <v>75</v>
      </c>
      <c r="B472" s="3" t="str">
        <f>IF(ISBLANK(Table3[[#This Row],[Campaign_ID]]),"Invalid","Valid")</f>
        <v>Valid</v>
      </c>
      <c r="C472" s="3" t="str">
        <f>IF(COUNTA(Finance_Data!A468:R468)=18,"Valid","Missing")</f>
        <v>Valid</v>
      </c>
      <c r="D472" s="3" t="str">
        <f>IF(COUNTIF(Finance_Data!$T$2:$T$1001,Finance_Data!T468)&gt;1,"Duplicate","Valid")</f>
        <v>Valid</v>
      </c>
      <c r="E472" s="3" t="str">
        <f>IF(Finance_Data!H468&gt;Finance_Data!G468,"Valid","Invalid")</f>
        <v>Valid</v>
      </c>
      <c r="F472" s="3" t="str" cm="1">
        <f t="array" ref="F472">_xlfn.IFS(Finance_Data!S468&lt;7,"Short",Finance_Data!S468&lt;=30,"Normal",Finance_Data!S468&lt;=60,"Long",Finance_Data!S468&gt;60,"Very Long")</f>
        <v>Long</v>
      </c>
      <c r="G472" s="3" t="str">
        <f>IF(ABS(Finance_Data!I468*Finance_Data!J468)-Finance_Data!K468&lt;1,"Valid","Invalid")</f>
        <v>Valid</v>
      </c>
      <c r="H472" s="3" t="str">
        <f>IF(Finance_Data!L468&gt;0,"Valid","Invalid")</f>
        <v>Valid</v>
      </c>
      <c r="I472" s="3" t="str">
        <f>IF(Finance_Data!L468&gt;=Finance_Data!M468,"Valid","Invalid")</f>
        <v>Valid</v>
      </c>
      <c r="J472" s="3" t="str">
        <f>IF(AND(Finance_Data!I468&gt;=0,Finance_Data!K468&gt;=0),"Valid","Invalid")</f>
        <v>Valid</v>
      </c>
      <c r="K472" s="3" t="str">
        <f>IF(Finance_Data!N468&gt;=0,"Valid","Invalid")</f>
        <v>Valid</v>
      </c>
      <c r="L472" s="3" t="str">
        <f>IF(TEXT(Finance_Data!G468,"mmmm")=Finance_Data!P468,"Valid","Invalid")</f>
        <v>Valid</v>
      </c>
      <c r="M472" s="3" t="str">
        <f>IF("Q"&amp;ROUNDUP(MONTH(Finance_Data!G468)/3,0)=Finance_Data!Q468,"Valid","Invalid")</f>
        <v>Valid</v>
      </c>
      <c r="N472" s="7" t="str">
        <f t="shared" si="7"/>
        <v>Pass</v>
      </c>
    </row>
    <row r="473" spans="1:14" x14ac:dyDescent="0.35">
      <c r="A473" s="17" t="s">
        <v>34</v>
      </c>
      <c r="B473" s="3" t="str">
        <f>IF(ISBLANK(Table3[[#This Row],[Campaign_ID]]),"Invalid","Valid")</f>
        <v>Valid</v>
      </c>
      <c r="C473" s="3" t="str">
        <f>IF(COUNTA(Finance_Data!A469:R469)=18,"Valid","Missing")</f>
        <v>Valid</v>
      </c>
      <c r="D473" s="3" t="str">
        <f>IF(COUNTIF(Finance_Data!$T$2:$T$1001,Finance_Data!T469)&gt;1,"Duplicate","Valid")</f>
        <v>Valid</v>
      </c>
      <c r="E473" s="3" t="str">
        <f>IF(Finance_Data!H469&gt;Finance_Data!G469,"Valid","Invalid")</f>
        <v>Valid</v>
      </c>
      <c r="F473" s="3" t="str" cm="1">
        <f t="array" ref="F473">_xlfn.IFS(Finance_Data!S469&lt;7,"Short",Finance_Data!S469&lt;=30,"Normal",Finance_Data!S469&lt;=60,"Long",Finance_Data!S469&gt;60,"Very Long")</f>
        <v>Normal</v>
      </c>
      <c r="G473" s="3" t="str">
        <f>IF(ABS(Finance_Data!I469*Finance_Data!J469)-Finance_Data!K469&lt;1,"Valid","Invalid")</f>
        <v>Valid</v>
      </c>
      <c r="H473" s="3" t="str">
        <f>IF(Finance_Data!L469&gt;0,"Valid","Invalid")</f>
        <v>Valid</v>
      </c>
      <c r="I473" s="3" t="str">
        <f>IF(Finance_Data!L469&gt;=Finance_Data!M469,"Valid","Invalid")</f>
        <v>Valid</v>
      </c>
      <c r="J473" s="3" t="str">
        <f>IF(AND(Finance_Data!I469&gt;=0,Finance_Data!K469&gt;=0),"Valid","Invalid")</f>
        <v>Valid</v>
      </c>
      <c r="K473" s="3" t="str">
        <f>IF(Finance_Data!N469&gt;=0,"Valid","Invalid")</f>
        <v>Valid</v>
      </c>
      <c r="L473" s="3" t="str">
        <f>IF(TEXT(Finance_Data!G469,"mmmm")=Finance_Data!P469,"Valid","Invalid")</f>
        <v>Valid</v>
      </c>
      <c r="M473" s="3" t="str">
        <f>IF("Q"&amp;ROUNDUP(MONTH(Finance_Data!G469)/3,0)=Finance_Data!Q469,"Valid","Invalid")</f>
        <v>Valid</v>
      </c>
      <c r="N473" s="7" t="str">
        <f t="shared" si="7"/>
        <v>Pass</v>
      </c>
    </row>
    <row r="474" spans="1:14" x14ac:dyDescent="0.35">
      <c r="A474" s="17" t="s">
        <v>112</v>
      </c>
      <c r="B474" s="3" t="str">
        <f>IF(ISBLANK(Table3[[#This Row],[Campaign_ID]]),"Invalid","Valid")</f>
        <v>Valid</v>
      </c>
      <c r="C474" s="3" t="str">
        <f>IF(COUNTA(Finance_Data!A470:R470)=18,"Valid","Missing")</f>
        <v>Valid</v>
      </c>
      <c r="D474" s="3" t="str">
        <f>IF(COUNTIF(Finance_Data!$T$2:$T$1001,Finance_Data!T470)&gt;1,"Duplicate","Valid")</f>
        <v>Valid</v>
      </c>
      <c r="E474" s="3" t="str">
        <f>IF(Finance_Data!H470&gt;Finance_Data!G470,"Valid","Invalid")</f>
        <v>Valid</v>
      </c>
      <c r="F474" s="3" t="str" cm="1">
        <f t="array" ref="F474">_xlfn.IFS(Finance_Data!S470&lt;7,"Short",Finance_Data!S470&lt;=30,"Normal",Finance_Data!S470&lt;=60,"Long",Finance_Data!S470&gt;60,"Very Long")</f>
        <v>Normal</v>
      </c>
      <c r="G474" s="3" t="str">
        <f>IF(ABS(Finance_Data!I470*Finance_Data!J470)-Finance_Data!K470&lt;1,"Valid","Invalid")</f>
        <v>Valid</v>
      </c>
      <c r="H474" s="3" t="str">
        <f>IF(Finance_Data!L470&gt;0,"Valid","Invalid")</f>
        <v>Valid</v>
      </c>
      <c r="I474" s="3" t="str">
        <f>IF(Finance_Data!L470&gt;=Finance_Data!M470,"Valid","Invalid")</f>
        <v>Valid</v>
      </c>
      <c r="J474" s="3" t="str">
        <f>IF(AND(Finance_Data!I470&gt;=0,Finance_Data!K470&gt;=0),"Valid","Invalid")</f>
        <v>Valid</v>
      </c>
      <c r="K474" s="3" t="str">
        <f>IF(Finance_Data!N470&gt;=0,"Valid","Invalid")</f>
        <v>Valid</v>
      </c>
      <c r="L474" s="3" t="str">
        <f>IF(TEXT(Finance_Data!G470,"mmmm")=Finance_Data!P470,"Valid","Invalid")</f>
        <v>Valid</v>
      </c>
      <c r="M474" s="3" t="str">
        <f>IF("Q"&amp;ROUNDUP(MONTH(Finance_Data!G470)/3,0)=Finance_Data!Q470,"Valid","Invalid")</f>
        <v>Valid</v>
      </c>
      <c r="N474" s="7" t="str">
        <f t="shared" si="7"/>
        <v>Pass</v>
      </c>
    </row>
    <row r="475" spans="1:14" x14ac:dyDescent="0.35">
      <c r="A475" s="17" t="s">
        <v>62</v>
      </c>
      <c r="B475" s="3" t="str">
        <f>IF(ISBLANK(Table3[[#This Row],[Campaign_ID]]),"Invalid","Valid")</f>
        <v>Valid</v>
      </c>
      <c r="C475" s="3" t="str">
        <f>IF(COUNTA(Finance_Data!A471:R471)=18,"Valid","Missing")</f>
        <v>Valid</v>
      </c>
      <c r="D475" s="3" t="str">
        <f>IF(COUNTIF(Finance_Data!$T$2:$T$1001,Finance_Data!T471)&gt;1,"Duplicate","Valid")</f>
        <v>Valid</v>
      </c>
      <c r="E475" s="3" t="str">
        <f>IF(Finance_Data!H471&gt;Finance_Data!G471,"Valid","Invalid")</f>
        <v>Valid</v>
      </c>
      <c r="F475" s="3" t="str" cm="1">
        <f t="array" ref="F475">_xlfn.IFS(Finance_Data!S471&lt;7,"Short",Finance_Data!S471&lt;=30,"Normal",Finance_Data!S471&lt;=60,"Long",Finance_Data!S471&gt;60,"Very Long")</f>
        <v>Long</v>
      </c>
      <c r="G475" s="3" t="str">
        <f>IF(ABS(Finance_Data!I471*Finance_Data!J471)-Finance_Data!K471&lt;1,"Valid","Invalid")</f>
        <v>Valid</v>
      </c>
      <c r="H475" s="3" t="str">
        <f>IF(Finance_Data!L471&gt;0,"Valid","Invalid")</f>
        <v>Valid</v>
      </c>
      <c r="I475" s="3" t="str">
        <f>IF(Finance_Data!L471&gt;=Finance_Data!M471,"Valid","Invalid")</f>
        <v>Valid</v>
      </c>
      <c r="J475" s="3" t="str">
        <f>IF(AND(Finance_Data!I471&gt;=0,Finance_Data!K471&gt;=0),"Valid","Invalid")</f>
        <v>Valid</v>
      </c>
      <c r="K475" s="3" t="str">
        <f>IF(Finance_Data!N471&gt;=0,"Valid","Invalid")</f>
        <v>Valid</v>
      </c>
      <c r="L475" s="3" t="str">
        <f>IF(TEXT(Finance_Data!G471,"mmmm")=Finance_Data!P471,"Valid","Invalid")</f>
        <v>Valid</v>
      </c>
      <c r="M475" s="3" t="str">
        <f>IF("Q"&amp;ROUNDUP(MONTH(Finance_Data!G471)/3,0)=Finance_Data!Q471,"Valid","Invalid")</f>
        <v>Valid</v>
      </c>
      <c r="N475" s="7" t="str">
        <f t="shared" si="7"/>
        <v>Pass</v>
      </c>
    </row>
    <row r="476" spans="1:14" x14ac:dyDescent="0.35">
      <c r="A476" s="17" t="s">
        <v>89</v>
      </c>
      <c r="B476" s="3" t="str">
        <f>IF(ISBLANK(Table3[[#This Row],[Campaign_ID]]),"Invalid","Valid")</f>
        <v>Valid</v>
      </c>
      <c r="C476" s="3" t="str">
        <f>IF(COUNTA(Finance_Data!A472:R472)=18,"Valid","Missing")</f>
        <v>Valid</v>
      </c>
      <c r="D476" s="3" t="str">
        <f>IF(COUNTIF(Finance_Data!$T$2:$T$1001,Finance_Data!T472)&gt;1,"Duplicate","Valid")</f>
        <v>Valid</v>
      </c>
      <c r="E476" s="3" t="str">
        <f>IF(Finance_Data!H472&gt;Finance_Data!G472,"Valid","Invalid")</f>
        <v>Valid</v>
      </c>
      <c r="F476" s="3" t="str" cm="1">
        <f t="array" ref="F476">_xlfn.IFS(Finance_Data!S472&lt;7,"Short",Finance_Data!S472&lt;=30,"Normal",Finance_Data!S472&lt;=60,"Long",Finance_Data!S472&gt;60,"Very Long")</f>
        <v>Long</v>
      </c>
      <c r="G476" s="3" t="str">
        <f>IF(ABS(Finance_Data!I472*Finance_Data!J472)-Finance_Data!K472&lt;1,"Valid","Invalid")</f>
        <v>Valid</v>
      </c>
      <c r="H476" s="3" t="str">
        <f>IF(Finance_Data!L472&gt;0,"Valid","Invalid")</f>
        <v>Valid</v>
      </c>
      <c r="I476" s="3" t="str">
        <f>IF(Finance_Data!L472&gt;=Finance_Data!M472,"Valid","Invalid")</f>
        <v>Valid</v>
      </c>
      <c r="J476" s="3" t="str">
        <f>IF(AND(Finance_Data!I472&gt;=0,Finance_Data!K472&gt;=0),"Valid","Invalid")</f>
        <v>Valid</v>
      </c>
      <c r="K476" s="3" t="str">
        <f>IF(Finance_Data!N472&gt;=0,"Valid","Invalid")</f>
        <v>Valid</v>
      </c>
      <c r="L476" s="3" t="str">
        <f>IF(TEXT(Finance_Data!G472,"mmmm")=Finance_Data!P472,"Valid","Invalid")</f>
        <v>Valid</v>
      </c>
      <c r="M476" s="3" t="str">
        <f>IF("Q"&amp;ROUNDUP(MONTH(Finance_Data!G472)/3,0)=Finance_Data!Q472,"Valid","Invalid")</f>
        <v>Valid</v>
      </c>
      <c r="N476" s="7" t="str">
        <f t="shared" si="7"/>
        <v>Pass</v>
      </c>
    </row>
    <row r="477" spans="1:14" x14ac:dyDescent="0.35">
      <c r="A477" s="17" t="s">
        <v>118</v>
      </c>
      <c r="B477" s="3" t="str">
        <f>IF(ISBLANK(Table3[[#This Row],[Campaign_ID]]),"Invalid","Valid")</f>
        <v>Valid</v>
      </c>
      <c r="C477" s="3" t="str">
        <f>IF(COUNTA(Finance_Data!A473:R473)=18,"Valid","Missing")</f>
        <v>Valid</v>
      </c>
      <c r="D477" s="3" t="str">
        <f>IF(COUNTIF(Finance_Data!$T$2:$T$1001,Finance_Data!T473)&gt;1,"Duplicate","Valid")</f>
        <v>Valid</v>
      </c>
      <c r="E477" s="3" t="str">
        <f>IF(Finance_Data!H473&gt;Finance_Data!G473,"Valid","Invalid")</f>
        <v>Valid</v>
      </c>
      <c r="F477" s="3" t="str" cm="1">
        <f t="array" ref="F477">_xlfn.IFS(Finance_Data!S473&lt;7,"Short",Finance_Data!S473&lt;=30,"Normal",Finance_Data!S473&lt;=60,"Long",Finance_Data!S473&gt;60,"Very Long")</f>
        <v>Long</v>
      </c>
      <c r="G477" s="3" t="str">
        <f>IF(ABS(Finance_Data!I473*Finance_Data!J473)-Finance_Data!K473&lt;1,"Valid","Invalid")</f>
        <v>Valid</v>
      </c>
      <c r="H477" s="3" t="str">
        <f>IF(Finance_Data!L473&gt;0,"Valid","Invalid")</f>
        <v>Valid</v>
      </c>
      <c r="I477" s="3" t="str">
        <f>IF(Finance_Data!L473&gt;=Finance_Data!M473,"Valid","Invalid")</f>
        <v>Valid</v>
      </c>
      <c r="J477" s="3" t="str">
        <f>IF(AND(Finance_Data!I473&gt;=0,Finance_Data!K473&gt;=0),"Valid","Invalid")</f>
        <v>Valid</v>
      </c>
      <c r="K477" s="3" t="str">
        <f>IF(Finance_Data!N473&gt;=0,"Valid","Invalid")</f>
        <v>Valid</v>
      </c>
      <c r="L477" s="3" t="str">
        <f>IF(TEXT(Finance_Data!G473,"mmmm")=Finance_Data!P473,"Valid","Invalid")</f>
        <v>Valid</v>
      </c>
      <c r="M477" s="3" t="str">
        <f>IF("Q"&amp;ROUNDUP(MONTH(Finance_Data!G473)/3,0)=Finance_Data!Q473,"Valid","Invalid")</f>
        <v>Valid</v>
      </c>
      <c r="N477" s="7" t="str">
        <f t="shared" si="7"/>
        <v>Pass</v>
      </c>
    </row>
    <row r="478" spans="1:14" x14ac:dyDescent="0.35">
      <c r="A478" s="17" t="s">
        <v>72</v>
      </c>
      <c r="B478" s="3" t="str">
        <f>IF(ISBLANK(Table3[[#This Row],[Campaign_ID]]),"Invalid","Valid")</f>
        <v>Valid</v>
      </c>
      <c r="C478" s="3" t="str">
        <f>IF(COUNTA(Finance_Data!A474:R474)=18,"Valid","Missing")</f>
        <v>Valid</v>
      </c>
      <c r="D478" s="3" t="str">
        <f>IF(COUNTIF(Finance_Data!$T$2:$T$1001,Finance_Data!T474)&gt;1,"Duplicate","Valid")</f>
        <v>Valid</v>
      </c>
      <c r="E478" s="3" t="str">
        <f>IF(Finance_Data!H474&gt;Finance_Data!G474,"Valid","Invalid")</f>
        <v>Valid</v>
      </c>
      <c r="F478" s="3" t="str" cm="1">
        <f t="array" ref="F478">_xlfn.IFS(Finance_Data!S474&lt;7,"Short",Finance_Data!S474&lt;=30,"Normal",Finance_Data!S474&lt;=60,"Long",Finance_Data!S474&gt;60,"Very Long")</f>
        <v>Long</v>
      </c>
      <c r="G478" s="3" t="str">
        <f>IF(ABS(Finance_Data!I474*Finance_Data!J474)-Finance_Data!K474&lt;1,"Valid","Invalid")</f>
        <v>Valid</v>
      </c>
      <c r="H478" s="3" t="str">
        <f>IF(Finance_Data!L474&gt;0,"Valid","Invalid")</f>
        <v>Valid</v>
      </c>
      <c r="I478" s="3" t="str">
        <f>IF(Finance_Data!L474&gt;=Finance_Data!M474,"Valid","Invalid")</f>
        <v>Valid</v>
      </c>
      <c r="J478" s="3" t="str">
        <f>IF(AND(Finance_Data!I474&gt;=0,Finance_Data!K474&gt;=0),"Valid","Invalid")</f>
        <v>Valid</v>
      </c>
      <c r="K478" s="3" t="str">
        <f>IF(Finance_Data!N474&gt;=0,"Valid","Invalid")</f>
        <v>Valid</v>
      </c>
      <c r="L478" s="3" t="str">
        <f>IF(TEXT(Finance_Data!G474,"mmmm")=Finance_Data!P474,"Valid","Invalid")</f>
        <v>Valid</v>
      </c>
      <c r="M478" s="3" t="str">
        <f>IF("Q"&amp;ROUNDUP(MONTH(Finance_Data!G474)/3,0)=Finance_Data!Q474,"Valid","Invalid")</f>
        <v>Valid</v>
      </c>
      <c r="N478" s="7" t="str">
        <f t="shared" si="7"/>
        <v>Pass</v>
      </c>
    </row>
    <row r="479" spans="1:14" x14ac:dyDescent="0.35">
      <c r="A479" s="17" t="s">
        <v>57</v>
      </c>
      <c r="B479" s="3" t="str">
        <f>IF(ISBLANK(Table3[[#This Row],[Campaign_ID]]),"Invalid","Valid")</f>
        <v>Valid</v>
      </c>
      <c r="C479" s="3" t="str">
        <f>IF(COUNTA(Finance_Data!A475:R475)=18,"Valid","Missing")</f>
        <v>Valid</v>
      </c>
      <c r="D479" s="3" t="str">
        <f>IF(COUNTIF(Finance_Data!$T$2:$T$1001,Finance_Data!T475)&gt;1,"Duplicate","Valid")</f>
        <v>Valid</v>
      </c>
      <c r="E479" s="3" t="str">
        <f>IF(Finance_Data!H475&gt;Finance_Data!G475,"Valid","Invalid")</f>
        <v>Valid</v>
      </c>
      <c r="F479" s="3" t="str" cm="1">
        <f t="array" ref="F479">_xlfn.IFS(Finance_Data!S475&lt;7,"Short",Finance_Data!S475&lt;=30,"Normal",Finance_Data!S475&lt;=60,"Long",Finance_Data!S475&gt;60,"Very Long")</f>
        <v>Long</v>
      </c>
      <c r="G479" s="3" t="str">
        <f>IF(ABS(Finance_Data!I475*Finance_Data!J475)-Finance_Data!K475&lt;1,"Valid","Invalid")</f>
        <v>Valid</v>
      </c>
      <c r="H479" s="3" t="str">
        <f>IF(Finance_Data!L475&gt;0,"Valid","Invalid")</f>
        <v>Valid</v>
      </c>
      <c r="I479" s="3" t="str">
        <f>IF(Finance_Data!L475&gt;=Finance_Data!M475,"Valid","Invalid")</f>
        <v>Valid</v>
      </c>
      <c r="J479" s="3" t="str">
        <f>IF(AND(Finance_Data!I475&gt;=0,Finance_Data!K475&gt;=0),"Valid","Invalid")</f>
        <v>Valid</v>
      </c>
      <c r="K479" s="3" t="str">
        <f>IF(Finance_Data!N475&gt;=0,"Valid","Invalid")</f>
        <v>Valid</v>
      </c>
      <c r="L479" s="3" t="str">
        <f>IF(TEXT(Finance_Data!G475,"mmmm")=Finance_Data!P475,"Valid","Invalid")</f>
        <v>Valid</v>
      </c>
      <c r="M479" s="3" t="str">
        <f>IF("Q"&amp;ROUNDUP(MONTH(Finance_Data!G475)/3,0)=Finance_Data!Q475,"Valid","Invalid")</f>
        <v>Valid</v>
      </c>
      <c r="N479" s="7" t="str">
        <f t="shared" si="7"/>
        <v>Pass</v>
      </c>
    </row>
    <row r="480" spans="1:14" x14ac:dyDescent="0.35">
      <c r="A480" s="17" t="s">
        <v>107</v>
      </c>
      <c r="B480" s="3" t="str">
        <f>IF(ISBLANK(Table3[[#This Row],[Campaign_ID]]),"Invalid","Valid")</f>
        <v>Valid</v>
      </c>
      <c r="C480" s="3" t="str">
        <f>IF(COUNTA(Finance_Data!A476:R476)=18,"Valid","Missing")</f>
        <v>Valid</v>
      </c>
      <c r="D480" s="3" t="str">
        <f>IF(COUNTIF(Finance_Data!$T$2:$T$1001,Finance_Data!T476)&gt;1,"Duplicate","Valid")</f>
        <v>Valid</v>
      </c>
      <c r="E480" s="3" t="str">
        <f>IF(Finance_Data!H476&gt;Finance_Data!G476,"Valid","Invalid")</f>
        <v>Valid</v>
      </c>
      <c r="F480" s="3" t="str" cm="1">
        <f t="array" ref="F480">_xlfn.IFS(Finance_Data!S476&lt;7,"Short",Finance_Data!S476&lt;=30,"Normal",Finance_Data!S476&lt;=60,"Long",Finance_Data!S476&gt;60,"Very Long")</f>
        <v>Long</v>
      </c>
      <c r="G480" s="3" t="str">
        <f>IF(ABS(Finance_Data!I476*Finance_Data!J476)-Finance_Data!K476&lt;1,"Valid","Invalid")</f>
        <v>Valid</v>
      </c>
      <c r="H480" s="3" t="str">
        <f>IF(Finance_Data!L476&gt;0,"Valid","Invalid")</f>
        <v>Valid</v>
      </c>
      <c r="I480" s="3" t="str">
        <f>IF(Finance_Data!L476&gt;=Finance_Data!M476,"Valid","Invalid")</f>
        <v>Valid</v>
      </c>
      <c r="J480" s="3" t="str">
        <f>IF(AND(Finance_Data!I476&gt;=0,Finance_Data!K476&gt;=0),"Valid","Invalid")</f>
        <v>Valid</v>
      </c>
      <c r="K480" s="3" t="str">
        <f>IF(Finance_Data!N476&gt;=0,"Valid","Invalid")</f>
        <v>Valid</v>
      </c>
      <c r="L480" s="3" t="str">
        <f>IF(TEXT(Finance_Data!G476,"mmmm")=Finance_Data!P476,"Valid","Invalid")</f>
        <v>Valid</v>
      </c>
      <c r="M480" s="3" t="str">
        <f>IF("Q"&amp;ROUNDUP(MONTH(Finance_Data!G476)/3,0)=Finance_Data!Q476,"Valid","Invalid")</f>
        <v>Valid</v>
      </c>
      <c r="N480" s="7" t="str">
        <f t="shared" si="7"/>
        <v>Pass</v>
      </c>
    </row>
    <row r="481" spans="1:14" x14ac:dyDescent="0.35">
      <c r="A481" s="17" t="s">
        <v>78</v>
      </c>
      <c r="B481" s="3" t="str">
        <f>IF(ISBLANK(Table3[[#This Row],[Campaign_ID]]),"Invalid","Valid")</f>
        <v>Valid</v>
      </c>
      <c r="C481" s="3" t="str">
        <f>IF(COUNTA(Finance_Data!A477:R477)=18,"Valid","Missing")</f>
        <v>Valid</v>
      </c>
      <c r="D481" s="3" t="str">
        <f>IF(COUNTIF(Finance_Data!$T$2:$T$1001,Finance_Data!T477)&gt;1,"Duplicate","Valid")</f>
        <v>Valid</v>
      </c>
      <c r="E481" s="3" t="str">
        <f>IF(Finance_Data!H477&gt;Finance_Data!G477,"Valid","Invalid")</f>
        <v>Valid</v>
      </c>
      <c r="F481" s="3" t="str" cm="1">
        <f t="array" ref="F481">_xlfn.IFS(Finance_Data!S477&lt;7,"Short",Finance_Data!S477&lt;=30,"Normal",Finance_Data!S477&lt;=60,"Long",Finance_Data!S477&gt;60,"Very Long")</f>
        <v>Normal</v>
      </c>
      <c r="G481" s="3" t="str">
        <f>IF(ABS(Finance_Data!I477*Finance_Data!J477)-Finance_Data!K477&lt;1,"Valid","Invalid")</f>
        <v>Valid</v>
      </c>
      <c r="H481" s="3" t="str">
        <f>IF(Finance_Data!L477&gt;0,"Valid","Invalid")</f>
        <v>Valid</v>
      </c>
      <c r="I481" s="3" t="str">
        <f>IF(Finance_Data!L477&gt;=Finance_Data!M477,"Valid","Invalid")</f>
        <v>Valid</v>
      </c>
      <c r="J481" s="3" t="str">
        <f>IF(AND(Finance_Data!I477&gt;=0,Finance_Data!K477&gt;=0),"Valid","Invalid")</f>
        <v>Valid</v>
      </c>
      <c r="K481" s="3" t="str">
        <f>IF(Finance_Data!N477&gt;=0,"Valid","Invalid")</f>
        <v>Valid</v>
      </c>
      <c r="L481" s="3" t="str">
        <f>IF(TEXT(Finance_Data!G477,"mmmm")=Finance_Data!P477,"Valid","Invalid")</f>
        <v>Valid</v>
      </c>
      <c r="M481" s="3" t="str">
        <f>IF("Q"&amp;ROUNDUP(MONTH(Finance_Data!G477)/3,0)=Finance_Data!Q477,"Valid","Invalid")</f>
        <v>Valid</v>
      </c>
      <c r="N481" s="7" t="str">
        <f t="shared" si="7"/>
        <v>Pass</v>
      </c>
    </row>
    <row r="482" spans="1:14" x14ac:dyDescent="0.35">
      <c r="A482" s="17" t="s">
        <v>34</v>
      </c>
      <c r="B482" s="3" t="str">
        <f>IF(ISBLANK(Table3[[#This Row],[Campaign_ID]]),"Invalid","Valid")</f>
        <v>Valid</v>
      </c>
      <c r="C482" s="3" t="str">
        <f>IF(COUNTA(Finance_Data!A478:R478)=18,"Valid","Missing")</f>
        <v>Valid</v>
      </c>
      <c r="D482" s="3" t="str">
        <f>IF(COUNTIF(Finance_Data!$T$2:$T$1001,Finance_Data!T478)&gt;1,"Duplicate","Valid")</f>
        <v>Valid</v>
      </c>
      <c r="E482" s="3" t="str">
        <f>IF(Finance_Data!H478&gt;Finance_Data!G478,"Valid","Invalid")</f>
        <v>Valid</v>
      </c>
      <c r="F482" s="3" t="str" cm="1">
        <f t="array" ref="F482">_xlfn.IFS(Finance_Data!S478&lt;7,"Short",Finance_Data!S478&lt;=30,"Normal",Finance_Data!S478&lt;=60,"Long",Finance_Data!S478&gt;60,"Very Long")</f>
        <v>Long</v>
      </c>
      <c r="G482" s="3" t="str">
        <f>IF(ABS(Finance_Data!I478*Finance_Data!J478)-Finance_Data!K478&lt;1,"Valid","Invalid")</f>
        <v>Valid</v>
      </c>
      <c r="H482" s="3" t="str">
        <f>IF(Finance_Data!L478&gt;0,"Valid","Invalid")</f>
        <v>Valid</v>
      </c>
      <c r="I482" s="3" t="str">
        <f>IF(Finance_Data!L478&gt;=Finance_Data!M478,"Valid","Invalid")</f>
        <v>Valid</v>
      </c>
      <c r="J482" s="3" t="str">
        <f>IF(AND(Finance_Data!I478&gt;=0,Finance_Data!K478&gt;=0),"Valid","Invalid")</f>
        <v>Valid</v>
      </c>
      <c r="K482" s="3" t="str">
        <f>IF(Finance_Data!N478&gt;=0,"Valid","Invalid")</f>
        <v>Valid</v>
      </c>
      <c r="L482" s="3" t="str">
        <f>IF(TEXT(Finance_Data!G478,"mmmm")=Finance_Data!P478,"Valid","Invalid")</f>
        <v>Valid</v>
      </c>
      <c r="M482" s="3" t="str">
        <f>IF("Q"&amp;ROUNDUP(MONTH(Finance_Data!G478)/3,0)=Finance_Data!Q478,"Valid","Invalid")</f>
        <v>Valid</v>
      </c>
      <c r="N482" s="7" t="str">
        <f t="shared" si="7"/>
        <v>Pass</v>
      </c>
    </row>
    <row r="483" spans="1:14" x14ac:dyDescent="0.35">
      <c r="A483" s="17" t="s">
        <v>47</v>
      </c>
      <c r="B483" s="3" t="str">
        <f>IF(ISBLANK(Table3[[#This Row],[Campaign_ID]]),"Invalid","Valid")</f>
        <v>Valid</v>
      </c>
      <c r="C483" s="3" t="str">
        <f>IF(COUNTA(Finance_Data!A479:R479)=18,"Valid","Missing")</f>
        <v>Valid</v>
      </c>
      <c r="D483" s="3" t="str">
        <f>IF(COUNTIF(Finance_Data!$T$2:$T$1001,Finance_Data!T479)&gt;1,"Duplicate","Valid")</f>
        <v>Valid</v>
      </c>
      <c r="E483" s="3" t="str">
        <f>IF(Finance_Data!H479&gt;Finance_Data!G479,"Valid","Invalid")</f>
        <v>Valid</v>
      </c>
      <c r="F483" s="3" t="str" cm="1">
        <f t="array" ref="F483">_xlfn.IFS(Finance_Data!S479&lt;7,"Short",Finance_Data!S479&lt;=30,"Normal",Finance_Data!S479&lt;=60,"Long",Finance_Data!S479&gt;60,"Very Long")</f>
        <v>Long</v>
      </c>
      <c r="G483" s="3" t="str">
        <f>IF(ABS(Finance_Data!I479*Finance_Data!J479)-Finance_Data!K479&lt;1,"Valid","Invalid")</f>
        <v>Valid</v>
      </c>
      <c r="H483" s="3" t="str">
        <f>IF(Finance_Data!L479&gt;0,"Valid","Invalid")</f>
        <v>Valid</v>
      </c>
      <c r="I483" s="3" t="str">
        <f>IF(Finance_Data!L479&gt;=Finance_Data!M479,"Valid","Invalid")</f>
        <v>Valid</v>
      </c>
      <c r="J483" s="3" t="str">
        <f>IF(AND(Finance_Data!I479&gt;=0,Finance_Data!K479&gt;=0),"Valid","Invalid")</f>
        <v>Valid</v>
      </c>
      <c r="K483" s="3" t="str">
        <f>IF(Finance_Data!N479&gt;=0,"Valid","Invalid")</f>
        <v>Valid</v>
      </c>
      <c r="L483" s="3" t="str">
        <f>IF(TEXT(Finance_Data!G479,"mmmm")=Finance_Data!P479,"Valid","Invalid")</f>
        <v>Valid</v>
      </c>
      <c r="M483" s="3" t="str">
        <f>IF("Q"&amp;ROUNDUP(MONTH(Finance_Data!G479)/3,0)=Finance_Data!Q479,"Valid","Invalid")</f>
        <v>Valid</v>
      </c>
      <c r="N483" s="7" t="str">
        <f t="shared" si="7"/>
        <v>Pass</v>
      </c>
    </row>
    <row r="484" spans="1:14" x14ac:dyDescent="0.35">
      <c r="A484" s="17" t="s">
        <v>89</v>
      </c>
      <c r="B484" s="3" t="str">
        <f>IF(ISBLANK(Table3[[#This Row],[Campaign_ID]]),"Invalid","Valid")</f>
        <v>Valid</v>
      </c>
      <c r="C484" s="3" t="str">
        <f>IF(COUNTA(Finance_Data!A480:R480)=18,"Valid","Missing")</f>
        <v>Valid</v>
      </c>
      <c r="D484" s="3" t="str">
        <f>IF(COUNTIF(Finance_Data!$T$2:$T$1001,Finance_Data!T480)&gt;1,"Duplicate","Valid")</f>
        <v>Valid</v>
      </c>
      <c r="E484" s="3" t="str">
        <f>IF(Finance_Data!H480&gt;Finance_Data!G480,"Valid","Invalid")</f>
        <v>Valid</v>
      </c>
      <c r="F484" s="3" t="str" cm="1">
        <f t="array" ref="F484">_xlfn.IFS(Finance_Data!S480&lt;7,"Short",Finance_Data!S480&lt;=30,"Normal",Finance_Data!S480&lt;=60,"Long",Finance_Data!S480&gt;60,"Very Long")</f>
        <v>Short</v>
      </c>
      <c r="G484" s="3" t="str">
        <f>IF(ABS(Finance_Data!I480*Finance_Data!J480)-Finance_Data!K480&lt;1,"Valid","Invalid")</f>
        <v>Valid</v>
      </c>
      <c r="H484" s="3" t="str">
        <f>IF(Finance_Data!L480&gt;0,"Valid","Invalid")</f>
        <v>Valid</v>
      </c>
      <c r="I484" s="3" t="str">
        <f>IF(Finance_Data!L480&gt;=Finance_Data!M480,"Valid","Invalid")</f>
        <v>Valid</v>
      </c>
      <c r="J484" s="3" t="str">
        <f>IF(AND(Finance_Data!I480&gt;=0,Finance_Data!K480&gt;=0),"Valid","Invalid")</f>
        <v>Valid</v>
      </c>
      <c r="K484" s="3" t="str">
        <f>IF(Finance_Data!N480&gt;=0,"Valid","Invalid")</f>
        <v>Valid</v>
      </c>
      <c r="L484" s="3" t="str">
        <f>IF(TEXT(Finance_Data!G480,"mmmm")=Finance_Data!P480,"Valid","Invalid")</f>
        <v>Valid</v>
      </c>
      <c r="M484" s="3" t="str">
        <f>IF("Q"&amp;ROUNDUP(MONTH(Finance_Data!G480)/3,0)=Finance_Data!Q480,"Valid","Invalid")</f>
        <v>Valid</v>
      </c>
      <c r="N484" s="7" t="str">
        <f t="shared" si="7"/>
        <v>Pass</v>
      </c>
    </row>
    <row r="485" spans="1:14" x14ac:dyDescent="0.35">
      <c r="A485" s="17" t="s">
        <v>106</v>
      </c>
      <c r="B485" s="3" t="str">
        <f>IF(ISBLANK(Table3[[#This Row],[Campaign_ID]]),"Invalid","Valid")</f>
        <v>Valid</v>
      </c>
      <c r="C485" s="3" t="str">
        <f>IF(COUNTA(Finance_Data!A481:R481)=18,"Valid","Missing")</f>
        <v>Valid</v>
      </c>
      <c r="D485" s="3" t="str">
        <f>IF(COUNTIF(Finance_Data!$T$2:$T$1001,Finance_Data!T481)&gt;1,"Duplicate","Valid")</f>
        <v>Valid</v>
      </c>
      <c r="E485" s="3" t="str">
        <f>IF(Finance_Data!H481&gt;Finance_Data!G481,"Valid","Invalid")</f>
        <v>Valid</v>
      </c>
      <c r="F485" s="3" t="str" cm="1">
        <f t="array" ref="F485">_xlfn.IFS(Finance_Data!S481&lt;7,"Short",Finance_Data!S481&lt;=30,"Normal",Finance_Data!S481&lt;=60,"Long",Finance_Data!S481&gt;60,"Very Long")</f>
        <v>Long</v>
      </c>
      <c r="G485" s="3" t="str">
        <f>IF(ABS(Finance_Data!I481*Finance_Data!J481)-Finance_Data!K481&lt;1,"Valid","Invalid")</f>
        <v>Valid</v>
      </c>
      <c r="H485" s="3" t="str">
        <f>IF(Finance_Data!L481&gt;0,"Valid","Invalid")</f>
        <v>Valid</v>
      </c>
      <c r="I485" s="3" t="str">
        <f>IF(Finance_Data!L481&gt;=Finance_Data!M481,"Valid","Invalid")</f>
        <v>Valid</v>
      </c>
      <c r="J485" s="3" t="str">
        <f>IF(AND(Finance_Data!I481&gt;=0,Finance_Data!K481&gt;=0),"Valid","Invalid")</f>
        <v>Valid</v>
      </c>
      <c r="K485" s="3" t="str">
        <f>IF(Finance_Data!N481&gt;=0,"Valid","Invalid")</f>
        <v>Valid</v>
      </c>
      <c r="L485" s="3" t="str">
        <f>IF(TEXT(Finance_Data!G481,"mmmm")=Finance_Data!P481,"Valid","Invalid")</f>
        <v>Valid</v>
      </c>
      <c r="M485" s="3" t="str">
        <f>IF("Q"&amp;ROUNDUP(MONTH(Finance_Data!G481)/3,0)=Finance_Data!Q481,"Valid","Invalid")</f>
        <v>Valid</v>
      </c>
      <c r="N485" s="7" t="str">
        <f t="shared" si="7"/>
        <v>Pass</v>
      </c>
    </row>
    <row r="486" spans="1:14" x14ac:dyDescent="0.35">
      <c r="A486" s="17" t="s">
        <v>34</v>
      </c>
      <c r="B486" s="3" t="str">
        <f>IF(ISBLANK(Table3[[#This Row],[Campaign_ID]]),"Invalid","Valid")</f>
        <v>Valid</v>
      </c>
      <c r="C486" s="3" t="str">
        <f>IF(COUNTA(Finance_Data!A482:R482)=18,"Valid","Missing")</f>
        <v>Valid</v>
      </c>
      <c r="D486" s="3" t="str">
        <f>IF(COUNTIF(Finance_Data!$T$2:$T$1001,Finance_Data!T482)&gt;1,"Duplicate","Valid")</f>
        <v>Valid</v>
      </c>
      <c r="E486" s="3" t="str">
        <f>IF(Finance_Data!H482&gt;Finance_Data!G482,"Valid","Invalid")</f>
        <v>Valid</v>
      </c>
      <c r="F486" s="3" t="str" cm="1">
        <f t="array" ref="F486">_xlfn.IFS(Finance_Data!S482&lt;7,"Short",Finance_Data!S482&lt;=30,"Normal",Finance_Data!S482&lt;=60,"Long",Finance_Data!S482&gt;60,"Very Long")</f>
        <v>Long</v>
      </c>
      <c r="G486" s="3" t="str">
        <f>IF(ABS(Finance_Data!I482*Finance_Data!J482)-Finance_Data!K482&lt;1,"Valid","Invalid")</f>
        <v>Valid</v>
      </c>
      <c r="H486" s="3" t="str">
        <f>IF(Finance_Data!L482&gt;0,"Valid","Invalid")</f>
        <v>Valid</v>
      </c>
      <c r="I486" s="3" t="str">
        <f>IF(Finance_Data!L482&gt;=Finance_Data!M482,"Valid","Invalid")</f>
        <v>Valid</v>
      </c>
      <c r="J486" s="3" t="str">
        <f>IF(AND(Finance_Data!I482&gt;=0,Finance_Data!K482&gt;=0),"Valid","Invalid")</f>
        <v>Valid</v>
      </c>
      <c r="K486" s="3" t="str">
        <f>IF(Finance_Data!N482&gt;=0,"Valid","Invalid")</f>
        <v>Valid</v>
      </c>
      <c r="L486" s="3" t="str">
        <f>IF(TEXT(Finance_Data!G482,"mmmm")=Finance_Data!P482,"Valid","Invalid")</f>
        <v>Valid</v>
      </c>
      <c r="M486" s="3" t="str">
        <f>IF("Q"&amp;ROUNDUP(MONTH(Finance_Data!G482)/3,0)=Finance_Data!Q482,"Valid","Invalid")</f>
        <v>Valid</v>
      </c>
      <c r="N486" s="7" t="str">
        <f t="shared" si="7"/>
        <v>Pass</v>
      </c>
    </row>
    <row r="487" spans="1:14" x14ac:dyDescent="0.35">
      <c r="A487" s="17" t="s">
        <v>111</v>
      </c>
      <c r="B487" s="3" t="str">
        <f>IF(ISBLANK(Table3[[#This Row],[Campaign_ID]]),"Invalid","Valid")</f>
        <v>Valid</v>
      </c>
      <c r="C487" s="3" t="str">
        <f>IF(COUNTA(Finance_Data!A483:R483)=18,"Valid","Missing")</f>
        <v>Valid</v>
      </c>
      <c r="D487" s="3" t="str">
        <f>IF(COUNTIF(Finance_Data!$T$2:$T$1001,Finance_Data!T483)&gt;1,"Duplicate","Valid")</f>
        <v>Valid</v>
      </c>
      <c r="E487" s="3" t="str">
        <f>IF(Finance_Data!H483&gt;Finance_Data!G483,"Valid","Invalid")</f>
        <v>Valid</v>
      </c>
      <c r="F487" s="3" t="str" cm="1">
        <f t="array" ref="F487">_xlfn.IFS(Finance_Data!S483&lt;7,"Short",Finance_Data!S483&lt;=30,"Normal",Finance_Data!S483&lt;=60,"Long",Finance_Data!S483&gt;60,"Very Long")</f>
        <v>Long</v>
      </c>
      <c r="G487" s="3" t="str">
        <f>IF(ABS(Finance_Data!I483*Finance_Data!J483)-Finance_Data!K483&lt;1,"Valid","Invalid")</f>
        <v>Valid</v>
      </c>
      <c r="H487" s="3" t="str">
        <f>IF(Finance_Data!L483&gt;0,"Valid","Invalid")</f>
        <v>Valid</v>
      </c>
      <c r="I487" s="3" t="str">
        <f>IF(Finance_Data!L483&gt;=Finance_Data!M483,"Valid","Invalid")</f>
        <v>Valid</v>
      </c>
      <c r="J487" s="3" t="str">
        <f>IF(AND(Finance_Data!I483&gt;=0,Finance_Data!K483&gt;=0),"Valid","Invalid")</f>
        <v>Valid</v>
      </c>
      <c r="K487" s="3" t="str">
        <f>IF(Finance_Data!N483&gt;=0,"Valid","Invalid")</f>
        <v>Valid</v>
      </c>
      <c r="L487" s="3" t="str">
        <f>IF(TEXT(Finance_Data!G483,"mmmm")=Finance_Data!P483,"Valid","Invalid")</f>
        <v>Valid</v>
      </c>
      <c r="M487" s="3" t="str">
        <f>IF("Q"&amp;ROUNDUP(MONTH(Finance_Data!G483)/3,0)=Finance_Data!Q483,"Valid","Invalid")</f>
        <v>Valid</v>
      </c>
      <c r="N487" s="7" t="str">
        <f t="shared" si="7"/>
        <v>Pass</v>
      </c>
    </row>
    <row r="488" spans="1:14" x14ac:dyDescent="0.35">
      <c r="A488" s="17" t="s">
        <v>97</v>
      </c>
      <c r="B488" s="3" t="str">
        <f>IF(ISBLANK(Table3[[#This Row],[Campaign_ID]]),"Invalid","Valid")</f>
        <v>Valid</v>
      </c>
      <c r="C488" s="3" t="str">
        <f>IF(COUNTA(Finance_Data!A484:R484)=18,"Valid","Missing")</f>
        <v>Valid</v>
      </c>
      <c r="D488" s="3" t="str">
        <f>IF(COUNTIF(Finance_Data!$T$2:$T$1001,Finance_Data!T484)&gt;1,"Duplicate","Valid")</f>
        <v>Valid</v>
      </c>
      <c r="E488" s="3" t="str">
        <f>IF(Finance_Data!H484&gt;Finance_Data!G484,"Valid","Invalid")</f>
        <v>Valid</v>
      </c>
      <c r="F488" s="3" t="str" cm="1">
        <f t="array" ref="F488">_xlfn.IFS(Finance_Data!S484&lt;7,"Short",Finance_Data!S484&lt;=30,"Normal",Finance_Data!S484&lt;=60,"Long",Finance_Data!S484&gt;60,"Very Long")</f>
        <v>Normal</v>
      </c>
      <c r="G488" s="3" t="str">
        <f>IF(ABS(Finance_Data!I484*Finance_Data!J484)-Finance_Data!K484&lt;1,"Valid","Invalid")</f>
        <v>Valid</v>
      </c>
      <c r="H488" s="3" t="str">
        <f>IF(Finance_Data!L484&gt;0,"Valid","Invalid")</f>
        <v>Valid</v>
      </c>
      <c r="I488" s="3" t="str">
        <f>IF(Finance_Data!L484&gt;=Finance_Data!M484,"Valid","Invalid")</f>
        <v>Valid</v>
      </c>
      <c r="J488" s="3" t="str">
        <f>IF(AND(Finance_Data!I484&gt;=0,Finance_Data!K484&gt;=0),"Valid","Invalid")</f>
        <v>Valid</v>
      </c>
      <c r="K488" s="3" t="str">
        <f>IF(Finance_Data!N484&gt;=0,"Valid","Invalid")</f>
        <v>Valid</v>
      </c>
      <c r="L488" s="3" t="str">
        <f>IF(TEXT(Finance_Data!G484,"mmmm")=Finance_Data!P484,"Valid","Invalid")</f>
        <v>Valid</v>
      </c>
      <c r="M488" s="3" t="str">
        <f>IF("Q"&amp;ROUNDUP(MONTH(Finance_Data!G484)/3,0)=Finance_Data!Q484,"Valid","Invalid")</f>
        <v>Valid</v>
      </c>
      <c r="N488" s="7" t="str">
        <f t="shared" si="7"/>
        <v>Pass</v>
      </c>
    </row>
    <row r="489" spans="1:14" x14ac:dyDescent="0.35">
      <c r="A489" s="17" t="s">
        <v>107</v>
      </c>
      <c r="B489" s="3" t="str">
        <f>IF(ISBLANK(Table3[[#This Row],[Campaign_ID]]),"Invalid","Valid")</f>
        <v>Valid</v>
      </c>
      <c r="C489" s="3" t="str">
        <f>IF(COUNTA(Finance_Data!A485:R485)=18,"Valid","Missing")</f>
        <v>Valid</v>
      </c>
      <c r="D489" s="3" t="str">
        <f>IF(COUNTIF(Finance_Data!$T$2:$T$1001,Finance_Data!T485)&gt;1,"Duplicate","Valid")</f>
        <v>Valid</v>
      </c>
      <c r="E489" s="3" t="str">
        <f>IF(Finance_Data!H485&gt;Finance_Data!G485,"Valid","Invalid")</f>
        <v>Valid</v>
      </c>
      <c r="F489" s="3" t="str" cm="1">
        <f t="array" ref="F489">_xlfn.IFS(Finance_Data!S485&lt;7,"Short",Finance_Data!S485&lt;=30,"Normal",Finance_Data!S485&lt;=60,"Long",Finance_Data!S485&gt;60,"Very Long")</f>
        <v>Normal</v>
      </c>
      <c r="G489" s="3" t="str">
        <f>IF(ABS(Finance_Data!I485*Finance_Data!J485)-Finance_Data!K485&lt;1,"Valid","Invalid")</f>
        <v>Valid</v>
      </c>
      <c r="H489" s="3" t="str">
        <f>IF(Finance_Data!L485&gt;0,"Valid","Invalid")</f>
        <v>Valid</v>
      </c>
      <c r="I489" s="3" t="str">
        <f>IF(Finance_Data!L485&gt;=Finance_Data!M485,"Valid","Invalid")</f>
        <v>Valid</v>
      </c>
      <c r="J489" s="3" t="str">
        <f>IF(AND(Finance_Data!I485&gt;=0,Finance_Data!K485&gt;=0),"Valid","Invalid")</f>
        <v>Valid</v>
      </c>
      <c r="K489" s="3" t="str">
        <f>IF(Finance_Data!N485&gt;=0,"Valid","Invalid")</f>
        <v>Valid</v>
      </c>
      <c r="L489" s="3" t="str">
        <f>IF(TEXT(Finance_Data!G485,"mmmm")=Finance_Data!P485,"Valid","Invalid")</f>
        <v>Valid</v>
      </c>
      <c r="M489" s="3" t="str">
        <f>IF("Q"&amp;ROUNDUP(MONTH(Finance_Data!G485)/3,0)=Finance_Data!Q485,"Valid","Invalid")</f>
        <v>Valid</v>
      </c>
      <c r="N489" s="7" t="str">
        <f t="shared" si="7"/>
        <v>Pass</v>
      </c>
    </row>
    <row r="490" spans="1:14" x14ac:dyDescent="0.35">
      <c r="A490" s="17" t="s">
        <v>99</v>
      </c>
      <c r="B490" s="3" t="str">
        <f>IF(ISBLANK(Table3[[#This Row],[Campaign_ID]]),"Invalid","Valid")</f>
        <v>Valid</v>
      </c>
      <c r="C490" s="3" t="str">
        <f>IF(COUNTA(Finance_Data!A486:R486)=18,"Valid","Missing")</f>
        <v>Valid</v>
      </c>
      <c r="D490" s="3" t="str">
        <f>IF(COUNTIF(Finance_Data!$T$2:$T$1001,Finance_Data!T486)&gt;1,"Duplicate","Valid")</f>
        <v>Valid</v>
      </c>
      <c r="E490" s="3" t="str">
        <f>IF(Finance_Data!H486&gt;Finance_Data!G486,"Valid","Invalid")</f>
        <v>Valid</v>
      </c>
      <c r="F490" s="3" t="str" cm="1">
        <f t="array" ref="F490">_xlfn.IFS(Finance_Data!S486&lt;7,"Short",Finance_Data!S486&lt;=30,"Normal",Finance_Data!S486&lt;=60,"Long",Finance_Data!S486&gt;60,"Very Long")</f>
        <v>Normal</v>
      </c>
      <c r="G490" s="3" t="str">
        <f>IF(ABS(Finance_Data!I486*Finance_Data!J486)-Finance_Data!K486&lt;1,"Valid","Invalid")</f>
        <v>Valid</v>
      </c>
      <c r="H490" s="3" t="str">
        <f>IF(Finance_Data!L486&gt;0,"Valid","Invalid")</f>
        <v>Valid</v>
      </c>
      <c r="I490" s="3" t="str">
        <f>IF(Finance_Data!L486&gt;=Finance_Data!M486,"Valid","Invalid")</f>
        <v>Valid</v>
      </c>
      <c r="J490" s="3" t="str">
        <f>IF(AND(Finance_Data!I486&gt;=0,Finance_Data!K486&gt;=0),"Valid","Invalid")</f>
        <v>Valid</v>
      </c>
      <c r="K490" s="3" t="str">
        <f>IF(Finance_Data!N486&gt;=0,"Valid","Invalid")</f>
        <v>Valid</v>
      </c>
      <c r="L490" s="3" t="str">
        <f>IF(TEXT(Finance_Data!G486,"mmmm")=Finance_Data!P486,"Valid","Invalid")</f>
        <v>Valid</v>
      </c>
      <c r="M490" s="3" t="str">
        <f>IF("Q"&amp;ROUNDUP(MONTH(Finance_Data!G486)/3,0)=Finance_Data!Q486,"Valid","Invalid")</f>
        <v>Valid</v>
      </c>
      <c r="N490" s="7" t="str">
        <f t="shared" si="7"/>
        <v>Pass</v>
      </c>
    </row>
    <row r="491" spans="1:14" x14ac:dyDescent="0.35">
      <c r="A491" s="17" t="s">
        <v>114</v>
      </c>
      <c r="B491" s="3" t="str">
        <f>IF(ISBLANK(Table3[[#This Row],[Campaign_ID]]),"Invalid","Valid")</f>
        <v>Valid</v>
      </c>
      <c r="C491" s="3" t="str">
        <f>IF(COUNTA(Finance_Data!A487:R487)=18,"Valid","Missing")</f>
        <v>Valid</v>
      </c>
      <c r="D491" s="3" t="str">
        <f>IF(COUNTIF(Finance_Data!$T$2:$T$1001,Finance_Data!T487)&gt;1,"Duplicate","Valid")</f>
        <v>Valid</v>
      </c>
      <c r="E491" s="3" t="str">
        <f>IF(Finance_Data!H487&gt;Finance_Data!G487,"Valid","Invalid")</f>
        <v>Valid</v>
      </c>
      <c r="F491" s="3" t="str" cm="1">
        <f t="array" ref="F491">_xlfn.IFS(Finance_Data!S487&lt;7,"Short",Finance_Data!S487&lt;=30,"Normal",Finance_Data!S487&lt;=60,"Long",Finance_Data!S487&gt;60,"Very Long")</f>
        <v>Normal</v>
      </c>
      <c r="G491" s="3" t="str">
        <f>IF(ABS(Finance_Data!I487*Finance_Data!J487)-Finance_Data!K487&lt;1,"Valid","Invalid")</f>
        <v>Valid</v>
      </c>
      <c r="H491" s="3" t="str">
        <f>IF(Finance_Data!L487&gt;0,"Valid","Invalid")</f>
        <v>Valid</v>
      </c>
      <c r="I491" s="3" t="str">
        <f>IF(Finance_Data!L487&gt;=Finance_Data!M487,"Valid","Invalid")</f>
        <v>Valid</v>
      </c>
      <c r="J491" s="3" t="str">
        <f>IF(AND(Finance_Data!I487&gt;=0,Finance_Data!K487&gt;=0),"Valid","Invalid")</f>
        <v>Valid</v>
      </c>
      <c r="K491" s="3" t="str">
        <f>IF(Finance_Data!N487&gt;=0,"Valid","Invalid")</f>
        <v>Valid</v>
      </c>
      <c r="L491" s="3" t="str">
        <f>IF(TEXT(Finance_Data!G487,"mmmm")=Finance_Data!P487,"Valid","Invalid")</f>
        <v>Valid</v>
      </c>
      <c r="M491" s="3" t="str">
        <f>IF("Q"&amp;ROUNDUP(MONTH(Finance_Data!G487)/3,0)=Finance_Data!Q487,"Valid","Invalid")</f>
        <v>Valid</v>
      </c>
      <c r="N491" s="7" t="str">
        <f t="shared" si="7"/>
        <v>Pass</v>
      </c>
    </row>
    <row r="492" spans="1:14" x14ac:dyDescent="0.35">
      <c r="A492" s="17" t="s">
        <v>50</v>
      </c>
      <c r="B492" s="3" t="str">
        <f>IF(ISBLANK(Table3[[#This Row],[Campaign_ID]]),"Invalid","Valid")</f>
        <v>Valid</v>
      </c>
      <c r="C492" s="3" t="str">
        <f>IF(COUNTA(Finance_Data!A488:R488)=18,"Valid","Missing")</f>
        <v>Valid</v>
      </c>
      <c r="D492" s="3" t="str">
        <f>IF(COUNTIF(Finance_Data!$T$2:$T$1001,Finance_Data!T488)&gt;1,"Duplicate","Valid")</f>
        <v>Valid</v>
      </c>
      <c r="E492" s="3" t="str">
        <f>IF(Finance_Data!H488&gt;Finance_Data!G488,"Valid","Invalid")</f>
        <v>Valid</v>
      </c>
      <c r="F492" s="3" t="str" cm="1">
        <f t="array" ref="F492">_xlfn.IFS(Finance_Data!S488&lt;7,"Short",Finance_Data!S488&lt;=30,"Normal",Finance_Data!S488&lt;=60,"Long",Finance_Data!S488&gt;60,"Very Long")</f>
        <v>Long</v>
      </c>
      <c r="G492" s="3" t="str">
        <f>IF(ABS(Finance_Data!I488*Finance_Data!J488)-Finance_Data!K488&lt;1,"Valid","Invalid")</f>
        <v>Valid</v>
      </c>
      <c r="H492" s="3" t="str">
        <f>IF(Finance_Data!L488&gt;0,"Valid","Invalid")</f>
        <v>Valid</v>
      </c>
      <c r="I492" s="3" t="str">
        <f>IF(Finance_Data!L488&gt;=Finance_Data!M488,"Valid","Invalid")</f>
        <v>Valid</v>
      </c>
      <c r="J492" s="3" t="str">
        <f>IF(AND(Finance_Data!I488&gt;=0,Finance_Data!K488&gt;=0),"Valid","Invalid")</f>
        <v>Valid</v>
      </c>
      <c r="K492" s="3" t="str">
        <f>IF(Finance_Data!N488&gt;=0,"Valid","Invalid")</f>
        <v>Valid</v>
      </c>
      <c r="L492" s="3" t="str">
        <f>IF(TEXT(Finance_Data!G488,"mmmm")=Finance_Data!P488,"Valid","Invalid")</f>
        <v>Valid</v>
      </c>
      <c r="M492" s="3" t="str">
        <f>IF("Q"&amp;ROUNDUP(MONTH(Finance_Data!G488)/3,0)=Finance_Data!Q488,"Valid","Invalid")</f>
        <v>Valid</v>
      </c>
      <c r="N492" s="7" t="str">
        <f t="shared" si="7"/>
        <v>Pass</v>
      </c>
    </row>
    <row r="493" spans="1:14" x14ac:dyDescent="0.35">
      <c r="A493" s="17" t="s">
        <v>27</v>
      </c>
      <c r="B493" s="3" t="str">
        <f>IF(ISBLANK(Table3[[#This Row],[Campaign_ID]]),"Invalid","Valid")</f>
        <v>Valid</v>
      </c>
      <c r="C493" s="3" t="str">
        <f>IF(COUNTA(Finance_Data!A489:R489)=18,"Valid","Missing")</f>
        <v>Valid</v>
      </c>
      <c r="D493" s="3" t="str">
        <f>IF(COUNTIF(Finance_Data!$T$2:$T$1001,Finance_Data!T489)&gt;1,"Duplicate","Valid")</f>
        <v>Valid</v>
      </c>
      <c r="E493" s="3" t="str">
        <f>IF(Finance_Data!H489&gt;Finance_Data!G489,"Valid","Invalid")</f>
        <v>Valid</v>
      </c>
      <c r="F493" s="3" t="str" cm="1">
        <f t="array" ref="F493">_xlfn.IFS(Finance_Data!S489&lt;7,"Short",Finance_Data!S489&lt;=30,"Normal",Finance_Data!S489&lt;=60,"Long",Finance_Data!S489&gt;60,"Very Long")</f>
        <v>Normal</v>
      </c>
      <c r="G493" s="3" t="str">
        <f>IF(ABS(Finance_Data!I489*Finance_Data!J489)-Finance_Data!K489&lt;1,"Valid","Invalid")</f>
        <v>Valid</v>
      </c>
      <c r="H493" s="3" t="str">
        <f>IF(Finance_Data!L489&gt;0,"Valid","Invalid")</f>
        <v>Valid</v>
      </c>
      <c r="I493" s="3" t="str">
        <f>IF(Finance_Data!L489&gt;=Finance_Data!M489,"Valid","Invalid")</f>
        <v>Valid</v>
      </c>
      <c r="J493" s="3" t="str">
        <f>IF(AND(Finance_Data!I489&gt;=0,Finance_Data!K489&gt;=0),"Valid","Invalid")</f>
        <v>Valid</v>
      </c>
      <c r="K493" s="3" t="str">
        <f>IF(Finance_Data!N489&gt;=0,"Valid","Invalid")</f>
        <v>Valid</v>
      </c>
      <c r="L493" s="3" t="str">
        <f>IF(TEXT(Finance_Data!G489,"mmmm")=Finance_Data!P489,"Valid","Invalid")</f>
        <v>Valid</v>
      </c>
      <c r="M493" s="3" t="str">
        <f>IF("Q"&amp;ROUNDUP(MONTH(Finance_Data!G489)/3,0)=Finance_Data!Q489,"Valid","Invalid")</f>
        <v>Valid</v>
      </c>
      <c r="N493" s="7" t="str">
        <f t="shared" si="7"/>
        <v>Pass</v>
      </c>
    </row>
    <row r="494" spans="1:14" x14ac:dyDescent="0.35">
      <c r="A494" s="17" t="s">
        <v>102</v>
      </c>
      <c r="B494" s="3" t="str">
        <f>IF(ISBLANK(Table3[[#This Row],[Campaign_ID]]),"Invalid","Valid")</f>
        <v>Valid</v>
      </c>
      <c r="C494" s="3" t="str">
        <f>IF(COUNTA(Finance_Data!A490:R490)=18,"Valid","Missing")</f>
        <v>Valid</v>
      </c>
      <c r="D494" s="3" t="str">
        <f>IF(COUNTIF(Finance_Data!$T$2:$T$1001,Finance_Data!T490)&gt;1,"Duplicate","Valid")</f>
        <v>Valid</v>
      </c>
      <c r="E494" s="3" t="str">
        <f>IF(Finance_Data!H490&gt;Finance_Data!G490,"Valid","Invalid")</f>
        <v>Valid</v>
      </c>
      <c r="F494" s="3" t="str" cm="1">
        <f t="array" ref="F494">_xlfn.IFS(Finance_Data!S490&lt;7,"Short",Finance_Data!S490&lt;=30,"Normal",Finance_Data!S490&lt;=60,"Long",Finance_Data!S490&gt;60,"Very Long")</f>
        <v>Long</v>
      </c>
      <c r="G494" s="3" t="str">
        <f>IF(ABS(Finance_Data!I490*Finance_Data!J490)-Finance_Data!K490&lt;1,"Valid","Invalid")</f>
        <v>Valid</v>
      </c>
      <c r="H494" s="3" t="str">
        <f>IF(Finance_Data!L490&gt;0,"Valid","Invalid")</f>
        <v>Valid</v>
      </c>
      <c r="I494" s="3" t="str">
        <f>IF(Finance_Data!L490&gt;=Finance_Data!M490,"Valid","Invalid")</f>
        <v>Valid</v>
      </c>
      <c r="J494" s="3" t="str">
        <f>IF(AND(Finance_Data!I490&gt;=0,Finance_Data!K490&gt;=0),"Valid","Invalid")</f>
        <v>Valid</v>
      </c>
      <c r="K494" s="3" t="str">
        <f>IF(Finance_Data!N490&gt;=0,"Valid","Invalid")</f>
        <v>Valid</v>
      </c>
      <c r="L494" s="3" t="str">
        <f>IF(TEXT(Finance_Data!G490,"mmmm")=Finance_Data!P490,"Valid","Invalid")</f>
        <v>Valid</v>
      </c>
      <c r="M494" s="3" t="str">
        <f>IF("Q"&amp;ROUNDUP(MONTH(Finance_Data!G490)/3,0)=Finance_Data!Q490,"Valid","Invalid")</f>
        <v>Valid</v>
      </c>
      <c r="N494" s="7" t="str">
        <f t="shared" si="7"/>
        <v>Pass</v>
      </c>
    </row>
    <row r="495" spans="1:14" x14ac:dyDescent="0.35">
      <c r="A495" s="17" t="s">
        <v>113</v>
      </c>
      <c r="B495" s="3" t="str">
        <f>IF(ISBLANK(Table3[[#This Row],[Campaign_ID]]),"Invalid","Valid")</f>
        <v>Valid</v>
      </c>
      <c r="C495" s="3" t="str">
        <f>IF(COUNTA(Finance_Data!A491:R491)=18,"Valid","Missing")</f>
        <v>Valid</v>
      </c>
      <c r="D495" s="3" t="str">
        <f>IF(COUNTIF(Finance_Data!$T$2:$T$1001,Finance_Data!T491)&gt;1,"Duplicate","Valid")</f>
        <v>Valid</v>
      </c>
      <c r="E495" s="3" t="str">
        <f>IF(Finance_Data!H491&gt;Finance_Data!G491,"Valid","Invalid")</f>
        <v>Valid</v>
      </c>
      <c r="F495" s="3" t="str" cm="1">
        <f t="array" ref="F495">_xlfn.IFS(Finance_Data!S491&lt;7,"Short",Finance_Data!S491&lt;=30,"Normal",Finance_Data!S491&lt;=60,"Long",Finance_Data!S491&gt;60,"Very Long")</f>
        <v>Short</v>
      </c>
      <c r="G495" s="3" t="str">
        <f>IF(ABS(Finance_Data!I491*Finance_Data!J491)-Finance_Data!K491&lt;1,"Valid","Invalid")</f>
        <v>Valid</v>
      </c>
      <c r="H495" s="3" t="str">
        <f>IF(Finance_Data!L491&gt;0,"Valid","Invalid")</f>
        <v>Valid</v>
      </c>
      <c r="I495" s="3" t="str">
        <f>IF(Finance_Data!L491&gt;=Finance_Data!M491,"Valid","Invalid")</f>
        <v>Valid</v>
      </c>
      <c r="J495" s="3" t="str">
        <f>IF(AND(Finance_Data!I491&gt;=0,Finance_Data!K491&gt;=0),"Valid","Invalid")</f>
        <v>Valid</v>
      </c>
      <c r="K495" s="3" t="str">
        <f>IF(Finance_Data!N491&gt;=0,"Valid","Invalid")</f>
        <v>Valid</v>
      </c>
      <c r="L495" s="3" t="str">
        <f>IF(TEXT(Finance_Data!G491,"mmmm")=Finance_Data!P491,"Valid","Invalid")</f>
        <v>Valid</v>
      </c>
      <c r="M495" s="3" t="str">
        <f>IF("Q"&amp;ROUNDUP(MONTH(Finance_Data!G491)/3,0)=Finance_Data!Q491,"Valid","Invalid")</f>
        <v>Valid</v>
      </c>
      <c r="N495" s="7" t="str">
        <f t="shared" si="7"/>
        <v>Pass</v>
      </c>
    </row>
    <row r="496" spans="1:14" x14ac:dyDescent="0.35">
      <c r="A496" s="17" t="s">
        <v>70</v>
      </c>
      <c r="B496" s="3" t="str">
        <f>IF(ISBLANK(Table3[[#This Row],[Campaign_ID]]),"Invalid","Valid")</f>
        <v>Valid</v>
      </c>
      <c r="C496" s="3" t="str">
        <f>IF(COUNTA(Finance_Data!A492:R492)=18,"Valid","Missing")</f>
        <v>Valid</v>
      </c>
      <c r="D496" s="3" t="str">
        <f>IF(COUNTIF(Finance_Data!$T$2:$T$1001,Finance_Data!T492)&gt;1,"Duplicate","Valid")</f>
        <v>Valid</v>
      </c>
      <c r="E496" s="3" t="str">
        <f>IF(Finance_Data!H492&gt;Finance_Data!G492,"Valid","Invalid")</f>
        <v>Valid</v>
      </c>
      <c r="F496" s="3" t="str" cm="1">
        <f t="array" ref="F496">_xlfn.IFS(Finance_Data!S492&lt;7,"Short",Finance_Data!S492&lt;=30,"Normal",Finance_Data!S492&lt;=60,"Long",Finance_Data!S492&gt;60,"Very Long")</f>
        <v>Long</v>
      </c>
      <c r="G496" s="3" t="str">
        <f>IF(ABS(Finance_Data!I492*Finance_Data!J492)-Finance_Data!K492&lt;1,"Valid","Invalid")</f>
        <v>Valid</v>
      </c>
      <c r="H496" s="3" t="str">
        <f>IF(Finance_Data!L492&gt;0,"Valid","Invalid")</f>
        <v>Valid</v>
      </c>
      <c r="I496" s="3" t="str">
        <f>IF(Finance_Data!L492&gt;=Finance_Data!M492,"Valid","Invalid")</f>
        <v>Valid</v>
      </c>
      <c r="J496" s="3" t="str">
        <f>IF(AND(Finance_Data!I492&gt;=0,Finance_Data!K492&gt;=0),"Valid","Invalid")</f>
        <v>Valid</v>
      </c>
      <c r="K496" s="3" t="str">
        <f>IF(Finance_Data!N492&gt;=0,"Valid","Invalid")</f>
        <v>Valid</v>
      </c>
      <c r="L496" s="3" t="str">
        <f>IF(TEXT(Finance_Data!G492,"mmmm")=Finance_Data!P492,"Valid","Invalid")</f>
        <v>Valid</v>
      </c>
      <c r="M496" s="3" t="str">
        <f>IF("Q"&amp;ROUNDUP(MONTH(Finance_Data!G492)/3,0)=Finance_Data!Q492,"Valid","Invalid")</f>
        <v>Valid</v>
      </c>
      <c r="N496" s="7" t="str">
        <f t="shared" si="7"/>
        <v>Pass</v>
      </c>
    </row>
    <row r="497" spans="1:14" x14ac:dyDescent="0.35">
      <c r="A497" s="17" t="s">
        <v>88</v>
      </c>
      <c r="B497" s="3" t="str">
        <f>IF(ISBLANK(Table3[[#This Row],[Campaign_ID]]),"Invalid","Valid")</f>
        <v>Valid</v>
      </c>
      <c r="C497" s="3" t="str">
        <f>IF(COUNTA(Finance_Data!A493:R493)=18,"Valid","Missing")</f>
        <v>Valid</v>
      </c>
      <c r="D497" s="3" t="str">
        <f>IF(COUNTIF(Finance_Data!$T$2:$T$1001,Finance_Data!T493)&gt;1,"Duplicate","Valid")</f>
        <v>Valid</v>
      </c>
      <c r="E497" s="3" t="str">
        <f>IF(Finance_Data!H493&gt;Finance_Data!G493,"Valid","Invalid")</f>
        <v>Valid</v>
      </c>
      <c r="F497" s="3" t="str" cm="1">
        <f t="array" ref="F497">_xlfn.IFS(Finance_Data!S493&lt;7,"Short",Finance_Data!S493&lt;=30,"Normal",Finance_Data!S493&lt;=60,"Long",Finance_Data!S493&gt;60,"Very Long")</f>
        <v>Long</v>
      </c>
      <c r="G497" s="3" t="str">
        <f>IF(ABS(Finance_Data!I493*Finance_Data!J493)-Finance_Data!K493&lt;1,"Valid","Invalid")</f>
        <v>Valid</v>
      </c>
      <c r="H497" s="3" t="str">
        <f>IF(Finance_Data!L493&gt;0,"Valid","Invalid")</f>
        <v>Valid</v>
      </c>
      <c r="I497" s="3" t="str">
        <f>IF(Finance_Data!L493&gt;=Finance_Data!M493,"Valid","Invalid")</f>
        <v>Valid</v>
      </c>
      <c r="J497" s="3" t="str">
        <f>IF(AND(Finance_Data!I493&gt;=0,Finance_Data!K493&gt;=0),"Valid","Invalid")</f>
        <v>Valid</v>
      </c>
      <c r="K497" s="3" t="str">
        <f>IF(Finance_Data!N493&gt;=0,"Valid","Invalid")</f>
        <v>Valid</v>
      </c>
      <c r="L497" s="3" t="str">
        <f>IF(TEXT(Finance_Data!G493,"mmmm")=Finance_Data!P493,"Valid","Invalid")</f>
        <v>Valid</v>
      </c>
      <c r="M497" s="3" t="str">
        <f>IF("Q"&amp;ROUNDUP(MONTH(Finance_Data!G493)/3,0)=Finance_Data!Q493,"Valid","Invalid")</f>
        <v>Valid</v>
      </c>
      <c r="N497" s="7" t="str">
        <f t="shared" si="7"/>
        <v>Pass</v>
      </c>
    </row>
    <row r="498" spans="1:14" x14ac:dyDescent="0.35">
      <c r="A498" s="17" t="s">
        <v>88</v>
      </c>
      <c r="B498" s="3" t="str">
        <f>IF(ISBLANK(Table3[[#This Row],[Campaign_ID]]),"Invalid","Valid")</f>
        <v>Valid</v>
      </c>
      <c r="C498" s="3" t="str">
        <f>IF(COUNTA(Finance_Data!A494:R494)=18,"Valid","Missing")</f>
        <v>Valid</v>
      </c>
      <c r="D498" s="3" t="str">
        <f>IF(COUNTIF(Finance_Data!$T$2:$T$1001,Finance_Data!T494)&gt;1,"Duplicate","Valid")</f>
        <v>Valid</v>
      </c>
      <c r="E498" s="3" t="str">
        <f>IF(Finance_Data!H494&gt;Finance_Data!G494,"Valid","Invalid")</f>
        <v>Valid</v>
      </c>
      <c r="F498" s="3" t="str" cm="1">
        <f t="array" ref="F498">_xlfn.IFS(Finance_Data!S494&lt;7,"Short",Finance_Data!S494&lt;=30,"Normal",Finance_Data!S494&lt;=60,"Long",Finance_Data!S494&gt;60,"Very Long")</f>
        <v>Long</v>
      </c>
      <c r="G498" s="3" t="str">
        <f>IF(ABS(Finance_Data!I494*Finance_Data!J494)-Finance_Data!K494&lt;1,"Valid","Invalid")</f>
        <v>Valid</v>
      </c>
      <c r="H498" s="3" t="str">
        <f>IF(Finance_Data!L494&gt;0,"Valid","Invalid")</f>
        <v>Valid</v>
      </c>
      <c r="I498" s="3" t="str">
        <f>IF(Finance_Data!L494&gt;=Finance_Data!M494,"Valid","Invalid")</f>
        <v>Valid</v>
      </c>
      <c r="J498" s="3" t="str">
        <f>IF(AND(Finance_Data!I494&gt;=0,Finance_Data!K494&gt;=0),"Valid","Invalid")</f>
        <v>Valid</v>
      </c>
      <c r="K498" s="3" t="str">
        <f>IF(Finance_Data!N494&gt;=0,"Valid","Invalid")</f>
        <v>Valid</v>
      </c>
      <c r="L498" s="3" t="str">
        <f>IF(TEXT(Finance_Data!G494,"mmmm")=Finance_Data!P494,"Valid","Invalid")</f>
        <v>Valid</v>
      </c>
      <c r="M498" s="3" t="str">
        <f>IF("Q"&amp;ROUNDUP(MONTH(Finance_Data!G494)/3,0)=Finance_Data!Q494,"Valid","Invalid")</f>
        <v>Valid</v>
      </c>
      <c r="N498" s="7" t="str">
        <f t="shared" si="7"/>
        <v>Pass</v>
      </c>
    </row>
    <row r="499" spans="1:14" x14ac:dyDescent="0.35">
      <c r="A499" s="17" t="s">
        <v>27</v>
      </c>
      <c r="B499" s="3" t="str">
        <f>IF(ISBLANK(Table3[[#This Row],[Campaign_ID]]),"Invalid","Valid")</f>
        <v>Valid</v>
      </c>
      <c r="C499" s="3" t="str">
        <f>IF(COUNTA(Finance_Data!A495:R495)=18,"Valid","Missing")</f>
        <v>Valid</v>
      </c>
      <c r="D499" s="3" t="str">
        <f>IF(COUNTIF(Finance_Data!$T$2:$T$1001,Finance_Data!T495)&gt;1,"Duplicate","Valid")</f>
        <v>Valid</v>
      </c>
      <c r="E499" s="3" t="str">
        <f>IF(Finance_Data!H495&gt;Finance_Data!G495,"Valid","Invalid")</f>
        <v>Valid</v>
      </c>
      <c r="F499" s="3" t="str" cm="1">
        <f t="array" ref="F499">_xlfn.IFS(Finance_Data!S495&lt;7,"Short",Finance_Data!S495&lt;=30,"Normal",Finance_Data!S495&lt;=60,"Long",Finance_Data!S495&gt;60,"Very Long")</f>
        <v>Normal</v>
      </c>
      <c r="G499" s="3" t="str">
        <f>IF(ABS(Finance_Data!I495*Finance_Data!J495)-Finance_Data!K495&lt;1,"Valid","Invalid")</f>
        <v>Valid</v>
      </c>
      <c r="H499" s="3" t="str">
        <f>IF(Finance_Data!L495&gt;0,"Valid","Invalid")</f>
        <v>Valid</v>
      </c>
      <c r="I499" s="3" t="str">
        <f>IF(Finance_Data!L495&gt;=Finance_Data!M495,"Valid","Invalid")</f>
        <v>Valid</v>
      </c>
      <c r="J499" s="3" t="str">
        <f>IF(AND(Finance_Data!I495&gt;=0,Finance_Data!K495&gt;=0),"Valid","Invalid")</f>
        <v>Valid</v>
      </c>
      <c r="K499" s="3" t="str">
        <f>IF(Finance_Data!N495&gt;=0,"Valid","Invalid")</f>
        <v>Valid</v>
      </c>
      <c r="L499" s="3" t="str">
        <f>IF(TEXT(Finance_Data!G495,"mmmm")=Finance_Data!P495,"Valid","Invalid")</f>
        <v>Valid</v>
      </c>
      <c r="M499" s="3" t="str">
        <f>IF("Q"&amp;ROUNDUP(MONTH(Finance_Data!G495)/3,0)=Finance_Data!Q495,"Valid","Invalid")</f>
        <v>Valid</v>
      </c>
      <c r="N499" s="7" t="str">
        <f t="shared" si="7"/>
        <v>Pass</v>
      </c>
    </row>
    <row r="500" spans="1:14" x14ac:dyDescent="0.35">
      <c r="A500" s="17" t="s">
        <v>62</v>
      </c>
      <c r="B500" s="3" t="str">
        <f>IF(ISBLANK(Table3[[#This Row],[Campaign_ID]]),"Invalid","Valid")</f>
        <v>Valid</v>
      </c>
      <c r="C500" s="3" t="str">
        <f>IF(COUNTA(Finance_Data!A496:R496)=18,"Valid","Missing")</f>
        <v>Valid</v>
      </c>
      <c r="D500" s="3" t="str">
        <f>IF(COUNTIF(Finance_Data!$T$2:$T$1001,Finance_Data!T496)&gt;1,"Duplicate","Valid")</f>
        <v>Valid</v>
      </c>
      <c r="E500" s="3" t="str">
        <f>IF(Finance_Data!H496&gt;Finance_Data!G496,"Valid","Invalid")</f>
        <v>Valid</v>
      </c>
      <c r="F500" s="3" t="str" cm="1">
        <f t="array" ref="F500">_xlfn.IFS(Finance_Data!S496&lt;7,"Short",Finance_Data!S496&lt;=30,"Normal",Finance_Data!S496&lt;=60,"Long",Finance_Data!S496&gt;60,"Very Long")</f>
        <v>Normal</v>
      </c>
      <c r="G500" s="3" t="str">
        <f>IF(ABS(Finance_Data!I496*Finance_Data!J496)-Finance_Data!K496&lt;1,"Valid","Invalid")</f>
        <v>Valid</v>
      </c>
      <c r="H500" s="3" t="str">
        <f>IF(Finance_Data!L496&gt;0,"Valid","Invalid")</f>
        <v>Valid</v>
      </c>
      <c r="I500" s="3" t="str">
        <f>IF(Finance_Data!L496&gt;=Finance_Data!M496,"Valid","Invalid")</f>
        <v>Valid</v>
      </c>
      <c r="J500" s="3" t="str">
        <f>IF(AND(Finance_Data!I496&gt;=0,Finance_Data!K496&gt;=0),"Valid","Invalid")</f>
        <v>Valid</v>
      </c>
      <c r="K500" s="3" t="str">
        <f>IF(Finance_Data!N496&gt;=0,"Valid","Invalid")</f>
        <v>Valid</v>
      </c>
      <c r="L500" s="3" t="str">
        <f>IF(TEXT(Finance_Data!G496,"mmmm")=Finance_Data!P496,"Valid","Invalid")</f>
        <v>Valid</v>
      </c>
      <c r="M500" s="3" t="str">
        <f>IF("Q"&amp;ROUNDUP(MONTH(Finance_Data!G496)/3,0)=Finance_Data!Q496,"Valid","Invalid")</f>
        <v>Valid</v>
      </c>
      <c r="N500" s="7" t="str">
        <f t="shared" si="7"/>
        <v>Pass</v>
      </c>
    </row>
    <row r="501" spans="1:14" x14ac:dyDescent="0.35">
      <c r="A501" s="17" t="s">
        <v>67</v>
      </c>
      <c r="B501" s="3" t="str">
        <f>IF(ISBLANK(Table3[[#This Row],[Campaign_ID]]),"Invalid","Valid")</f>
        <v>Valid</v>
      </c>
      <c r="C501" s="3" t="str">
        <f>IF(COUNTA(Finance_Data!A497:R497)=18,"Valid","Missing")</f>
        <v>Valid</v>
      </c>
      <c r="D501" s="3" t="str">
        <f>IF(COUNTIF(Finance_Data!$T$2:$T$1001,Finance_Data!T497)&gt;1,"Duplicate","Valid")</f>
        <v>Valid</v>
      </c>
      <c r="E501" s="3" t="str">
        <f>IF(Finance_Data!H497&gt;Finance_Data!G497,"Valid","Invalid")</f>
        <v>Valid</v>
      </c>
      <c r="F501" s="3" t="str" cm="1">
        <f t="array" ref="F501">_xlfn.IFS(Finance_Data!S497&lt;7,"Short",Finance_Data!S497&lt;=30,"Normal",Finance_Data!S497&lt;=60,"Long",Finance_Data!S497&gt;60,"Very Long")</f>
        <v>Long</v>
      </c>
      <c r="G501" s="3" t="str">
        <f>IF(ABS(Finance_Data!I497*Finance_Data!J497)-Finance_Data!K497&lt;1,"Valid","Invalid")</f>
        <v>Valid</v>
      </c>
      <c r="H501" s="3" t="str">
        <f>IF(Finance_Data!L497&gt;0,"Valid","Invalid")</f>
        <v>Valid</v>
      </c>
      <c r="I501" s="3" t="str">
        <f>IF(Finance_Data!L497&gt;=Finance_Data!M497,"Valid","Invalid")</f>
        <v>Valid</v>
      </c>
      <c r="J501" s="3" t="str">
        <f>IF(AND(Finance_Data!I497&gt;=0,Finance_Data!K497&gt;=0),"Valid","Invalid")</f>
        <v>Valid</v>
      </c>
      <c r="K501" s="3" t="str">
        <f>IF(Finance_Data!N497&gt;=0,"Valid","Invalid")</f>
        <v>Valid</v>
      </c>
      <c r="L501" s="3" t="str">
        <f>IF(TEXT(Finance_Data!G497,"mmmm")=Finance_Data!P497,"Valid","Invalid")</f>
        <v>Valid</v>
      </c>
      <c r="M501" s="3" t="str">
        <f>IF("Q"&amp;ROUNDUP(MONTH(Finance_Data!G497)/3,0)=Finance_Data!Q497,"Valid","Invalid")</f>
        <v>Valid</v>
      </c>
      <c r="N501" s="7" t="str">
        <f t="shared" si="7"/>
        <v>Pass</v>
      </c>
    </row>
    <row r="502" spans="1:14" x14ac:dyDescent="0.35">
      <c r="A502" s="17" t="s">
        <v>102</v>
      </c>
      <c r="B502" s="3" t="str">
        <f>IF(ISBLANK(Table3[[#This Row],[Campaign_ID]]),"Invalid","Valid")</f>
        <v>Valid</v>
      </c>
      <c r="C502" s="3" t="str">
        <f>IF(COUNTA(Finance_Data!A498:R498)=18,"Valid","Missing")</f>
        <v>Valid</v>
      </c>
      <c r="D502" s="3" t="str">
        <f>IF(COUNTIF(Finance_Data!$T$2:$T$1001,Finance_Data!T498)&gt;1,"Duplicate","Valid")</f>
        <v>Valid</v>
      </c>
      <c r="E502" s="3" t="str">
        <f>IF(Finance_Data!H498&gt;Finance_Data!G498,"Valid","Invalid")</f>
        <v>Valid</v>
      </c>
      <c r="F502" s="3" t="str" cm="1">
        <f t="array" ref="F502">_xlfn.IFS(Finance_Data!S498&lt;7,"Short",Finance_Data!S498&lt;=30,"Normal",Finance_Data!S498&lt;=60,"Long",Finance_Data!S498&gt;60,"Very Long")</f>
        <v>Normal</v>
      </c>
      <c r="G502" s="3" t="str">
        <f>IF(ABS(Finance_Data!I498*Finance_Data!J498)-Finance_Data!K498&lt;1,"Valid","Invalid")</f>
        <v>Valid</v>
      </c>
      <c r="H502" s="3" t="str">
        <f>IF(Finance_Data!L498&gt;0,"Valid","Invalid")</f>
        <v>Valid</v>
      </c>
      <c r="I502" s="3" t="str">
        <f>IF(Finance_Data!L498&gt;=Finance_Data!M498,"Valid","Invalid")</f>
        <v>Valid</v>
      </c>
      <c r="J502" s="3" t="str">
        <f>IF(AND(Finance_Data!I498&gt;=0,Finance_Data!K498&gt;=0),"Valid","Invalid")</f>
        <v>Valid</v>
      </c>
      <c r="K502" s="3" t="str">
        <f>IF(Finance_Data!N498&gt;=0,"Valid","Invalid")</f>
        <v>Valid</v>
      </c>
      <c r="L502" s="3" t="str">
        <f>IF(TEXT(Finance_Data!G498,"mmmm")=Finance_Data!P498,"Valid","Invalid")</f>
        <v>Valid</v>
      </c>
      <c r="M502" s="3" t="str">
        <f>IF("Q"&amp;ROUNDUP(MONTH(Finance_Data!G498)/3,0)=Finance_Data!Q498,"Valid","Invalid")</f>
        <v>Valid</v>
      </c>
      <c r="N502" s="7" t="str">
        <f t="shared" si="7"/>
        <v>Pass</v>
      </c>
    </row>
    <row r="503" spans="1:14" x14ac:dyDescent="0.35">
      <c r="A503" s="17" t="s">
        <v>104</v>
      </c>
      <c r="B503" s="3" t="str">
        <f>IF(ISBLANK(Table3[[#This Row],[Campaign_ID]]),"Invalid","Valid")</f>
        <v>Valid</v>
      </c>
      <c r="C503" s="3" t="str">
        <f>IF(COUNTA(Finance_Data!A499:R499)=18,"Valid","Missing")</f>
        <v>Valid</v>
      </c>
      <c r="D503" s="3" t="str">
        <f>IF(COUNTIF(Finance_Data!$T$2:$T$1001,Finance_Data!T499)&gt;1,"Duplicate","Valid")</f>
        <v>Valid</v>
      </c>
      <c r="E503" s="3" t="str">
        <f>IF(Finance_Data!H499&gt;Finance_Data!G499,"Valid","Invalid")</f>
        <v>Valid</v>
      </c>
      <c r="F503" s="3" t="str" cm="1">
        <f t="array" ref="F503">_xlfn.IFS(Finance_Data!S499&lt;7,"Short",Finance_Data!S499&lt;=30,"Normal",Finance_Data!S499&lt;=60,"Long",Finance_Data!S499&gt;60,"Very Long")</f>
        <v>Normal</v>
      </c>
      <c r="G503" s="3" t="str">
        <f>IF(ABS(Finance_Data!I499*Finance_Data!J499)-Finance_Data!K499&lt;1,"Valid","Invalid")</f>
        <v>Valid</v>
      </c>
      <c r="H503" s="3" t="str">
        <f>IF(Finance_Data!L499&gt;0,"Valid","Invalid")</f>
        <v>Valid</v>
      </c>
      <c r="I503" s="3" t="str">
        <f>IF(Finance_Data!L499&gt;=Finance_Data!M499,"Valid","Invalid")</f>
        <v>Valid</v>
      </c>
      <c r="J503" s="3" t="str">
        <f>IF(AND(Finance_Data!I499&gt;=0,Finance_Data!K499&gt;=0),"Valid","Invalid")</f>
        <v>Valid</v>
      </c>
      <c r="K503" s="3" t="str">
        <f>IF(Finance_Data!N499&gt;=0,"Valid","Invalid")</f>
        <v>Valid</v>
      </c>
      <c r="L503" s="3" t="str">
        <f>IF(TEXT(Finance_Data!G499,"mmmm")=Finance_Data!P499,"Valid","Invalid")</f>
        <v>Valid</v>
      </c>
      <c r="M503" s="3" t="str">
        <f>IF("Q"&amp;ROUNDUP(MONTH(Finance_Data!G499)/3,0)=Finance_Data!Q499,"Valid","Invalid")</f>
        <v>Valid</v>
      </c>
      <c r="N503" s="7" t="str">
        <f t="shared" si="7"/>
        <v>Pass</v>
      </c>
    </row>
    <row r="504" spans="1:14" x14ac:dyDescent="0.35">
      <c r="A504" s="17" t="s">
        <v>91</v>
      </c>
      <c r="B504" s="3" t="str">
        <f>IF(ISBLANK(Table3[[#This Row],[Campaign_ID]]),"Invalid","Valid")</f>
        <v>Valid</v>
      </c>
      <c r="C504" s="3" t="str">
        <f>IF(COUNTA(Finance_Data!A500:R500)=18,"Valid","Missing")</f>
        <v>Valid</v>
      </c>
      <c r="D504" s="3" t="str">
        <f>IF(COUNTIF(Finance_Data!$T$2:$T$1001,Finance_Data!T500)&gt;1,"Duplicate","Valid")</f>
        <v>Valid</v>
      </c>
      <c r="E504" s="3" t="str">
        <f>IF(Finance_Data!H500&gt;Finance_Data!G500,"Valid","Invalid")</f>
        <v>Valid</v>
      </c>
      <c r="F504" s="3" t="str" cm="1">
        <f t="array" ref="F504">_xlfn.IFS(Finance_Data!S500&lt;7,"Short",Finance_Data!S500&lt;=30,"Normal",Finance_Data!S500&lt;=60,"Long",Finance_Data!S500&gt;60,"Very Long")</f>
        <v>Long</v>
      </c>
      <c r="G504" s="3" t="str">
        <f>IF(ABS(Finance_Data!I500*Finance_Data!J500)-Finance_Data!K500&lt;1,"Valid","Invalid")</f>
        <v>Valid</v>
      </c>
      <c r="H504" s="3" t="str">
        <f>IF(Finance_Data!L500&gt;0,"Valid","Invalid")</f>
        <v>Valid</v>
      </c>
      <c r="I504" s="3" t="str">
        <f>IF(Finance_Data!L500&gt;=Finance_Data!M500,"Valid","Invalid")</f>
        <v>Valid</v>
      </c>
      <c r="J504" s="3" t="str">
        <f>IF(AND(Finance_Data!I500&gt;=0,Finance_Data!K500&gt;=0),"Valid","Invalid")</f>
        <v>Valid</v>
      </c>
      <c r="K504" s="3" t="str">
        <f>IF(Finance_Data!N500&gt;=0,"Valid","Invalid")</f>
        <v>Valid</v>
      </c>
      <c r="L504" s="3" t="str">
        <f>IF(TEXT(Finance_Data!G500,"mmmm")=Finance_Data!P500,"Valid","Invalid")</f>
        <v>Valid</v>
      </c>
      <c r="M504" s="3" t="str">
        <f>IF("Q"&amp;ROUNDUP(MONTH(Finance_Data!G500)/3,0)=Finance_Data!Q500,"Valid","Invalid")</f>
        <v>Valid</v>
      </c>
      <c r="N504" s="7" t="str">
        <f t="shared" si="7"/>
        <v>Pass</v>
      </c>
    </row>
    <row r="505" spans="1:14" x14ac:dyDescent="0.35">
      <c r="A505" s="17" t="s">
        <v>67</v>
      </c>
      <c r="B505" s="3" t="str">
        <f>IF(ISBLANK(Table3[[#This Row],[Campaign_ID]]),"Invalid","Valid")</f>
        <v>Valid</v>
      </c>
      <c r="C505" s="3" t="str">
        <f>IF(COUNTA(Finance_Data!A501:R501)=18,"Valid","Missing")</f>
        <v>Valid</v>
      </c>
      <c r="D505" s="3" t="str">
        <f>IF(COUNTIF(Finance_Data!$T$2:$T$1001,Finance_Data!T501)&gt;1,"Duplicate","Valid")</f>
        <v>Valid</v>
      </c>
      <c r="E505" s="3" t="str">
        <f>IF(Finance_Data!H501&gt;Finance_Data!G501,"Valid","Invalid")</f>
        <v>Valid</v>
      </c>
      <c r="F505" s="3" t="str" cm="1">
        <f t="array" ref="F505">_xlfn.IFS(Finance_Data!S501&lt;7,"Short",Finance_Data!S501&lt;=30,"Normal",Finance_Data!S501&lt;=60,"Long",Finance_Data!S501&gt;60,"Very Long")</f>
        <v>Long</v>
      </c>
      <c r="G505" s="3" t="str">
        <f>IF(ABS(Finance_Data!I501*Finance_Data!J501)-Finance_Data!K501&lt;1,"Valid","Invalid")</f>
        <v>Valid</v>
      </c>
      <c r="H505" s="3" t="str">
        <f>IF(Finance_Data!L501&gt;0,"Valid","Invalid")</f>
        <v>Valid</v>
      </c>
      <c r="I505" s="3" t="str">
        <f>IF(Finance_Data!L501&gt;=Finance_Data!M501,"Valid","Invalid")</f>
        <v>Valid</v>
      </c>
      <c r="J505" s="3" t="str">
        <f>IF(AND(Finance_Data!I501&gt;=0,Finance_Data!K501&gt;=0),"Valid","Invalid")</f>
        <v>Valid</v>
      </c>
      <c r="K505" s="3" t="str">
        <f>IF(Finance_Data!N501&gt;=0,"Valid","Invalid")</f>
        <v>Valid</v>
      </c>
      <c r="L505" s="3" t="str">
        <f>IF(TEXT(Finance_Data!G501,"mmmm")=Finance_Data!P501,"Valid","Invalid")</f>
        <v>Valid</v>
      </c>
      <c r="M505" s="3" t="str">
        <f>IF("Q"&amp;ROUNDUP(MONTH(Finance_Data!G501)/3,0)=Finance_Data!Q501,"Valid","Invalid")</f>
        <v>Valid</v>
      </c>
      <c r="N505" s="7" t="str">
        <f t="shared" si="7"/>
        <v>Pass</v>
      </c>
    </row>
    <row r="506" spans="1:14" x14ac:dyDescent="0.35">
      <c r="A506" s="17" t="s">
        <v>81</v>
      </c>
      <c r="B506" s="3" t="str">
        <f>IF(ISBLANK(Table3[[#This Row],[Campaign_ID]]),"Invalid","Valid")</f>
        <v>Valid</v>
      </c>
      <c r="C506" s="3" t="str">
        <f>IF(COUNTA(Finance_Data!A502:R502)=18,"Valid","Missing")</f>
        <v>Valid</v>
      </c>
      <c r="D506" s="3" t="str">
        <f>IF(COUNTIF(Finance_Data!$T$2:$T$1001,Finance_Data!T502)&gt;1,"Duplicate","Valid")</f>
        <v>Valid</v>
      </c>
      <c r="E506" s="3" t="str">
        <f>IF(Finance_Data!H502&gt;Finance_Data!G502,"Valid","Invalid")</f>
        <v>Valid</v>
      </c>
      <c r="F506" s="3" t="str" cm="1">
        <f t="array" ref="F506">_xlfn.IFS(Finance_Data!S502&lt;7,"Short",Finance_Data!S502&lt;=30,"Normal",Finance_Data!S502&lt;=60,"Long",Finance_Data!S502&gt;60,"Very Long")</f>
        <v>Normal</v>
      </c>
      <c r="G506" s="3" t="str">
        <f>IF(ABS(Finance_Data!I502*Finance_Data!J502)-Finance_Data!K502&lt;1,"Valid","Invalid")</f>
        <v>Valid</v>
      </c>
      <c r="H506" s="3" t="str">
        <f>IF(Finance_Data!L502&gt;0,"Valid","Invalid")</f>
        <v>Valid</v>
      </c>
      <c r="I506" s="3" t="str">
        <f>IF(Finance_Data!L502&gt;=Finance_Data!M502,"Valid","Invalid")</f>
        <v>Valid</v>
      </c>
      <c r="J506" s="3" t="str">
        <f>IF(AND(Finance_Data!I502&gt;=0,Finance_Data!K502&gt;=0),"Valid","Invalid")</f>
        <v>Valid</v>
      </c>
      <c r="K506" s="3" t="str">
        <f>IF(Finance_Data!N502&gt;=0,"Valid","Invalid")</f>
        <v>Valid</v>
      </c>
      <c r="L506" s="3" t="str">
        <f>IF(TEXT(Finance_Data!G502,"mmmm")=Finance_Data!P502,"Valid","Invalid")</f>
        <v>Valid</v>
      </c>
      <c r="M506" s="3" t="str">
        <f>IF("Q"&amp;ROUNDUP(MONTH(Finance_Data!G502)/3,0)=Finance_Data!Q502,"Valid","Invalid")</f>
        <v>Valid</v>
      </c>
      <c r="N506" s="7" t="str">
        <f t="shared" si="7"/>
        <v>Pass</v>
      </c>
    </row>
    <row r="507" spans="1:14" x14ac:dyDescent="0.35">
      <c r="A507" s="17" t="s">
        <v>106</v>
      </c>
      <c r="B507" s="3" t="str">
        <f>IF(ISBLANK(Table3[[#This Row],[Campaign_ID]]),"Invalid","Valid")</f>
        <v>Valid</v>
      </c>
      <c r="C507" s="3" t="str">
        <f>IF(COUNTA(Finance_Data!A503:R503)=18,"Valid","Missing")</f>
        <v>Valid</v>
      </c>
      <c r="D507" s="3" t="str">
        <f>IF(COUNTIF(Finance_Data!$T$2:$T$1001,Finance_Data!T503)&gt;1,"Duplicate","Valid")</f>
        <v>Valid</v>
      </c>
      <c r="E507" s="3" t="str">
        <f>IF(Finance_Data!H503&gt;Finance_Data!G503,"Valid","Invalid")</f>
        <v>Valid</v>
      </c>
      <c r="F507" s="3" t="str" cm="1">
        <f t="array" ref="F507">_xlfn.IFS(Finance_Data!S503&lt;7,"Short",Finance_Data!S503&lt;=30,"Normal",Finance_Data!S503&lt;=60,"Long",Finance_Data!S503&gt;60,"Very Long")</f>
        <v>Long</v>
      </c>
      <c r="G507" s="3" t="str">
        <f>IF(ABS(Finance_Data!I503*Finance_Data!J503)-Finance_Data!K503&lt;1,"Valid","Invalid")</f>
        <v>Valid</v>
      </c>
      <c r="H507" s="3" t="str">
        <f>IF(Finance_Data!L503&gt;0,"Valid","Invalid")</f>
        <v>Valid</v>
      </c>
      <c r="I507" s="3" t="str">
        <f>IF(Finance_Data!L503&gt;=Finance_Data!M503,"Valid","Invalid")</f>
        <v>Valid</v>
      </c>
      <c r="J507" s="3" t="str">
        <f>IF(AND(Finance_Data!I503&gt;=0,Finance_Data!K503&gt;=0),"Valid","Invalid")</f>
        <v>Valid</v>
      </c>
      <c r="K507" s="3" t="str">
        <f>IF(Finance_Data!N503&gt;=0,"Valid","Invalid")</f>
        <v>Valid</v>
      </c>
      <c r="L507" s="3" t="str">
        <f>IF(TEXT(Finance_Data!G503,"mmmm")=Finance_Data!P503,"Valid","Invalid")</f>
        <v>Valid</v>
      </c>
      <c r="M507" s="3" t="str">
        <f>IF("Q"&amp;ROUNDUP(MONTH(Finance_Data!G503)/3,0)=Finance_Data!Q503,"Valid","Invalid")</f>
        <v>Valid</v>
      </c>
      <c r="N507" s="7" t="str">
        <f t="shared" si="7"/>
        <v>Pass</v>
      </c>
    </row>
    <row r="508" spans="1:14" x14ac:dyDescent="0.35">
      <c r="A508" s="17" t="s">
        <v>97</v>
      </c>
      <c r="B508" s="3" t="str">
        <f>IF(ISBLANK(Table3[[#This Row],[Campaign_ID]]),"Invalid","Valid")</f>
        <v>Valid</v>
      </c>
      <c r="C508" s="3" t="str">
        <f>IF(COUNTA(Finance_Data!A504:R504)=18,"Valid","Missing")</f>
        <v>Valid</v>
      </c>
      <c r="D508" s="3" t="str">
        <f>IF(COUNTIF(Finance_Data!$T$2:$T$1001,Finance_Data!T504)&gt;1,"Duplicate","Valid")</f>
        <v>Valid</v>
      </c>
      <c r="E508" s="3" t="str">
        <f>IF(Finance_Data!H504&gt;Finance_Data!G504,"Valid","Invalid")</f>
        <v>Valid</v>
      </c>
      <c r="F508" s="3" t="str" cm="1">
        <f t="array" ref="F508">_xlfn.IFS(Finance_Data!S504&lt;7,"Short",Finance_Data!S504&lt;=30,"Normal",Finance_Data!S504&lt;=60,"Long",Finance_Data!S504&gt;60,"Very Long")</f>
        <v>Long</v>
      </c>
      <c r="G508" s="3" t="str">
        <f>IF(ABS(Finance_Data!I504*Finance_Data!J504)-Finance_Data!K504&lt;1,"Valid","Invalid")</f>
        <v>Valid</v>
      </c>
      <c r="H508" s="3" t="str">
        <f>IF(Finance_Data!L504&gt;0,"Valid","Invalid")</f>
        <v>Valid</v>
      </c>
      <c r="I508" s="3" t="str">
        <f>IF(Finance_Data!L504&gt;=Finance_Data!M504,"Valid","Invalid")</f>
        <v>Valid</v>
      </c>
      <c r="J508" s="3" t="str">
        <f>IF(AND(Finance_Data!I504&gt;=0,Finance_Data!K504&gt;=0),"Valid","Invalid")</f>
        <v>Valid</v>
      </c>
      <c r="K508" s="3" t="str">
        <f>IF(Finance_Data!N504&gt;=0,"Valid","Invalid")</f>
        <v>Valid</v>
      </c>
      <c r="L508" s="3" t="str">
        <f>IF(TEXT(Finance_Data!G504,"mmmm")=Finance_Data!P504,"Valid","Invalid")</f>
        <v>Valid</v>
      </c>
      <c r="M508" s="3" t="str">
        <f>IF("Q"&amp;ROUNDUP(MONTH(Finance_Data!G504)/3,0)=Finance_Data!Q504,"Valid","Invalid")</f>
        <v>Valid</v>
      </c>
      <c r="N508" s="7" t="str">
        <f t="shared" si="7"/>
        <v>Pass</v>
      </c>
    </row>
    <row r="509" spans="1:14" x14ac:dyDescent="0.35">
      <c r="A509" s="17" t="s">
        <v>47</v>
      </c>
      <c r="B509" s="3" t="str">
        <f>IF(ISBLANK(Table3[[#This Row],[Campaign_ID]]),"Invalid","Valid")</f>
        <v>Valid</v>
      </c>
      <c r="C509" s="3" t="str">
        <f>IF(COUNTA(Finance_Data!A505:R505)=18,"Valid","Missing")</f>
        <v>Valid</v>
      </c>
      <c r="D509" s="3" t="str">
        <f>IF(COUNTIF(Finance_Data!$T$2:$T$1001,Finance_Data!T505)&gt;1,"Duplicate","Valid")</f>
        <v>Valid</v>
      </c>
      <c r="E509" s="3" t="str">
        <f>IF(Finance_Data!H505&gt;Finance_Data!G505,"Valid","Invalid")</f>
        <v>Valid</v>
      </c>
      <c r="F509" s="3" t="str" cm="1">
        <f t="array" ref="F509">_xlfn.IFS(Finance_Data!S505&lt;7,"Short",Finance_Data!S505&lt;=30,"Normal",Finance_Data!S505&lt;=60,"Long",Finance_Data!S505&gt;60,"Very Long")</f>
        <v>Normal</v>
      </c>
      <c r="G509" s="3" t="str">
        <f>IF(ABS(Finance_Data!I505*Finance_Data!J505)-Finance_Data!K505&lt;1,"Valid","Invalid")</f>
        <v>Valid</v>
      </c>
      <c r="H509" s="3" t="str">
        <f>IF(Finance_Data!L505&gt;0,"Valid","Invalid")</f>
        <v>Valid</v>
      </c>
      <c r="I509" s="3" t="str">
        <f>IF(Finance_Data!L505&gt;=Finance_Data!M505,"Valid","Invalid")</f>
        <v>Valid</v>
      </c>
      <c r="J509" s="3" t="str">
        <f>IF(AND(Finance_Data!I505&gt;=0,Finance_Data!K505&gt;=0),"Valid","Invalid")</f>
        <v>Valid</v>
      </c>
      <c r="K509" s="3" t="str">
        <f>IF(Finance_Data!N505&gt;=0,"Valid","Invalid")</f>
        <v>Valid</v>
      </c>
      <c r="L509" s="3" t="str">
        <f>IF(TEXT(Finance_Data!G505,"mmmm")=Finance_Data!P505,"Valid","Invalid")</f>
        <v>Valid</v>
      </c>
      <c r="M509" s="3" t="str">
        <f>IF("Q"&amp;ROUNDUP(MONTH(Finance_Data!G505)/3,0)=Finance_Data!Q505,"Valid","Invalid")</f>
        <v>Valid</v>
      </c>
      <c r="N509" s="7" t="str">
        <f t="shared" si="7"/>
        <v>Pass</v>
      </c>
    </row>
    <row r="510" spans="1:14" x14ac:dyDescent="0.35">
      <c r="A510" s="17" t="s">
        <v>34</v>
      </c>
      <c r="B510" s="3" t="str">
        <f>IF(ISBLANK(Table3[[#This Row],[Campaign_ID]]),"Invalid","Valid")</f>
        <v>Valid</v>
      </c>
      <c r="C510" s="3" t="str">
        <f>IF(COUNTA(Finance_Data!A506:R506)=18,"Valid","Missing")</f>
        <v>Valid</v>
      </c>
      <c r="D510" s="3" t="str">
        <f>IF(COUNTIF(Finance_Data!$T$2:$T$1001,Finance_Data!T506)&gt;1,"Duplicate","Valid")</f>
        <v>Valid</v>
      </c>
      <c r="E510" s="3" t="str">
        <f>IF(Finance_Data!H506&gt;Finance_Data!G506,"Valid","Invalid")</f>
        <v>Valid</v>
      </c>
      <c r="F510" s="3" t="str" cm="1">
        <f t="array" ref="F510">_xlfn.IFS(Finance_Data!S506&lt;7,"Short",Finance_Data!S506&lt;=30,"Normal",Finance_Data!S506&lt;=60,"Long",Finance_Data!S506&gt;60,"Very Long")</f>
        <v>Normal</v>
      </c>
      <c r="G510" s="3" t="str">
        <f>IF(ABS(Finance_Data!I506*Finance_Data!J506)-Finance_Data!K506&lt;1,"Valid","Invalid")</f>
        <v>Valid</v>
      </c>
      <c r="H510" s="3" t="str">
        <f>IF(Finance_Data!L506&gt;0,"Valid","Invalid")</f>
        <v>Valid</v>
      </c>
      <c r="I510" s="3" t="str">
        <f>IF(Finance_Data!L506&gt;=Finance_Data!M506,"Valid","Invalid")</f>
        <v>Valid</v>
      </c>
      <c r="J510" s="3" t="str">
        <f>IF(AND(Finance_Data!I506&gt;=0,Finance_Data!K506&gt;=0),"Valid","Invalid")</f>
        <v>Valid</v>
      </c>
      <c r="K510" s="3" t="str">
        <f>IF(Finance_Data!N506&gt;=0,"Valid","Invalid")</f>
        <v>Valid</v>
      </c>
      <c r="L510" s="3" t="str">
        <f>IF(TEXT(Finance_Data!G506,"mmmm")=Finance_Data!P506,"Valid","Invalid")</f>
        <v>Valid</v>
      </c>
      <c r="M510" s="3" t="str">
        <f>IF("Q"&amp;ROUNDUP(MONTH(Finance_Data!G506)/3,0)=Finance_Data!Q506,"Valid","Invalid")</f>
        <v>Valid</v>
      </c>
      <c r="N510" s="7" t="str">
        <f t="shared" si="7"/>
        <v>Pass</v>
      </c>
    </row>
    <row r="511" spans="1:14" x14ac:dyDescent="0.35">
      <c r="A511" s="17" t="s">
        <v>66</v>
      </c>
      <c r="B511" s="3" t="str">
        <f>IF(ISBLANK(Table3[[#This Row],[Campaign_ID]]),"Invalid","Valid")</f>
        <v>Valid</v>
      </c>
      <c r="C511" s="3" t="str">
        <f>IF(COUNTA(Finance_Data!A507:R507)=18,"Valid","Missing")</f>
        <v>Valid</v>
      </c>
      <c r="D511" s="3" t="str">
        <f>IF(COUNTIF(Finance_Data!$T$2:$T$1001,Finance_Data!T507)&gt;1,"Duplicate","Valid")</f>
        <v>Valid</v>
      </c>
      <c r="E511" s="3" t="str">
        <f>IF(Finance_Data!H507&gt;Finance_Data!G507,"Valid","Invalid")</f>
        <v>Valid</v>
      </c>
      <c r="F511" s="3" t="str" cm="1">
        <f t="array" ref="F511">_xlfn.IFS(Finance_Data!S507&lt;7,"Short",Finance_Data!S507&lt;=30,"Normal",Finance_Data!S507&lt;=60,"Long",Finance_Data!S507&gt;60,"Very Long")</f>
        <v>Long</v>
      </c>
      <c r="G511" s="3" t="str">
        <f>IF(ABS(Finance_Data!I507*Finance_Data!J507)-Finance_Data!K507&lt;1,"Valid","Invalid")</f>
        <v>Valid</v>
      </c>
      <c r="H511" s="3" t="str">
        <f>IF(Finance_Data!L507&gt;0,"Valid","Invalid")</f>
        <v>Valid</v>
      </c>
      <c r="I511" s="3" t="str">
        <f>IF(Finance_Data!L507&gt;=Finance_Data!M507,"Valid","Invalid")</f>
        <v>Valid</v>
      </c>
      <c r="J511" s="3" t="str">
        <f>IF(AND(Finance_Data!I507&gt;=0,Finance_Data!K507&gt;=0),"Valid","Invalid")</f>
        <v>Valid</v>
      </c>
      <c r="K511" s="3" t="str">
        <f>IF(Finance_Data!N507&gt;=0,"Valid","Invalid")</f>
        <v>Valid</v>
      </c>
      <c r="L511" s="3" t="str">
        <f>IF(TEXT(Finance_Data!G507,"mmmm")=Finance_Data!P507,"Valid","Invalid")</f>
        <v>Valid</v>
      </c>
      <c r="M511" s="3" t="str">
        <f>IF("Q"&amp;ROUNDUP(MONTH(Finance_Data!G507)/3,0)=Finance_Data!Q507,"Valid","Invalid")</f>
        <v>Valid</v>
      </c>
      <c r="N511" s="7" t="str">
        <f t="shared" si="7"/>
        <v>Pass</v>
      </c>
    </row>
    <row r="512" spans="1:14" x14ac:dyDescent="0.35">
      <c r="A512" s="17" t="s">
        <v>82</v>
      </c>
      <c r="B512" s="3" t="str">
        <f>IF(ISBLANK(Table3[[#This Row],[Campaign_ID]]),"Invalid","Valid")</f>
        <v>Valid</v>
      </c>
      <c r="C512" s="3" t="str">
        <f>IF(COUNTA(Finance_Data!A508:R508)=18,"Valid","Missing")</f>
        <v>Valid</v>
      </c>
      <c r="D512" s="3" t="str">
        <f>IF(COUNTIF(Finance_Data!$T$2:$T$1001,Finance_Data!T508)&gt;1,"Duplicate","Valid")</f>
        <v>Valid</v>
      </c>
      <c r="E512" s="3" t="str">
        <f>IF(Finance_Data!H508&gt;Finance_Data!G508,"Valid","Invalid")</f>
        <v>Valid</v>
      </c>
      <c r="F512" s="3" t="str" cm="1">
        <f t="array" ref="F512">_xlfn.IFS(Finance_Data!S508&lt;7,"Short",Finance_Data!S508&lt;=30,"Normal",Finance_Data!S508&lt;=60,"Long",Finance_Data!S508&gt;60,"Very Long")</f>
        <v>Normal</v>
      </c>
      <c r="G512" s="3" t="str">
        <f>IF(ABS(Finance_Data!I508*Finance_Data!J508)-Finance_Data!K508&lt;1,"Valid","Invalid")</f>
        <v>Valid</v>
      </c>
      <c r="H512" s="3" t="str">
        <f>IF(Finance_Data!L508&gt;0,"Valid","Invalid")</f>
        <v>Valid</v>
      </c>
      <c r="I512" s="3" t="str">
        <f>IF(Finance_Data!L508&gt;=Finance_Data!M508,"Valid","Invalid")</f>
        <v>Valid</v>
      </c>
      <c r="J512" s="3" t="str">
        <f>IF(AND(Finance_Data!I508&gt;=0,Finance_Data!K508&gt;=0),"Valid","Invalid")</f>
        <v>Valid</v>
      </c>
      <c r="K512" s="3" t="str">
        <f>IF(Finance_Data!N508&gt;=0,"Valid","Invalid")</f>
        <v>Valid</v>
      </c>
      <c r="L512" s="3" t="str">
        <f>IF(TEXT(Finance_Data!G508,"mmmm")=Finance_Data!P508,"Valid","Invalid")</f>
        <v>Valid</v>
      </c>
      <c r="M512" s="3" t="str">
        <f>IF("Q"&amp;ROUNDUP(MONTH(Finance_Data!G508)/3,0)=Finance_Data!Q508,"Valid","Invalid")</f>
        <v>Valid</v>
      </c>
      <c r="N512" s="7" t="str">
        <f t="shared" si="7"/>
        <v>Pass</v>
      </c>
    </row>
    <row r="513" spans="1:14" x14ac:dyDescent="0.35">
      <c r="A513" s="17" t="s">
        <v>67</v>
      </c>
      <c r="B513" s="3" t="str">
        <f>IF(ISBLANK(Table3[[#This Row],[Campaign_ID]]),"Invalid","Valid")</f>
        <v>Valid</v>
      </c>
      <c r="C513" s="3" t="str">
        <f>IF(COUNTA(Finance_Data!A509:R509)=18,"Valid","Missing")</f>
        <v>Valid</v>
      </c>
      <c r="D513" s="3" t="str">
        <f>IF(COUNTIF(Finance_Data!$T$2:$T$1001,Finance_Data!T509)&gt;1,"Duplicate","Valid")</f>
        <v>Valid</v>
      </c>
      <c r="E513" s="3" t="str">
        <f>IF(Finance_Data!H509&gt;Finance_Data!G509,"Valid","Invalid")</f>
        <v>Valid</v>
      </c>
      <c r="F513" s="3" t="str" cm="1">
        <f t="array" ref="F513">_xlfn.IFS(Finance_Data!S509&lt;7,"Short",Finance_Data!S509&lt;=30,"Normal",Finance_Data!S509&lt;=60,"Long",Finance_Data!S509&gt;60,"Very Long")</f>
        <v>Long</v>
      </c>
      <c r="G513" s="3" t="str">
        <f>IF(ABS(Finance_Data!I509*Finance_Data!J509)-Finance_Data!K509&lt;1,"Valid","Invalid")</f>
        <v>Valid</v>
      </c>
      <c r="H513" s="3" t="str">
        <f>IF(Finance_Data!L509&gt;0,"Valid","Invalid")</f>
        <v>Valid</v>
      </c>
      <c r="I513" s="3" t="str">
        <f>IF(Finance_Data!L509&gt;=Finance_Data!M509,"Valid","Invalid")</f>
        <v>Valid</v>
      </c>
      <c r="J513" s="3" t="str">
        <f>IF(AND(Finance_Data!I509&gt;=0,Finance_Data!K509&gt;=0),"Valid","Invalid")</f>
        <v>Valid</v>
      </c>
      <c r="K513" s="3" t="str">
        <f>IF(Finance_Data!N509&gt;=0,"Valid","Invalid")</f>
        <v>Valid</v>
      </c>
      <c r="L513" s="3" t="str">
        <f>IF(TEXT(Finance_Data!G509,"mmmm")=Finance_Data!P509,"Valid","Invalid")</f>
        <v>Valid</v>
      </c>
      <c r="M513" s="3" t="str">
        <f>IF("Q"&amp;ROUNDUP(MONTH(Finance_Data!G509)/3,0)=Finance_Data!Q509,"Valid","Invalid")</f>
        <v>Valid</v>
      </c>
      <c r="N513" s="7" t="str">
        <f t="shared" si="7"/>
        <v>Pass</v>
      </c>
    </row>
    <row r="514" spans="1:14" x14ac:dyDescent="0.35">
      <c r="A514" s="17" t="s">
        <v>112</v>
      </c>
      <c r="B514" s="3" t="str">
        <f>IF(ISBLANK(Table3[[#This Row],[Campaign_ID]]),"Invalid","Valid")</f>
        <v>Valid</v>
      </c>
      <c r="C514" s="3" t="str">
        <f>IF(COUNTA(Finance_Data!A510:R510)=18,"Valid","Missing")</f>
        <v>Valid</v>
      </c>
      <c r="D514" s="3" t="str">
        <f>IF(COUNTIF(Finance_Data!$T$2:$T$1001,Finance_Data!T510)&gt;1,"Duplicate","Valid")</f>
        <v>Valid</v>
      </c>
      <c r="E514" s="3" t="str">
        <f>IF(Finance_Data!H510&gt;Finance_Data!G510,"Valid","Invalid")</f>
        <v>Valid</v>
      </c>
      <c r="F514" s="3" t="str" cm="1">
        <f t="array" ref="F514">_xlfn.IFS(Finance_Data!S510&lt;7,"Short",Finance_Data!S510&lt;=30,"Normal",Finance_Data!S510&lt;=60,"Long",Finance_Data!S510&gt;60,"Very Long")</f>
        <v>Long</v>
      </c>
      <c r="G514" s="3" t="str">
        <f>IF(ABS(Finance_Data!I510*Finance_Data!J510)-Finance_Data!K510&lt;1,"Valid","Invalid")</f>
        <v>Valid</v>
      </c>
      <c r="H514" s="3" t="str">
        <f>IF(Finance_Data!L510&gt;0,"Valid","Invalid")</f>
        <v>Valid</v>
      </c>
      <c r="I514" s="3" t="str">
        <f>IF(Finance_Data!L510&gt;=Finance_Data!M510,"Valid","Invalid")</f>
        <v>Valid</v>
      </c>
      <c r="J514" s="3" t="str">
        <f>IF(AND(Finance_Data!I510&gt;=0,Finance_Data!K510&gt;=0),"Valid","Invalid")</f>
        <v>Valid</v>
      </c>
      <c r="K514" s="3" t="str">
        <f>IF(Finance_Data!N510&gt;=0,"Valid","Invalid")</f>
        <v>Valid</v>
      </c>
      <c r="L514" s="3" t="str">
        <f>IF(TEXT(Finance_Data!G510,"mmmm")=Finance_Data!P510,"Valid","Invalid")</f>
        <v>Valid</v>
      </c>
      <c r="M514" s="3" t="str">
        <f>IF("Q"&amp;ROUNDUP(MONTH(Finance_Data!G510)/3,0)=Finance_Data!Q510,"Valid","Invalid")</f>
        <v>Valid</v>
      </c>
      <c r="N514" s="7" t="str">
        <f t="shared" si="7"/>
        <v>Pass</v>
      </c>
    </row>
    <row r="515" spans="1:14" x14ac:dyDescent="0.35">
      <c r="A515" s="17" t="s">
        <v>64</v>
      </c>
      <c r="B515" s="3" t="str">
        <f>IF(ISBLANK(Table3[[#This Row],[Campaign_ID]]),"Invalid","Valid")</f>
        <v>Valid</v>
      </c>
      <c r="C515" s="3" t="str">
        <f>IF(COUNTA(Finance_Data!A511:R511)=18,"Valid","Missing")</f>
        <v>Valid</v>
      </c>
      <c r="D515" s="3" t="str">
        <f>IF(COUNTIF(Finance_Data!$T$2:$T$1001,Finance_Data!T511)&gt;1,"Duplicate","Valid")</f>
        <v>Valid</v>
      </c>
      <c r="E515" s="3" t="str">
        <f>IF(Finance_Data!H511&gt;Finance_Data!G511,"Valid","Invalid")</f>
        <v>Valid</v>
      </c>
      <c r="F515" s="3" t="str" cm="1">
        <f t="array" ref="F515">_xlfn.IFS(Finance_Data!S511&lt;7,"Short",Finance_Data!S511&lt;=30,"Normal",Finance_Data!S511&lt;=60,"Long",Finance_Data!S511&gt;60,"Very Long")</f>
        <v>Normal</v>
      </c>
      <c r="G515" s="3" t="str">
        <f>IF(ABS(Finance_Data!I511*Finance_Data!J511)-Finance_Data!K511&lt;1,"Valid","Invalid")</f>
        <v>Valid</v>
      </c>
      <c r="H515" s="3" t="str">
        <f>IF(Finance_Data!L511&gt;0,"Valid","Invalid")</f>
        <v>Valid</v>
      </c>
      <c r="I515" s="3" t="str">
        <f>IF(Finance_Data!L511&gt;=Finance_Data!M511,"Valid","Invalid")</f>
        <v>Valid</v>
      </c>
      <c r="J515" s="3" t="str">
        <f>IF(AND(Finance_Data!I511&gt;=0,Finance_Data!K511&gt;=0),"Valid","Invalid")</f>
        <v>Valid</v>
      </c>
      <c r="K515" s="3" t="str">
        <f>IF(Finance_Data!N511&gt;=0,"Valid","Invalid")</f>
        <v>Valid</v>
      </c>
      <c r="L515" s="3" t="str">
        <f>IF(TEXT(Finance_Data!G511,"mmmm")=Finance_Data!P511,"Valid","Invalid")</f>
        <v>Valid</v>
      </c>
      <c r="M515" s="3" t="str">
        <f>IF("Q"&amp;ROUNDUP(MONTH(Finance_Data!G511)/3,0)=Finance_Data!Q511,"Valid","Invalid")</f>
        <v>Valid</v>
      </c>
      <c r="N515" s="7" t="str">
        <f t="shared" si="7"/>
        <v>Pass</v>
      </c>
    </row>
    <row r="516" spans="1:14" x14ac:dyDescent="0.35">
      <c r="A516" s="17" t="s">
        <v>66</v>
      </c>
      <c r="B516" s="3" t="str">
        <f>IF(ISBLANK(Table3[[#This Row],[Campaign_ID]]),"Invalid","Valid")</f>
        <v>Valid</v>
      </c>
      <c r="C516" s="3" t="str">
        <f>IF(COUNTA(Finance_Data!A512:R512)=18,"Valid","Missing")</f>
        <v>Valid</v>
      </c>
      <c r="D516" s="3" t="str">
        <f>IF(COUNTIF(Finance_Data!$T$2:$T$1001,Finance_Data!T512)&gt;1,"Duplicate","Valid")</f>
        <v>Valid</v>
      </c>
      <c r="E516" s="3" t="str">
        <f>IF(Finance_Data!H512&gt;Finance_Data!G512,"Valid","Invalid")</f>
        <v>Valid</v>
      </c>
      <c r="F516" s="3" t="str" cm="1">
        <f t="array" ref="F516">_xlfn.IFS(Finance_Data!S512&lt;7,"Short",Finance_Data!S512&lt;=30,"Normal",Finance_Data!S512&lt;=60,"Long",Finance_Data!S512&gt;60,"Very Long")</f>
        <v>Long</v>
      </c>
      <c r="G516" s="3" t="str">
        <f>IF(ABS(Finance_Data!I512*Finance_Data!J512)-Finance_Data!K512&lt;1,"Valid","Invalid")</f>
        <v>Valid</v>
      </c>
      <c r="H516" s="3" t="str">
        <f>IF(Finance_Data!L512&gt;0,"Valid","Invalid")</f>
        <v>Valid</v>
      </c>
      <c r="I516" s="3" t="str">
        <f>IF(Finance_Data!L512&gt;=Finance_Data!M512,"Valid","Invalid")</f>
        <v>Valid</v>
      </c>
      <c r="J516" s="3" t="str">
        <f>IF(AND(Finance_Data!I512&gt;=0,Finance_Data!K512&gt;=0),"Valid","Invalid")</f>
        <v>Valid</v>
      </c>
      <c r="K516" s="3" t="str">
        <f>IF(Finance_Data!N512&gt;=0,"Valid","Invalid")</f>
        <v>Valid</v>
      </c>
      <c r="L516" s="3" t="str">
        <f>IF(TEXT(Finance_Data!G512,"mmmm")=Finance_Data!P512,"Valid","Invalid")</f>
        <v>Valid</v>
      </c>
      <c r="M516" s="3" t="str">
        <f>IF("Q"&amp;ROUNDUP(MONTH(Finance_Data!G512)/3,0)=Finance_Data!Q512,"Valid","Invalid")</f>
        <v>Valid</v>
      </c>
      <c r="N516" s="7" t="str">
        <f t="shared" si="7"/>
        <v>Pass</v>
      </c>
    </row>
    <row r="517" spans="1:14" x14ac:dyDescent="0.35">
      <c r="A517" s="17" t="s">
        <v>114</v>
      </c>
      <c r="B517" s="3" t="str">
        <f>IF(ISBLANK(Table3[[#This Row],[Campaign_ID]]),"Invalid","Valid")</f>
        <v>Valid</v>
      </c>
      <c r="C517" s="3" t="str">
        <f>IF(COUNTA(Finance_Data!A513:R513)=18,"Valid","Missing")</f>
        <v>Valid</v>
      </c>
      <c r="D517" s="3" t="str">
        <f>IF(COUNTIF(Finance_Data!$T$2:$T$1001,Finance_Data!T513)&gt;1,"Duplicate","Valid")</f>
        <v>Valid</v>
      </c>
      <c r="E517" s="3" t="str">
        <f>IF(Finance_Data!H513&gt;Finance_Data!G513,"Valid","Invalid")</f>
        <v>Valid</v>
      </c>
      <c r="F517" s="3" t="str" cm="1">
        <f t="array" ref="F517">_xlfn.IFS(Finance_Data!S513&lt;7,"Short",Finance_Data!S513&lt;=30,"Normal",Finance_Data!S513&lt;=60,"Long",Finance_Data!S513&gt;60,"Very Long")</f>
        <v>Long</v>
      </c>
      <c r="G517" s="3" t="str">
        <f>IF(ABS(Finance_Data!I513*Finance_Data!J513)-Finance_Data!K513&lt;1,"Valid","Invalid")</f>
        <v>Valid</v>
      </c>
      <c r="H517" s="3" t="str">
        <f>IF(Finance_Data!L513&gt;0,"Valid","Invalid")</f>
        <v>Valid</v>
      </c>
      <c r="I517" s="3" t="str">
        <f>IF(Finance_Data!L513&gt;=Finance_Data!M513,"Valid","Invalid")</f>
        <v>Valid</v>
      </c>
      <c r="J517" s="3" t="str">
        <f>IF(AND(Finance_Data!I513&gt;=0,Finance_Data!K513&gt;=0),"Valid","Invalid")</f>
        <v>Valid</v>
      </c>
      <c r="K517" s="3" t="str">
        <f>IF(Finance_Data!N513&gt;=0,"Valid","Invalid")</f>
        <v>Valid</v>
      </c>
      <c r="L517" s="3" t="str">
        <f>IF(TEXT(Finance_Data!G513,"mmmm")=Finance_Data!P513,"Valid","Invalid")</f>
        <v>Valid</v>
      </c>
      <c r="M517" s="3" t="str">
        <f>IF("Q"&amp;ROUNDUP(MONTH(Finance_Data!G513)/3,0)=Finance_Data!Q513,"Valid","Invalid")</f>
        <v>Valid</v>
      </c>
      <c r="N517" s="7" t="str">
        <f t="shared" si="7"/>
        <v>Pass</v>
      </c>
    </row>
    <row r="518" spans="1:14" x14ac:dyDescent="0.35">
      <c r="A518" s="17" t="s">
        <v>66</v>
      </c>
      <c r="B518" s="3" t="str">
        <f>IF(ISBLANK(Table3[[#This Row],[Campaign_ID]]),"Invalid","Valid")</f>
        <v>Valid</v>
      </c>
      <c r="C518" s="3" t="str">
        <f>IF(COUNTA(Finance_Data!A514:R514)=18,"Valid","Missing")</f>
        <v>Valid</v>
      </c>
      <c r="D518" s="3" t="str">
        <f>IF(COUNTIF(Finance_Data!$T$2:$T$1001,Finance_Data!T514)&gt;1,"Duplicate","Valid")</f>
        <v>Valid</v>
      </c>
      <c r="E518" s="3" t="str">
        <f>IF(Finance_Data!H514&gt;Finance_Data!G514,"Valid","Invalid")</f>
        <v>Valid</v>
      </c>
      <c r="F518" s="3" t="str" cm="1">
        <f t="array" ref="F518">_xlfn.IFS(Finance_Data!S514&lt;7,"Short",Finance_Data!S514&lt;=30,"Normal",Finance_Data!S514&lt;=60,"Long",Finance_Data!S514&gt;60,"Very Long")</f>
        <v>Long</v>
      </c>
      <c r="G518" s="3" t="str">
        <f>IF(ABS(Finance_Data!I514*Finance_Data!J514)-Finance_Data!K514&lt;1,"Valid","Invalid")</f>
        <v>Valid</v>
      </c>
      <c r="H518" s="3" t="str">
        <f>IF(Finance_Data!L514&gt;0,"Valid","Invalid")</f>
        <v>Valid</v>
      </c>
      <c r="I518" s="3" t="str">
        <f>IF(Finance_Data!L514&gt;=Finance_Data!M514,"Valid","Invalid")</f>
        <v>Valid</v>
      </c>
      <c r="J518" s="3" t="str">
        <f>IF(AND(Finance_Data!I514&gt;=0,Finance_Data!K514&gt;=0),"Valid","Invalid")</f>
        <v>Valid</v>
      </c>
      <c r="K518" s="3" t="str">
        <f>IF(Finance_Data!N514&gt;=0,"Valid","Invalid")</f>
        <v>Valid</v>
      </c>
      <c r="L518" s="3" t="str">
        <f>IF(TEXT(Finance_Data!G514,"mmmm")=Finance_Data!P514,"Valid","Invalid")</f>
        <v>Valid</v>
      </c>
      <c r="M518" s="3" t="str">
        <f>IF("Q"&amp;ROUNDUP(MONTH(Finance_Data!G514)/3,0)=Finance_Data!Q514,"Valid","Invalid")</f>
        <v>Valid</v>
      </c>
      <c r="N518" s="7" t="str">
        <f t="shared" ref="N518:N581" si="8">IF(AND(B518="Valid",E518="Valid",G518="Valid",H518="Valid",I518="Valid",J518="Valid",K518="Valid",L518="Valid",M518="Valid"),"Pass","Fail")</f>
        <v>Pass</v>
      </c>
    </row>
    <row r="519" spans="1:14" x14ac:dyDescent="0.35">
      <c r="A519" s="17" t="s">
        <v>87</v>
      </c>
      <c r="B519" s="3" t="str">
        <f>IF(ISBLANK(Table3[[#This Row],[Campaign_ID]]),"Invalid","Valid")</f>
        <v>Valid</v>
      </c>
      <c r="C519" s="3" t="str">
        <f>IF(COUNTA(Finance_Data!A515:R515)=18,"Valid","Missing")</f>
        <v>Valid</v>
      </c>
      <c r="D519" s="3" t="str">
        <f>IF(COUNTIF(Finance_Data!$T$2:$T$1001,Finance_Data!T515)&gt;1,"Duplicate","Valid")</f>
        <v>Valid</v>
      </c>
      <c r="E519" s="3" t="str">
        <f>IF(Finance_Data!H515&gt;Finance_Data!G515,"Valid","Invalid")</f>
        <v>Valid</v>
      </c>
      <c r="F519" s="3" t="str" cm="1">
        <f t="array" ref="F519">_xlfn.IFS(Finance_Data!S515&lt;7,"Short",Finance_Data!S515&lt;=30,"Normal",Finance_Data!S515&lt;=60,"Long",Finance_Data!S515&gt;60,"Very Long")</f>
        <v>Normal</v>
      </c>
      <c r="G519" s="3" t="str">
        <f>IF(ABS(Finance_Data!I515*Finance_Data!J515)-Finance_Data!K515&lt;1,"Valid","Invalid")</f>
        <v>Valid</v>
      </c>
      <c r="H519" s="3" t="str">
        <f>IF(Finance_Data!L515&gt;0,"Valid","Invalid")</f>
        <v>Valid</v>
      </c>
      <c r="I519" s="3" t="str">
        <f>IF(Finance_Data!L515&gt;=Finance_Data!M515,"Valid","Invalid")</f>
        <v>Valid</v>
      </c>
      <c r="J519" s="3" t="str">
        <f>IF(AND(Finance_Data!I515&gt;=0,Finance_Data!K515&gt;=0),"Valid","Invalid")</f>
        <v>Valid</v>
      </c>
      <c r="K519" s="3" t="str">
        <f>IF(Finance_Data!N515&gt;=0,"Valid","Invalid")</f>
        <v>Valid</v>
      </c>
      <c r="L519" s="3" t="str">
        <f>IF(TEXT(Finance_Data!G515,"mmmm")=Finance_Data!P515,"Valid","Invalid")</f>
        <v>Valid</v>
      </c>
      <c r="M519" s="3" t="str">
        <f>IF("Q"&amp;ROUNDUP(MONTH(Finance_Data!G515)/3,0)=Finance_Data!Q515,"Valid","Invalid")</f>
        <v>Valid</v>
      </c>
      <c r="N519" s="7" t="str">
        <f t="shared" si="8"/>
        <v>Pass</v>
      </c>
    </row>
    <row r="520" spans="1:14" x14ac:dyDescent="0.35">
      <c r="A520" s="17" t="s">
        <v>27</v>
      </c>
      <c r="B520" s="3" t="str">
        <f>IF(ISBLANK(Table3[[#This Row],[Campaign_ID]]),"Invalid","Valid")</f>
        <v>Valid</v>
      </c>
      <c r="C520" s="3" t="str">
        <f>IF(COUNTA(Finance_Data!A516:R516)=18,"Valid","Missing")</f>
        <v>Valid</v>
      </c>
      <c r="D520" s="3" t="str">
        <f>IF(COUNTIF(Finance_Data!$T$2:$T$1001,Finance_Data!T516)&gt;1,"Duplicate","Valid")</f>
        <v>Valid</v>
      </c>
      <c r="E520" s="3" t="str">
        <f>IF(Finance_Data!H516&gt;Finance_Data!G516,"Valid","Invalid")</f>
        <v>Valid</v>
      </c>
      <c r="F520" s="3" t="str" cm="1">
        <f t="array" ref="F520">_xlfn.IFS(Finance_Data!S516&lt;7,"Short",Finance_Data!S516&lt;=30,"Normal",Finance_Data!S516&lt;=60,"Long",Finance_Data!S516&gt;60,"Very Long")</f>
        <v>Normal</v>
      </c>
      <c r="G520" s="3" t="str">
        <f>IF(ABS(Finance_Data!I516*Finance_Data!J516)-Finance_Data!K516&lt;1,"Valid","Invalid")</f>
        <v>Valid</v>
      </c>
      <c r="H520" s="3" t="str">
        <f>IF(Finance_Data!L516&gt;0,"Valid","Invalid")</f>
        <v>Valid</v>
      </c>
      <c r="I520" s="3" t="str">
        <f>IF(Finance_Data!L516&gt;=Finance_Data!M516,"Valid","Invalid")</f>
        <v>Valid</v>
      </c>
      <c r="J520" s="3" t="str">
        <f>IF(AND(Finance_Data!I516&gt;=0,Finance_Data!K516&gt;=0),"Valid","Invalid")</f>
        <v>Valid</v>
      </c>
      <c r="K520" s="3" t="str">
        <f>IF(Finance_Data!N516&gt;=0,"Valid","Invalid")</f>
        <v>Valid</v>
      </c>
      <c r="L520" s="3" t="str">
        <f>IF(TEXT(Finance_Data!G516,"mmmm")=Finance_Data!P516,"Valid","Invalid")</f>
        <v>Valid</v>
      </c>
      <c r="M520" s="3" t="str">
        <f>IF("Q"&amp;ROUNDUP(MONTH(Finance_Data!G516)/3,0)=Finance_Data!Q516,"Valid","Invalid")</f>
        <v>Valid</v>
      </c>
      <c r="N520" s="7" t="str">
        <f t="shared" si="8"/>
        <v>Pass</v>
      </c>
    </row>
    <row r="521" spans="1:14" x14ac:dyDescent="0.35">
      <c r="A521" s="17" t="s">
        <v>91</v>
      </c>
      <c r="B521" s="3" t="str">
        <f>IF(ISBLANK(Table3[[#This Row],[Campaign_ID]]),"Invalid","Valid")</f>
        <v>Valid</v>
      </c>
      <c r="C521" s="3" t="str">
        <f>IF(COUNTA(Finance_Data!A517:R517)=18,"Valid","Missing")</f>
        <v>Valid</v>
      </c>
      <c r="D521" s="3" t="str">
        <f>IF(COUNTIF(Finance_Data!$T$2:$T$1001,Finance_Data!T517)&gt;1,"Duplicate","Valid")</f>
        <v>Valid</v>
      </c>
      <c r="E521" s="3" t="str">
        <f>IF(Finance_Data!H517&gt;Finance_Data!G517,"Valid","Invalid")</f>
        <v>Valid</v>
      </c>
      <c r="F521" s="3" t="str" cm="1">
        <f t="array" ref="F521">_xlfn.IFS(Finance_Data!S517&lt;7,"Short",Finance_Data!S517&lt;=30,"Normal",Finance_Data!S517&lt;=60,"Long",Finance_Data!S517&gt;60,"Very Long")</f>
        <v>Long</v>
      </c>
      <c r="G521" s="3" t="str">
        <f>IF(ABS(Finance_Data!I517*Finance_Data!J517)-Finance_Data!K517&lt;1,"Valid","Invalid")</f>
        <v>Valid</v>
      </c>
      <c r="H521" s="3" t="str">
        <f>IF(Finance_Data!L517&gt;0,"Valid","Invalid")</f>
        <v>Valid</v>
      </c>
      <c r="I521" s="3" t="str">
        <f>IF(Finance_Data!L517&gt;=Finance_Data!M517,"Valid","Invalid")</f>
        <v>Valid</v>
      </c>
      <c r="J521" s="3" t="str">
        <f>IF(AND(Finance_Data!I517&gt;=0,Finance_Data!K517&gt;=0),"Valid","Invalid")</f>
        <v>Valid</v>
      </c>
      <c r="K521" s="3" t="str">
        <f>IF(Finance_Data!N517&gt;=0,"Valid","Invalid")</f>
        <v>Valid</v>
      </c>
      <c r="L521" s="3" t="str">
        <f>IF(TEXT(Finance_Data!G517,"mmmm")=Finance_Data!P517,"Valid","Invalid")</f>
        <v>Valid</v>
      </c>
      <c r="M521" s="3" t="str">
        <f>IF("Q"&amp;ROUNDUP(MONTH(Finance_Data!G517)/3,0)=Finance_Data!Q517,"Valid","Invalid")</f>
        <v>Valid</v>
      </c>
      <c r="N521" s="7" t="str">
        <f t="shared" si="8"/>
        <v>Pass</v>
      </c>
    </row>
    <row r="522" spans="1:14" x14ac:dyDescent="0.35">
      <c r="A522" s="17" t="s">
        <v>71</v>
      </c>
      <c r="B522" s="3" t="str">
        <f>IF(ISBLANK(Table3[[#This Row],[Campaign_ID]]),"Invalid","Valid")</f>
        <v>Valid</v>
      </c>
      <c r="C522" s="3" t="str">
        <f>IF(COUNTA(Finance_Data!A518:R518)=18,"Valid","Missing")</f>
        <v>Valid</v>
      </c>
      <c r="D522" s="3" t="str">
        <f>IF(COUNTIF(Finance_Data!$T$2:$T$1001,Finance_Data!T518)&gt;1,"Duplicate","Valid")</f>
        <v>Valid</v>
      </c>
      <c r="E522" s="3" t="str">
        <f>IF(Finance_Data!H518&gt;Finance_Data!G518,"Valid","Invalid")</f>
        <v>Valid</v>
      </c>
      <c r="F522" s="3" t="str" cm="1">
        <f t="array" ref="F522">_xlfn.IFS(Finance_Data!S518&lt;7,"Short",Finance_Data!S518&lt;=30,"Normal",Finance_Data!S518&lt;=60,"Long",Finance_Data!S518&gt;60,"Very Long")</f>
        <v>Normal</v>
      </c>
      <c r="G522" s="3" t="str">
        <f>IF(ABS(Finance_Data!I518*Finance_Data!J518)-Finance_Data!K518&lt;1,"Valid","Invalid")</f>
        <v>Valid</v>
      </c>
      <c r="H522" s="3" t="str">
        <f>IF(Finance_Data!L518&gt;0,"Valid","Invalid")</f>
        <v>Valid</v>
      </c>
      <c r="I522" s="3" t="str">
        <f>IF(Finance_Data!L518&gt;=Finance_Data!M518,"Valid","Invalid")</f>
        <v>Valid</v>
      </c>
      <c r="J522" s="3" t="str">
        <f>IF(AND(Finance_Data!I518&gt;=0,Finance_Data!K518&gt;=0),"Valid","Invalid")</f>
        <v>Valid</v>
      </c>
      <c r="K522" s="3" t="str">
        <f>IF(Finance_Data!N518&gt;=0,"Valid","Invalid")</f>
        <v>Valid</v>
      </c>
      <c r="L522" s="3" t="str">
        <f>IF(TEXT(Finance_Data!G518,"mmmm")=Finance_Data!P518,"Valid","Invalid")</f>
        <v>Valid</v>
      </c>
      <c r="M522" s="3" t="str">
        <f>IF("Q"&amp;ROUNDUP(MONTH(Finance_Data!G518)/3,0)=Finance_Data!Q518,"Valid","Invalid")</f>
        <v>Valid</v>
      </c>
      <c r="N522" s="7" t="str">
        <f t="shared" si="8"/>
        <v>Pass</v>
      </c>
    </row>
    <row r="523" spans="1:14" x14ac:dyDescent="0.35">
      <c r="A523" s="17" t="s">
        <v>79</v>
      </c>
      <c r="B523" s="3" t="str">
        <f>IF(ISBLANK(Table3[[#This Row],[Campaign_ID]]),"Invalid","Valid")</f>
        <v>Valid</v>
      </c>
      <c r="C523" s="3" t="str">
        <f>IF(COUNTA(Finance_Data!A519:R519)=18,"Valid","Missing")</f>
        <v>Valid</v>
      </c>
      <c r="D523" s="3" t="str">
        <f>IF(COUNTIF(Finance_Data!$T$2:$T$1001,Finance_Data!T519)&gt;1,"Duplicate","Valid")</f>
        <v>Valid</v>
      </c>
      <c r="E523" s="3" t="str">
        <f>IF(Finance_Data!H519&gt;Finance_Data!G519,"Valid","Invalid")</f>
        <v>Valid</v>
      </c>
      <c r="F523" s="3" t="str" cm="1">
        <f t="array" ref="F523">_xlfn.IFS(Finance_Data!S519&lt;7,"Short",Finance_Data!S519&lt;=30,"Normal",Finance_Data!S519&lt;=60,"Long",Finance_Data!S519&gt;60,"Very Long")</f>
        <v>Long</v>
      </c>
      <c r="G523" s="3" t="str">
        <f>IF(ABS(Finance_Data!I519*Finance_Data!J519)-Finance_Data!K519&lt;1,"Valid","Invalid")</f>
        <v>Valid</v>
      </c>
      <c r="H523" s="3" t="str">
        <f>IF(Finance_Data!L519&gt;0,"Valid","Invalid")</f>
        <v>Valid</v>
      </c>
      <c r="I523" s="3" t="str">
        <f>IF(Finance_Data!L519&gt;=Finance_Data!M519,"Valid","Invalid")</f>
        <v>Valid</v>
      </c>
      <c r="J523" s="3" t="str">
        <f>IF(AND(Finance_Data!I519&gt;=0,Finance_Data!K519&gt;=0),"Valid","Invalid")</f>
        <v>Valid</v>
      </c>
      <c r="K523" s="3" t="str">
        <f>IF(Finance_Data!N519&gt;=0,"Valid","Invalid")</f>
        <v>Valid</v>
      </c>
      <c r="L523" s="3" t="str">
        <f>IF(TEXT(Finance_Data!G519,"mmmm")=Finance_Data!P519,"Valid","Invalid")</f>
        <v>Valid</v>
      </c>
      <c r="M523" s="3" t="str">
        <f>IF("Q"&amp;ROUNDUP(MONTH(Finance_Data!G519)/3,0)=Finance_Data!Q519,"Valid","Invalid")</f>
        <v>Valid</v>
      </c>
      <c r="N523" s="7" t="str">
        <f t="shared" si="8"/>
        <v>Pass</v>
      </c>
    </row>
    <row r="524" spans="1:14" x14ac:dyDescent="0.35">
      <c r="A524" s="17" t="s">
        <v>84</v>
      </c>
      <c r="B524" s="3" t="str">
        <f>IF(ISBLANK(Table3[[#This Row],[Campaign_ID]]),"Invalid","Valid")</f>
        <v>Valid</v>
      </c>
      <c r="C524" s="3" t="str">
        <f>IF(COUNTA(Finance_Data!A520:R520)=18,"Valid","Missing")</f>
        <v>Valid</v>
      </c>
      <c r="D524" s="3" t="str">
        <f>IF(COUNTIF(Finance_Data!$T$2:$T$1001,Finance_Data!T520)&gt;1,"Duplicate","Valid")</f>
        <v>Valid</v>
      </c>
      <c r="E524" s="3" t="str">
        <f>IF(Finance_Data!H520&gt;Finance_Data!G520,"Valid","Invalid")</f>
        <v>Valid</v>
      </c>
      <c r="F524" s="3" t="str" cm="1">
        <f t="array" ref="F524">_xlfn.IFS(Finance_Data!S520&lt;7,"Short",Finance_Data!S520&lt;=30,"Normal",Finance_Data!S520&lt;=60,"Long",Finance_Data!S520&gt;60,"Very Long")</f>
        <v>Long</v>
      </c>
      <c r="G524" s="3" t="str">
        <f>IF(ABS(Finance_Data!I520*Finance_Data!J520)-Finance_Data!K520&lt;1,"Valid","Invalid")</f>
        <v>Valid</v>
      </c>
      <c r="H524" s="3" t="str">
        <f>IF(Finance_Data!L520&gt;0,"Valid","Invalid")</f>
        <v>Valid</v>
      </c>
      <c r="I524" s="3" t="str">
        <f>IF(Finance_Data!L520&gt;=Finance_Data!M520,"Valid","Invalid")</f>
        <v>Valid</v>
      </c>
      <c r="J524" s="3" t="str">
        <f>IF(AND(Finance_Data!I520&gt;=0,Finance_Data!K520&gt;=0),"Valid","Invalid")</f>
        <v>Valid</v>
      </c>
      <c r="K524" s="3" t="str">
        <f>IF(Finance_Data!N520&gt;=0,"Valid","Invalid")</f>
        <v>Valid</v>
      </c>
      <c r="L524" s="3" t="str">
        <f>IF(TEXT(Finance_Data!G520,"mmmm")=Finance_Data!P520,"Valid","Invalid")</f>
        <v>Valid</v>
      </c>
      <c r="M524" s="3" t="str">
        <f>IF("Q"&amp;ROUNDUP(MONTH(Finance_Data!G520)/3,0)=Finance_Data!Q520,"Valid","Invalid")</f>
        <v>Valid</v>
      </c>
      <c r="N524" s="7" t="str">
        <f t="shared" si="8"/>
        <v>Pass</v>
      </c>
    </row>
    <row r="525" spans="1:14" x14ac:dyDescent="0.35">
      <c r="A525" s="17" t="s">
        <v>79</v>
      </c>
      <c r="B525" s="3" t="str">
        <f>IF(ISBLANK(Table3[[#This Row],[Campaign_ID]]),"Invalid","Valid")</f>
        <v>Valid</v>
      </c>
      <c r="C525" s="3" t="str">
        <f>IF(COUNTA(Finance_Data!A521:R521)=18,"Valid","Missing")</f>
        <v>Valid</v>
      </c>
      <c r="D525" s="3" t="str">
        <f>IF(COUNTIF(Finance_Data!$T$2:$T$1001,Finance_Data!T521)&gt;1,"Duplicate","Valid")</f>
        <v>Valid</v>
      </c>
      <c r="E525" s="3" t="str">
        <f>IF(Finance_Data!H521&gt;Finance_Data!G521,"Valid","Invalid")</f>
        <v>Valid</v>
      </c>
      <c r="F525" s="3" t="str" cm="1">
        <f t="array" ref="F525">_xlfn.IFS(Finance_Data!S521&lt;7,"Short",Finance_Data!S521&lt;=30,"Normal",Finance_Data!S521&lt;=60,"Long",Finance_Data!S521&gt;60,"Very Long")</f>
        <v>Long</v>
      </c>
      <c r="G525" s="3" t="str">
        <f>IF(ABS(Finance_Data!I521*Finance_Data!J521)-Finance_Data!K521&lt;1,"Valid","Invalid")</f>
        <v>Valid</v>
      </c>
      <c r="H525" s="3" t="str">
        <f>IF(Finance_Data!L521&gt;0,"Valid","Invalid")</f>
        <v>Valid</v>
      </c>
      <c r="I525" s="3" t="str">
        <f>IF(Finance_Data!L521&gt;=Finance_Data!M521,"Valid","Invalid")</f>
        <v>Valid</v>
      </c>
      <c r="J525" s="3" t="str">
        <f>IF(AND(Finance_Data!I521&gt;=0,Finance_Data!K521&gt;=0),"Valid","Invalid")</f>
        <v>Valid</v>
      </c>
      <c r="K525" s="3" t="str">
        <f>IF(Finance_Data!N521&gt;=0,"Valid","Invalid")</f>
        <v>Valid</v>
      </c>
      <c r="L525" s="3" t="str">
        <f>IF(TEXT(Finance_Data!G521,"mmmm")=Finance_Data!P521,"Valid","Invalid")</f>
        <v>Valid</v>
      </c>
      <c r="M525" s="3" t="str">
        <f>IF("Q"&amp;ROUNDUP(MONTH(Finance_Data!G521)/3,0)=Finance_Data!Q521,"Valid","Invalid")</f>
        <v>Valid</v>
      </c>
      <c r="N525" s="7" t="str">
        <f t="shared" si="8"/>
        <v>Pass</v>
      </c>
    </row>
    <row r="526" spans="1:14" x14ac:dyDescent="0.35">
      <c r="A526" s="17" t="s">
        <v>66</v>
      </c>
      <c r="B526" s="3" t="str">
        <f>IF(ISBLANK(Table3[[#This Row],[Campaign_ID]]),"Invalid","Valid")</f>
        <v>Valid</v>
      </c>
      <c r="C526" s="3" t="str">
        <f>IF(COUNTA(Finance_Data!A522:R522)=18,"Valid","Missing")</f>
        <v>Valid</v>
      </c>
      <c r="D526" s="3" t="str">
        <f>IF(COUNTIF(Finance_Data!$T$2:$T$1001,Finance_Data!T522)&gt;1,"Duplicate","Valid")</f>
        <v>Valid</v>
      </c>
      <c r="E526" s="3" t="str">
        <f>IF(Finance_Data!H522&gt;Finance_Data!G522,"Valid","Invalid")</f>
        <v>Valid</v>
      </c>
      <c r="F526" s="3" t="str" cm="1">
        <f t="array" ref="F526">_xlfn.IFS(Finance_Data!S522&lt;7,"Short",Finance_Data!S522&lt;=30,"Normal",Finance_Data!S522&lt;=60,"Long",Finance_Data!S522&gt;60,"Very Long")</f>
        <v>Long</v>
      </c>
      <c r="G526" s="3" t="str">
        <f>IF(ABS(Finance_Data!I522*Finance_Data!J522)-Finance_Data!K522&lt;1,"Valid","Invalid")</f>
        <v>Valid</v>
      </c>
      <c r="H526" s="3" t="str">
        <f>IF(Finance_Data!L522&gt;0,"Valid","Invalid")</f>
        <v>Valid</v>
      </c>
      <c r="I526" s="3" t="str">
        <f>IF(Finance_Data!L522&gt;=Finance_Data!M522,"Valid","Invalid")</f>
        <v>Valid</v>
      </c>
      <c r="J526" s="3" t="str">
        <f>IF(AND(Finance_Data!I522&gt;=0,Finance_Data!K522&gt;=0),"Valid","Invalid")</f>
        <v>Valid</v>
      </c>
      <c r="K526" s="3" t="str">
        <f>IF(Finance_Data!N522&gt;=0,"Valid","Invalid")</f>
        <v>Valid</v>
      </c>
      <c r="L526" s="3" t="str">
        <f>IF(TEXT(Finance_Data!G522,"mmmm")=Finance_Data!P522,"Valid","Invalid")</f>
        <v>Valid</v>
      </c>
      <c r="M526" s="3" t="str">
        <f>IF("Q"&amp;ROUNDUP(MONTH(Finance_Data!G522)/3,0)=Finance_Data!Q522,"Valid","Invalid")</f>
        <v>Valid</v>
      </c>
      <c r="N526" s="7" t="str">
        <f t="shared" si="8"/>
        <v>Pass</v>
      </c>
    </row>
    <row r="527" spans="1:14" x14ac:dyDescent="0.35">
      <c r="A527" s="17" t="s">
        <v>79</v>
      </c>
      <c r="B527" s="3" t="str">
        <f>IF(ISBLANK(Table3[[#This Row],[Campaign_ID]]),"Invalid","Valid")</f>
        <v>Valid</v>
      </c>
      <c r="C527" s="3" t="str">
        <f>IF(COUNTA(Finance_Data!A523:R523)=18,"Valid","Missing")</f>
        <v>Valid</v>
      </c>
      <c r="D527" s="3" t="str">
        <f>IF(COUNTIF(Finance_Data!$T$2:$T$1001,Finance_Data!T523)&gt;1,"Duplicate","Valid")</f>
        <v>Valid</v>
      </c>
      <c r="E527" s="3" t="str">
        <f>IF(Finance_Data!H523&gt;Finance_Data!G523,"Valid","Invalid")</f>
        <v>Valid</v>
      </c>
      <c r="F527" s="3" t="str" cm="1">
        <f t="array" ref="F527">_xlfn.IFS(Finance_Data!S523&lt;7,"Short",Finance_Data!S523&lt;=30,"Normal",Finance_Data!S523&lt;=60,"Long",Finance_Data!S523&gt;60,"Very Long")</f>
        <v>Long</v>
      </c>
      <c r="G527" s="3" t="str">
        <f>IF(ABS(Finance_Data!I523*Finance_Data!J523)-Finance_Data!K523&lt;1,"Valid","Invalid")</f>
        <v>Valid</v>
      </c>
      <c r="H527" s="3" t="str">
        <f>IF(Finance_Data!L523&gt;0,"Valid","Invalid")</f>
        <v>Valid</v>
      </c>
      <c r="I527" s="3" t="str">
        <f>IF(Finance_Data!L523&gt;=Finance_Data!M523,"Valid","Invalid")</f>
        <v>Valid</v>
      </c>
      <c r="J527" s="3" t="str">
        <f>IF(AND(Finance_Data!I523&gt;=0,Finance_Data!K523&gt;=0),"Valid","Invalid")</f>
        <v>Valid</v>
      </c>
      <c r="K527" s="3" t="str">
        <f>IF(Finance_Data!N523&gt;=0,"Valid","Invalid")</f>
        <v>Valid</v>
      </c>
      <c r="L527" s="3" t="str">
        <f>IF(TEXT(Finance_Data!G523,"mmmm")=Finance_Data!P523,"Valid","Invalid")</f>
        <v>Valid</v>
      </c>
      <c r="M527" s="3" t="str">
        <f>IF("Q"&amp;ROUNDUP(MONTH(Finance_Data!G523)/3,0)=Finance_Data!Q523,"Valid","Invalid")</f>
        <v>Valid</v>
      </c>
      <c r="N527" s="7" t="str">
        <f t="shared" si="8"/>
        <v>Pass</v>
      </c>
    </row>
    <row r="528" spans="1:14" x14ac:dyDescent="0.35">
      <c r="A528" s="17" t="s">
        <v>42</v>
      </c>
      <c r="B528" s="3" t="str">
        <f>IF(ISBLANK(Table3[[#This Row],[Campaign_ID]]),"Invalid","Valid")</f>
        <v>Valid</v>
      </c>
      <c r="C528" s="3" t="str">
        <f>IF(COUNTA(Finance_Data!A524:R524)=18,"Valid","Missing")</f>
        <v>Valid</v>
      </c>
      <c r="D528" s="3" t="str">
        <f>IF(COUNTIF(Finance_Data!$T$2:$T$1001,Finance_Data!T524)&gt;1,"Duplicate","Valid")</f>
        <v>Valid</v>
      </c>
      <c r="E528" s="3" t="str">
        <f>IF(Finance_Data!H524&gt;Finance_Data!G524,"Valid","Invalid")</f>
        <v>Valid</v>
      </c>
      <c r="F528" s="3" t="str" cm="1">
        <f t="array" ref="F528">_xlfn.IFS(Finance_Data!S524&lt;7,"Short",Finance_Data!S524&lt;=30,"Normal",Finance_Data!S524&lt;=60,"Long",Finance_Data!S524&gt;60,"Very Long")</f>
        <v>Long</v>
      </c>
      <c r="G528" s="3" t="str">
        <f>IF(ABS(Finance_Data!I524*Finance_Data!J524)-Finance_Data!K524&lt;1,"Valid","Invalid")</f>
        <v>Valid</v>
      </c>
      <c r="H528" s="3" t="str">
        <f>IF(Finance_Data!L524&gt;0,"Valid","Invalid")</f>
        <v>Valid</v>
      </c>
      <c r="I528" s="3" t="str">
        <f>IF(Finance_Data!L524&gt;=Finance_Data!M524,"Valid","Invalid")</f>
        <v>Valid</v>
      </c>
      <c r="J528" s="3" t="str">
        <f>IF(AND(Finance_Data!I524&gt;=0,Finance_Data!K524&gt;=0),"Valid","Invalid")</f>
        <v>Valid</v>
      </c>
      <c r="K528" s="3" t="str">
        <f>IF(Finance_Data!N524&gt;=0,"Valid","Invalid")</f>
        <v>Valid</v>
      </c>
      <c r="L528" s="3" t="str">
        <f>IF(TEXT(Finance_Data!G524,"mmmm")=Finance_Data!P524,"Valid","Invalid")</f>
        <v>Valid</v>
      </c>
      <c r="M528" s="3" t="str">
        <f>IF("Q"&amp;ROUNDUP(MONTH(Finance_Data!G524)/3,0)=Finance_Data!Q524,"Valid","Invalid")</f>
        <v>Valid</v>
      </c>
      <c r="N528" s="7" t="str">
        <f t="shared" si="8"/>
        <v>Pass</v>
      </c>
    </row>
    <row r="529" spans="1:14" x14ac:dyDescent="0.35">
      <c r="A529" s="17" t="s">
        <v>108</v>
      </c>
      <c r="B529" s="3" t="str">
        <f>IF(ISBLANK(Table3[[#This Row],[Campaign_ID]]),"Invalid","Valid")</f>
        <v>Valid</v>
      </c>
      <c r="C529" s="3" t="str">
        <f>IF(COUNTA(Finance_Data!A525:R525)=18,"Valid","Missing")</f>
        <v>Valid</v>
      </c>
      <c r="D529" s="3" t="str">
        <f>IF(COUNTIF(Finance_Data!$T$2:$T$1001,Finance_Data!T525)&gt;1,"Duplicate","Valid")</f>
        <v>Valid</v>
      </c>
      <c r="E529" s="3" t="str">
        <f>IF(Finance_Data!H525&gt;Finance_Data!G525,"Valid","Invalid")</f>
        <v>Valid</v>
      </c>
      <c r="F529" s="3" t="str" cm="1">
        <f t="array" ref="F529">_xlfn.IFS(Finance_Data!S525&lt;7,"Short",Finance_Data!S525&lt;=30,"Normal",Finance_Data!S525&lt;=60,"Long",Finance_Data!S525&gt;60,"Very Long")</f>
        <v>Long</v>
      </c>
      <c r="G529" s="3" t="str">
        <f>IF(ABS(Finance_Data!I525*Finance_Data!J525)-Finance_Data!K525&lt;1,"Valid","Invalid")</f>
        <v>Valid</v>
      </c>
      <c r="H529" s="3" t="str">
        <f>IF(Finance_Data!L525&gt;0,"Valid","Invalid")</f>
        <v>Valid</v>
      </c>
      <c r="I529" s="3" t="str">
        <f>IF(Finance_Data!L525&gt;=Finance_Data!M525,"Valid","Invalid")</f>
        <v>Valid</v>
      </c>
      <c r="J529" s="3" t="str">
        <f>IF(AND(Finance_Data!I525&gt;=0,Finance_Data!K525&gt;=0),"Valid","Invalid")</f>
        <v>Valid</v>
      </c>
      <c r="K529" s="3" t="str">
        <f>IF(Finance_Data!N525&gt;=0,"Valid","Invalid")</f>
        <v>Valid</v>
      </c>
      <c r="L529" s="3" t="str">
        <f>IF(TEXT(Finance_Data!G525,"mmmm")=Finance_Data!P525,"Valid","Invalid")</f>
        <v>Valid</v>
      </c>
      <c r="M529" s="3" t="str">
        <f>IF("Q"&amp;ROUNDUP(MONTH(Finance_Data!G525)/3,0)=Finance_Data!Q525,"Valid","Invalid")</f>
        <v>Valid</v>
      </c>
      <c r="N529" s="7" t="str">
        <f t="shared" si="8"/>
        <v>Pass</v>
      </c>
    </row>
    <row r="530" spans="1:14" x14ac:dyDescent="0.35">
      <c r="A530" s="17" t="s">
        <v>105</v>
      </c>
      <c r="B530" s="3" t="str">
        <f>IF(ISBLANK(Table3[[#This Row],[Campaign_ID]]),"Invalid","Valid")</f>
        <v>Valid</v>
      </c>
      <c r="C530" s="3" t="str">
        <f>IF(COUNTA(Finance_Data!A526:R526)=18,"Valid","Missing")</f>
        <v>Valid</v>
      </c>
      <c r="D530" s="3" t="str">
        <f>IF(COUNTIF(Finance_Data!$T$2:$T$1001,Finance_Data!T526)&gt;1,"Duplicate","Valid")</f>
        <v>Valid</v>
      </c>
      <c r="E530" s="3" t="str">
        <f>IF(Finance_Data!H526&gt;Finance_Data!G526,"Valid","Invalid")</f>
        <v>Valid</v>
      </c>
      <c r="F530" s="3" t="str" cm="1">
        <f t="array" ref="F530">_xlfn.IFS(Finance_Data!S526&lt;7,"Short",Finance_Data!S526&lt;=30,"Normal",Finance_Data!S526&lt;=60,"Long",Finance_Data!S526&gt;60,"Very Long")</f>
        <v>Long</v>
      </c>
      <c r="G530" s="3" t="str">
        <f>IF(ABS(Finance_Data!I526*Finance_Data!J526)-Finance_Data!K526&lt;1,"Valid","Invalid")</f>
        <v>Valid</v>
      </c>
      <c r="H530" s="3" t="str">
        <f>IF(Finance_Data!L526&gt;0,"Valid","Invalid")</f>
        <v>Valid</v>
      </c>
      <c r="I530" s="3" t="str">
        <f>IF(Finance_Data!L526&gt;=Finance_Data!M526,"Valid","Invalid")</f>
        <v>Valid</v>
      </c>
      <c r="J530" s="3" t="str">
        <f>IF(AND(Finance_Data!I526&gt;=0,Finance_Data!K526&gt;=0),"Valid","Invalid")</f>
        <v>Valid</v>
      </c>
      <c r="K530" s="3" t="str">
        <f>IF(Finance_Data!N526&gt;=0,"Valid","Invalid")</f>
        <v>Valid</v>
      </c>
      <c r="L530" s="3" t="str">
        <f>IF(TEXT(Finance_Data!G526,"mmmm")=Finance_Data!P526,"Valid","Invalid")</f>
        <v>Valid</v>
      </c>
      <c r="M530" s="3" t="str">
        <f>IF("Q"&amp;ROUNDUP(MONTH(Finance_Data!G526)/3,0)=Finance_Data!Q526,"Valid","Invalid")</f>
        <v>Valid</v>
      </c>
      <c r="N530" s="7" t="str">
        <f t="shared" si="8"/>
        <v>Pass</v>
      </c>
    </row>
    <row r="531" spans="1:14" x14ac:dyDescent="0.35">
      <c r="A531" s="17" t="s">
        <v>18</v>
      </c>
      <c r="B531" s="3" t="str">
        <f>IF(ISBLANK(Table3[[#This Row],[Campaign_ID]]),"Invalid","Valid")</f>
        <v>Valid</v>
      </c>
      <c r="C531" s="3" t="str">
        <f>IF(COUNTA(Finance_Data!A527:R527)=18,"Valid","Missing")</f>
        <v>Valid</v>
      </c>
      <c r="D531" s="3" t="str">
        <f>IF(COUNTIF(Finance_Data!$T$2:$T$1001,Finance_Data!T527)&gt;1,"Duplicate","Valid")</f>
        <v>Valid</v>
      </c>
      <c r="E531" s="3" t="str">
        <f>IF(Finance_Data!H527&gt;Finance_Data!G527,"Valid","Invalid")</f>
        <v>Valid</v>
      </c>
      <c r="F531" s="3" t="str" cm="1">
        <f t="array" ref="F531">_xlfn.IFS(Finance_Data!S527&lt;7,"Short",Finance_Data!S527&lt;=30,"Normal",Finance_Data!S527&lt;=60,"Long",Finance_Data!S527&gt;60,"Very Long")</f>
        <v>Normal</v>
      </c>
      <c r="G531" s="3" t="str">
        <f>IF(ABS(Finance_Data!I527*Finance_Data!J527)-Finance_Data!K527&lt;1,"Valid","Invalid")</f>
        <v>Valid</v>
      </c>
      <c r="H531" s="3" t="str">
        <f>IF(Finance_Data!L527&gt;0,"Valid","Invalid")</f>
        <v>Valid</v>
      </c>
      <c r="I531" s="3" t="str">
        <f>IF(Finance_Data!L527&gt;=Finance_Data!M527,"Valid","Invalid")</f>
        <v>Valid</v>
      </c>
      <c r="J531" s="3" t="str">
        <f>IF(AND(Finance_Data!I527&gt;=0,Finance_Data!K527&gt;=0),"Valid","Invalid")</f>
        <v>Valid</v>
      </c>
      <c r="K531" s="3" t="str">
        <f>IF(Finance_Data!N527&gt;=0,"Valid","Invalid")</f>
        <v>Valid</v>
      </c>
      <c r="L531" s="3" t="str">
        <f>IF(TEXT(Finance_Data!G527,"mmmm")=Finance_Data!P527,"Valid","Invalid")</f>
        <v>Valid</v>
      </c>
      <c r="M531" s="3" t="str">
        <f>IF("Q"&amp;ROUNDUP(MONTH(Finance_Data!G527)/3,0)=Finance_Data!Q527,"Valid","Invalid")</f>
        <v>Valid</v>
      </c>
      <c r="N531" s="7" t="str">
        <f t="shared" si="8"/>
        <v>Pass</v>
      </c>
    </row>
    <row r="532" spans="1:14" x14ac:dyDescent="0.35">
      <c r="A532" s="17" t="s">
        <v>96</v>
      </c>
      <c r="B532" s="3" t="str">
        <f>IF(ISBLANK(Table3[[#This Row],[Campaign_ID]]),"Invalid","Valid")</f>
        <v>Valid</v>
      </c>
      <c r="C532" s="3" t="str">
        <f>IF(COUNTA(Finance_Data!A528:R528)=18,"Valid","Missing")</f>
        <v>Valid</v>
      </c>
      <c r="D532" s="3" t="str">
        <f>IF(COUNTIF(Finance_Data!$T$2:$T$1001,Finance_Data!T528)&gt;1,"Duplicate","Valid")</f>
        <v>Valid</v>
      </c>
      <c r="E532" s="3" t="str">
        <f>IF(Finance_Data!H528&gt;Finance_Data!G528,"Valid","Invalid")</f>
        <v>Valid</v>
      </c>
      <c r="F532" s="3" t="str" cm="1">
        <f t="array" ref="F532">_xlfn.IFS(Finance_Data!S528&lt;7,"Short",Finance_Data!S528&lt;=30,"Normal",Finance_Data!S528&lt;=60,"Long",Finance_Data!S528&gt;60,"Very Long")</f>
        <v>Normal</v>
      </c>
      <c r="G532" s="3" t="str">
        <f>IF(ABS(Finance_Data!I528*Finance_Data!J528)-Finance_Data!K528&lt;1,"Valid","Invalid")</f>
        <v>Valid</v>
      </c>
      <c r="H532" s="3" t="str">
        <f>IF(Finance_Data!L528&gt;0,"Valid","Invalid")</f>
        <v>Valid</v>
      </c>
      <c r="I532" s="3" t="str">
        <f>IF(Finance_Data!L528&gt;=Finance_Data!M528,"Valid","Invalid")</f>
        <v>Valid</v>
      </c>
      <c r="J532" s="3" t="str">
        <f>IF(AND(Finance_Data!I528&gt;=0,Finance_Data!K528&gt;=0),"Valid","Invalid")</f>
        <v>Valid</v>
      </c>
      <c r="K532" s="3" t="str">
        <f>IF(Finance_Data!N528&gt;=0,"Valid","Invalid")</f>
        <v>Valid</v>
      </c>
      <c r="L532" s="3" t="str">
        <f>IF(TEXT(Finance_Data!G528,"mmmm")=Finance_Data!P528,"Valid","Invalid")</f>
        <v>Valid</v>
      </c>
      <c r="M532" s="3" t="str">
        <f>IF("Q"&amp;ROUNDUP(MONTH(Finance_Data!G528)/3,0)=Finance_Data!Q528,"Valid","Invalid")</f>
        <v>Valid</v>
      </c>
      <c r="N532" s="7" t="str">
        <f t="shared" si="8"/>
        <v>Pass</v>
      </c>
    </row>
    <row r="533" spans="1:14" x14ac:dyDescent="0.35">
      <c r="A533" s="17" t="s">
        <v>119</v>
      </c>
      <c r="B533" s="3" t="str">
        <f>IF(ISBLANK(Table3[[#This Row],[Campaign_ID]]),"Invalid","Valid")</f>
        <v>Valid</v>
      </c>
      <c r="C533" s="3" t="str">
        <f>IF(COUNTA(Finance_Data!A529:R529)=18,"Valid","Missing")</f>
        <v>Valid</v>
      </c>
      <c r="D533" s="3" t="str">
        <f>IF(COUNTIF(Finance_Data!$T$2:$T$1001,Finance_Data!T529)&gt;1,"Duplicate","Valid")</f>
        <v>Valid</v>
      </c>
      <c r="E533" s="3" t="str">
        <f>IF(Finance_Data!H529&gt;Finance_Data!G529,"Valid","Invalid")</f>
        <v>Valid</v>
      </c>
      <c r="F533" s="3" t="str" cm="1">
        <f t="array" ref="F533">_xlfn.IFS(Finance_Data!S529&lt;7,"Short",Finance_Data!S529&lt;=30,"Normal",Finance_Data!S529&lt;=60,"Long",Finance_Data!S529&gt;60,"Very Long")</f>
        <v>Long</v>
      </c>
      <c r="G533" s="3" t="str">
        <f>IF(ABS(Finance_Data!I529*Finance_Data!J529)-Finance_Data!K529&lt;1,"Valid","Invalid")</f>
        <v>Valid</v>
      </c>
      <c r="H533" s="3" t="str">
        <f>IF(Finance_Data!L529&gt;0,"Valid","Invalid")</f>
        <v>Valid</v>
      </c>
      <c r="I533" s="3" t="str">
        <f>IF(Finance_Data!L529&gt;=Finance_Data!M529,"Valid","Invalid")</f>
        <v>Valid</v>
      </c>
      <c r="J533" s="3" t="str">
        <f>IF(AND(Finance_Data!I529&gt;=0,Finance_Data!K529&gt;=0),"Valid","Invalid")</f>
        <v>Valid</v>
      </c>
      <c r="K533" s="3" t="str">
        <f>IF(Finance_Data!N529&gt;=0,"Valid","Invalid")</f>
        <v>Valid</v>
      </c>
      <c r="L533" s="3" t="str">
        <f>IF(TEXT(Finance_Data!G529,"mmmm")=Finance_Data!P529,"Valid","Invalid")</f>
        <v>Valid</v>
      </c>
      <c r="M533" s="3" t="str">
        <f>IF("Q"&amp;ROUNDUP(MONTH(Finance_Data!G529)/3,0)=Finance_Data!Q529,"Valid","Invalid")</f>
        <v>Valid</v>
      </c>
      <c r="N533" s="7" t="str">
        <f t="shared" si="8"/>
        <v>Pass</v>
      </c>
    </row>
    <row r="534" spans="1:14" x14ac:dyDescent="0.35">
      <c r="A534" s="17" t="s">
        <v>104</v>
      </c>
      <c r="B534" s="3" t="str">
        <f>IF(ISBLANK(Table3[[#This Row],[Campaign_ID]]),"Invalid","Valid")</f>
        <v>Valid</v>
      </c>
      <c r="C534" s="3" t="str">
        <f>IF(COUNTA(Finance_Data!A530:R530)=18,"Valid","Missing")</f>
        <v>Valid</v>
      </c>
      <c r="D534" s="3" t="str">
        <f>IF(COUNTIF(Finance_Data!$T$2:$T$1001,Finance_Data!T530)&gt;1,"Duplicate","Valid")</f>
        <v>Valid</v>
      </c>
      <c r="E534" s="3" t="str">
        <f>IF(Finance_Data!H530&gt;Finance_Data!G530,"Valid","Invalid")</f>
        <v>Valid</v>
      </c>
      <c r="F534" s="3" t="str" cm="1">
        <f t="array" ref="F534">_xlfn.IFS(Finance_Data!S530&lt;7,"Short",Finance_Data!S530&lt;=30,"Normal",Finance_Data!S530&lt;=60,"Long",Finance_Data!S530&gt;60,"Very Long")</f>
        <v>Long</v>
      </c>
      <c r="G534" s="3" t="str">
        <f>IF(ABS(Finance_Data!I530*Finance_Data!J530)-Finance_Data!K530&lt;1,"Valid","Invalid")</f>
        <v>Valid</v>
      </c>
      <c r="H534" s="3" t="str">
        <f>IF(Finance_Data!L530&gt;0,"Valid","Invalid")</f>
        <v>Valid</v>
      </c>
      <c r="I534" s="3" t="str">
        <f>IF(Finance_Data!L530&gt;=Finance_Data!M530,"Valid","Invalid")</f>
        <v>Valid</v>
      </c>
      <c r="J534" s="3" t="str">
        <f>IF(AND(Finance_Data!I530&gt;=0,Finance_Data!K530&gt;=0),"Valid","Invalid")</f>
        <v>Valid</v>
      </c>
      <c r="K534" s="3" t="str">
        <f>IF(Finance_Data!N530&gt;=0,"Valid","Invalid")</f>
        <v>Valid</v>
      </c>
      <c r="L534" s="3" t="str">
        <f>IF(TEXT(Finance_Data!G530,"mmmm")=Finance_Data!P530,"Valid","Invalid")</f>
        <v>Valid</v>
      </c>
      <c r="M534" s="3" t="str">
        <f>IF("Q"&amp;ROUNDUP(MONTH(Finance_Data!G530)/3,0)=Finance_Data!Q530,"Valid","Invalid")</f>
        <v>Valid</v>
      </c>
      <c r="N534" s="7" t="str">
        <f t="shared" si="8"/>
        <v>Pass</v>
      </c>
    </row>
    <row r="535" spans="1:14" x14ac:dyDescent="0.35">
      <c r="A535" s="17" t="s">
        <v>50</v>
      </c>
      <c r="B535" s="3" t="str">
        <f>IF(ISBLANK(Table3[[#This Row],[Campaign_ID]]),"Invalid","Valid")</f>
        <v>Valid</v>
      </c>
      <c r="C535" s="3" t="str">
        <f>IF(COUNTA(Finance_Data!A531:R531)=18,"Valid","Missing")</f>
        <v>Valid</v>
      </c>
      <c r="D535" s="3" t="str">
        <f>IF(COUNTIF(Finance_Data!$T$2:$T$1001,Finance_Data!T531)&gt;1,"Duplicate","Valid")</f>
        <v>Valid</v>
      </c>
      <c r="E535" s="3" t="str">
        <f>IF(Finance_Data!H531&gt;Finance_Data!G531,"Valid","Invalid")</f>
        <v>Valid</v>
      </c>
      <c r="F535" s="3" t="str" cm="1">
        <f t="array" ref="F535">_xlfn.IFS(Finance_Data!S531&lt;7,"Short",Finance_Data!S531&lt;=30,"Normal",Finance_Data!S531&lt;=60,"Long",Finance_Data!S531&gt;60,"Very Long")</f>
        <v>Normal</v>
      </c>
      <c r="G535" s="3" t="str">
        <f>IF(ABS(Finance_Data!I531*Finance_Data!J531)-Finance_Data!K531&lt;1,"Valid","Invalid")</f>
        <v>Valid</v>
      </c>
      <c r="H535" s="3" t="str">
        <f>IF(Finance_Data!L531&gt;0,"Valid","Invalid")</f>
        <v>Valid</v>
      </c>
      <c r="I535" s="3" t="str">
        <f>IF(Finance_Data!L531&gt;=Finance_Data!M531,"Valid","Invalid")</f>
        <v>Valid</v>
      </c>
      <c r="J535" s="3" t="str">
        <f>IF(AND(Finance_Data!I531&gt;=0,Finance_Data!K531&gt;=0),"Valid","Invalid")</f>
        <v>Valid</v>
      </c>
      <c r="K535" s="3" t="str">
        <f>IF(Finance_Data!N531&gt;=0,"Valid","Invalid")</f>
        <v>Valid</v>
      </c>
      <c r="L535" s="3" t="str">
        <f>IF(TEXT(Finance_Data!G531,"mmmm")=Finance_Data!P531,"Valid","Invalid")</f>
        <v>Valid</v>
      </c>
      <c r="M535" s="3" t="str">
        <f>IF("Q"&amp;ROUNDUP(MONTH(Finance_Data!G531)/3,0)=Finance_Data!Q531,"Valid","Invalid")</f>
        <v>Valid</v>
      </c>
      <c r="N535" s="7" t="str">
        <f t="shared" si="8"/>
        <v>Pass</v>
      </c>
    </row>
    <row r="536" spans="1:14" x14ac:dyDescent="0.35">
      <c r="A536" s="17" t="s">
        <v>71</v>
      </c>
      <c r="B536" s="3" t="str">
        <f>IF(ISBLANK(Table3[[#This Row],[Campaign_ID]]),"Invalid","Valid")</f>
        <v>Valid</v>
      </c>
      <c r="C536" s="3" t="str">
        <f>IF(COUNTA(Finance_Data!A532:R532)=18,"Valid","Missing")</f>
        <v>Valid</v>
      </c>
      <c r="D536" s="3" t="str">
        <f>IF(COUNTIF(Finance_Data!$T$2:$T$1001,Finance_Data!T532)&gt;1,"Duplicate","Valid")</f>
        <v>Valid</v>
      </c>
      <c r="E536" s="3" t="str">
        <f>IF(Finance_Data!H532&gt;Finance_Data!G532,"Valid","Invalid")</f>
        <v>Valid</v>
      </c>
      <c r="F536" s="3" t="str" cm="1">
        <f t="array" ref="F536">_xlfn.IFS(Finance_Data!S532&lt;7,"Short",Finance_Data!S532&lt;=30,"Normal",Finance_Data!S532&lt;=60,"Long",Finance_Data!S532&gt;60,"Very Long")</f>
        <v>Long</v>
      </c>
      <c r="G536" s="3" t="str">
        <f>IF(ABS(Finance_Data!I532*Finance_Data!J532)-Finance_Data!K532&lt;1,"Valid","Invalid")</f>
        <v>Valid</v>
      </c>
      <c r="H536" s="3" t="str">
        <f>IF(Finance_Data!L532&gt;0,"Valid","Invalid")</f>
        <v>Valid</v>
      </c>
      <c r="I536" s="3" t="str">
        <f>IF(Finance_Data!L532&gt;=Finance_Data!M532,"Valid","Invalid")</f>
        <v>Valid</v>
      </c>
      <c r="J536" s="3" t="str">
        <f>IF(AND(Finance_Data!I532&gt;=0,Finance_Data!K532&gt;=0),"Valid","Invalid")</f>
        <v>Valid</v>
      </c>
      <c r="K536" s="3" t="str">
        <f>IF(Finance_Data!N532&gt;=0,"Valid","Invalid")</f>
        <v>Valid</v>
      </c>
      <c r="L536" s="3" t="str">
        <f>IF(TEXT(Finance_Data!G532,"mmmm")=Finance_Data!P532,"Valid","Invalid")</f>
        <v>Valid</v>
      </c>
      <c r="M536" s="3" t="str">
        <f>IF("Q"&amp;ROUNDUP(MONTH(Finance_Data!G532)/3,0)=Finance_Data!Q532,"Valid","Invalid")</f>
        <v>Valid</v>
      </c>
      <c r="N536" s="7" t="str">
        <f t="shared" si="8"/>
        <v>Pass</v>
      </c>
    </row>
    <row r="537" spans="1:14" x14ac:dyDescent="0.35">
      <c r="A537" s="17" t="s">
        <v>85</v>
      </c>
      <c r="B537" s="3" t="str">
        <f>IF(ISBLANK(Table3[[#This Row],[Campaign_ID]]),"Invalid","Valid")</f>
        <v>Valid</v>
      </c>
      <c r="C537" s="3" t="str">
        <f>IF(COUNTA(Finance_Data!A533:R533)=18,"Valid","Missing")</f>
        <v>Valid</v>
      </c>
      <c r="D537" s="3" t="str">
        <f>IF(COUNTIF(Finance_Data!$T$2:$T$1001,Finance_Data!T533)&gt;1,"Duplicate","Valid")</f>
        <v>Valid</v>
      </c>
      <c r="E537" s="3" t="str">
        <f>IF(Finance_Data!H533&gt;Finance_Data!G533,"Valid","Invalid")</f>
        <v>Valid</v>
      </c>
      <c r="F537" s="3" t="str" cm="1">
        <f t="array" ref="F537">_xlfn.IFS(Finance_Data!S533&lt;7,"Short",Finance_Data!S533&lt;=30,"Normal",Finance_Data!S533&lt;=60,"Long",Finance_Data!S533&gt;60,"Very Long")</f>
        <v>Long</v>
      </c>
      <c r="G537" s="3" t="str">
        <f>IF(ABS(Finance_Data!I533*Finance_Data!J533)-Finance_Data!K533&lt;1,"Valid","Invalid")</f>
        <v>Valid</v>
      </c>
      <c r="H537" s="3" t="str">
        <f>IF(Finance_Data!L533&gt;0,"Valid","Invalid")</f>
        <v>Valid</v>
      </c>
      <c r="I537" s="3" t="str">
        <f>IF(Finance_Data!L533&gt;=Finance_Data!M533,"Valid","Invalid")</f>
        <v>Valid</v>
      </c>
      <c r="J537" s="3" t="str">
        <f>IF(AND(Finance_Data!I533&gt;=0,Finance_Data!K533&gt;=0),"Valid","Invalid")</f>
        <v>Valid</v>
      </c>
      <c r="K537" s="3" t="str">
        <f>IF(Finance_Data!N533&gt;=0,"Valid","Invalid")</f>
        <v>Valid</v>
      </c>
      <c r="L537" s="3" t="str">
        <f>IF(TEXT(Finance_Data!G533,"mmmm")=Finance_Data!P533,"Valid","Invalid")</f>
        <v>Valid</v>
      </c>
      <c r="M537" s="3" t="str">
        <f>IF("Q"&amp;ROUNDUP(MONTH(Finance_Data!G533)/3,0)=Finance_Data!Q533,"Valid","Invalid")</f>
        <v>Valid</v>
      </c>
      <c r="N537" s="7" t="str">
        <f t="shared" si="8"/>
        <v>Pass</v>
      </c>
    </row>
    <row r="538" spans="1:14" x14ac:dyDescent="0.35">
      <c r="A538" s="17" t="s">
        <v>72</v>
      </c>
      <c r="B538" s="3" t="str">
        <f>IF(ISBLANK(Table3[[#This Row],[Campaign_ID]]),"Invalid","Valid")</f>
        <v>Valid</v>
      </c>
      <c r="C538" s="3" t="str">
        <f>IF(COUNTA(Finance_Data!A534:R534)=18,"Valid","Missing")</f>
        <v>Valid</v>
      </c>
      <c r="D538" s="3" t="str">
        <f>IF(COUNTIF(Finance_Data!$T$2:$T$1001,Finance_Data!T534)&gt;1,"Duplicate","Valid")</f>
        <v>Valid</v>
      </c>
      <c r="E538" s="3" t="str">
        <f>IF(Finance_Data!H534&gt;Finance_Data!G534,"Valid","Invalid")</f>
        <v>Valid</v>
      </c>
      <c r="F538" s="3" t="str" cm="1">
        <f t="array" ref="F538">_xlfn.IFS(Finance_Data!S534&lt;7,"Short",Finance_Data!S534&lt;=30,"Normal",Finance_Data!S534&lt;=60,"Long",Finance_Data!S534&gt;60,"Very Long")</f>
        <v>Normal</v>
      </c>
      <c r="G538" s="3" t="str">
        <f>IF(ABS(Finance_Data!I534*Finance_Data!J534)-Finance_Data!K534&lt;1,"Valid","Invalid")</f>
        <v>Valid</v>
      </c>
      <c r="H538" s="3" t="str">
        <f>IF(Finance_Data!L534&gt;0,"Valid","Invalid")</f>
        <v>Valid</v>
      </c>
      <c r="I538" s="3" t="str">
        <f>IF(Finance_Data!L534&gt;=Finance_Data!M534,"Valid","Invalid")</f>
        <v>Valid</v>
      </c>
      <c r="J538" s="3" t="str">
        <f>IF(AND(Finance_Data!I534&gt;=0,Finance_Data!K534&gt;=0),"Valid","Invalid")</f>
        <v>Valid</v>
      </c>
      <c r="K538" s="3" t="str">
        <f>IF(Finance_Data!N534&gt;=0,"Valid","Invalid")</f>
        <v>Valid</v>
      </c>
      <c r="L538" s="3" t="str">
        <f>IF(TEXT(Finance_Data!G534,"mmmm")=Finance_Data!P534,"Valid","Invalid")</f>
        <v>Valid</v>
      </c>
      <c r="M538" s="3" t="str">
        <f>IF("Q"&amp;ROUNDUP(MONTH(Finance_Data!G534)/3,0)=Finance_Data!Q534,"Valid","Invalid")</f>
        <v>Valid</v>
      </c>
      <c r="N538" s="7" t="str">
        <f t="shared" si="8"/>
        <v>Pass</v>
      </c>
    </row>
    <row r="539" spans="1:14" x14ac:dyDescent="0.35">
      <c r="A539" s="17" t="s">
        <v>102</v>
      </c>
      <c r="B539" s="3" t="str">
        <f>IF(ISBLANK(Table3[[#This Row],[Campaign_ID]]),"Invalid","Valid")</f>
        <v>Valid</v>
      </c>
      <c r="C539" s="3" t="str">
        <f>IF(COUNTA(Finance_Data!A535:R535)=18,"Valid","Missing")</f>
        <v>Valid</v>
      </c>
      <c r="D539" s="3" t="str">
        <f>IF(COUNTIF(Finance_Data!$T$2:$T$1001,Finance_Data!T535)&gt;1,"Duplicate","Valid")</f>
        <v>Valid</v>
      </c>
      <c r="E539" s="3" t="str">
        <f>IF(Finance_Data!H535&gt;Finance_Data!G535,"Valid","Invalid")</f>
        <v>Valid</v>
      </c>
      <c r="F539" s="3" t="str" cm="1">
        <f t="array" ref="F539">_xlfn.IFS(Finance_Data!S535&lt;7,"Short",Finance_Data!S535&lt;=30,"Normal",Finance_Data!S535&lt;=60,"Long",Finance_Data!S535&gt;60,"Very Long")</f>
        <v>Normal</v>
      </c>
      <c r="G539" s="3" t="str">
        <f>IF(ABS(Finance_Data!I535*Finance_Data!J535)-Finance_Data!K535&lt;1,"Valid","Invalid")</f>
        <v>Valid</v>
      </c>
      <c r="H539" s="3" t="str">
        <f>IF(Finance_Data!L535&gt;0,"Valid","Invalid")</f>
        <v>Valid</v>
      </c>
      <c r="I539" s="3" t="str">
        <f>IF(Finance_Data!L535&gt;=Finance_Data!M535,"Valid","Invalid")</f>
        <v>Valid</v>
      </c>
      <c r="J539" s="3" t="str">
        <f>IF(AND(Finance_Data!I535&gt;=0,Finance_Data!K535&gt;=0),"Valid","Invalid")</f>
        <v>Valid</v>
      </c>
      <c r="K539" s="3" t="str">
        <f>IF(Finance_Data!N535&gt;=0,"Valid","Invalid")</f>
        <v>Valid</v>
      </c>
      <c r="L539" s="3" t="str">
        <f>IF(TEXT(Finance_Data!G535,"mmmm")=Finance_Data!P535,"Valid","Invalid")</f>
        <v>Valid</v>
      </c>
      <c r="M539" s="3" t="str">
        <f>IF("Q"&amp;ROUNDUP(MONTH(Finance_Data!G535)/3,0)=Finance_Data!Q535,"Valid","Invalid")</f>
        <v>Valid</v>
      </c>
      <c r="N539" s="7" t="str">
        <f t="shared" si="8"/>
        <v>Pass</v>
      </c>
    </row>
    <row r="540" spans="1:14" x14ac:dyDescent="0.35">
      <c r="A540" s="17" t="s">
        <v>68</v>
      </c>
      <c r="B540" s="3" t="str">
        <f>IF(ISBLANK(Table3[[#This Row],[Campaign_ID]]),"Invalid","Valid")</f>
        <v>Valid</v>
      </c>
      <c r="C540" s="3" t="str">
        <f>IF(COUNTA(Finance_Data!A536:R536)=18,"Valid","Missing")</f>
        <v>Valid</v>
      </c>
      <c r="D540" s="3" t="str">
        <f>IF(COUNTIF(Finance_Data!$T$2:$T$1001,Finance_Data!T536)&gt;1,"Duplicate","Valid")</f>
        <v>Valid</v>
      </c>
      <c r="E540" s="3" t="str">
        <f>IF(Finance_Data!H536&gt;Finance_Data!G536,"Valid","Invalid")</f>
        <v>Valid</v>
      </c>
      <c r="F540" s="3" t="str" cm="1">
        <f t="array" ref="F540">_xlfn.IFS(Finance_Data!S536&lt;7,"Short",Finance_Data!S536&lt;=30,"Normal",Finance_Data!S536&lt;=60,"Long",Finance_Data!S536&gt;60,"Very Long")</f>
        <v>Long</v>
      </c>
      <c r="G540" s="3" t="str">
        <f>IF(ABS(Finance_Data!I536*Finance_Data!J536)-Finance_Data!K536&lt;1,"Valid","Invalid")</f>
        <v>Valid</v>
      </c>
      <c r="H540" s="3" t="str">
        <f>IF(Finance_Data!L536&gt;0,"Valid","Invalid")</f>
        <v>Valid</v>
      </c>
      <c r="I540" s="3" t="str">
        <f>IF(Finance_Data!L536&gt;=Finance_Data!M536,"Valid","Invalid")</f>
        <v>Valid</v>
      </c>
      <c r="J540" s="3" t="str">
        <f>IF(AND(Finance_Data!I536&gt;=0,Finance_Data!K536&gt;=0),"Valid","Invalid")</f>
        <v>Valid</v>
      </c>
      <c r="K540" s="3" t="str">
        <f>IF(Finance_Data!N536&gt;=0,"Valid","Invalid")</f>
        <v>Valid</v>
      </c>
      <c r="L540" s="3" t="str">
        <f>IF(TEXT(Finance_Data!G536,"mmmm")=Finance_Data!P536,"Valid","Invalid")</f>
        <v>Valid</v>
      </c>
      <c r="M540" s="3" t="str">
        <f>IF("Q"&amp;ROUNDUP(MONTH(Finance_Data!G536)/3,0)=Finance_Data!Q536,"Valid","Invalid")</f>
        <v>Valid</v>
      </c>
      <c r="N540" s="7" t="str">
        <f t="shared" si="8"/>
        <v>Pass</v>
      </c>
    </row>
    <row r="541" spans="1:14" x14ac:dyDescent="0.35">
      <c r="A541" s="17" t="s">
        <v>111</v>
      </c>
      <c r="B541" s="3" t="str">
        <f>IF(ISBLANK(Table3[[#This Row],[Campaign_ID]]),"Invalid","Valid")</f>
        <v>Valid</v>
      </c>
      <c r="C541" s="3" t="str">
        <f>IF(COUNTA(Finance_Data!A537:R537)=18,"Valid","Missing")</f>
        <v>Valid</v>
      </c>
      <c r="D541" s="3" t="str">
        <f>IF(COUNTIF(Finance_Data!$T$2:$T$1001,Finance_Data!T537)&gt;1,"Duplicate","Valid")</f>
        <v>Valid</v>
      </c>
      <c r="E541" s="3" t="str">
        <f>IF(Finance_Data!H537&gt;Finance_Data!G537,"Valid","Invalid")</f>
        <v>Valid</v>
      </c>
      <c r="F541" s="3" t="str" cm="1">
        <f t="array" ref="F541">_xlfn.IFS(Finance_Data!S537&lt;7,"Short",Finance_Data!S537&lt;=30,"Normal",Finance_Data!S537&lt;=60,"Long",Finance_Data!S537&gt;60,"Very Long")</f>
        <v>Long</v>
      </c>
      <c r="G541" s="3" t="str">
        <f>IF(ABS(Finance_Data!I537*Finance_Data!J537)-Finance_Data!K537&lt;1,"Valid","Invalid")</f>
        <v>Valid</v>
      </c>
      <c r="H541" s="3" t="str">
        <f>IF(Finance_Data!L537&gt;0,"Valid","Invalid")</f>
        <v>Valid</v>
      </c>
      <c r="I541" s="3" t="str">
        <f>IF(Finance_Data!L537&gt;=Finance_Data!M537,"Valid","Invalid")</f>
        <v>Valid</v>
      </c>
      <c r="J541" s="3" t="str">
        <f>IF(AND(Finance_Data!I537&gt;=0,Finance_Data!K537&gt;=0),"Valid","Invalid")</f>
        <v>Valid</v>
      </c>
      <c r="K541" s="3" t="str">
        <f>IF(Finance_Data!N537&gt;=0,"Valid","Invalid")</f>
        <v>Valid</v>
      </c>
      <c r="L541" s="3" t="str">
        <f>IF(TEXT(Finance_Data!G537,"mmmm")=Finance_Data!P537,"Valid","Invalid")</f>
        <v>Valid</v>
      </c>
      <c r="M541" s="3" t="str">
        <f>IF("Q"&amp;ROUNDUP(MONTH(Finance_Data!G537)/3,0)=Finance_Data!Q537,"Valid","Invalid")</f>
        <v>Valid</v>
      </c>
      <c r="N541" s="7" t="str">
        <f t="shared" si="8"/>
        <v>Pass</v>
      </c>
    </row>
    <row r="542" spans="1:14" x14ac:dyDescent="0.35">
      <c r="A542" s="17" t="s">
        <v>75</v>
      </c>
      <c r="B542" s="3" t="str">
        <f>IF(ISBLANK(Table3[[#This Row],[Campaign_ID]]),"Invalid","Valid")</f>
        <v>Valid</v>
      </c>
      <c r="C542" s="3" t="str">
        <f>IF(COUNTA(Finance_Data!A538:R538)=18,"Valid","Missing")</f>
        <v>Valid</v>
      </c>
      <c r="D542" s="3" t="str">
        <f>IF(COUNTIF(Finance_Data!$T$2:$T$1001,Finance_Data!T538)&gt;1,"Duplicate","Valid")</f>
        <v>Valid</v>
      </c>
      <c r="E542" s="3" t="str">
        <f>IF(Finance_Data!H538&gt;Finance_Data!G538,"Valid","Invalid")</f>
        <v>Valid</v>
      </c>
      <c r="F542" s="3" t="str" cm="1">
        <f t="array" ref="F542">_xlfn.IFS(Finance_Data!S538&lt;7,"Short",Finance_Data!S538&lt;=30,"Normal",Finance_Data!S538&lt;=60,"Long",Finance_Data!S538&gt;60,"Very Long")</f>
        <v>Long</v>
      </c>
      <c r="G542" s="3" t="str">
        <f>IF(ABS(Finance_Data!I538*Finance_Data!J538)-Finance_Data!K538&lt;1,"Valid","Invalid")</f>
        <v>Valid</v>
      </c>
      <c r="H542" s="3" t="str">
        <f>IF(Finance_Data!L538&gt;0,"Valid","Invalid")</f>
        <v>Valid</v>
      </c>
      <c r="I542" s="3" t="str">
        <f>IF(Finance_Data!L538&gt;=Finance_Data!M538,"Valid","Invalid")</f>
        <v>Valid</v>
      </c>
      <c r="J542" s="3" t="str">
        <f>IF(AND(Finance_Data!I538&gt;=0,Finance_Data!K538&gt;=0),"Valid","Invalid")</f>
        <v>Valid</v>
      </c>
      <c r="K542" s="3" t="str">
        <f>IF(Finance_Data!N538&gt;=0,"Valid","Invalid")</f>
        <v>Valid</v>
      </c>
      <c r="L542" s="3" t="str">
        <f>IF(TEXT(Finance_Data!G538,"mmmm")=Finance_Data!P538,"Valid","Invalid")</f>
        <v>Valid</v>
      </c>
      <c r="M542" s="3" t="str">
        <f>IF("Q"&amp;ROUNDUP(MONTH(Finance_Data!G538)/3,0)=Finance_Data!Q538,"Valid","Invalid")</f>
        <v>Valid</v>
      </c>
      <c r="N542" s="7" t="str">
        <f t="shared" si="8"/>
        <v>Pass</v>
      </c>
    </row>
    <row r="543" spans="1:14" x14ac:dyDescent="0.35">
      <c r="A543" s="17" t="s">
        <v>105</v>
      </c>
      <c r="B543" s="3" t="str">
        <f>IF(ISBLANK(Table3[[#This Row],[Campaign_ID]]),"Invalid","Valid")</f>
        <v>Valid</v>
      </c>
      <c r="C543" s="3" t="str">
        <f>IF(COUNTA(Finance_Data!A539:R539)=18,"Valid","Missing")</f>
        <v>Valid</v>
      </c>
      <c r="D543" s="3" t="str">
        <f>IF(COUNTIF(Finance_Data!$T$2:$T$1001,Finance_Data!T539)&gt;1,"Duplicate","Valid")</f>
        <v>Valid</v>
      </c>
      <c r="E543" s="3" t="str">
        <f>IF(Finance_Data!H539&gt;Finance_Data!G539,"Valid","Invalid")</f>
        <v>Valid</v>
      </c>
      <c r="F543" s="3" t="str" cm="1">
        <f t="array" ref="F543">_xlfn.IFS(Finance_Data!S539&lt;7,"Short",Finance_Data!S539&lt;=30,"Normal",Finance_Data!S539&lt;=60,"Long",Finance_Data!S539&gt;60,"Very Long")</f>
        <v>Long</v>
      </c>
      <c r="G543" s="3" t="str">
        <f>IF(ABS(Finance_Data!I539*Finance_Data!J539)-Finance_Data!K539&lt;1,"Valid","Invalid")</f>
        <v>Valid</v>
      </c>
      <c r="H543" s="3" t="str">
        <f>IF(Finance_Data!L539&gt;0,"Valid","Invalid")</f>
        <v>Valid</v>
      </c>
      <c r="I543" s="3" t="str">
        <f>IF(Finance_Data!L539&gt;=Finance_Data!M539,"Valid","Invalid")</f>
        <v>Valid</v>
      </c>
      <c r="J543" s="3" t="str">
        <f>IF(AND(Finance_Data!I539&gt;=0,Finance_Data!K539&gt;=0),"Valid","Invalid")</f>
        <v>Valid</v>
      </c>
      <c r="K543" s="3" t="str">
        <f>IF(Finance_Data!N539&gt;=0,"Valid","Invalid")</f>
        <v>Valid</v>
      </c>
      <c r="L543" s="3" t="str">
        <f>IF(TEXT(Finance_Data!G539,"mmmm")=Finance_Data!P539,"Valid","Invalid")</f>
        <v>Valid</v>
      </c>
      <c r="M543" s="3" t="str">
        <f>IF("Q"&amp;ROUNDUP(MONTH(Finance_Data!G539)/3,0)=Finance_Data!Q539,"Valid","Invalid")</f>
        <v>Valid</v>
      </c>
      <c r="N543" s="7" t="str">
        <f t="shared" si="8"/>
        <v>Pass</v>
      </c>
    </row>
    <row r="544" spans="1:14" x14ac:dyDescent="0.35">
      <c r="A544" s="17" t="s">
        <v>77</v>
      </c>
      <c r="B544" s="3" t="str">
        <f>IF(ISBLANK(Table3[[#This Row],[Campaign_ID]]),"Invalid","Valid")</f>
        <v>Valid</v>
      </c>
      <c r="C544" s="3" t="str">
        <f>IF(COUNTA(Finance_Data!A540:R540)=18,"Valid","Missing")</f>
        <v>Valid</v>
      </c>
      <c r="D544" s="3" t="str">
        <f>IF(COUNTIF(Finance_Data!$T$2:$T$1001,Finance_Data!T540)&gt;1,"Duplicate","Valid")</f>
        <v>Valid</v>
      </c>
      <c r="E544" s="3" t="str">
        <f>IF(Finance_Data!H540&gt;Finance_Data!G540,"Valid","Invalid")</f>
        <v>Valid</v>
      </c>
      <c r="F544" s="3" t="str" cm="1">
        <f t="array" ref="F544">_xlfn.IFS(Finance_Data!S540&lt;7,"Short",Finance_Data!S540&lt;=30,"Normal",Finance_Data!S540&lt;=60,"Long",Finance_Data!S540&gt;60,"Very Long")</f>
        <v>Normal</v>
      </c>
      <c r="G544" s="3" t="str">
        <f>IF(ABS(Finance_Data!I540*Finance_Data!J540)-Finance_Data!K540&lt;1,"Valid","Invalid")</f>
        <v>Valid</v>
      </c>
      <c r="H544" s="3" t="str">
        <f>IF(Finance_Data!L540&gt;0,"Valid","Invalid")</f>
        <v>Valid</v>
      </c>
      <c r="I544" s="3" t="str">
        <f>IF(Finance_Data!L540&gt;=Finance_Data!M540,"Valid","Invalid")</f>
        <v>Valid</v>
      </c>
      <c r="J544" s="3" t="str">
        <f>IF(AND(Finance_Data!I540&gt;=0,Finance_Data!K540&gt;=0),"Valid","Invalid")</f>
        <v>Valid</v>
      </c>
      <c r="K544" s="3" t="str">
        <f>IF(Finance_Data!N540&gt;=0,"Valid","Invalid")</f>
        <v>Valid</v>
      </c>
      <c r="L544" s="3" t="str">
        <f>IF(TEXT(Finance_Data!G540,"mmmm")=Finance_Data!P540,"Valid","Invalid")</f>
        <v>Valid</v>
      </c>
      <c r="M544" s="3" t="str">
        <f>IF("Q"&amp;ROUNDUP(MONTH(Finance_Data!G540)/3,0)=Finance_Data!Q540,"Valid","Invalid")</f>
        <v>Valid</v>
      </c>
      <c r="N544" s="7" t="str">
        <f t="shared" si="8"/>
        <v>Pass</v>
      </c>
    </row>
    <row r="545" spans="1:14" x14ac:dyDescent="0.35">
      <c r="A545" s="17" t="s">
        <v>95</v>
      </c>
      <c r="B545" s="3" t="str">
        <f>IF(ISBLANK(Table3[[#This Row],[Campaign_ID]]),"Invalid","Valid")</f>
        <v>Valid</v>
      </c>
      <c r="C545" s="3" t="str">
        <f>IF(COUNTA(Finance_Data!A541:R541)=18,"Valid","Missing")</f>
        <v>Valid</v>
      </c>
      <c r="D545" s="3" t="str">
        <f>IF(COUNTIF(Finance_Data!$T$2:$T$1001,Finance_Data!T541)&gt;1,"Duplicate","Valid")</f>
        <v>Valid</v>
      </c>
      <c r="E545" s="3" t="str">
        <f>IF(Finance_Data!H541&gt;Finance_Data!G541,"Valid","Invalid")</f>
        <v>Valid</v>
      </c>
      <c r="F545" s="3" t="str" cm="1">
        <f t="array" ref="F545">_xlfn.IFS(Finance_Data!S541&lt;7,"Short",Finance_Data!S541&lt;=30,"Normal",Finance_Data!S541&lt;=60,"Long",Finance_Data!S541&gt;60,"Very Long")</f>
        <v>Long</v>
      </c>
      <c r="G545" s="3" t="str">
        <f>IF(ABS(Finance_Data!I541*Finance_Data!J541)-Finance_Data!K541&lt;1,"Valid","Invalid")</f>
        <v>Valid</v>
      </c>
      <c r="H545" s="3" t="str">
        <f>IF(Finance_Data!L541&gt;0,"Valid","Invalid")</f>
        <v>Valid</v>
      </c>
      <c r="I545" s="3" t="str">
        <f>IF(Finance_Data!L541&gt;=Finance_Data!M541,"Valid","Invalid")</f>
        <v>Valid</v>
      </c>
      <c r="J545" s="3" t="str">
        <f>IF(AND(Finance_Data!I541&gt;=0,Finance_Data!K541&gt;=0),"Valid","Invalid")</f>
        <v>Valid</v>
      </c>
      <c r="K545" s="3" t="str">
        <f>IF(Finance_Data!N541&gt;=0,"Valid","Invalid")</f>
        <v>Valid</v>
      </c>
      <c r="L545" s="3" t="str">
        <f>IF(TEXT(Finance_Data!G541,"mmmm")=Finance_Data!P541,"Valid","Invalid")</f>
        <v>Valid</v>
      </c>
      <c r="M545" s="3" t="str">
        <f>IF("Q"&amp;ROUNDUP(MONTH(Finance_Data!G541)/3,0)=Finance_Data!Q541,"Valid","Invalid")</f>
        <v>Valid</v>
      </c>
      <c r="N545" s="7" t="str">
        <f t="shared" si="8"/>
        <v>Pass</v>
      </c>
    </row>
    <row r="546" spans="1:14" x14ac:dyDescent="0.35">
      <c r="A546" s="17" t="s">
        <v>100</v>
      </c>
      <c r="B546" s="3" t="str">
        <f>IF(ISBLANK(Table3[[#This Row],[Campaign_ID]]),"Invalid","Valid")</f>
        <v>Valid</v>
      </c>
      <c r="C546" s="3" t="str">
        <f>IF(COUNTA(Finance_Data!A542:R542)=18,"Valid","Missing")</f>
        <v>Valid</v>
      </c>
      <c r="D546" s="3" t="str">
        <f>IF(COUNTIF(Finance_Data!$T$2:$T$1001,Finance_Data!T542)&gt;1,"Duplicate","Valid")</f>
        <v>Valid</v>
      </c>
      <c r="E546" s="3" t="str">
        <f>IF(Finance_Data!H542&gt;Finance_Data!G542,"Valid","Invalid")</f>
        <v>Valid</v>
      </c>
      <c r="F546" s="3" t="str" cm="1">
        <f t="array" ref="F546">_xlfn.IFS(Finance_Data!S542&lt;7,"Short",Finance_Data!S542&lt;=30,"Normal",Finance_Data!S542&lt;=60,"Long",Finance_Data!S542&gt;60,"Very Long")</f>
        <v>Long</v>
      </c>
      <c r="G546" s="3" t="str">
        <f>IF(ABS(Finance_Data!I542*Finance_Data!J542)-Finance_Data!K542&lt;1,"Valid","Invalid")</f>
        <v>Valid</v>
      </c>
      <c r="H546" s="3" t="str">
        <f>IF(Finance_Data!L542&gt;0,"Valid","Invalid")</f>
        <v>Valid</v>
      </c>
      <c r="I546" s="3" t="str">
        <f>IF(Finance_Data!L542&gt;=Finance_Data!M542,"Valid","Invalid")</f>
        <v>Valid</v>
      </c>
      <c r="J546" s="3" t="str">
        <f>IF(AND(Finance_Data!I542&gt;=0,Finance_Data!K542&gt;=0),"Valid","Invalid")</f>
        <v>Valid</v>
      </c>
      <c r="K546" s="3" t="str">
        <f>IF(Finance_Data!N542&gt;=0,"Valid","Invalid")</f>
        <v>Valid</v>
      </c>
      <c r="L546" s="3" t="str">
        <f>IF(TEXT(Finance_Data!G542,"mmmm")=Finance_Data!P542,"Valid","Invalid")</f>
        <v>Valid</v>
      </c>
      <c r="M546" s="3" t="str">
        <f>IF("Q"&amp;ROUNDUP(MONTH(Finance_Data!G542)/3,0)=Finance_Data!Q542,"Valid","Invalid")</f>
        <v>Valid</v>
      </c>
      <c r="N546" s="7" t="str">
        <f t="shared" si="8"/>
        <v>Pass</v>
      </c>
    </row>
    <row r="547" spans="1:14" x14ac:dyDescent="0.35">
      <c r="A547" s="17" t="s">
        <v>85</v>
      </c>
      <c r="B547" s="3" t="str">
        <f>IF(ISBLANK(Table3[[#This Row],[Campaign_ID]]),"Invalid","Valid")</f>
        <v>Valid</v>
      </c>
      <c r="C547" s="3" t="str">
        <f>IF(COUNTA(Finance_Data!A543:R543)=18,"Valid","Missing")</f>
        <v>Valid</v>
      </c>
      <c r="D547" s="3" t="str">
        <f>IF(COUNTIF(Finance_Data!$T$2:$T$1001,Finance_Data!T543)&gt;1,"Duplicate","Valid")</f>
        <v>Valid</v>
      </c>
      <c r="E547" s="3" t="str">
        <f>IF(Finance_Data!H543&gt;Finance_Data!G543,"Valid","Invalid")</f>
        <v>Valid</v>
      </c>
      <c r="F547" s="3" t="str" cm="1">
        <f t="array" ref="F547">_xlfn.IFS(Finance_Data!S543&lt;7,"Short",Finance_Data!S543&lt;=30,"Normal",Finance_Data!S543&lt;=60,"Long",Finance_Data!S543&gt;60,"Very Long")</f>
        <v>Long</v>
      </c>
      <c r="G547" s="3" t="str">
        <f>IF(ABS(Finance_Data!I543*Finance_Data!J543)-Finance_Data!K543&lt;1,"Valid","Invalid")</f>
        <v>Valid</v>
      </c>
      <c r="H547" s="3" t="str">
        <f>IF(Finance_Data!L543&gt;0,"Valid","Invalid")</f>
        <v>Valid</v>
      </c>
      <c r="I547" s="3" t="str">
        <f>IF(Finance_Data!L543&gt;=Finance_Data!M543,"Valid","Invalid")</f>
        <v>Valid</v>
      </c>
      <c r="J547" s="3" t="str">
        <f>IF(AND(Finance_Data!I543&gt;=0,Finance_Data!K543&gt;=0),"Valid","Invalid")</f>
        <v>Valid</v>
      </c>
      <c r="K547" s="3" t="str">
        <f>IF(Finance_Data!N543&gt;=0,"Valid","Invalid")</f>
        <v>Valid</v>
      </c>
      <c r="L547" s="3" t="str">
        <f>IF(TEXT(Finance_Data!G543,"mmmm")=Finance_Data!P543,"Valid","Invalid")</f>
        <v>Valid</v>
      </c>
      <c r="M547" s="3" t="str">
        <f>IF("Q"&amp;ROUNDUP(MONTH(Finance_Data!G543)/3,0)=Finance_Data!Q543,"Valid","Invalid")</f>
        <v>Valid</v>
      </c>
      <c r="N547" s="7" t="str">
        <f t="shared" si="8"/>
        <v>Pass</v>
      </c>
    </row>
    <row r="548" spans="1:14" x14ac:dyDescent="0.35">
      <c r="A548" s="17" t="s">
        <v>50</v>
      </c>
      <c r="B548" s="3" t="str">
        <f>IF(ISBLANK(Table3[[#This Row],[Campaign_ID]]),"Invalid","Valid")</f>
        <v>Valid</v>
      </c>
      <c r="C548" s="3" t="str">
        <f>IF(COUNTA(Finance_Data!A544:R544)=18,"Valid","Missing")</f>
        <v>Valid</v>
      </c>
      <c r="D548" s="3" t="str">
        <f>IF(COUNTIF(Finance_Data!$T$2:$T$1001,Finance_Data!T544)&gt;1,"Duplicate","Valid")</f>
        <v>Valid</v>
      </c>
      <c r="E548" s="3" t="str">
        <f>IF(Finance_Data!H544&gt;Finance_Data!G544,"Valid","Invalid")</f>
        <v>Valid</v>
      </c>
      <c r="F548" s="3" t="str" cm="1">
        <f t="array" ref="F548">_xlfn.IFS(Finance_Data!S544&lt;7,"Short",Finance_Data!S544&lt;=30,"Normal",Finance_Data!S544&lt;=60,"Long",Finance_Data!S544&gt;60,"Very Long")</f>
        <v>Long</v>
      </c>
      <c r="G548" s="3" t="str">
        <f>IF(ABS(Finance_Data!I544*Finance_Data!J544)-Finance_Data!K544&lt;1,"Valid","Invalid")</f>
        <v>Valid</v>
      </c>
      <c r="H548" s="3" t="str">
        <f>IF(Finance_Data!L544&gt;0,"Valid","Invalid")</f>
        <v>Valid</v>
      </c>
      <c r="I548" s="3" t="str">
        <f>IF(Finance_Data!L544&gt;=Finance_Data!M544,"Valid","Invalid")</f>
        <v>Valid</v>
      </c>
      <c r="J548" s="3" t="str">
        <f>IF(AND(Finance_Data!I544&gt;=0,Finance_Data!K544&gt;=0),"Valid","Invalid")</f>
        <v>Valid</v>
      </c>
      <c r="K548" s="3" t="str">
        <f>IF(Finance_Data!N544&gt;=0,"Valid","Invalid")</f>
        <v>Valid</v>
      </c>
      <c r="L548" s="3" t="str">
        <f>IF(TEXT(Finance_Data!G544,"mmmm")=Finance_Data!P544,"Valid","Invalid")</f>
        <v>Valid</v>
      </c>
      <c r="M548" s="3" t="str">
        <f>IF("Q"&amp;ROUNDUP(MONTH(Finance_Data!G544)/3,0)=Finance_Data!Q544,"Valid","Invalid")</f>
        <v>Valid</v>
      </c>
      <c r="N548" s="7" t="str">
        <f t="shared" si="8"/>
        <v>Pass</v>
      </c>
    </row>
    <row r="549" spans="1:14" x14ac:dyDescent="0.35">
      <c r="A549" s="17" t="s">
        <v>62</v>
      </c>
      <c r="B549" s="3" t="str">
        <f>IF(ISBLANK(Table3[[#This Row],[Campaign_ID]]),"Invalid","Valid")</f>
        <v>Valid</v>
      </c>
      <c r="C549" s="3" t="str">
        <f>IF(COUNTA(Finance_Data!A545:R545)=18,"Valid","Missing")</f>
        <v>Valid</v>
      </c>
      <c r="D549" s="3" t="str">
        <f>IF(COUNTIF(Finance_Data!$T$2:$T$1001,Finance_Data!T545)&gt;1,"Duplicate","Valid")</f>
        <v>Valid</v>
      </c>
      <c r="E549" s="3" t="str">
        <f>IF(Finance_Data!H545&gt;Finance_Data!G545,"Valid","Invalid")</f>
        <v>Valid</v>
      </c>
      <c r="F549" s="3" t="str" cm="1">
        <f t="array" ref="F549">_xlfn.IFS(Finance_Data!S545&lt;7,"Short",Finance_Data!S545&lt;=30,"Normal",Finance_Data!S545&lt;=60,"Long",Finance_Data!S545&gt;60,"Very Long")</f>
        <v>Normal</v>
      </c>
      <c r="G549" s="3" t="str">
        <f>IF(ABS(Finance_Data!I545*Finance_Data!J545)-Finance_Data!K545&lt;1,"Valid","Invalid")</f>
        <v>Valid</v>
      </c>
      <c r="H549" s="3" t="str">
        <f>IF(Finance_Data!L545&gt;0,"Valid","Invalid")</f>
        <v>Valid</v>
      </c>
      <c r="I549" s="3" t="str">
        <f>IF(Finance_Data!L545&gt;=Finance_Data!M545,"Valid","Invalid")</f>
        <v>Valid</v>
      </c>
      <c r="J549" s="3" t="str">
        <f>IF(AND(Finance_Data!I545&gt;=0,Finance_Data!K545&gt;=0),"Valid","Invalid")</f>
        <v>Valid</v>
      </c>
      <c r="K549" s="3" t="str">
        <f>IF(Finance_Data!N545&gt;=0,"Valid","Invalid")</f>
        <v>Valid</v>
      </c>
      <c r="L549" s="3" t="str">
        <f>IF(TEXT(Finance_Data!G545,"mmmm")=Finance_Data!P545,"Valid","Invalid")</f>
        <v>Valid</v>
      </c>
      <c r="M549" s="3" t="str">
        <f>IF("Q"&amp;ROUNDUP(MONTH(Finance_Data!G545)/3,0)=Finance_Data!Q545,"Valid","Invalid")</f>
        <v>Valid</v>
      </c>
      <c r="N549" s="7" t="str">
        <f t="shared" si="8"/>
        <v>Pass</v>
      </c>
    </row>
    <row r="550" spans="1:14" x14ac:dyDescent="0.35">
      <c r="A550" s="17" t="s">
        <v>90</v>
      </c>
      <c r="B550" s="3" t="str">
        <f>IF(ISBLANK(Table3[[#This Row],[Campaign_ID]]),"Invalid","Valid")</f>
        <v>Valid</v>
      </c>
      <c r="C550" s="3" t="str">
        <f>IF(COUNTA(Finance_Data!A546:R546)=18,"Valid","Missing")</f>
        <v>Valid</v>
      </c>
      <c r="D550" s="3" t="str">
        <f>IF(COUNTIF(Finance_Data!$T$2:$T$1001,Finance_Data!T546)&gt;1,"Duplicate","Valid")</f>
        <v>Valid</v>
      </c>
      <c r="E550" s="3" t="str">
        <f>IF(Finance_Data!H546&gt;Finance_Data!G546,"Valid","Invalid")</f>
        <v>Valid</v>
      </c>
      <c r="F550" s="3" t="str" cm="1">
        <f t="array" ref="F550">_xlfn.IFS(Finance_Data!S546&lt;7,"Short",Finance_Data!S546&lt;=30,"Normal",Finance_Data!S546&lt;=60,"Long",Finance_Data!S546&gt;60,"Very Long")</f>
        <v>Long</v>
      </c>
      <c r="G550" s="3" t="str">
        <f>IF(ABS(Finance_Data!I546*Finance_Data!J546)-Finance_Data!K546&lt;1,"Valid","Invalid")</f>
        <v>Valid</v>
      </c>
      <c r="H550" s="3" t="str">
        <f>IF(Finance_Data!L546&gt;0,"Valid","Invalid")</f>
        <v>Valid</v>
      </c>
      <c r="I550" s="3" t="str">
        <f>IF(Finance_Data!L546&gt;=Finance_Data!M546,"Valid","Invalid")</f>
        <v>Valid</v>
      </c>
      <c r="J550" s="3" t="str">
        <f>IF(AND(Finance_Data!I546&gt;=0,Finance_Data!K546&gt;=0),"Valid","Invalid")</f>
        <v>Valid</v>
      </c>
      <c r="K550" s="3" t="str">
        <f>IF(Finance_Data!N546&gt;=0,"Valid","Invalid")</f>
        <v>Valid</v>
      </c>
      <c r="L550" s="3" t="str">
        <f>IF(TEXT(Finance_Data!G546,"mmmm")=Finance_Data!P546,"Valid","Invalid")</f>
        <v>Valid</v>
      </c>
      <c r="M550" s="3" t="str">
        <f>IF("Q"&amp;ROUNDUP(MONTH(Finance_Data!G546)/3,0)=Finance_Data!Q546,"Valid","Invalid")</f>
        <v>Valid</v>
      </c>
      <c r="N550" s="7" t="str">
        <f t="shared" si="8"/>
        <v>Pass</v>
      </c>
    </row>
    <row r="551" spans="1:14" x14ac:dyDescent="0.35">
      <c r="A551" s="17" t="s">
        <v>27</v>
      </c>
      <c r="B551" s="3" t="str">
        <f>IF(ISBLANK(Table3[[#This Row],[Campaign_ID]]),"Invalid","Valid")</f>
        <v>Valid</v>
      </c>
      <c r="C551" s="3" t="str">
        <f>IF(COUNTA(Finance_Data!A547:R547)=18,"Valid","Missing")</f>
        <v>Valid</v>
      </c>
      <c r="D551" s="3" t="str">
        <f>IF(COUNTIF(Finance_Data!$T$2:$T$1001,Finance_Data!T547)&gt;1,"Duplicate","Valid")</f>
        <v>Valid</v>
      </c>
      <c r="E551" s="3" t="str">
        <f>IF(Finance_Data!H547&gt;Finance_Data!G547,"Valid","Invalid")</f>
        <v>Valid</v>
      </c>
      <c r="F551" s="3" t="str" cm="1">
        <f t="array" ref="F551">_xlfn.IFS(Finance_Data!S547&lt;7,"Short",Finance_Data!S547&lt;=30,"Normal",Finance_Data!S547&lt;=60,"Long",Finance_Data!S547&gt;60,"Very Long")</f>
        <v>Normal</v>
      </c>
      <c r="G551" s="3" t="str">
        <f>IF(ABS(Finance_Data!I547*Finance_Data!J547)-Finance_Data!K547&lt;1,"Valid","Invalid")</f>
        <v>Valid</v>
      </c>
      <c r="H551" s="3" t="str">
        <f>IF(Finance_Data!L547&gt;0,"Valid","Invalid")</f>
        <v>Valid</v>
      </c>
      <c r="I551" s="3" t="str">
        <f>IF(Finance_Data!L547&gt;=Finance_Data!M547,"Valid","Invalid")</f>
        <v>Valid</v>
      </c>
      <c r="J551" s="3" t="str">
        <f>IF(AND(Finance_Data!I547&gt;=0,Finance_Data!K547&gt;=0),"Valid","Invalid")</f>
        <v>Valid</v>
      </c>
      <c r="K551" s="3" t="str">
        <f>IF(Finance_Data!N547&gt;=0,"Valid","Invalid")</f>
        <v>Valid</v>
      </c>
      <c r="L551" s="3" t="str">
        <f>IF(TEXT(Finance_Data!G547,"mmmm")=Finance_Data!P547,"Valid","Invalid")</f>
        <v>Valid</v>
      </c>
      <c r="M551" s="3" t="str">
        <f>IF("Q"&amp;ROUNDUP(MONTH(Finance_Data!G547)/3,0)=Finance_Data!Q547,"Valid","Invalid")</f>
        <v>Valid</v>
      </c>
      <c r="N551" s="7" t="str">
        <f t="shared" si="8"/>
        <v>Pass</v>
      </c>
    </row>
    <row r="552" spans="1:14" x14ac:dyDescent="0.35">
      <c r="A552" s="17" t="s">
        <v>78</v>
      </c>
      <c r="B552" s="3" t="str">
        <f>IF(ISBLANK(Table3[[#This Row],[Campaign_ID]]),"Invalid","Valid")</f>
        <v>Valid</v>
      </c>
      <c r="C552" s="3" t="str">
        <f>IF(COUNTA(Finance_Data!A548:R548)=18,"Valid","Missing")</f>
        <v>Valid</v>
      </c>
      <c r="D552" s="3" t="str">
        <f>IF(COUNTIF(Finance_Data!$T$2:$T$1001,Finance_Data!T548)&gt;1,"Duplicate","Valid")</f>
        <v>Valid</v>
      </c>
      <c r="E552" s="3" t="str">
        <f>IF(Finance_Data!H548&gt;Finance_Data!G548,"Valid","Invalid")</f>
        <v>Valid</v>
      </c>
      <c r="F552" s="3" t="str" cm="1">
        <f t="array" ref="F552">_xlfn.IFS(Finance_Data!S548&lt;7,"Short",Finance_Data!S548&lt;=30,"Normal",Finance_Data!S548&lt;=60,"Long",Finance_Data!S548&gt;60,"Very Long")</f>
        <v>Long</v>
      </c>
      <c r="G552" s="3" t="str">
        <f>IF(ABS(Finance_Data!I548*Finance_Data!J548)-Finance_Data!K548&lt;1,"Valid","Invalid")</f>
        <v>Valid</v>
      </c>
      <c r="H552" s="3" t="str">
        <f>IF(Finance_Data!L548&gt;0,"Valid","Invalid")</f>
        <v>Valid</v>
      </c>
      <c r="I552" s="3" t="str">
        <f>IF(Finance_Data!L548&gt;=Finance_Data!M548,"Valid","Invalid")</f>
        <v>Valid</v>
      </c>
      <c r="J552" s="3" t="str">
        <f>IF(AND(Finance_Data!I548&gt;=0,Finance_Data!K548&gt;=0),"Valid","Invalid")</f>
        <v>Valid</v>
      </c>
      <c r="K552" s="3" t="str">
        <f>IF(Finance_Data!N548&gt;=0,"Valid","Invalid")</f>
        <v>Valid</v>
      </c>
      <c r="L552" s="3" t="str">
        <f>IF(TEXT(Finance_Data!G548,"mmmm")=Finance_Data!P548,"Valid","Invalid")</f>
        <v>Valid</v>
      </c>
      <c r="M552" s="3" t="str">
        <f>IF("Q"&amp;ROUNDUP(MONTH(Finance_Data!G548)/3,0)=Finance_Data!Q548,"Valid","Invalid")</f>
        <v>Valid</v>
      </c>
      <c r="N552" s="7" t="str">
        <f t="shared" si="8"/>
        <v>Pass</v>
      </c>
    </row>
    <row r="553" spans="1:14" x14ac:dyDescent="0.35">
      <c r="A553" s="17" t="s">
        <v>95</v>
      </c>
      <c r="B553" s="3" t="str">
        <f>IF(ISBLANK(Table3[[#This Row],[Campaign_ID]]),"Invalid","Valid")</f>
        <v>Valid</v>
      </c>
      <c r="C553" s="3" t="str">
        <f>IF(COUNTA(Finance_Data!A549:R549)=18,"Valid","Missing")</f>
        <v>Valid</v>
      </c>
      <c r="D553" s="3" t="str">
        <f>IF(COUNTIF(Finance_Data!$T$2:$T$1001,Finance_Data!T549)&gt;1,"Duplicate","Valid")</f>
        <v>Valid</v>
      </c>
      <c r="E553" s="3" t="str">
        <f>IF(Finance_Data!H549&gt;Finance_Data!G549,"Valid","Invalid")</f>
        <v>Valid</v>
      </c>
      <c r="F553" s="3" t="str" cm="1">
        <f t="array" ref="F553">_xlfn.IFS(Finance_Data!S549&lt;7,"Short",Finance_Data!S549&lt;=30,"Normal",Finance_Data!S549&lt;=60,"Long",Finance_Data!S549&gt;60,"Very Long")</f>
        <v>Long</v>
      </c>
      <c r="G553" s="3" t="str">
        <f>IF(ABS(Finance_Data!I549*Finance_Data!J549)-Finance_Data!K549&lt;1,"Valid","Invalid")</f>
        <v>Valid</v>
      </c>
      <c r="H553" s="3" t="str">
        <f>IF(Finance_Data!L549&gt;0,"Valid","Invalid")</f>
        <v>Valid</v>
      </c>
      <c r="I553" s="3" t="str">
        <f>IF(Finance_Data!L549&gt;=Finance_Data!M549,"Valid","Invalid")</f>
        <v>Valid</v>
      </c>
      <c r="J553" s="3" t="str">
        <f>IF(AND(Finance_Data!I549&gt;=0,Finance_Data!K549&gt;=0),"Valid","Invalid")</f>
        <v>Valid</v>
      </c>
      <c r="K553" s="3" t="str">
        <f>IF(Finance_Data!N549&gt;=0,"Valid","Invalid")</f>
        <v>Valid</v>
      </c>
      <c r="L553" s="3" t="str">
        <f>IF(TEXT(Finance_Data!G549,"mmmm")=Finance_Data!P549,"Valid","Invalid")</f>
        <v>Valid</v>
      </c>
      <c r="M553" s="3" t="str">
        <f>IF("Q"&amp;ROUNDUP(MONTH(Finance_Data!G549)/3,0)=Finance_Data!Q549,"Valid","Invalid")</f>
        <v>Valid</v>
      </c>
      <c r="N553" s="7" t="str">
        <f t="shared" si="8"/>
        <v>Pass</v>
      </c>
    </row>
    <row r="554" spans="1:14" x14ac:dyDescent="0.35">
      <c r="A554" s="17" t="s">
        <v>89</v>
      </c>
      <c r="B554" s="3" t="str">
        <f>IF(ISBLANK(Table3[[#This Row],[Campaign_ID]]),"Invalid","Valid")</f>
        <v>Valid</v>
      </c>
      <c r="C554" s="3" t="str">
        <f>IF(COUNTA(Finance_Data!A550:R550)=18,"Valid","Missing")</f>
        <v>Valid</v>
      </c>
      <c r="D554" s="3" t="str">
        <f>IF(COUNTIF(Finance_Data!$T$2:$T$1001,Finance_Data!T550)&gt;1,"Duplicate","Valid")</f>
        <v>Valid</v>
      </c>
      <c r="E554" s="3" t="str">
        <f>IF(Finance_Data!H550&gt;Finance_Data!G550,"Valid","Invalid")</f>
        <v>Valid</v>
      </c>
      <c r="F554" s="3" t="str" cm="1">
        <f t="array" ref="F554">_xlfn.IFS(Finance_Data!S550&lt;7,"Short",Finance_Data!S550&lt;=30,"Normal",Finance_Data!S550&lt;=60,"Long",Finance_Data!S550&gt;60,"Very Long")</f>
        <v>Long</v>
      </c>
      <c r="G554" s="3" t="str">
        <f>IF(ABS(Finance_Data!I550*Finance_Data!J550)-Finance_Data!K550&lt;1,"Valid","Invalid")</f>
        <v>Valid</v>
      </c>
      <c r="H554" s="3" t="str">
        <f>IF(Finance_Data!L550&gt;0,"Valid","Invalid")</f>
        <v>Valid</v>
      </c>
      <c r="I554" s="3" t="str">
        <f>IF(Finance_Data!L550&gt;=Finance_Data!M550,"Valid","Invalid")</f>
        <v>Valid</v>
      </c>
      <c r="J554" s="3" t="str">
        <f>IF(AND(Finance_Data!I550&gt;=0,Finance_Data!K550&gt;=0),"Valid","Invalid")</f>
        <v>Valid</v>
      </c>
      <c r="K554" s="3" t="str">
        <f>IF(Finance_Data!N550&gt;=0,"Valid","Invalid")</f>
        <v>Valid</v>
      </c>
      <c r="L554" s="3" t="str">
        <f>IF(TEXT(Finance_Data!G550,"mmmm")=Finance_Data!P550,"Valid","Invalid")</f>
        <v>Valid</v>
      </c>
      <c r="M554" s="3" t="str">
        <f>IF("Q"&amp;ROUNDUP(MONTH(Finance_Data!G550)/3,0)=Finance_Data!Q550,"Valid","Invalid")</f>
        <v>Valid</v>
      </c>
      <c r="N554" s="7" t="str">
        <f t="shared" si="8"/>
        <v>Pass</v>
      </c>
    </row>
    <row r="555" spans="1:14" x14ac:dyDescent="0.35">
      <c r="A555" s="17" t="s">
        <v>18</v>
      </c>
      <c r="B555" s="3" t="str">
        <f>IF(ISBLANK(Table3[[#This Row],[Campaign_ID]]),"Invalid","Valid")</f>
        <v>Valid</v>
      </c>
      <c r="C555" s="3" t="str">
        <f>IF(COUNTA(Finance_Data!A551:R551)=18,"Valid","Missing")</f>
        <v>Valid</v>
      </c>
      <c r="D555" s="3" t="str">
        <f>IF(COUNTIF(Finance_Data!$T$2:$T$1001,Finance_Data!T551)&gt;1,"Duplicate","Valid")</f>
        <v>Valid</v>
      </c>
      <c r="E555" s="3" t="str">
        <f>IF(Finance_Data!H551&gt;Finance_Data!G551,"Valid","Invalid")</f>
        <v>Valid</v>
      </c>
      <c r="F555" s="3" t="str" cm="1">
        <f t="array" ref="F555">_xlfn.IFS(Finance_Data!S551&lt;7,"Short",Finance_Data!S551&lt;=30,"Normal",Finance_Data!S551&lt;=60,"Long",Finance_Data!S551&gt;60,"Very Long")</f>
        <v>Normal</v>
      </c>
      <c r="G555" s="3" t="str">
        <f>IF(ABS(Finance_Data!I551*Finance_Data!J551)-Finance_Data!K551&lt;1,"Valid","Invalid")</f>
        <v>Valid</v>
      </c>
      <c r="H555" s="3" t="str">
        <f>IF(Finance_Data!L551&gt;0,"Valid","Invalid")</f>
        <v>Valid</v>
      </c>
      <c r="I555" s="3" t="str">
        <f>IF(Finance_Data!L551&gt;=Finance_Data!M551,"Valid","Invalid")</f>
        <v>Invalid</v>
      </c>
      <c r="J555" s="3" t="str">
        <f>IF(AND(Finance_Data!I551&gt;=0,Finance_Data!K551&gt;=0),"Valid","Invalid")</f>
        <v>Valid</v>
      </c>
      <c r="K555" s="3" t="str">
        <f>IF(Finance_Data!N551&gt;=0,"Valid","Invalid")</f>
        <v>Valid</v>
      </c>
      <c r="L555" s="3" t="str">
        <f>IF(TEXT(Finance_Data!G551,"mmmm")=Finance_Data!P551,"Valid","Invalid")</f>
        <v>Valid</v>
      </c>
      <c r="M555" s="3" t="str">
        <f>IF("Q"&amp;ROUNDUP(MONTH(Finance_Data!G551)/3,0)=Finance_Data!Q551,"Valid","Invalid")</f>
        <v>Valid</v>
      </c>
      <c r="N555" s="7" t="str">
        <f t="shared" si="8"/>
        <v>Fail</v>
      </c>
    </row>
    <row r="556" spans="1:14" x14ac:dyDescent="0.35">
      <c r="A556" s="17" t="s">
        <v>104</v>
      </c>
      <c r="B556" s="3" t="str">
        <f>IF(ISBLANK(Table3[[#This Row],[Campaign_ID]]),"Invalid","Valid")</f>
        <v>Valid</v>
      </c>
      <c r="C556" s="3" t="str">
        <f>IF(COUNTA(Finance_Data!A552:R552)=18,"Valid","Missing")</f>
        <v>Valid</v>
      </c>
      <c r="D556" s="3" t="str">
        <f>IF(COUNTIF(Finance_Data!$T$2:$T$1001,Finance_Data!T552)&gt;1,"Duplicate","Valid")</f>
        <v>Valid</v>
      </c>
      <c r="E556" s="3" t="str">
        <f>IF(Finance_Data!H552&gt;Finance_Data!G552,"Valid","Invalid")</f>
        <v>Valid</v>
      </c>
      <c r="F556" s="3" t="str" cm="1">
        <f t="array" ref="F556">_xlfn.IFS(Finance_Data!S552&lt;7,"Short",Finance_Data!S552&lt;=30,"Normal",Finance_Data!S552&lt;=60,"Long",Finance_Data!S552&gt;60,"Very Long")</f>
        <v>Long</v>
      </c>
      <c r="G556" s="3" t="str">
        <f>IF(ABS(Finance_Data!I552*Finance_Data!J552)-Finance_Data!K552&lt;1,"Valid","Invalid")</f>
        <v>Valid</v>
      </c>
      <c r="H556" s="3" t="str">
        <f>IF(Finance_Data!L552&gt;0,"Valid","Invalid")</f>
        <v>Valid</v>
      </c>
      <c r="I556" s="3" t="str">
        <f>IF(Finance_Data!L552&gt;=Finance_Data!M552,"Valid","Invalid")</f>
        <v>Valid</v>
      </c>
      <c r="J556" s="3" t="str">
        <f>IF(AND(Finance_Data!I552&gt;=0,Finance_Data!K552&gt;=0),"Valid","Invalid")</f>
        <v>Valid</v>
      </c>
      <c r="K556" s="3" t="str">
        <f>IF(Finance_Data!N552&gt;=0,"Valid","Invalid")</f>
        <v>Valid</v>
      </c>
      <c r="L556" s="3" t="str">
        <f>IF(TEXT(Finance_Data!G552,"mmmm")=Finance_Data!P552,"Valid","Invalid")</f>
        <v>Valid</v>
      </c>
      <c r="M556" s="3" t="str">
        <f>IF("Q"&amp;ROUNDUP(MONTH(Finance_Data!G552)/3,0)=Finance_Data!Q552,"Valid","Invalid")</f>
        <v>Valid</v>
      </c>
      <c r="N556" s="7" t="str">
        <f t="shared" si="8"/>
        <v>Pass</v>
      </c>
    </row>
    <row r="557" spans="1:14" x14ac:dyDescent="0.35">
      <c r="A557" s="17" t="s">
        <v>92</v>
      </c>
      <c r="B557" s="3" t="str">
        <f>IF(ISBLANK(Table3[[#This Row],[Campaign_ID]]),"Invalid","Valid")</f>
        <v>Valid</v>
      </c>
      <c r="C557" s="3" t="str">
        <f>IF(COUNTA(Finance_Data!A553:R553)=18,"Valid","Missing")</f>
        <v>Valid</v>
      </c>
      <c r="D557" s="3" t="str">
        <f>IF(COUNTIF(Finance_Data!$T$2:$T$1001,Finance_Data!T553)&gt;1,"Duplicate","Valid")</f>
        <v>Valid</v>
      </c>
      <c r="E557" s="3" t="str">
        <f>IF(Finance_Data!H553&gt;Finance_Data!G553,"Valid","Invalid")</f>
        <v>Valid</v>
      </c>
      <c r="F557" s="3" t="str" cm="1">
        <f t="array" ref="F557">_xlfn.IFS(Finance_Data!S553&lt;7,"Short",Finance_Data!S553&lt;=30,"Normal",Finance_Data!S553&lt;=60,"Long",Finance_Data!S553&gt;60,"Very Long")</f>
        <v>Normal</v>
      </c>
      <c r="G557" s="3" t="str">
        <f>IF(ABS(Finance_Data!I553*Finance_Data!J553)-Finance_Data!K553&lt;1,"Valid","Invalid")</f>
        <v>Valid</v>
      </c>
      <c r="H557" s="3" t="str">
        <f>IF(Finance_Data!L553&gt;0,"Valid","Invalid")</f>
        <v>Valid</v>
      </c>
      <c r="I557" s="3" t="str">
        <f>IF(Finance_Data!L553&gt;=Finance_Data!M553,"Valid","Invalid")</f>
        <v>Valid</v>
      </c>
      <c r="J557" s="3" t="str">
        <f>IF(AND(Finance_Data!I553&gt;=0,Finance_Data!K553&gt;=0),"Valid","Invalid")</f>
        <v>Valid</v>
      </c>
      <c r="K557" s="3" t="str">
        <f>IF(Finance_Data!N553&gt;=0,"Valid","Invalid")</f>
        <v>Valid</v>
      </c>
      <c r="L557" s="3" t="str">
        <f>IF(TEXT(Finance_Data!G553,"mmmm")=Finance_Data!P553,"Valid","Invalid")</f>
        <v>Valid</v>
      </c>
      <c r="M557" s="3" t="str">
        <f>IF("Q"&amp;ROUNDUP(MONTH(Finance_Data!G553)/3,0)=Finance_Data!Q553,"Valid","Invalid")</f>
        <v>Valid</v>
      </c>
      <c r="N557" s="7" t="str">
        <f t="shared" si="8"/>
        <v>Pass</v>
      </c>
    </row>
    <row r="558" spans="1:14" x14ac:dyDescent="0.35">
      <c r="A558" s="17" t="s">
        <v>70</v>
      </c>
      <c r="B558" s="3" t="str">
        <f>IF(ISBLANK(Table3[[#This Row],[Campaign_ID]]),"Invalid","Valid")</f>
        <v>Valid</v>
      </c>
      <c r="C558" s="3" t="str">
        <f>IF(COUNTA(Finance_Data!A554:R554)=18,"Valid","Missing")</f>
        <v>Valid</v>
      </c>
      <c r="D558" s="3" t="str">
        <f>IF(COUNTIF(Finance_Data!$T$2:$T$1001,Finance_Data!T554)&gt;1,"Duplicate","Valid")</f>
        <v>Valid</v>
      </c>
      <c r="E558" s="3" t="str">
        <f>IF(Finance_Data!H554&gt;Finance_Data!G554,"Valid","Invalid")</f>
        <v>Valid</v>
      </c>
      <c r="F558" s="3" t="str" cm="1">
        <f t="array" ref="F558">_xlfn.IFS(Finance_Data!S554&lt;7,"Short",Finance_Data!S554&lt;=30,"Normal",Finance_Data!S554&lt;=60,"Long",Finance_Data!S554&gt;60,"Very Long")</f>
        <v>Normal</v>
      </c>
      <c r="G558" s="3" t="str">
        <f>IF(ABS(Finance_Data!I554*Finance_Data!J554)-Finance_Data!K554&lt;1,"Valid","Invalid")</f>
        <v>Valid</v>
      </c>
      <c r="H558" s="3" t="str">
        <f>IF(Finance_Data!L554&gt;0,"Valid","Invalid")</f>
        <v>Valid</v>
      </c>
      <c r="I558" s="3" t="str">
        <f>IF(Finance_Data!L554&gt;=Finance_Data!M554,"Valid","Invalid")</f>
        <v>Valid</v>
      </c>
      <c r="J558" s="3" t="str">
        <f>IF(AND(Finance_Data!I554&gt;=0,Finance_Data!K554&gt;=0),"Valid","Invalid")</f>
        <v>Valid</v>
      </c>
      <c r="K558" s="3" t="str">
        <f>IF(Finance_Data!N554&gt;=0,"Valid","Invalid")</f>
        <v>Valid</v>
      </c>
      <c r="L558" s="3" t="str">
        <f>IF(TEXT(Finance_Data!G554,"mmmm")=Finance_Data!P554,"Valid","Invalid")</f>
        <v>Valid</v>
      </c>
      <c r="M558" s="3" t="str">
        <f>IF("Q"&amp;ROUNDUP(MONTH(Finance_Data!G554)/3,0)=Finance_Data!Q554,"Valid","Invalid")</f>
        <v>Valid</v>
      </c>
      <c r="N558" s="7" t="str">
        <f t="shared" si="8"/>
        <v>Pass</v>
      </c>
    </row>
    <row r="559" spans="1:14" x14ac:dyDescent="0.35">
      <c r="A559" s="17" t="s">
        <v>86</v>
      </c>
      <c r="B559" s="3" t="str">
        <f>IF(ISBLANK(Table3[[#This Row],[Campaign_ID]]),"Invalid","Valid")</f>
        <v>Valid</v>
      </c>
      <c r="C559" s="3" t="str">
        <f>IF(COUNTA(Finance_Data!A555:R555)=18,"Valid","Missing")</f>
        <v>Valid</v>
      </c>
      <c r="D559" s="3" t="str">
        <f>IF(COUNTIF(Finance_Data!$T$2:$T$1001,Finance_Data!T555)&gt;1,"Duplicate","Valid")</f>
        <v>Valid</v>
      </c>
      <c r="E559" s="3" t="str">
        <f>IF(Finance_Data!H555&gt;Finance_Data!G555,"Valid","Invalid")</f>
        <v>Valid</v>
      </c>
      <c r="F559" s="3" t="str" cm="1">
        <f t="array" ref="F559">_xlfn.IFS(Finance_Data!S555&lt;7,"Short",Finance_Data!S555&lt;=30,"Normal",Finance_Data!S555&lt;=60,"Long",Finance_Data!S555&gt;60,"Very Long")</f>
        <v>Normal</v>
      </c>
      <c r="G559" s="3" t="str">
        <f>IF(ABS(Finance_Data!I555*Finance_Data!J555)-Finance_Data!K555&lt;1,"Valid","Invalid")</f>
        <v>Valid</v>
      </c>
      <c r="H559" s="3" t="str">
        <f>IF(Finance_Data!L555&gt;0,"Valid","Invalid")</f>
        <v>Valid</v>
      </c>
      <c r="I559" s="3" t="str">
        <f>IF(Finance_Data!L555&gt;=Finance_Data!M555,"Valid","Invalid")</f>
        <v>Valid</v>
      </c>
      <c r="J559" s="3" t="str">
        <f>IF(AND(Finance_Data!I555&gt;=0,Finance_Data!K555&gt;=0),"Valid","Invalid")</f>
        <v>Valid</v>
      </c>
      <c r="K559" s="3" t="str">
        <f>IF(Finance_Data!N555&gt;=0,"Valid","Invalid")</f>
        <v>Valid</v>
      </c>
      <c r="L559" s="3" t="str">
        <f>IF(TEXT(Finance_Data!G555,"mmmm")=Finance_Data!P555,"Valid","Invalid")</f>
        <v>Valid</v>
      </c>
      <c r="M559" s="3" t="str">
        <f>IF("Q"&amp;ROUNDUP(MONTH(Finance_Data!G555)/3,0)=Finance_Data!Q555,"Valid","Invalid")</f>
        <v>Valid</v>
      </c>
      <c r="N559" s="7" t="str">
        <f t="shared" si="8"/>
        <v>Pass</v>
      </c>
    </row>
    <row r="560" spans="1:14" x14ac:dyDescent="0.35">
      <c r="A560" s="17" t="s">
        <v>107</v>
      </c>
      <c r="B560" s="3" t="str">
        <f>IF(ISBLANK(Table3[[#This Row],[Campaign_ID]]),"Invalid","Valid")</f>
        <v>Valid</v>
      </c>
      <c r="C560" s="3" t="str">
        <f>IF(COUNTA(Finance_Data!A556:R556)=18,"Valid","Missing")</f>
        <v>Valid</v>
      </c>
      <c r="D560" s="3" t="str">
        <f>IF(COUNTIF(Finance_Data!$T$2:$T$1001,Finance_Data!T556)&gt;1,"Duplicate","Valid")</f>
        <v>Valid</v>
      </c>
      <c r="E560" s="3" t="str">
        <f>IF(Finance_Data!H556&gt;Finance_Data!G556,"Valid","Invalid")</f>
        <v>Valid</v>
      </c>
      <c r="F560" s="3" t="str" cm="1">
        <f t="array" ref="F560">_xlfn.IFS(Finance_Data!S556&lt;7,"Short",Finance_Data!S556&lt;=30,"Normal",Finance_Data!S556&lt;=60,"Long",Finance_Data!S556&gt;60,"Very Long")</f>
        <v>Normal</v>
      </c>
      <c r="G560" s="3" t="str">
        <f>IF(ABS(Finance_Data!I556*Finance_Data!J556)-Finance_Data!K556&lt;1,"Valid","Invalid")</f>
        <v>Valid</v>
      </c>
      <c r="H560" s="3" t="str">
        <f>IF(Finance_Data!L556&gt;0,"Valid","Invalid")</f>
        <v>Valid</v>
      </c>
      <c r="I560" s="3" t="str">
        <f>IF(Finance_Data!L556&gt;=Finance_Data!M556,"Valid","Invalid")</f>
        <v>Valid</v>
      </c>
      <c r="J560" s="3" t="str">
        <f>IF(AND(Finance_Data!I556&gt;=0,Finance_Data!K556&gt;=0),"Valid","Invalid")</f>
        <v>Valid</v>
      </c>
      <c r="K560" s="3" t="str">
        <f>IF(Finance_Data!N556&gt;=0,"Valid","Invalid")</f>
        <v>Valid</v>
      </c>
      <c r="L560" s="3" t="str">
        <f>IF(TEXT(Finance_Data!G556,"mmmm")=Finance_Data!P556,"Valid","Invalid")</f>
        <v>Valid</v>
      </c>
      <c r="M560" s="3" t="str">
        <f>IF("Q"&amp;ROUNDUP(MONTH(Finance_Data!G556)/3,0)=Finance_Data!Q556,"Valid","Invalid")</f>
        <v>Valid</v>
      </c>
      <c r="N560" s="7" t="str">
        <f t="shared" si="8"/>
        <v>Pass</v>
      </c>
    </row>
    <row r="561" spans="1:14" x14ac:dyDescent="0.35">
      <c r="A561" s="17" t="s">
        <v>78</v>
      </c>
      <c r="B561" s="3" t="str">
        <f>IF(ISBLANK(Table3[[#This Row],[Campaign_ID]]),"Invalid","Valid")</f>
        <v>Valid</v>
      </c>
      <c r="C561" s="3" t="str">
        <f>IF(COUNTA(Finance_Data!A557:R557)=18,"Valid","Missing")</f>
        <v>Valid</v>
      </c>
      <c r="D561" s="3" t="str">
        <f>IF(COUNTIF(Finance_Data!$T$2:$T$1001,Finance_Data!T557)&gt;1,"Duplicate","Valid")</f>
        <v>Valid</v>
      </c>
      <c r="E561" s="3" t="str">
        <f>IF(Finance_Data!H557&gt;Finance_Data!G557,"Valid","Invalid")</f>
        <v>Valid</v>
      </c>
      <c r="F561" s="3" t="str" cm="1">
        <f t="array" ref="F561">_xlfn.IFS(Finance_Data!S557&lt;7,"Short",Finance_Data!S557&lt;=30,"Normal",Finance_Data!S557&lt;=60,"Long",Finance_Data!S557&gt;60,"Very Long")</f>
        <v>Long</v>
      </c>
      <c r="G561" s="3" t="str">
        <f>IF(ABS(Finance_Data!I557*Finance_Data!J557)-Finance_Data!K557&lt;1,"Valid","Invalid")</f>
        <v>Valid</v>
      </c>
      <c r="H561" s="3" t="str">
        <f>IF(Finance_Data!L557&gt;0,"Valid","Invalid")</f>
        <v>Valid</v>
      </c>
      <c r="I561" s="3" t="str">
        <f>IF(Finance_Data!L557&gt;=Finance_Data!M557,"Valid","Invalid")</f>
        <v>Valid</v>
      </c>
      <c r="J561" s="3" t="str">
        <f>IF(AND(Finance_Data!I557&gt;=0,Finance_Data!K557&gt;=0),"Valid","Invalid")</f>
        <v>Valid</v>
      </c>
      <c r="K561" s="3" t="str">
        <f>IF(Finance_Data!N557&gt;=0,"Valid","Invalid")</f>
        <v>Valid</v>
      </c>
      <c r="L561" s="3" t="str">
        <f>IF(TEXT(Finance_Data!G557,"mmmm")=Finance_Data!P557,"Valid","Invalid")</f>
        <v>Valid</v>
      </c>
      <c r="M561" s="3" t="str">
        <f>IF("Q"&amp;ROUNDUP(MONTH(Finance_Data!G557)/3,0)=Finance_Data!Q557,"Valid","Invalid")</f>
        <v>Valid</v>
      </c>
      <c r="N561" s="7" t="str">
        <f t="shared" si="8"/>
        <v>Pass</v>
      </c>
    </row>
    <row r="562" spans="1:14" x14ac:dyDescent="0.35">
      <c r="A562" s="17" t="s">
        <v>82</v>
      </c>
      <c r="B562" s="3" t="str">
        <f>IF(ISBLANK(Table3[[#This Row],[Campaign_ID]]),"Invalid","Valid")</f>
        <v>Valid</v>
      </c>
      <c r="C562" s="3" t="str">
        <f>IF(COUNTA(Finance_Data!A558:R558)=18,"Valid","Missing")</f>
        <v>Valid</v>
      </c>
      <c r="D562" s="3" t="str">
        <f>IF(COUNTIF(Finance_Data!$T$2:$T$1001,Finance_Data!T558)&gt;1,"Duplicate","Valid")</f>
        <v>Valid</v>
      </c>
      <c r="E562" s="3" t="str">
        <f>IF(Finance_Data!H558&gt;Finance_Data!G558,"Valid","Invalid")</f>
        <v>Valid</v>
      </c>
      <c r="F562" s="3" t="str" cm="1">
        <f t="array" ref="F562">_xlfn.IFS(Finance_Data!S558&lt;7,"Short",Finance_Data!S558&lt;=30,"Normal",Finance_Data!S558&lt;=60,"Long",Finance_Data!S558&gt;60,"Very Long")</f>
        <v>Normal</v>
      </c>
      <c r="G562" s="3" t="str">
        <f>IF(ABS(Finance_Data!I558*Finance_Data!J558)-Finance_Data!K558&lt;1,"Valid","Invalid")</f>
        <v>Valid</v>
      </c>
      <c r="H562" s="3" t="str">
        <f>IF(Finance_Data!L558&gt;0,"Valid","Invalid")</f>
        <v>Valid</v>
      </c>
      <c r="I562" s="3" t="str">
        <f>IF(Finance_Data!L558&gt;=Finance_Data!M558,"Valid","Invalid")</f>
        <v>Valid</v>
      </c>
      <c r="J562" s="3" t="str">
        <f>IF(AND(Finance_Data!I558&gt;=0,Finance_Data!K558&gt;=0),"Valid","Invalid")</f>
        <v>Valid</v>
      </c>
      <c r="K562" s="3" t="str">
        <f>IF(Finance_Data!N558&gt;=0,"Valid","Invalid")</f>
        <v>Valid</v>
      </c>
      <c r="L562" s="3" t="str">
        <f>IF(TEXT(Finance_Data!G558,"mmmm")=Finance_Data!P558,"Valid","Invalid")</f>
        <v>Valid</v>
      </c>
      <c r="M562" s="3" t="str">
        <f>IF("Q"&amp;ROUNDUP(MONTH(Finance_Data!G558)/3,0)=Finance_Data!Q558,"Valid","Invalid")</f>
        <v>Valid</v>
      </c>
      <c r="N562" s="7" t="str">
        <f t="shared" si="8"/>
        <v>Pass</v>
      </c>
    </row>
    <row r="563" spans="1:14" x14ac:dyDescent="0.35">
      <c r="A563" s="17" t="s">
        <v>98</v>
      </c>
      <c r="B563" s="3" t="str">
        <f>IF(ISBLANK(Table3[[#This Row],[Campaign_ID]]),"Invalid","Valid")</f>
        <v>Valid</v>
      </c>
      <c r="C563" s="3" t="str">
        <f>IF(COUNTA(Finance_Data!A559:R559)=18,"Valid","Missing")</f>
        <v>Valid</v>
      </c>
      <c r="D563" s="3" t="str">
        <f>IF(COUNTIF(Finance_Data!$T$2:$T$1001,Finance_Data!T559)&gt;1,"Duplicate","Valid")</f>
        <v>Valid</v>
      </c>
      <c r="E563" s="3" t="str">
        <f>IF(Finance_Data!H559&gt;Finance_Data!G559,"Valid","Invalid")</f>
        <v>Valid</v>
      </c>
      <c r="F563" s="3" t="str" cm="1">
        <f t="array" ref="F563">_xlfn.IFS(Finance_Data!S559&lt;7,"Short",Finance_Data!S559&lt;=30,"Normal",Finance_Data!S559&lt;=60,"Long",Finance_Data!S559&gt;60,"Very Long")</f>
        <v>Long</v>
      </c>
      <c r="G563" s="3" t="str">
        <f>IF(ABS(Finance_Data!I559*Finance_Data!J559)-Finance_Data!K559&lt;1,"Valid","Invalid")</f>
        <v>Valid</v>
      </c>
      <c r="H563" s="3" t="str">
        <f>IF(Finance_Data!L559&gt;0,"Valid","Invalid")</f>
        <v>Valid</v>
      </c>
      <c r="I563" s="3" t="str">
        <f>IF(Finance_Data!L559&gt;=Finance_Data!M559,"Valid","Invalid")</f>
        <v>Valid</v>
      </c>
      <c r="J563" s="3" t="str">
        <f>IF(AND(Finance_Data!I559&gt;=0,Finance_Data!K559&gt;=0),"Valid","Invalid")</f>
        <v>Valid</v>
      </c>
      <c r="K563" s="3" t="str">
        <f>IF(Finance_Data!N559&gt;=0,"Valid","Invalid")</f>
        <v>Valid</v>
      </c>
      <c r="L563" s="3" t="str">
        <f>IF(TEXT(Finance_Data!G559,"mmmm")=Finance_Data!P559,"Valid","Invalid")</f>
        <v>Valid</v>
      </c>
      <c r="M563" s="3" t="str">
        <f>IF("Q"&amp;ROUNDUP(MONTH(Finance_Data!G559)/3,0)=Finance_Data!Q559,"Valid","Invalid")</f>
        <v>Valid</v>
      </c>
      <c r="N563" s="7" t="str">
        <f t="shared" si="8"/>
        <v>Pass</v>
      </c>
    </row>
    <row r="564" spans="1:14" x14ac:dyDescent="0.35">
      <c r="A564" s="17" t="s">
        <v>114</v>
      </c>
      <c r="B564" s="3" t="str">
        <f>IF(ISBLANK(Table3[[#This Row],[Campaign_ID]]),"Invalid","Valid")</f>
        <v>Valid</v>
      </c>
      <c r="C564" s="3" t="str">
        <f>IF(COUNTA(Finance_Data!A560:R560)=18,"Valid","Missing")</f>
        <v>Valid</v>
      </c>
      <c r="D564" s="3" t="str">
        <f>IF(COUNTIF(Finance_Data!$T$2:$T$1001,Finance_Data!T560)&gt;1,"Duplicate","Valid")</f>
        <v>Valid</v>
      </c>
      <c r="E564" s="3" t="str">
        <f>IF(Finance_Data!H560&gt;Finance_Data!G560,"Valid","Invalid")</f>
        <v>Valid</v>
      </c>
      <c r="F564" s="3" t="str" cm="1">
        <f t="array" ref="F564">_xlfn.IFS(Finance_Data!S560&lt;7,"Short",Finance_Data!S560&lt;=30,"Normal",Finance_Data!S560&lt;=60,"Long",Finance_Data!S560&gt;60,"Very Long")</f>
        <v>Normal</v>
      </c>
      <c r="G564" s="3" t="str">
        <f>IF(ABS(Finance_Data!I560*Finance_Data!J560)-Finance_Data!K560&lt;1,"Valid","Invalid")</f>
        <v>Valid</v>
      </c>
      <c r="H564" s="3" t="str">
        <f>IF(Finance_Data!L560&gt;0,"Valid","Invalid")</f>
        <v>Valid</v>
      </c>
      <c r="I564" s="3" t="str">
        <f>IF(Finance_Data!L560&gt;=Finance_Data!M560,"Valid","Invalid")</f>
        <v>Valid</v>
      </c>
      <c r="J564" s="3" t="str">
        <f>IF(AND(Finance_Data!I560&gt;=0,Finance_Data!K560&gt;=0),"Valid","Invalid")</f>
        <v>Valid</v>
      </c>
      <c r="K564" s="3" t="str">
        <f>IF(Finance_Data!N560&gt;=0,"Valid","Invalid")</f>
        <v>Valid</v>
      </c>
      <c r="L564" s="3" t="str">
        <f>IF(TEXT(Finance_Data!G560,"mmmm")=Finance_Data!P560,"Valid","Invalid")</f>
        <v>Valid</v>
      </c>
      <c r="M564" s="3" t="str">
        <f>IF("Q"&amp;ROUNDUP(MONTH(Finance_Data!G560)/3,0)=Finance_Data!Q560,"Valid","Invalid")</f>
        <v>Valid</v>
      </c>
      <c r="N564" s="7" t="str">
        <f t="shared" si="8"/>
        <v>Pass</v>
      </c>
    </row>
    <row r="565" spans="1:14" x14ac:dyDescent="0.35">
      <c r="A565" s="17" t="s">
        <v>87</v>
      </c>
      <c r="B565" s="3" t="str">
        <f>IF(ISBLANK(Table3[[#This Row],[Campaign_ID]]),"Invalid","Valid")</f>
        <v>Valid</v>
      </c>
      <c r="C565" s="3" t="str">
        <f>IF(COUNTA(Finance_Data!A561:R561)=18,"Valid","Missing")</f>
        <v>Valid</v>
      </c>
      <c r="D565" s="3" t="str">
        <f>IF(COUNTIF(Finance_Data!$T$2:$T$1001,Finance_Data!T561)&gt;1,"Duplicate","Valid")</f>
        <v>Valid</v>
      </c>
      <c r="E565" s="3" t="str">
        <f>IF(Finance_Data!H561&gt;Finance_Data!G561,"Valid","Invalid")</f>
        <v>Valid</v>
      </c>
      <c r="F565" s="3" t="str" cm="1">
        <f t="array" ref="F565">_xlfn.IFS(Finance_Data!S561&lt;7,"Short",Finance_Data!S561&lt;=30,"Normal",Finance_Data!S561&lt;=60,"Long",Finance_Data!S561&gt;60,"Very Long")</f>
        <v>Long</v>
      </c>
      <c r="G565" s="3" t="str">
        <f>IF(ABS(Finance_Data!I561*Finance_Data!J561)-Finance_Data!K561&lt;1,"Valid","Invalid")</f>
        <v>Valid</v>
      </c>
      <c r="H565" s="3" t="str">
        <f>IF(Finance_Data!L561&gt;0,"Valid","Invalid")</f>
        <v>Valid</v>
      </c>
      <c r="I565" s="3" t="str">
        <f>IF(Finance_Data!L561&gt;=Finance_Data!M561,"Valid","Invalid")</f>
        <v>Valid</v>
      </c>
      <c r="J565" s="3" t="str">
        <f>IF(AND(Finance_Data!I561&gt;=0,Finance_Data!K561&gt;=0),"Valid","Invalid")</f>
        <v>Valid</v>
      </c>
      <c r="K565" s="3" t="str">
        <f>IF(Finance_Data!N561&gt;=0,"Valid","Invalid")</f>
        <v>Valid</v>
      </c>
      <c r="L565" s="3" t="str">
        <f>IF(TEXT(Finance_Data!G561,"mmmm")=Finance_Data!P561,"Valid","Invalid")</f>
        <v>Valid</v>
      </c>
      <c r="M565" s="3" t="str">
        <f>IF("Q"&amp;ROUNDUP(MONTH(Finance_Data!G561)/3,0)=Finance_Data!Q561,"Valid","Invalid")</f>
        <v>Valid</v>
      </c>
      <c r="N565" s="7" t="str">
        <f t="shared" si="8"/>
        <v>Pass</v>
      </c>
    </row>
    <row r="566" spans="1:14" x14ac:dyDescent="0.35">
      <c r="A566" s="17" t="s">
        <v>57</v>
      </c>
      <c r="B566" s="3" t="str">
        <f>IF(ISBLANK(Table3[[#This Row],[Campaign_ID]]),"Invalid","Valid")</f>
        <v>Valid</v>
      </c>
      <c r="C566" s="3" t="str">
        <f>IF(COUNTA(Finance_Data!A562:R562)=18,"Valid","Missing")</f>
        <v>Valid</v>
      </c>
      <c r="D566" s="3" t="str">
        <f>IF(COUNTIF(Finance_Data!$T$2:$T$1001,Finance_Data!T562)&gt;1,"Duplicate","Valid")</f>
        <v>Valid</v>
      </c>
      <c r="E566" s="3" t="str">
        <f>IF(Finance_Data!H562&gt;Finance_Data!G562,"Valid","Invalid")</f>
        <v>Valid</v>
      </c>
      <c r="F566" s="3" t="str" cm="1">
        <f t="array" ref="F566">_xlfn.IFS(Finance_Data!S562&lt;7,"Short",Finance_Data!S562&lt;=30,"Normal",Finance_Data!S562&lt;=60,"Long",Finance_Data!S562&gt;60,"Very Long")</f>
        <v>Normal</v>
      </c>
      <c r="G566" s="3" t="str">
        <f>IF(ABS(Finance_Data!I562*Finance_Data!J562)-Finance_Data!K562&lt;1,"Valid","Invalid")</f>
        <v>Valid</v>
      </c>
      <c r="H566" s="3" t="str">
        <f>IF(Finance_Data!L562&gt;0,"Valid","Invalid")</f>
        <v>Valid</v>
      </c>
      <c r="I566" s="3" t="str">
        <f>IF(Finance_Data!L562&gt;=Finance_Data!M562,"Valid","Invalid")</f>
        <v>Valid</v>
      </c>
      <c r="J566" s="3" t="str">
        <f>IF(AND(Finance_Data!I562&gt;=0,Finance_Data!K562&gt;=0),"Valid","Invalid")</f>
        <v>Valid</v>
      </c>
      <c r="K566" s="3" t="str">
        <f>IF(Finance_Data!N562&gt;=0,"Valid","Invalid")</f>
        <v>Valid</v>
      </c>
      <c r="L566" s="3" t="str">
        <f>IF(TEXT(Finance_Data!G562,"mmmm")=Finance_Data!P562,"Valid","Invalid")</f>
        <v>Valid</v>
      </c>
      <c r="M566" s="3" t="str">
        <f>IF("Q"&amp;ROUNDUP(MONTH(Finance_Data!G562)/3,0)=Finance_Data!Q562,"Valid","Invalid")</f>
        <v>Valid</v>
      </c>
      <c r="N566" s="7" t="str">
        <f t="shared" si="8"/>
        <v>Pass</v>
      </c>
    </row>
    <row r="567" spans="1:14" x14ac:dyDescent="0.35">
      <c r="A567" s="17" t="s">
        <v>110</v>
      </c>
      <c r="B567" s="3" t="str">
        <f>IF(ISBLANK(Table3[[#This Row],[Campaign_ID]]),"Invalid","Valid")</f>
        <v>Valid</v>
      </c>
      <c r="C567" s="3" t="str">
        <f>IF(COUNTA(Finance_Data!A563:R563)=18,"Valid","Missing")</f>
        <v>Valid</v>
      </c>
      <c r="D567" s="3" t="str">
        <f>IF(COUNTIF(Finance_Data!$T$2:$T$1001,Finance_Data!T563)&gt;1,"Duplicate","Valid")</f>
        <v>Valid</v>
      </c>
      <c r="E567" s="3" t="str">
        <f>IF(Finance_Data!H563&gt;Finance_Data!G563,"Valid","Invalid")</f>
        <v>Valid</v>
      </c>
      <c r="F567" s="3" t="str" cm="1">
        <f t="array" ref="F567">_xlfn.IFS(Finance_Data!S563&lt;7,"Short",Finance_Data!S563&lt;=30,"Normal",Finance_Data!S563&lt;=60,"Long",Finance_Data!S563&gt;60,"Very Long")</f>
        <v>Long</v>
      </c>
      <c r="G567" s="3" t="str">
        <f>IF(ABS(Finance_Data!I563*Finance_Data!J563)-Finance_Data!K563&lt;1,"Valid","Invalid")</f>
        <v>Valid</v>
      </c>
      <c r="H567" s="3" t="str">
        <f>IF(Finance_Data!L563&gt;0,"Valid","Invalid")</f>
        <v>Valid</v>
      </c>
      <c r="I567" s="3" t="str">
        <f>IF(Finance_Data!L563&gt;=Finance_Data!M563,"Valid","Invalid")</f>
        <v>Valid</v>
      </c>
      <c r="J567" s="3" t="str">
        <f>IF(AND(Finance_Data!I563&gt;=0,Finance_Data!K563&gt;=0),"Valid","Invalid")</f>
        <v>Valid</v>
      </c>
      <c r="K567" s="3" t="str">
        <f>IF(Finance_Data!N563&gt;=0,"Valid","Invalid")</f>
        <v>Valid</v>
      </c>
      <c r="L567" s="3" t="str">
        <f>IF(TEXT(Finance_Data!G563,"mmmm")=Finance_Data!P563,"Valid","Invalid")</f>
        <v>Valid</v>
      </c>
      <c r="M567" s="3" t="str">
        <f>IF("Q"&amp;ROUNDUP(MONTH(Finance_Data!G563)/3,0)=Finance_Data!Q563,"Valid","Invalid")</f>
        <v>Valid</v>
      </c>
      <c r="N567" s="7" t="str">
        <f t="shared" si="8"/>
        <v>Pass</v>
      </c>
    </row>
    <row r="568" spans="1:14" x14ac:dyDescent="0.35">
      <c r="A568" s="17" t="s">
        <v>57</v>
      </c>
      <c r="B568" s="3" t="str">
        <f>IF(ISBLANK(Table3[[#This Row],[Campaign_ID]]),"Invalid","Valid")</f>
        <v>Valid</v>
      </c>
      <c r="C568" s="3" t="str">
        <f>IF(COUNTA(Finance_Data!A564:R564)=18,"Valid","Missing")</f>
        <v>Valid</v>
      </c>
      <c r="D568" s="3" t="str">
        <f>IF(COUNTIF(Finance_Data!$T$2:$T$1001,Finance_Data!T564)&gt;1,"Duplicate","Valid")</f>
        <v>Valid</v>
      </c>
      <c r="E568" s="3" t="str">
        <f>IF(Finance_Data!H564&gt;Finance_Data!G564,"Valid","Invalid")</f>
        <v>Valid</v>
      </c>
      <c r="F568" s="3" t="str" cm="1">
        <f t="array" ref="F568">_xlfn.IFS(Finance_Data!S564&lt;7,"Short",Finance_Data!S564&lt;=30,"Normal",Finance_Data!S564&lt;=60,"Long",Finance_Data!S564&gt;60,"Very Long")</f>
        <v>Long</v>
      </c>
      <c r="G568" s="3" t="str">
        <f>IF(ABS(Finance_Data!I564*Finance_Data!J564)-Finance_Data!K564&lt;1,"Valid","Invalid")</f>
        <v>Valid</v>
      </c>
      <c r="H568" s="3" t="str">
        <f>IF(Finance_Data!L564&gt;0,"Valid","Invalid")</f>
        <v>Valid</v>
      </c>
      <c r="I568" s="3" t="str">
        <f>IF(Finance_Data!L564&gt;=Finance_Data!M564,"Valid","Invalid")</f>
        <v>Valid</v>
      </c>
      <c r="J568" s="3" t="str">
        <f>IF(AND(Finance_Data!I564&gt;=0,Finance_Data!K564&gt;=0),"Valid","Invalid")</f>
        <v>Valid</v>
      </c>
      <c r="K568" s="3" t="str">
        <f>IF(Finance_Data!N564&gt;=0,"Valid","Invalid")</f>
        <v>Valid</v>
      </c>
      <c r="L568" s="3" t="str">
        <f>IF(TEXT(Finance_Data!G564,"mmmm")=Finance_Data!P564,"Valid","Invalid")</f>
        <v>Valid</v>
      </c>
      <c r="M568" s="3" t="str">
        <f>IF("Q"&amp;ROUNDUP(MONTH(Finance_Data!G564)/3,0)=Finance_Data!Q564,"Valid","Invalid")</f>
        <v>Valid</v>
      </c>
      <c r="N568" s="7" t="str">
        <f t="shared" si="8"/>
        <v>Pass</v>
      </c>
    </row>
    <row r="569" spans="1:14" x14ac:dyDescent="0.35">
      <c r="A569" s="17" t="s">
        <v>50</v>
      </c>
      <c r="B569" s="3" t="str">
        <f>IF(ISBLANK(Table3[[#This Row],[Campaign_ID]]),"Invalid","Valid")</f>
        <v>Valid</v>
      </c>
      <c r="C569" s="3" t="str">
        <f>IF(COUNTA(Finance_Data!A565:R565)=18,"Valid","Missing")</f>
        <v>Valid</v>
      </c>
      <c r="D569" s="3" t="str">
        <f>IF(COUNTIF(Finance_Data!$T$2:$T$1001,Finance_Data!T565)&gt;1,"Duplicate","Valid")</f>
        <v>Valid</v>
      </c>
      <c r="E569" s="3" t="str">
        <f>IF(Finance_Data!H565&gt;Finance_Data!G565,"Valid","Invalid")</f>
        <v>Valid</v>
      </c>
      <c r="F569" s="3" t="str" cm="1">
        <f t="array" ref="F569">_xlfn.IFS(Finance_Data!S565&lt;7,"Short",Finance_Data!S565&lt;=30,"Normal",Finance_Data!S565&lt;=60,"Long",Finance_Data!S565&gt;60,"Very Long")</f>
        <v>Normal</v>
      </c>
      <c r="G569" s="3" t="str">
        <f>IF(ABS(Finance_Data!I565*Finance_Data!J565)-Finance_Data!K565&lt;1,"Valid","Invalid")</f>
        <v>Valid</v>
      </c>
      <c r="H569" s="3" t="str">
        <f>IF(Finance_Data!L565&gt;0,"Valid","Invalid")</f>
        <v>Valid</v>
      </c>
      <c r="I569" s="3" t="str">
        <f>IF(Finance_Data!L565&gt;=Finance_Data!M565,"Valid","Invalid")</f>
        <v>Valid</v>
      </c>
      <c r="J569" s="3" t="str">
        <f>IF(AND(Finance_Data!I565&gt;=0,Finance_Data!K565&gt;=0),"Valid","Invalid")</f>
        <v>Valid</v>
      </c>
      <c r="K569" s="3" t="str">
        <f>IF(Finance_Data!N565&gt;=0,"Valid","Invalid")</f>
        <v>Valid</v>
      </c>
      <c r="L569" s="3" t="str">
        <f>IF(TEXT(Finance_Data!G565,"mmmm")=Finance_Data!P565,"Valid","Invalid")</f>
        <v>Valid</v>
      </c>
      <c r="M569" s="3" t="str">
        <f>IF("Q"&amp;ROUNDUP(MONTH(Finance_Data!G565)/3,0)=Finance_Data!Q565,"Valid","Invalid")</f>
        <v>Valid</v>
      </c>
      <c r="N569" s="7" t="str">
        <f t="shared" si="8"/>
        <v>Pass</v>
      </c>
    </row>
    <row r="570" spans="1:14" x14ac:dyDescent="0.35">
      <c r="A570" s="17" t="s">
        <v>85</v>
      </c>
      <c r="B570" s="3" t="str">
        <f>IF(ISBLANK(Table3[[#This Row],[Campaign_ID]]),"Invalid","Valid")</f>
        <v>Valid</v>
      </c>
      <c r="C570" s="3" t="str">
        <f>IF(COUNTA(Finance_Data!A566:R566)=18,"Valid","Missing")</f>
        <v>Valid</v>
      </c>
      <c r="D570" s="3" t="str">
        <f>IF(COUNTIF(Finance_Data!$T$2:$T$1001,Finance_Data!T566)&gt;1,"Duplicate","Valid")</f>
        <v>Valid</v>
      </c>
      <c r="E570" s="3" t="str">
        <f>IF(Finance_Data!H566&gt;Finance_Data!G566,"Valid","Invalid")</f>
        <v>Valid</v>
      </c>
      <c r="F570" s="3" t="str" cm="1">
        <f t="array" ref="F570">_xlfn.IFS(Finance_Data!S566&lt;7,"Short",Finance_Data!S566&lt;=30,"Normal",Finance_Data!S566&lt;=60,"Long",Finance_Data!S566&gt;60,"Very Long")</f>
        <v>Long</v>
      </c>
      <c r="G570" s="3" t="str">
        <f>IF(ABS(Finance_Data!I566*Finance_Data!J566)-Finance_Data!K566&lt;1,"Valid","Invalid")</f>
        <v>Valid</v>
      </c>
      <c r="H570" s="3" t="str">
        <f>IF(Finance_Data!L566&gt;0,"Valid","Invalid")</f>
        <v>Valid</v>
      </c>
      <c r="I570" s="3" t="str">
        <f>IF(Finance_Data!L566&gt;=Finance_Data!M566,"Valid","Invalid")</f>
        <v>Valid</v>
      </c>
      <c r="J570" s="3" t="str">
        <f>IF(AND(Finance_Data!I566&gt;=0,Finance_Data!K566&gt;=0),"Valid","Invalid")</f>
        <v>Valid</v>
      </c>
      <c r="K570" s="3" t="str">
        <f>IF(Finance_Data!N566&gt;=0,"Valid","Invalid")</f>
        <v>Valid</v>
      </c>
      <c r="L570" s="3" t="str">
        <f>IF(TEXT(Finance_Data!G566,"mmmm")=Finance_Data!P566,"Valid","Invalid")</f>
        <v>Valid</v>
      </c>
      <c r="M570" s="3" t="str">
        <f>IF("Q"&amp;ROUNDUP(MONTH(Finance_Data!G566)/3,0)=Finance_Data!Q566,"Valid","Invalid")</f>
        <v>Valid</v>
      </c>
      <c r="N570" s="7" t="str">
        <f t="shared" si="8"/>
        <v>Pass</v>
      </c>
    </row>
    <row r="571" spans="1:14" x14ac:dyDescent="0.35">
      <c r="A571" s="17" t="s">
        <v>102</v>
      </c>
      <c r="B571" s="3" t="str">
        <f>IF(ISBLANK(Table3[[#This Row],[Campaign_ID]]),"Invalid","Valid")</f>
        <v>Valid</v>
      </c>
      <c r="C571" s="3" t="str">
        <f>IF(COUNTA(Finance_Data!A567:R567)=18,"Valid","Missing")</f>
        <v>Valid</v>
      </c>
      <c r="D571" s="3" t="str">
        <f>IF(COUNTIF(Finance_Data!$T$2:$T$1001,Finance_Data!T567)&gt;1,"Duplicate","Valid")</f>
        <v>Valid</v>
      </c>
      <c r="E571" s="3" t="str">
        <f>IF(Finance_Data!H567&gt;Finance_Data!G567,"Valid","Invalid")</f>
        <v>Valid</v>
      </c>
      <c r="F571" s="3" t="str" cm="1">
        <f t="array" ref="F571">_xlfn.IFS(Finance_Data!S567&lt;7,"Short",Finance_Data!S567&lt;=30,"Normal",Finance_Data!S567&lt;=60,"Long",Finance_Data!S567&gt;60,"Very Long")</f>
        <v>Long</v>
      </c>
      <c r="G571" s="3" t="str">
        <f>IF(ABS(Finance_Data!I567*Finance_Data!J567)-Finance_Data!K567&lt;1,"Valid","Invalid")</f>
        <v>Valid</v>
      </c>
      <c r="H571" s="3" t="str">
        <f>IF(Finance_Data!L567&gt;0,"Valid","Invalid")</f>
        <v>Valid</v>
      </c>
      <c r="I571" s="3" t="str">
        <f>IF(Finance_Data!L567&gt;=Finance_Data!M567,"Valid","Invalid")</f>
        <v>Valid</v>
      </c>
      <c r="J571" s="3" t="str">
        <f>IF(AND(Finance_Data!I567&gt;=0,Finance_Data!K567&gt;=0),"Valid","Invalid")</f>
        <v>Valid</v>
      </c>
      <c r="K571" s="3" t="str">
        <f>IF(Finance_Data!N567&gt;=0,"Valid","Invalid")</f>
        <v>Valid</v>
      </c>
      <c r="L571" s="3" t="str">
        <f>IF(TEXT(Finance_Data!G567,"mmmm")=Finance_Data!P567,"Valid","Invalid")</f>
        <v>Valid</v>
      </c>
      <c r="M571" s="3" t="str">
        <f>IF("Q"&amp;ROUNDUP(MONTH(Finance_Data!G567)/3,0)=Finance_Data!Q567,"Valid","Invalid")</f>
        <v>Valid</v>
      </c>
      <c r="N571" s="7" t="str">
        <f t="shared" si="8"/>
        <v>Pass</v>
      </c>
    </row>
    <row r="572" spans="1:14" x14ac:dyDescent="0.35">
      <c r="A572" s="17" t="s">
        <v>100</v>
      </c>
      <c r="B572" s="3" t="str">
        <f>IF(ISBLANK(Table3[[#This Row],[Campaign_ID]]),"Invalid","Valid")</f>
        <v>Valid</v>
      </c>
      <c r="C572" s="3" t="str">
        <f>IF(COUNTA(Finance_Data!A568:R568)=18,"Valid","Missing")</f>
        <v>Valid</v>
      </c>
      <c r="D572" s="3" t="str">
        <f>IF(COUNTIF(Finance_Data!$T$2:$T$1001,Finance_Data!T568)&gt;1,"Duplicate","Valid")</f>
        <v>Valid</v>
      </c>
      <c r="E572" s="3" t="str">
        <f>IF(Finance_Data!H568&gt;Finance_Data!G568,"Valid","Invalid")</f>
        <v>Valid</v>
      </c>
      <c r="F572" s="3" t="str" cm="1">
        <f t="array" ref="F572">_xlfn.IFS(Finance_Data!S568&lt;7,"Short",Finance_Data!S568&lt;=30,"Normal",Finance_Data!S568&lt;=60,"Long",Finance_Data!S568&gt;60,"Very Long")</f>
        <v>Normal</v>
      </c>
      <c r="G572" s="3" t="str">
        <f>IF(ABS(Finance_Data!I568*Finance_Data!J568)-Finance_Data!K568&lt;1,"Valid","Invalid")</f>
        <v>Valid</v>
      </c>
      <c r="H572" s="3" t="str">
        <f>IF(Finance_Data!L568&gt;0,"Valid","Invalid")</f>
        <v>Valid</v>
      </c>
      <c r="I572" s="3" t="str">
        <f>IF(Finance_Data!L568&gt;=Finance_Data!M568,"Valid","Invalid")</f>
        <v>Valid</v>
      </c>
      <c r="J572" s="3" t="str">
        <f>IF(AND(Finance_Data!I568&gt;=0,Finance_Data!K568&gt;=0),"Valid","Invalid")</f>
        <v>Valid</v>
      </c>
      <c r="K572" s="3" t="str">
        <f>IF(Finance_Data!N568&gt;=0,"Valid","Invalid")</f>
        <v>Valid</v>
      </c>
      <c r="L572" s="3" t="str">
        <f>IF(TEXT(Finance_Data!G568,"mmmm")=Finance_Data!P568,"Valid","Invalid")</f>
        <v>Valid</v>
      </c>
      <c r="M572" s="3" t="str">
        <f>IF("Q"&amp;ROUNDUP(MONTH(Finance_Data!G568)/3,0)=Finance_Data!Q568,"Valid","Invalid")</f>
        <v>Valid</v>
      </c>
      <c r="N572" s="7" t="str">
        <f t="shared" si="8"/>
        <v>Pass</v>
      </c>
    </row>
    <row r="573" spans="1:14" x14ac:dyDescent="0.35">
      <c r="A573" s="17" t="s">
        <v>92</v>
      </c>
      <c r="B573" s="3" t="str">
        <f>IF(ISBLANK(Table3[[#This Row],[Campaign_ID]]),"Invalid","Valid")</f>
        <v>Valid</v>
      </c>
      <c r="C573" s="3" t="str">
        <f>IF(COUNTA(Finance_Data!A569:R569)=18,"Valid","Missing")</f>
        <v>Valid</v>
      </c>
      <c r="D573" s="3" t="str">
        <f>IF(COUNTIF(Finance_Data!$T$2:$T$1001,Finance_Data!T569)&gt;1,"Duplicate","Valid")</f>
        <v>Valid</v>
      </c>
      <c r="E573" s="3" t="str">
        <f>IF(Finance_Data!H569&gt;Finance_Data!G569,"Valid","Invalid")</f>
        <v>Valid</v>
      </c>
      <c r="F573" s="3" t="str" cm="1">
        <f t="array" ref="F573">_xlfn.IFS(Finance_Data!S569&lt;7,"Short",Finance_Data!S569&lt;=30,"Normal",Finance_Data!S569&lt;=60,"Long",Finance_Data!S569&gt;60,"Very Long")</f>
        <v>Normal</v>
      </c>
      <c r="G573" s="3" t="str">
        <f>IF(ABS(Finance_Data!I569*Finance_Data!J569)-Finance_Data!K569&lt;1,"Valid","Invalid")</f>
        <v>Valid</v>
      </c>
      <c r="H573" s="3" t="str">
        <f>IF(Finance_Data!L569&gt;0,"Valid","Invalid")</f>
        <v>Valid</v>
      </c>
      <c r="I573" s="3" t="str">
        <f>IF(Finance_Data!L569&gt;=Finance_Data!M569,"Valid","Invalid")</f>
        <v>Valid</v>
      </c>
      <c r="J573" s="3" t="str">
        <f>IF(AND(Finance_Data!I569&gt;=0,Finance_Data!K569&gt;=0),"Valid","Invalid")</f>
        <v>Valid</v>
      </c>
      <c r="K573" s="3" t="str">
        <f>IF(Finance_Data!N569&gt;=0,"Valid","Invalid")</f>
        <v>Valid</v>
      </c>
      <c r="L573" s="3" t="str">
        <f>IF(TEXT(Finance_Data!G569,"mmmm")=Finance_Data!P569,"Valid","Invalid")</f>
        <v>Valid</v>
      </c>
      <c r="M573" s="3" t="str">
        <f>IF("Q"&amp;ROUNDUP(MONTH(Finance_Data!G569)/3,0)=Finance_Data!Q569,"Valid","Invalid")</f>
        <v>Valid</v>
      </c>
      <c r="N573" s="7" t="str">
        <f t="shared" si="8"/>
        <v>Pass</v>
      </c>
    </row>
    <row r="574" spans="1:14" x14ac:dyDescent="0.35">
      <c r="A574" s="17" t="s">
        <v>86</v>
      </c>
      <c r="B574" s="3" t="str">
        <f>IF(ISBLANK(Table3[[#This Row],[Campaign_ID]]),"Invalid","Valid")</f>
        <v>Valid</v>
      </c>
      <c r="C574" s="3" t="str">
        <f>IF(COUNTA(Finance_Data!A570:R570)=18,"Valid","Missing")</f>
        <v>Valid</v>
      </c>
      <c r="D574" s="3" t="str">
        <f>IF(COUNTIF(Finance_Data!$T$2:$T$1001,Finance_Data!T570)&gt;1,"Duplicate","Valid")</f>
        <v>Valid</v>
      </c>
      <c r="E574" s="3" t="str">
        <f>IF(Finance_Data!H570&gt;Finance_Data!G570,"Valid","Invalid")</f>
        <v>Valid</v>
      </c>
      <c r="F574" s="3" t="str" cm="1">
        <f t="array" ref="F574">_xlfn.IFS(Finance_Data!S570&lt;7,"Short",Finance_Data!S570&lt;=30,"Normal",Finance_Data!S570&lt;=60,"Long",Finance_Data!S570&gt;60,"Very Long")</f>
        <v>Normal</v>
      </c>
      <c r="G574" s="3" t="str">
        <f>IF(ABS(Finance_Data!I570*Finance_Data!J570)-Finance_Data!K570&lt;1,"Valid","Invalid")</f>
        <v>Valid</v>
      </c>
      <c r="H574" s="3" t="str">
        <f>IF(Finance_Data!L570&gt;0,"Valid","Invalid")</f>
        <v>Valid</v>
      </c>
      <c r="I574" s="3" t="str">
        <f>IF(Finance_Data!L570&gt;=Finance_Data!M570,"Valid","Invalid")</f>
        <v>Valid</v>
      </c>
      <c r="J574" s="3" t="str">
        <f>IF(AND(Finance_Data!I570&gt;=0,Finance_Data!K570&gt;=0),"Valid","Invalid")</f>
        <v>Valid</v>
      </c>
      <c r="K574" s="3" t="str">
        <f>IF(Finance_Data!N570&gt;=0,"Valid","Invalid")</f>
        <v>Valid</v>
      </c>
      <c r="L574" s="3" t="str">
        <f>IF(TEXT(Finance_Data!G570,"mmmm")=Finance_Data!P570,"Valid","Invalid")</f>
        <v>Valid</v>
      </c>
      <c r="M574" s="3" t="str">
        <f>IF("Q"&amp;ROUNDUP(MONTH(Finance_Data!G570)/3,0)=Finance_Data!Q570,"Valid","Invalid")</f>
        <v>Valid</v>
      </c>
      <c r="N574" s="7" t="str">
        <f t="shared" si="8"/>
        <v>Pass</v>
      </c>
    </row>
    <row r="575" spans="1:14" x14ac:dyDescent="0.35">
      <c r="A575" s="17" t="s">
        <v>85</v>
      </c>
      <c r="B575" s="3" t="str">
        <f>IF(ISBLANK(Table3[[#This Row],[Campaign_ID]]),"Invalid","Valid")</f>
        <v>Valid</v>
      </c>
      <c r="C575" s="3" t="str">
        <f>IF(COUNTA(Finance_Data!A571:R571)=18,"Valid","Missing")</f>
        <v>Valid</v>
      </c>
      <c r="D575" s="3" t="str">
        <f>IF(COUNTIF(Finance_Data!$T$2:$T$1001,Finance_Data!T571)&gt;1,"Duplicate","Valid")</f>
        <v>Valid</v>
      </c>
      <c r="E575" s="3" t="str">
        <f>IF(Finance_Data!H571&gt;Finance_Data!G571,"Valid","Invalid")</f>
        <v>Valid</v>
      </c>
      <c r="F575" s="3" t="str" cm="1">
        <f t="array" ref="F575">_xlfn.IFS(Finance_Data!S571&lt;7,"Short",Finance_Data!S571&lt;=30,"Normal",Finance_Data!S571&lt;=60,"Long",Finance_Data!S571&gt;60,"Very Long")</f>
        <v>Normal</v>
      </c>
      <c r="G575" s="3" t="str">
        <f>IF(ABS(Finance_Data!I571*Finance_Data!J571)-Finance_Data!K571&lt;1,"Valid","Invalid")</f>
        <v>Valid</v>
      </c>
      <c r="H575" s="3" t="str">
        <f>IF(Finance_Data!L571&gt;0,"Valid","Invalid")</f>
        <v>Valid</v>
      </c>
      <c r="I575" s="3" t="str">
        <f>IF(Finance_Data!L571&gt;=Finance_Data!M571,"Valid","Invalid")</f>
        <v>Valid</v>
      </c>
      <c r="J575" s="3" t="str">
        <f>IF(AND(Finance_Data!I571&gt;=0,Finance_Data!K571&gt;=0),"Valid","Invalid")</f>
        <v>Valid</v>
      </c>
      <c r="K575" s="3" t="str">
        <f>IF(Finance_Data!N571&gt;=0,"Valid","Invalid")</f>
        <v>Valid</v>
      </c>
      <c r="L575" s="3" t="str">
        <f>IF(TEXT(Finance_Data!G571,"mmmm")=Finance_Data!P571,"Valid","Invalid")</f>
        <v>Valid</v>
      </c>
      <c r="M575" s="3" t="str">
        <f>IF("Q"&amp;ROUNDUP(MONTH(Finance_Data!G571)/3,0)=Finance_Data!Q571,"Valid","Invalid")</f>
        <v>Valid</v>
      </c>
      <c r="N575" s="7" t="str">
        <f t="shared" si="8"/>
        <v>Pass</v>
      </c>
    </row>
    <row r="576" spans="1:14" x14ac:dyDescent="0.35">
      <c r="A576" s="17" t="s">
        <v>120</v>
      </c>
      <c r="B576" s="3" t="str">
        <f>IF(ISBLANK(Table3[[#This Row],[Campaign_ID]]),"Invalid","Valid")</f>
        <v>Valid</v>
      </c>
      <c r="C576" s="3" t="str">
        <f>IF(COUNTA(Finance_Data!A572:R572)=18,"Valid","Missing")</f>
        <v>Valid</v>
      </c>
      <c r="D576" s="3" t="str">
        <f>IF(COUNTIF(Finance_Data!$T$2:$T$1001,Finance_Data!T572)&gt;1,"Duplicate","Valid")</f>
        <v>Valid</v>
      </c>
      <c r="E576" s="3" t="str">
        <f>IF(Finance_Data!H572&gt;Finance_Data!G572,"Valid","Invalid")</f>
        <v>Valid</v>
      </c>
      <c r="F576" s="3" t="str" cm="1">
        <f t="array" ref="F576">_xlfn.IFS(Finance_Data!S572&lt;7,"Short",Finance_Data!S572&lt;=30,"Normal",Finance_Data!S572&lt;=60,"Long",Finance_Data!S572&gt;60,"Very Long")</f>
        <v>Normal</v>
      </c>
      <c r="G576" s="3" t="str">
        <f>IF(ABS(Finance_Data!I572*Finance_Data!J572)-Finance_Data!K572&lt;1,"Valid","Invalid")</f>
        <v>Valid</v>
      </c>
      <c r="H576" s="3" t="str">
        <f>IF(Finance_Data!L572&gt;0,"Valid","Invalid")</f>
        <v>Valid</v>
      </c>
      <c r="I576" s="3" t="str">
        <f>IF(Finance_Data!L572&gt;=Finance_Data!M572,"Valid","Invalid")</f>
        <v>Valid</v>
      </c>
      <c r="J576" s="3" t="str">
        <f>IF(AND(Finance_Data!I572&gt;=0,Finance_Data!K572&gt;=0),"Valid","Invalid")</f>
        <v>Valid</v>
      </c>
      <c r="K576" s="3" t="str">
        <f>IF(Finance_Data!N572&gt;=0,"Valid","Invalid")</f>
        <v>Valid</v>
      </c>
      <c r="L576" s="3" t="str">
        <f>IF(TEXT(Finance_Data!G572,"mmmm")=Finance_Data!P572,"Valid","Invalid")</f>
        <v>Valid</v>
      </c>
      <c r="M576" s="3" t="str">
        <f>IF("Q"&amp;ROUNDUP(MONTH(Finance_Data!G572)/3,0)=Finance_Data!Q572,"Valid","Invalid")</f>
        <v>Valid</v>
      </c>
      <c r="N576" s="7" t="str">
        <f t="shared" si="8"/>
        <v>Pass</v>
      </c>
    </row>
    <row r="577" spans="1:14" x14ac:dyDescent="0.35">
      <c r="A577" s="17" t="s">
        <v>97</v>
      </c>
      <c r="B577" s="3" t="str">
        <f>IF(ISBLANK(Table3[[#This Row],[Campaign_ID]]),"Invalid","Valid")</f>
        <v>Valid</v>
      </c>
      <c r="C577" s="3" t="str">
        <f>IF(COUNTA(Finance_Data!A573:R573)=18,"Valid","Missing")</f>
        <v>Valid</v>
      </c>
      <c r="D577" s="3" t="str">
        <f>IF(COUNTIF(Finance_Data!$T$2:$T$1001,Finance_Data!T573)&gt;1,"Duplicate","Valid")</f>
        <v>Valid</v>
      </c>
      <c r="E577" s="3" t="str">
        <f>IF(Finance_Data!H573&gt;Finance_Data!G573,"Valid","Invalid")</f>
        <v>Valid</v>
      </c>
      <c r="F577" s="3" t="str" cm="1">
        <f t="array" ref="F577">_xlfn.IFS(Finance_Data!S573&lt;7,"Short",Finance_Data!S573&lt;=30,"Normal",Finance_Data!S573&lt;=60,"Long",Finance_Data!S573&gt;60,"Very Long")</f>
        <v>Very Long</v>
      </c>
      <c r="G577" s="3" t="str">
        <f>IF(ABS(Finance_Data!I573*Finance_Data!J573)-Finance_Data!K573&lt;1,"Valid","Invalid")</f>
        <v>Valid</v>
      </c>
      <c r="H577" s="3" t="str">
        <f>IF(Finance_Data!L573&gt;0,"Valid","Invalid")</f>
        <v>Valid</v>
      </c>
      <c r="I577" s="3" t="str">
        <f>IF(Finance_Data!L573&gt;=Finance_Data!M573,"Valid","Invalid")</f>
        <v>Valid</v>
      </c>
      <c r="J577" s="3" t="str">
        <f>IF(AND(Finance_Data!I573&gt;=0,Finance_Data!K573&gt;=0),"Valid","Invalid")</f>
        <v>Valid</v>
      </c>
      <c r="K577" s="3" t="str">
        <f>IF(Finance_Data!N573&gt;=0,"Valid","Invalid")</f>
        <v>Valid</v>
      </c>
      <c r="L577" s="3" t="str">
        <f>IF(TEXT(Finance_Data!G573,"mmmm")=Finance_Data!P573,"Valid","Invalid")</f>
        <v>Valid</v>
      </c>
      <c r="M577" s="3" t="str">
        <f>IF("Q"&amp;ROUNDUP(MONTH(Finance_Data!G573)/3,0)=Finance_Data!Q573,"Valid","Invalid")</f>
        <v>Valid</v>
      </c>
      <c r="N577" s="7" t="str">
        <f t="shared" si="8"/>
        <v>Pass</v>
      </c>
    </row>
    <row r="578" spans="1:14" x14ac:dyDescent="0.35">
      <c r="A578" s="17" t="s">
        <v>112</v>
      </c>
      <c r="B578" s="3" t="str">
        <f>IF(ISBLANK(Table3[[#This Row],[Campaign_ID]]),"Invalid","Valid")</f>
        <v>Valid</v>
      </c>
      <c r="C578" s="3" t="str">
        <f>IF(COUNTA(Finance_Data!A574:R574)=18,"Valid","Missing")</f>
        <v>Valid</v>
      </c>
      <c r="D578" s="3" t="str">
        <f>IF(COUNTIF(Finance_Data!$T$2:$T$1001,Finance_Data!T574)&gt;1,"Duplicate","Valid")</f>
        <v>Valid</v>
      </c>
      <c r="E578" s="3" t="str">
        <f>IF(Finance_Data!H574&gt;Finance_Data!G574,"Valid","Invalid")</f>
        <v>Valid</v>
      </c>
      <c r="F578" s="3" t="str" cm="1">
        <f t="array" ref="F578">_xlfn.IFS(Finance_Data!S574&lt;7,"Short",Finance_Data!S574&lt;=30,"Normal",Finance_Data!S574&lt;=60,"Long",Finance_Data!S574&gt;60,"Very Long")</f>
        <v>Long</v>
      </c>
      <c r="G578" s="3" t="str">
        <f>IF(ABS(Finance_Data!I574*Finance_Data!J574)-Finance_Data!K574&lt;1,"Valid","Invalid")</f>
        <v>Valid</v>
      </c>
      <c r="H578" s="3" t="str">
        <f>IF(Finance_Data!L574&gt;0,"Valid","Invalid")</f>
        <v>Valid</v>
      </c>
      <c r="I578" s="3" t="str">
        <f>IF(Finance_Data!L574&gt;=Finance_Data!M574,"Valid","Invalid")</f>
        <v>Valid</v>
      </c>
      <c r="J578" s="3" t="str">
        <f>IF(AND(Finance_Data!I574&gt;=0,Finance_Data!K574&gt;=0),"Valid","Invalid")</f>
        <v>Valid</v>
      </c>
      <c r="K578" s="3" t="str">
        <f>IF(Finance_Data!N574&gt;=0,"Valid","Invalid")</f>
        <v>Valid</v>
      </c>
      <c r="L578" s="3" t="str">
        <f>IF(TEXT(Finance_Data!G574,"mmmm")=Finance_Data!P574,"Valid","Invalid")</f>
        <v>Valid</v>
      </c>
      <c r="M578" s="3" t="str">
        <f>IF("Q"&amp;ROUNDUP(MONTH(Finance_Data!G574)/3,0)=Finance_Data!Q574,"Valid","Invalid")</f>
        <v>Valid</v>
      </c>
      <c r="N578" s="7" t="str">
        <f t="shared" si="8"/>
        <v>Pass</v>
      </c>
    </row>
    <row r="579" spans="1:14" x14ac:dyDescent="0.35">
      <c r="A579" s="17" t="s">
        <v>71</v>
      </c>
      <c r="B579" s="3" t="str">
        <f>IF(ISBLANK(Table3[[#This Row],[Campaign_ID]]),"Invalid","Valid")</f>
        <v>Valid</v>
      </c>
      <c r="C579" s="3" t="str">
        <f>IF(COUNTA(Finance_Data!A575:R575)=18,"Valid","Missing")</f>
        <v>Valid</v>
      </c>
      <c r="D579" s="3" t="str">
        <f>IF(COUNTIF(Finance_Data!$T$2:$T$1001,Finance_Data!T575)&gt;1,"Duplicate","Valid")</f>
        <v>Valid</v>
      </c>
      <c r="E579" s="3" t="str">
        <f>IF(Finance_Data!H575&gt;Finance_Data!G575,"Valid","Invalid")</f>
        <v>Valid</v>
      </c>
      <c r="F579" s="3" t="str" cm="1">
        <f t="array" ref="F579">_xlfn.IFS(Finance_Data!S575&lt;7,"Short",Finance_Data!S575&lt;=30,"Normal",Finance_Data!S575&lt;=60,"Long",Finance_Data!S575&gt;60,"Very Long")</f>
        <v>Long</v>
      </c>
      <c r="G579" s="3" t="str">
        <f>IF(ABS(Finance_Data!I575*Finance_Data!J575)-Finance_Data!K575&lt;1,"Valid","Invalid")</f>
        <v>Valid</v>
      </c>
      <c r="H579" s="3" t="str">
        <f>IF(Finance_Data!L575&gt;0,"Valid","Invalid")</f>
        <v>Valid</v>
      </c>
      <c r="I579" s="3" t="str">
        <f>IF(Finance_Data!L575&gt;=Finance_Data!M575,"Valid","Invalid")</f>
        <v>Valid</v>
      </c>
      <c r="J579" s="3" t="str">
        <f>IF(AND(Finance_Data!I575&gt;=0,Finance_Data!K575&gt;=0),"Valid","Invalid")</f>
        <v>Valid</v>
      </c>
      <c r="K579" s="3" t="str">
        <f>IF(Finance_Data!N575&gt;=0,"Valid","Invalid")</f>
        <v>Valid</v>
      </c>
      <c r="L579" s="3" t="str">
        <f>IF(TEXT(Finance_Data!G575,"mmmm")=Finance_Data!P575,"Valid","Invalid")</f>
        <v>Valid</v>
      </c>
      <c r="M579" s="3" t="str">
        <f>IF("Q"&amp;ROUNDUP(MONTH(Finance_Data!G575)/3,0)=Finance_Data!Q575,"Valid","Invalid")</f>
        <v>Valid</v>
      </c>
      <c r="N579" s="7" t="str">
        <f t="shared" si="8"/>
        <v>Pass</v>
      </c>
    </row>
    <row r="580" spans="1:14" x14ac:dyDescent="0.35">
      <c r="A580" s="17" t="s">
        <v>67</v>
      </c>
      <c r="B580" s="3" t="str">
        <f>IF(ISBLANK(Table3[[#This Row],[Campaign_ID]]),"Invalid","Valid")</f>
        <v>Valid</v>
      </c>
      <c r="C580" s="3" t="str">
        <f>IF(COUNTA(Finance_Data!A576:R576)=18,"Valid","Missing")</f>
        <v>Valid</v>
      </c>
      <c r="D580" s="3" t="str">
        <f>IF(COUNTIF(Finance_Data!$T$2:$T$1001,Finance_Data!T576)&gt;1,"Duplicate","Valid")</f>
        <v>Valid</v>
      </c>
      <c r="E580" s="3" t="str">
        <f>IF(Finance_Data!H576&gt;Finance_Data!G576,"Valid","Invalid")</f>
        <v>Valid</v>
      </c>
      <c r="F580" s="3" t="str" cm="1">
        <f t="array" ref="F580">_xlfn.IFS(Finance_Data!S576&lt;7,"Short",Finance_Data!S576&lt;=30,"Normal",Finance_Data!S576&lt;=60,"Long",Finance_Data!S576&gt;60,"Very Long")</f>
        <v>Normal</v>
      </c>
      <c r="G580" s="3" t="str">
        <f>IF(ABS(Finance_Data!I576*Finance_Data!J576)-Finance_Data!K576&lt;1,"Valid","Invalid")</f>
        <v>Valid</v>
      </c>
      <c r="H580" s="3" t="str">
        <f>IF(Finance_Data!L576&gt;0,"Valid","Invalid")</f>
        <v>Valid</v>
      </c>
      <c r="I580" s="3" t="str">
        <f>IF(Finance_Data!L576&gt;=Finance_Data!M576,"Valid","Invalid")</f>
        <v>Valid</v>
      </c>
      <c r="J580" s="3" t="str">
        <f>IF(AND(Finance_Data!I576&gt;=0,Finance_Data!K576&gt;=0),"Valid","Invalid")</f>
        <v>Valid</v>
      </c>
      <c r="K580" s="3" t="str">
        <f>IF(Finance_Data!N576&gt;=0,"Valid","Invalid")</f>
        <v>Valid</v>
      </c>
      <c r="L580" s="3" t="str">
        <f>IF(TEXT(Finance_Data!G576,"mmmm")=Finance_Data!P576,"Valid","Invalid")</f>
        <v>Valid</v>
      </c>
      <c r="M580" s="3" t="str">
        <f>IF("Q"&amp;ROUNDUP(MONTH(Finance_Data!G576)/3,0)=Finance_Data!Q576,"Valid","Invalid")</f>
        <v>Valid</v>
      </c>
      <c r="N580" s="7" t="str">
        <f t="shared" si="8"/>
        <v>Pass</v>
      </c>
    </row>
    <row r="581" spans="1:14" x14ac:dyDescent="0.35">
      <c r="A581" s="17" t="s">
        <v>79</v>
      </c>
      <c r="B581" s="3" t="str">
        <f>IF(ISBLANK(Table3[[#This Row],[Campaign_ID]]),"Invalid","Valid")</f>
        <v>Valid</v>
      </c>
      <c r="C581" s="3" t="str">
        <f>IF(COUNTA(Finance_Data!A577:R577)=18,"Valid","Missing")</f>
        <v>Valid</v>
      </c>
      <c r="D581" s="3" t="str">
        <f>IF(COUNTIF(Finance_Data!$T$2:$T$1001,Finance_Data!T577)&gt;1,"Duplicate","Valid")</f>
        <v>Valid</v>
      </c>
      <c r="E581" s="3" t="str">
        <f>IF(Finance_Data!H577&gt;Finance_Data!G577,"Valid","Invalid")</f>
        <v>Valid</v>
      </c>
      <c r="F581" s="3" t="str" cm="1">
        <f t="array" ref="F581">_xlfn.IFS(Finance_Data!S577&lt;7,"Short",Finance_Data!S577&lt;=30,"Normal",Finance_Data!S577&lt;=60,"Long",Finance_Data!S577&gt;60,"Very Long")</f>
        <v>Long</v>
      </c>
      <c r="G581" s="3" t="str">
        <f>IF(ABS(Finance_Data!I577*Finance_Data!J577)-Finance_Data!K577&lt;1,"Valid","Invalid")</f>
        <v>Valid</v>
      </c>
      <c r="H581" s="3" t="str">
        <f>IF(Finance_Data!L577&gt;0,"Valid","Invalid")</f>
        <v>Valid</v>
      </c>
      <c r="I581" s="3" t="str">
        <f>IF(Finance_Data!L577&gt;=Finance_Data!M577,"Valid","Invalid")</f>
        <v>Valid</v>
      </c>
      <c r="J581" s="3" t="str">
        <f>IF(AND(Finance_Data!I577&gt;=0,Finance_Data!K577&gt;=0),"Valid","Invalid")</f>
        <v>Valid</v>
      </c>
      <c r="K581" s="3" t="str">
        <f>IF(Finance_Data!N577&gt;=0,"Valid","Invalid")</f>
        <v>Valid</v>
      </c>
      <c r="L581" s="3" t="str">
        <f>IF(TEXT(Finance_Data!G577,"mmmm")=Finance_Data!P577,"Valid","Invalid")</f>
        <v>Valid</v>
      </c>
      <c r="M581" s="3" t="str">
        <f>IF("Q"&amp;ROUNDUP(MONTH(Finance_Data!G577)/3,0)=Finance_Data!Q577,"Valid","Invalid")</f>
        <v>Valid</v>
      </c>
      <c r="N581" s="7" t="str">
        <f t="shared" si="8"/>
        <v>Pass</v>
      </c>
    </row>
    <row r="582" spans="1:14" x14ac:dyDescent="0.35">
      <c r="A582" s="17" t="s">
        <v>98</v>
      </c>
      <c r="B582" s="3" t="str">
        <f>IF(ISBLANK(Table3[[#This Row],[Campaign_ID]]),"Invalid","Valid")</f>
        <v>Valid</v>
      </c>
      <c r="C582" s="3" t="str">
        <f>IF(COUNTA(Finance_Data!A578:R578)=18,"Valid","Missing")</f>
        <v>Valid</v>
      </c>
      <c r="D582" s="3" t="str">
        <f>IF(COUNTIF(Finance_Data!$T$2:$T$1001,Finance_Data!T578)&gt;1,"Duplicate","Valid")</f>
        <v>Valid</v>
      </c>
      <c r="E582" s="3" t="str">
        <f>IF(Finance_Data!H578&gt;Finance_Data!G578,"Valid","Invalid")</f>
        <v>Valid</v>
      </c>
      <c r="F582" s="3" t="str" cm="1">
        <f t="array" ref="F582">_xlfn.IFS(Finance_Data!S578&lt;7,"Short",Finance_Data!S578&lt;=30,"Normal",Finance_Data!S578&lt;=60,"Long",Finance_Data!S578&gt;60,"Very Long")</f>
        <v>Long</v>
      </c>
      <c r="G582" s="3" t="str">
        <f>IF(ABS(Finance_Data!I578*Finance_Data!J578)-Finance_Data!K578&lt;1,"Valid","Invalid")</f>
        <v>Valid</v>
      </c>
      <c r="H582" s="3" t="str">
        <f>IF(Finance_Data!L578&gt;0,"Valid","Invalid")</f>
        <v>Valid</v>
      </c>
      <c r="I582" s="3" t="str">
        <f>IF(Finance_Data!L578&gt;=Finance_Data!M578,"Valid","Invalid")</f>
        <v>Valid</v>
      </c>
      <c r="J582" s="3" t="str">
        <f>IF(AND(Finance_Data!I578&gt;=0,Finance_Data!K578&gt;=0),"Valid","Invalid")</f>
        <v>Valid</v>
      </c>
      <c r="K582" s="3" t="str">
        <f>IF(Finance_Data!N578&gt;=0,"Valid","Invalid")</f>
        <v>Valid</v>
      </c>
      <c r="L582" s="3" t="str">
        <f>IF(TEXT(Finance_Data!G578,"mmmm")=Finance_Data!P578,"Valid","Invalid")</f>
        <v>Valid</v>
      </c>
      <c r="M582" s="3" t="str">
        <f>IF("Q"&amp;ROUNDUP(MONTH(Finance_Data!G578)/3,0)=Finance_Data!Q578,"Valid","Invalid")</f>
        <v>Valid</v>
      </c>
      <c r="N582" s="7" t="str">
        <f t="shared" ref="N582:N645" si="9">IF(AND(B582="Valid",E582="Valid",G582="Valid",H582="Valid",I582="Valid",J582="Valid",K582="Valid",L582="Valid",M582="Valid"),"Pass","Fail")</f>
        <v>Pass</v>
      </c>
    </row>
    <row r="583" spans="1:14" x14ac:dyDescent="0.35">
      <c r="A583" s="17" t="s">
        <v>57</v>
      </c>
      <c r="B583" s="3" t="str">
        <f>IF(ISBLANK(Table3[[#This Row],[Campaign_ID]]),"Invalid","Valid")</f>
        <v>Valid</v>
      </c>
      <c r="C583" s="3" t="str">
        <f>IF(COUNTA(Finance_Data!A579:R579)=18,"Valid","Missing")</f>
        <v>Valid</v>
      </c>
      <c r="D583" s="3" t="str">
        <f>IF(COUNTIF(Finance_Data!$T$2:$T$1001,Finance_Data!T579)&gt;1,"Duplicate","Valid")</f>
        <v>Valid</v>
      </c>
      <c r="E583" s="3" t="str">
        <f>IF(Finance_Data!H579&gt;Finance_Data!G579,"Valid","Invalid")</f>
        <v>Valid</v>
      </c>
      <c r="F583" s="3" t="str" cm="1">
        <f t="array" ref="F583">_xlfn.IFS(Finance_Data!S579&lt;7,"Short",Finance_Data!S579&lt;=30,"Normal",Finance_Data!S579&lt;=60,"Long",Finance_Data!S579&gt;60,"Very Long")</f>
        <v>Normal</v>
      </c>
      <c r="G583" s="3" t="str">
        <f>IF(ABS(Finance_Data!I579*Finance_Data!J579)-Finance_Data!K579&lt;1,"Valid","Invalid")</f>
        <v>Valid</v>
      </c>
      <c r="H583" s="3" t="str">
        <f>IF(Finance_Data!L579&gt;0,"Valid","Invalid")</f>
        <v>Valid</v>
      </c>
      <c r="I583" s="3" t="str">
        <f>IF(Finance_Data!L579&gt;=Finance_Data!M579,"Valid","Invalid")</f>
        <v>Valid</v>
      </c>
      <c r="J583" s="3" t="str">
        <f>IF(AND(Finance_Data!I579&gt;=0,Finance_Data!K579&gt;=0),"Valid","Invalid")</f>
        <v>Valid</v>
      </c>
      <c r="K583" s="3" t="str">
        <f>IF(Finance_Data!N579&gt;=0,"Valid","Invalid")</f>
        <v>Valid</v>
      </c>
      <c r="L583" s="3" t="str">
        <f>IF(TEXT(Finance_Data!G579,"mmmm")=Finance_Data!P579,"Valid","Invalid")</f>
        <v>Valid</v>
      </c>
      <c r="M583" s="3" t="str">
        <f>IF("Q"&amp;ROUNDUP(MONTH(Finance_Data!G579)/3,0)=Finance_Data!Q579,"Valid","Invalid")</f>
        <v>Valid</v>
      </c>
      <c r="N583" s="7" t="str">
        <f t="shared" si="9"/>
        <v>Pass</v>
      </c>
    </row>
    <row r="584" spans="1:14" x14ac:dyDescent="0.35">
      <c r="A584" s="17" t="s">
        <v>91</v>
      </c>
      <c r="B584" s="3" t="str">
        <f>IF(ISBLANK(Table3[[#This Row],[Campaign_ID]]),"Invalid","Valid")</f>
        <v>Valid</v>
      </c>
      <c r="C584" s="3" t="str">
        <f>IF(COUNTA(Finance_Data!A580:R580)=18,"Valid","Missing")</f>
        <v>Valid</v>
      </c>
      <c r="D584" s="3" t="str">
        <f>IF(COUNTIF(Finance_Data!$T$2:$T$1001,Finance_Data!T580)&gt;1,"Duplicate","Valid")</f>
        <v>Valid</v>
      </c>
      <c r="E584" s="3" t="str">
        <f>IF(Finance_Data!H580&gt;Finance_Data!G580,"Valid","Invalid")</f>
        <v>Valid</v>
      </c>
      <c r="F584" s="3" t="str" cm="1">
        <f t="array" ref="F584">_xlfn.IFS(Finance_Data!S580&lt;7,"Short",Finance_Data!S580&lt;=30,"Normal",Finance_Data!S580&lt;=60,"Long",Finance_Data!S580&gt;60,"Very Long")</f>
        <v>Long</v>
      </c>
      <c r="G584" s="3" t="str">
        <f>IF(ABS(Finance_Data!I580*Finance_Data!J580)-Finance_Data!K580&lt;1,"Valid","Invalid")</f>
        <v>Valid</v>
      </c>
      <c r="H584" s="3" t="str">
        <f>IF(Finance_Data!L580&gt;0,"Valid","Invalid")</f>
        <v>Valid</v>
      </c>
      <c r="I584" s="3" t="str">
        <f>IF(Finance_Data!L580&gt;=Finance_Data!M580,"Valid","Invalid")</f>
        <v>Valid</v>
      </c>
      <c r="J584" s="3" t="str">
        <f>IF(AND(Finance_Data!I580&gt;=0,Finance_Data!K580&gt;=0),"Valid","Invalid")</f>
        <v>Valid</v>
      </c>
      <c r="K584" s="3" t="str">
        <f>IF(Finance_Data!N580&gt;=0,"Valid","Invalid")</f>
        <v>Valid</v>
      </c>
      <c r="L584" s="3" t="str">
        <f>IF(TEXT(Finance_Data!G580,"mmmm")=Finance_Data!P580,"Valid","Invalid")</f>
        <v>Valid</v>
      </c>
      <c r="M584" s="3" t="str">
        <f>IF("Q"&amp;ROUNDUP(MONTH(Finance_Data!G580)/3,0)=Finance_Data!Q580,"Valid","Invalid")</f>
        <v>Valid</v>
      </c>
      <c r="N584" s="7" t="str">
        <f t="shared" si="9"/>
        <v>Pass</v>
      </c>
    </row>
    <row r="585" spans="1:14" x14ac:dyDescent="0.35">
      <c r="A585" s="17" t="s">
        <v>103</v>
      </c>
      <c r="B585" s="3" t="str">
        <f>IF(ISBLANK(Table3[[#This Row],[Campaign_ID]]),"Invalid","Valid")</f>
        <v>Valid</v>
      </c>
      <c r="C585" s="3" t="str">
        <f>IF(COUNTA(Finance_Data!A581:R581)=18,"Valid","Missing")</f>
        <v>Valid</v>
      </c>
      <c r="D585" s="3" t="str">
        <f>IF(COUNTIF(Finance_Data!$T$2:$T$1001,Finance_Data!T581)&gt;1,"Duplicate","Valid")</f>
        <v>Valid</v>
      </c>
      <c r="E585" s="3" t="str">
        <f>IF(Finance_Data!H581&gt;Finance_Data!G581,"Valid","Invalid")</f>
        <v>Valid</v>
      </c>
      <c r="F585" s="3" t="str" cm="1">
        <f t="array" ref="F585">_xlfn.IFS(Finance_Data!S581&lt;7,"Short",Finance_Data!S581&lt;=30,"Normal",Finance_Data!S581&lt;=60,"Long",Finance_Data!S581&gt;60,"Very Long")</f>
        <v>Long</v>
      </c>
      <c r="G585" s="3" t="str">
        <f>IF(ABS(Finance_Data!I581*Finance_Data!J581)-Finance_Data!K581&lt;1,"Valid","Invalid")</f>
        <v>Valid</v>
      </c>
      <c r="H585" s="3" t="str">
        <f>IF(Finance_Data!L581&gt;0,"Valid","Invalid")</f>
        <v>Valid</v>
      </c>
      <c r="I585" s="3" t="str">
        <f>IF(Finance_Data!L581&gt;=Finance_Data!M581,"Valid","Invalid")</f>
        <v>Valid</v>
      </c>
      <c r="J585" s="3" t="str">
        <f>IF(AND(Finance_Data!I581&gt;=0,Finance_Data!K581&gt;=0),"Valid","Invalid")</f>
        <v>Valid</v>
      </c>
      <c r="K585" s="3" t="str">
        <f>IF(Finance_Data!N581&gt;=0,"Valid","Invalid")</f>
        <v>Valid</v>
      </c>
      <c r="L585" s="3" t="str">
        <f>IF(TEXT(Finance_Data!G581,"mmmm")=Finance_Data!P581,"Valid","Invalid")</f>
        <v>Valid</v>
      </c>
      <c r="M585" s="3" t="str">
        <f>IF("Q"&amp;ROUNDUP(MONTH(Finance_Data!G581)/3,0)=Finance_Data!Q581,"Valid","Invalid")</f>
        <v>Valid</v>
      </c>
      <c r="N585" s="7" t="str">
        <f t="shared" si="9"/>
        <v>Pass</v>
      </c>
    </row>
    <row r="586" spans="1:14" x14ac:dyDescent="0.35">
      <c r="A586" s="17" t="s">
        <v>55</v>
      </c>
      <c r="B586" s="3" t="str">
        <f>IF(ISBLANK(Table3[[#This Row],[Campaign_ID]]),"Invalid","Valid")</f>
        <v>Valid</v>
      </c>
      <c r="C586" s="3" t="str">
        <f>IF(COUNTA(Finance_Data!A582:R582)=18,"Valid","Missing")</f>
        <v>Valid</v>
      </c>
      <c r="D586" s="3" t="str">
        <f>IF(COUNTIF(Finance_Data!$T$2:$T$1001,Finance_Data!T582)&gt;1,"Duplicate","Valid")</f>
        <v>Valid</v>
      </c>
      <c r="E586" s="3" t="str">
        <f>IF(Finance_Data!H582&gt;Finance_Data!G582,"Valid","Invalid")</f>
        <v>Valid</v>
      </c>
      <c r="F586" s="3" t="str" cm="1">
        <f t="array" ref="F586">_xlfn.IFS(Finance_Data!S582&lt;7,"Short",Finance_Data!S582&lt;=30,"Normal",Finance_Data!S582&lt;=60,"Long",Finance_Data!S582&gt;60,"Very Long")</f>
        <v>Normal</v>
      </c>
      <c r="G586" s="3" t="str">
        <f>IF(ABS(Finance_Data!I582*Finance_Data!J582)-Finance_Data!K582&lt;1,"Valid","Invalid")</f>
        <v>Valid</v>
      </c>
      <c r="H586" s="3" t="str">
        <f>IF(Finance_Data!L582&gt;0,"Valid","Invalid")</f>
        <v>Valid</v>
      </c>
      <c r="I586" s="3" t="str">
        <f>IF(Finance_Data!L582&gt;=Finance_Data!M582,"Valid","Invalid")</f>
        <v>Valid</v>
      </c>
      <c r="J586" s="3" t="str">
        <f>IF(AND(Finance_Data!I582&gt;=0,Finance_Data!K582&gt;=0),"Valid","Invalid")</f>
        <v>Valid</v>
      </c>
      <c r="K586" s="3" t="str">
        <f>IF(Finance_Data!N582&gt;=0,"Valid","Invalid")</f>
        <v>Valid</v>
      </c>
      <c r="L586" s="3" t="str">
        <f>IF(TEXT(Finance_Data!G582,"mmmm")=Finance_Data!P582,"Valid","Invalid")</f>
        <v>Valid</v>
      </c>
      <c r="M586" s="3" t="str">
        <f>IF("Q"&amp;ROUNDUP(MONTH(Finance_Data!G582)/3,0)=Finance_Data!Q582,"Valid","Invalid")</f>
        <v>Valid</v>
      </c>
      <c r="N586" s="7" t="str">
        <f t="shared" si="9"/>
        <v>Pass</v>
      </c>
    </row>
    <row r="587" spans="1:14" x14ac:dyDescent="0.35">
      <c r="A587" s="17" t="s">
        <v>47</v>
      </c>
      <c r="B587" s="3" t="str">
        <f>IF(ISBLANK(Table3[[#This Row],[Campaign_ID]]),"Invalid","Valid")</f>
        <v>Valid</v>
      </c>
      <c r="C587" s="3" t="str">
        <f>IF(COUNTA(Finance_Data!A583:R583)=18,"Valid","Missing")</f>
        <v>Valid</v>
      </c>
      <c r="D587" s="3" t="str">
        <f>IF(COUNTIF(Finance_Data!$T$2:$T$1001,Finance_Data!T583)&gt;1,"Duplicate","Valid")</f>
        <v>Valid</v>
      </c>
      <c r="E587" s="3" t="str">
        <f>IF(Finance_Data!H583&gt;Finance_Data!G583,"Valid","Invalid")</f>
        <v>Valid</v>
      </c>
      <c r="F587" s="3" t="str" cm="1">
        <f t="array" ref="F587">_xlfn.IFS(Finance_Data!S583&lt;7,"Short",Finance_Data!S583&lt;=30,"Normal",Finance_Data!S583&lt;=60,"Long",Finance_Data!S583&gt;60,"Very Long")</f>
        <v>Long</v>
      </c>
      <c r="G587" s="3" t="str">
        <f>IF(ABS(Finance_Data!I583*Finance_Data!J583)-Finance_Data!K583&lt;1,"Valid","Invalid")</f>
        <v>Valid</v>
      </c>
      <c r="H587" s="3" t="str">
        <f>IF(Finance_Data!L583&gt;0,"Valid","Invalid")</f>
        <v>Valid</v>
      </c>
      <c r="I587" s="3" t="str">
        <f>IF(Finance_Data!L583&gt;=Finance_Data!M583,"Valid","Invalid")</f>
        <v>Valid</v>
      </c>
      <c r="J587" s="3" t="str">
        <f>IF(AND(Finance_Data!I583&gt;=0,Finance_Data!K583&gt;=0),"Valid","Invalid")</f>
        <v>Valid</v>
      </c>
      <c r="K587" s="3" t="str">
        <f>IF(Finance_Data!N583&gt;=0,"Valid","Invalid")</f>
        <v>Valid</v>
      </c>
      <c r="L587" s="3" t="str">
        <f>IF(TEXT(Finance_Data!G583,"mmmm")=Finance_Data!P583,"Valid","Invalid")</f>
        <v>Valid</v>
      </c>
      <c r="M587" s="3" t="str">
        <f>IF("Q"&amp;ROUNDUP(MONTH(Finance_Data!G583)/3,0)=Finance_Data!Q583,"Valid","Invalid")</f>
        <v>Valid</v>
      </c>
      <c r="N587" s="7" t="str">
        <f t="shared" si="9"/>
        <v>Pass</v>
      </c>
    </row>
    <row r="588" spans="1:14" x14ac:dyDescent="0.35">
      <c r="A588" s="17" t="s">
        <v>109</v>
      </c>
      <c r="B588" s="3" t="str">
        <f>IF(ISBLANK(Table3[[#This Row],[Campaign_ID]]),"Invalid","Valid")</f>
        <v>Valid</v>
      </c>
      <c r="C588" s="3" t="str">
        <f>IF(COUNTA(Finance_Data!A584:R584)=18,"Valid","Missing")</f>
        <v>Valid</v>
      </c>
      <c r="D588" s="3" t="str">
        <f>IF(COUNTIF(Finance_Data!$T$2:$T$1001,Finance_Data!T584)&gt;1,"Duplicate","Valid")</f>
        <v>Valid</v>
      </c>
      <c r="E588" s="3" t="str">
        <f>IF(Finance_Data!H584&gt;Finance_Data!G584,"Valid","Invalid")</f>
        <v>Valid</v>
      </c>
      <c r="F588" s="3" t="str" cm="1">
        <f t="array" ref="F588">_xlfn.IFS(Finance_Data!S584&lt;7,"Short",Finance_Data!S584&lt;=30,"Normal",Finance_Data!S584&lt;=60,"Long",Finance_Data!S584&gt;60,"Very Long")</f>
        <v>Normal</v>
      </c>
      <c r="G588" s="3" t="str">
        <f>IF(ABS(Finance_Data!I584*Finance_Data!J584)-Finance_Data!K584&lt;1,"Valid","Invalid")</f>
        <v>Valid</v>
      </c>
      <c r="H588" s="3" t="str">
        <f>IF(Finance_Data!L584&gt;0,"Valid","Invalid")</f>
        <v>Valid</v>
      </c>
      <c r="I588" s="3" t="str">
        <f>IF(Finance_Data!L584&gt;=Finance_Data!M584,"Valid","Invalid")</f>
        <v>Valid</v>
      </c>
      <c r="J588" s="3" t="str">
        <f>IF(AND(Finance_Data!I584&gt;=0,Finance_Data!K584&gt;=0),"Valid","Invalid")</f>
        <v>Valid</v>
      </c>
      <c r="K588" s="3" t="str">
        <f>IF(Finance_Data!N584&gt;=0,"Valid","Invalid")</f>
        <v>Valid</v>
      </c>
      <c r="L588" s="3" t="str">
        <f>IF(TEXT(Finance_Data!G584,"mmmm")=Finance_Data!P584,"Valid","Invalid")</f>
        <v>Valid</v>
      </c>
      <c r="M588" s="3" t="str">
        <f>IF("Q"&amp;ROUNDUP(MONTH(Finance_Data!G584)/3,0)=Finance_Data!Q584,"Valid","Invalid")</f>
        <v>Valid</v>
      </c>
      <c r="N588" s="7" t="str">
        <f t="shared" si="9"/>
        <v>Pass</v>
      </c>
    </row>
    <row r="589" spans="1:14" x14ac:dyDescent="0.35">
      <c r="A589" s="17" t="s">
        <v>97</v>
      </c>
      <c r="B589" s="3" t="str">
        <f>IF(ISBLANK(Table3[[#This Row],[Campaign_ID]]),"Invalid","Valid")</f>
        <v>Valid</v>
      </c>
      <c r="C589" s="3" t="str">
        <f>IF(COUNTA(Finance_Data!A585:R585)=18,"Valid","Missing")</f>
        <v>Valid</v>
      </c>
      <c r="D589" s="3" t="str">
        <f>IF(COUNTIF(Finance_Data!$T$2:$T$1001,Finance_Data!T585)&gt;1,"Duplicate","Valid")</f>
        <v>Valid</v>
      </c>
      <c r="E589" s="3" t="str">
        <f>IF(Finance_Data!H585&gt;Finance_Data!G585,"Valid","Invalid")</f>
        <v>Valid</v>
      </c>
      <c r="F589" s="3" t="str" cm="1">
        <f t="array" ref="F589">_xlfn.IFS(Finance_Data!S585&lt;7,"Short",Finance_Data!S585&lt;=30,"Normal",Finance_Data!S585&lt;=60,"Long",Finance_Data!S585&gt;60,"Very Long")</f>
        <v>Normal</v>
      </c>
      <c r="G589" s="3" t="str">
        <f>IF(ABS(Finance_Data!I585*Finance_Data!J585)-Finance_Data!K585&lt;1,"Valid","Invalid")</f>
        <v>Valid</v>
      </c>
      <c r="H589" s="3" t="str">
        <f>IF(Finance_Data!L585&gt;0,"Valid","Invalid")</f>
        <v>Valid</v>
      </c>
      <c r="I589" s="3" t="str">
        <f>IF(Finance_Data!L585&gt;=Finance_Data!M585,"Valid","Invalid")</f>
        <v>Valid</v>
      </c>
      <c r="J589" s="3" t="str">
        <f>IF(AND(Finance_Data!I585&gt;=0,Finance_Data!K585&gt;=0),"Valid","Invalid")</f>
        <v>Valid</v>
      </c>
      <c r="K589" s="3" t="str">
        <f>IF(Finance_Data!N585&gt;=0,"Valid","Invalid")</f>
        <v>Valid</v>
      </c>
      <c r="L589" s="3" t="str">
        <f>IF(TEXT(Finance_Data!G585,"mmmm")=Finance_Data!P585,"Valid","Invalid")</f>
        <v>Valid</v>
      </c>
      <c r="M589" s="3" t="str">
        <f>IF("Q"&amp;ROUNDUP(MONTH(Finance_Data!G585)/3,0)=Finance_Data!Q585,"Valid","Invalid")</f>
        <v>Valid</v>
      </c>
      <c r="N589" s="7" t="str">
        <f t="shared" si="9"/>
        <v>Pass</v>
      </c>
    </row>
    <row r="590" spans="1:14" x14ac:dyDescent="0.35">
      <c r="A590" s="17" t="s">
        <v>90</v>
      </c>
      <c r="B590" s="3" t="str">
        <f>IF(ISBLANK(Table3[[#This Row],[Campaign_ID]]),"Invalid","Valid")</f>
        <v>Valid</v>
      </c>
      <c r="C590" s="3" t="str">
        <f>IF(COUNTA(Finance_Data!A586:R586)=18,"Valid","Missing")</f>
        <v>Valid</v>
      </c>
      <c r="D590" s="3" t="str">
        <f>IF(COUNTIF(Finance_Data!$T$2:$T$1001,Finance_Data!T586)&gt;1,"Duplicate","Valid")</f>
        <v>Valid</v>
      </c>
      <c r="E590" s="3" t="str">
        <f>IF(Finance_Data!H586&gt;Finance_Data!G586,"Valid","Invalid")</f>
        <v>Valid</v>
      </c>
      <c r="F590" s="3" t="str" cm="1">
        <f t="array" ref="F590">_xlfn.IFS(Finance_Data!S586&lt;7,"Short",Finance_Data!S586&lt;=30,"Normal",Finance_Data!S586&lt;=60,"Long",Finance_Data!S586&gt;60,"Very Long")</f>
        <v>Normal</v>
      </c>
      <c r="G590" s="3" t="str">
        <f>IF(ABS(Finance_Data!I586*Finance_Data!J586)-Finance_Data!K586&lt;1,"Valid","Invalid")</f>
        <v>Valid</v>
      </c>
      <c r="H590" s="3" t="str">
        <f>IF(Finance_Data!L586&gt;0,"Valid","Invalid")</f>
        <v>Valid</v>
      </c>
      <c r="I590" s="3" t="str">
        <f>IF(Finance_Data!L586&gt;=Finance_Data!M586,"Valid","Invalid")</f>
        <v>Valid</v>
      </c>
      <c r="J590" s="3" t="str">
        <f>IF(AND(Finance_Data!I586&gt;=0,Finance_Data!K586&gt;=0),"Valid","Invalid")</f>
        <v>Valid</v>
      </c>
      <c r="K590" s="3" t="str">
        <f>IF(Finance_Data!N586&gt;=0,"Valid","Invalid")</f>
        <v>Valid</v>
      </c>
      <c r="L590" s="3" t="str">
        <f>IF(TEXT(Finance_Data!G586,"mmmm")=Finance_Data!P586,"Valid","Invalid")</f>
        <v>Valid</v>
      </c>
      <c r="M590" s="3" t="str">
        <f>IF("Q"&amp;ROUNDUP(MONTH(Finance_Data!G586)/3,0)=Finance_Data!Q586,"Valid","Invalid")</f>
        <v>Valid</v>
      </c>
      <c r="N590" s="7" t="str">
        <f t="shared" si="9"/>
        <v>Pass</v>
      </c>
    </row>
    <row r="591" spans="1:14" x14ac:dyDescent="0.35">
      <c r="A591" s="17" t="s">
        <v>84</v>
      </c>
      <c r="B591" s="3" t="str">
        <f>IF(ISBLANK(Table3[[#This Row],[Campaign_ID]]),"Invalid","Valid")</f>
        <v>Valid</v>
      </c>
      <c r="C591" s="3" t="str">
        <f>IF(COUNTA(Finance_Data!A587:R587)=18,"Valid","Missing")</f>
        <v>Valid</v>
      </c>
      <c r="D591" s="3" t="str">
        <f>IF(COUNTIF(Finance_Data!$T$2:$T$1001,Finance_Data!T587)&gt;1,"Duplicate","Valid")</f>
        <v>Valid</v>
      </c>
      <c r="E591" s="3" t="str">
        <f>IF(Finance_Data!H587&gt;Finance_Data!G587,"Valid","Invalid")</f>
        <v>Valid</v>
      </c>
      <c r="F591" s="3" t="str" cm="1">
        <f t="array" ref="F591">_xlfn.IFS(Finance_Data!S587&lt;7,"Short",Finance_Data!S587&lt;=30,"Normal",Finance_Data!S587&lt;=60,"Long",Finance_Data!S587&gt;60,"Very Long")</f>
        <v>Long</v>
      </c>
      <c r="G591" s="3" t="str">
        <f>IF(ABS(Finance_Data!I587*Finance_Data!J587)-Finance_Data!K587&lt;1,"Valid","Invalid")</f>
        <v>Valid</v>
      </c>
      <c r="H591" s="3" t="str">
        <f>IF(Finance_Data!L587&gt;0,"Valid","Invalid")</f>
        <v>Valid</v>
      </c>
      <c r="I591" s="3" t="str">
        <f>IF(Finance_Data!L587&gt;=Finance_Data!M587,"Valid","Invalid")</f>
        <v>Valid</v>
      </c>
      <c r="J591" s="3" t="str">
        <f>IF(AND(Finance_Data!I587&gt;=0,Finance_Data!K587&gt;=0),"Valid","Invalid")</f>
        <v>Valid</v>
      </c>
      <c r="K591" s="3" t="str">
        <f>IF(Finance_Data!N587&gt;=0,"Valid","Invalid")</f>
        <v>Valid</v>
      </c>
      <c r="L591" s="3" t="str">
        <f>IF(TEXT(Finance_Data!G587,"mmmm")=Finance_Data!P587,"Valid","Invalid")</f>
        <v>Valid</v>
      </c>
      <c r="M591" s="3" t="str">
        <f>IF("Q"&amp;ROUNDUP(MONTH(Finance_Data!G587)/3,0)=Finance_Data!Q587,"Valid","Invalid")</f>
        <v>Valid</v>
      </c>
      <c r="N591" s="7" t="str">
        <f t="shared" si="9"/>
        <v>Pass</v>
      </c>
    </row>
    <row r="592" spans="1:14" x14ac:dyDescent="0.35">
      <c r="A592" s="17" t="s">
        <v>79</v>
      </c>
      <c r="B592" s="3" t="str">
        <f>IF(ISBLANK(Table3[[#This Row],[Campaign_ID]]),"Invalid","Valid")</f>
        <v>Valid</v>
      </c>
      <c r="C592" s="3" t="str">
        <f>IF(COUNTA(Finance_Data!A588:R588)=18,"Valid","Missing")</f>
        <v>Valid</v>
      </c>
      <c r="D592" s="3" t="str">
        <f>IF(COUNTIF(Finance_Data!$T$2:$T$1001,Finance_Data!T588)&gt;1,"Duplicate","Valid")</f>
        <v>Valid</v>
      </c>
      <c r="E592" s="3" t="str">
        <f>IF(Finance_Data!H588&gt;Finance_Data!G588,"Valid","Invalid")</f>
        <v>Valid</v>
      </c>
      <c r="F592" s="3" t="str" cm="1">
        <f t="array" ref="F592">_xlfn.IFS(Finance_Data!S588&lt;7,"Short",Finance_Data!S588&lt;=30,"Normal",Finance_Data!S588&lt;=60,"Long",Finance_Data!S588&gt;60,"Very Long")</f>
        <v>Long</v>
      </c>
      <c r="G592" s="3" t="str">
        <f>IF(ABS(Finance_Data!I588*Finance_Data!J588)-Finance_Data!K588&lt;1,"Valid","Invalid")</f>
        <v>Valid</v>
      </c>
      <c r="H592" s="3" t="str">
        <f>IF(Finance_Data!L588&gt;0,"Valid","Invalid")</f>
        <v>Valid</v>
      </c>
      <c r="I592" s="3" t="str">
        <f>IF(Finance_Data!L588&gt;=Finance_Data!M588,"Valid","Invalid")</f>
        <v>Valid</v>
      </c>
      <c r="J592" s="3" t="str">
        <f>IF(AND(Finance_Data!I588&gt;=0,Finance_Data!K588&gt;=0),"Valid","Invalid")</f>
        <v>Valid</v>
      </c>
      <c r="K592" s="3" t="str">
        <f>IF(Finance_Data!N588&gt;=0,"Valid","Invalid")</f>
        <v>Valid</v>
      </c>
      <c r="L592" s="3" t="str">
        <f>IF(TEXT(Finance_Data!G588,"mmmm")=Finance_Data!P588,"Valid","Invalid")</f>
        <v>Valid</v>
      </c>
      <c r="M592" s="3" t="str">
        <f>IF("Q"&amp;ROUNDUP(MONTH(Finance_Data!G588)/3,0)=Finance_Data!Q588,"Valid","Invalid")</f>
        <v>Valid</v>
      </c>
      <c r="N592" s="7" t="str">
        <f t="shared" si="9"/>
        <v>Pass</v>
      </c>
    </row>
    <row r="593" spans="1:14" x14ac:dyDescent="0.35">
      <c r="A593" s="17" t="s">
        <v>67</v>
      </c>
      <c r="B593" s="3" t="str">
        <f>IF(ISBLANK(Table3[[#This Row],[Campaign_ID]]),"Invalid","Valid")</f>
        <v>Valid</v>
      </c>
      <c r="C593" s="3" t="str">
        <f>IF(COUNTA(Finance_Data!A589:R589)=18,"Valid","Missing")</f>
        <v>Valid</v>
      </c>
      <c r="D593" s="3" t="str">
        <f>IF(COUNTIF(Finance_Data!$T$2:$T$1001,Finance_Data!T589)&gt;1,"Duplicate","Valid")</f>
        <v>Valid</v>
      </c>
      <c r="E593" s="3" t="str">
        <f>IF(Finance_Data!H589&gt;Finance_Data!G589,"Valid","Invalid")</f>
        <v>Valid</v>
      </c>
      <c r="F593" s="3" t="str" cm="1">
        <f t="array" ref="F593">_xlfn.IFS(Finance_Data!S589&lt;7,"Short",Finance_Data!S589&lt;=30,"Normal",Finance_Data!S589&lt;=60,"Long",Finance_Data!S589&gt;60,"Very Long")</f>
        <v>Normal</v>
      </c>
      <c r="G593" s="3" t="str">
        <f>IF(ABS(Finance_Data!I589*Finance_Data!J589)-Finance_Data!K589&lt;1,"Valid","Invalid")</f>
        <v>Valid</v>
      </c>
      <c r="H593" s="3" t="str">
        <f>IF(Finance_Data!L589&gt;0,"Valid","Invalid")</f>
        <v>Valid</v>
      </c>
      <c r="I593" s="3" t="str">
        <f>IF(Finance_Data!L589&gt;=Finance_Data!M589,"Valid","Invalid")</f>
        <v>Valid</v>
      </c>
      <c r="J593" s="3" t="str">
        <f>IF(AND(Finance_Data!I589&gt;=0,Finance_Data!K589&gt;=0),"Valid","Invalid")</f>
        <v>Valid</v>
      </c>
      <c r="K593" s="3" t="str">
        <f>IF(Finance_Data!N589&gt;=0,"Valid","Invalid")</f>
        <v>Valid</v>
      </c>
      <c r="L593" s="3" t="str">
        <f>IF(TEXT(Finance_Data!G589,"mmmm")=Finance_Data!P589,"Valid","Invalid")</f>
        <v>Valid</v>
      </c>
      <c r="M593" s="3" t="str">
        <f>IF("Q"&amp;ROUNDUP(MONTH(Finance_Data!G589)/3,0)=Finance_Data!Q589,"Valid","Invalid")</f>
        <v>Valid</v>
      </c>
      <c r="N593" s="7" t="str">
        <f t="shared" si="9"/>
        <v>Pass</v>
      </c>
    </row>
    <row r="594" spans="1:14" x14ac:dyDescent="0.35">
      <c r="A594" s="17" t="s">
        <v>101</v>
      </c>
      <c r="B594" s="3" t="str">
        <f>IF(ISBLANK(Table3[[#This Row],[Campaign_ID]]),"Invalid","Valid")</f>
        <v>Valid</v>
      </c>
      <c r="C594" s="3" t="str">
        <f>IF(COUNTA(Finance_Data!A590:R590)=18,"Valid","Missing")</f>
        <v>Valid</v>
      </c>
      <c r="D594" s="3" t="str">
        <f>IF(COUNTIF(Finance_Data!$T$2:$T$1001,Finance_Data!T590)&gt;1,"Duplicate","Valid")</f>
        <v>Valid</v>
      </c>
      <c r="E594" s="3" t="str">
        <f>IF(Finance_Data!H590&gt;Finance_Data!G590,"Valid","Invalid")</f>
        <v>Valid</v>
      </c>
      <c r="F594" s="3" t="str" cm="1">
        <f t="array" ref="F594">_xlfn.IFS(Finance_Data!S590&lt;7,"Short",Finance_Data!S590&lt;=30,"Normal",Finance_Data!S590&lt;=60,"Long",Finance_Data!S590&gt;60,"Very Long")</f>
        <v>Normal</v>
      </c>
      <c r="G594" s="3" t="str">
        <f>IF(ABS(Finance_Data!I590*Finance_Data!J590)-Finance_Data!K590&lt;1,"Valid","Invalid")</f>
        <v>Valid</v>
      </c>
      <c r="H594" s="3" t="str">
        <f>IF(Finance_Data!L590&gt;0,"Valid","Invalid")</f>
        <v>Valid</v>
      </c>
      <c r="I594" s="3" t="str">
        <f>IF(Finance_Data!L590&gt;=Finance_Data!M590,"Valid","Invalid")</f>
        <v>Valid</v>
      </c>
      <c r="J594" s="3" t="str">
        <f>IF(AND(Finance_Data!I590&gt;=0,Finance_Data!K590&gt;=0),"Valid","Invalid")</f>
        <v>Valid</v>
      </c>
      <c r="K594" s="3" t="str">
        <f>IF(Finance_Data!N590&gt;=0,"Valid","Invalid")</f>
        <v>Valid</v>
      </c>
      <c r="L594" s="3" t="str">
        <f>IF(TEXT(Finance_Data!G590,"mmmm")=Finance_Data!P590,"Valid","Invalid")</f>
        <v>Valid</v>
      </c>
      <c r="M594" s="3" t="str">
        <f>IF("Q"&amp;ROUNDUP(MONTH(Finance_Data!G590)/3,0)=Finance_Data!Q590,"Valid","Invalid")</f>
        <v>Valid</v>
      </c>
      <c r="N594" s="7" t="str">
        <f t="shared" si="9"/>
        <v>Pass</v>
      </c>
    </row>
    <row r="595" spans="1:14" x14ac:dyDescent="0.35">
      <c r="A595" s="17" t="s">
        <v>117</v>
      </c>
      <c r="B595" s="3" t="str">
        <f>IF(ISBLANK(Table3[[#This Row],[Campaign_ID]]),"Invalid","Valid")</f>
        <v>Valid</v>
      </c>
      <c r="C595" s="3" t="str">
        <f>IF(COUNTA(Finance_Data!A591:R591)=18,"Valid","Missing")</f>
        <v>Valid</v>
      </c>
      <c r="D595" s="3" t="str">
        <f>IF(COUNTIF(Finance_Data!$T$2:$T$1001,Finance_Data!T591)&gt;1,"Duplicate","Valid")</f>
        <v>Valid</v>
      </c>
      <c r="E595" s="3" t="str">
        <f>IF(Finance_Data!H591&gt;Finance_Data!G591,"Valid","Invalid")</f>
        <v>Valid</v>
      </c>
      <c r="F595" s="3" t="str" cm="1">
        <f t="array" ref="F595">_xlfn.IFS(Finance_Data!S591&lt;7,"Short",Finance_Data!S591&lt;=30,"Normal",Finance_Data!S591&lt;=60,"Long",Finance_Data!S591&gt;60,"Very Long")</f>
        <v>Short</v>
      </c>
      <c r="G595" s="3" t="str">
        <f>IF(ABS(Finance_Data!I591*Finance_Data!J591)-Finance_Data!K591&lt;1,"Valid","Invalid")</f>
        <v>Valid</v>
      </c>
      <c r="H595" s="3" t="str">
        <f>IF(Finance_Data!L591&gt;0,"Valid","Invalid")</f>
        <v>Valid</v>
      </c>
      <c r="I595" s="3" t="str">
        <f>IF(Finance_Data!L591&gt;=Finance_Data!M591,"Valid","Invalid")</f>
        <v>Valid</v>
      </c>
      <c r="J595" s="3" t="str">
        <f>IF(AND(Finance_Data!I591&gt;=0,Finance_Data!K591&gt;=0),"Valid","Invalid")</f>
        <v>Valid</v>
      </c>
      <c r="K595" s="3" t="str">
        <f>IF(Finance_Data!N591&gt;=0,"Valid","Invalid")</f>
        <v>Valid</v>
      </c>
      <c r="L595" s="3" t="str">
        <f>IF(TEXT(Finance_Data!G591,"mmmm")=Finance_Data!P591,"Valid","Invalid")</f>
        <v>Valid</v>
      </c>
      <c r="M595" s="3" t="str">
        <f>IF("Q"&amp;ROUNDUP(MONTH(Finance_Data!G591)/3,0)=Finance_Data!Q591,"Valid","Invalid")</f>
        <v>Valid</v>
      </c>
      <c r="N595" s="7" t="str">
        <f t="shared" si="9"/>
        <v>Pass</v>
      </c>
    </row>
    <row r="596" spans="1:14" x14ac:dyDescent="0.35">
      <c r="A596" s="17" t="s">
        <v>102</v>
      </c>
      <c r="B596" s="3" t="str">
        <f>IF(ISBLANK(Table3[[#This Row],[Campaign_ID]]),"Invalid","Valid")</f>
        <v>Valid</v>
      </c>
      <c r="C596" s="3" t="str">
        <f>IF(COUNTA(Finance_Data!A592:R592)=18,"Valid","Missing")</f>
        <v>Valid</v>
      </c>
      <c r="D596" s="3" t="str">
        <f>IF(COUNTIF(Finance_Data!$T$2:$T$1001,Finance_Data!T592)&gt;1,"Duplicate","Valid")</f>
        <v>Valid</v>
      </c>
      <c r="E596" s="3" t="str">
        <f>IF(Finance_Data!H592&gt;Finance_Data!G592,"Valid","Invalid")</f>
        <v>Valid</v>
      </c>
      <c r="F596" s="3" t="str" cm="1">
        <f t="array" ref="F596">_xlfn.IFS(Finance_Data!S592&lt;7,"Short",Finance_Data!S592&lt;=30,"Normal",Finance_Data!S592&lt;=60,"Long",Finance_Data!S592&gt;60,"Very Long")</f>
        <v>Long</v>
      </c>
      <c r="G596" s="3" t="str">
        <f>IF(ABS(Finance_Data!I592*Finance_Data!J592)-Finance_Data!K592&lt;1,"Valid","Invalid")</f>
        <v>Valid</v>
      </c>
      <c r="H596" s="3" t="str">
        <f>IF(Finance_Data!L592&gt;0,"Valid","Invalid")</f>
        <v>Valid</v>
      </c>
      <c r="I596" s="3" t="str">
        <f>IF(Finance_Data!L592&gt;=Finance_Data!M592,"Valid","Invalid")</f>
        <v>Valid</v>
      </c>
      <c r="J596" s="3" t="str">
        <f>IF(AND(Finance_Data!I592&gt;=0,Finance_Data!K592&gt;=0),"Valid","Invalid")</f>
        <v>Valid</v>
      </c>
      <c r="K596" s="3" t="str">
        <f>IF(Finance_Data!N592&gt;=0,"Valid","Invalid")</f>
        <v>Valid</v>
      </c>
      <c r="L596" s="3" t="str">
        <f>IF(TEXT(Finance_Data!G592,"mmmm")=Finance_Data!P592,"Valid","Invalid")</f>
        <v>Valid</v>
      </c>
      <c r="M596" s="3" t="str">
        <f>IF("Q"&amp;ROUNDUP(MONTH(Finance_Data!G592)/3,0)=Finance_Data!Q592,"Valid","Invalid")</f>
        <v>Valid</v>
      </c>
      <c r="N596" s="7" t="str">
        <f t="shared" si="9"/>
        <v>Pass</v>
      </c>
    </row>
    <row r="597" spans="1:14" x14ac:dyDescent="0.35">
      <c r="A597" s="17" t="s">
        <v>106</v>
      </c>
      <c r="B597" s="3" t="str">
        <f>IF(ISBLANK(Table3[[#This Row],[Campaign_ID]]),"Invalid","Valid")</f>
        <v>Valid</v>
      </c>
      <c r="C597" s="3" t="str">
        <f>IF(COUNTA(Finance_Data!A593:R593)=18,"Valid","Missing")</f>
        <v>Valid</v>
      </c>
      <c r="D597" s="3" t="str">
        <f>IF(COUNTIF(Finance_Data!$T$2:$T$1001,Finance_Data!T593)&gt;1,"Duplicate","Valid")</f>
        <v>Valid</v>
      </c>
      <c r="E597" s="3" t="str">
        <f>IF(Finance_Data!H593&gt;Finance_Data!G593,"Valid","Invalid")</f>
        <v>Valid</v>
      </c>
      <c r="F597" s="3" t="str" cm="1">
        <f t="array" ref="F597">_xlfn.IFS(Finance_Data!S593&lt;7,"Short",Finance_Data!S593&lt;=30,"Normal",Finance_Data!S593&lt;=60,"Long",Finance_Data!S593&gt;60,"Very Long")</f>
        <v>Long</v>
      </c>
      <c r="G597" s="3" t="str">
        <f>IF(ABS(Finance_Data!I593*Finance_Data!J593)-Finance_Data!K593&lt;1,"Valid","Invalid")</f>
        <v>Valid</v>
      </c>
      <c r="H597" s="3" t="str">
        <f>IF(Finance_Data!L593&gt;0,"Valid","Invalid")</f>
        <v>Valid</v>
      </c>
      <c r="I597" s="3" t="str">
        <f>IF(Finance_Data!L593&gt;=Finance_Data!M593,"Valid","Invalid")</f>
        <v>Valid</v>
      </c>
      <c r="J597" s="3" t="str">
        <f>IF(AND(Finance_Data!I593&gt;=0,Finance_Data!K593&gt;=0),"Valid","Invalid")</f>
        <v>Valid</v>
      </c>
      <c r="K597" s="3" t="str">
        <f>IF(Finance_Data!N593&gt;=0,"Valid","Invalid")</f>
        <v>Valid</v>
      </c>
      <c r="L597" s="3" t="str">
        <f>IF(TEXT(Finance_Data!G593,"mmmm")=Finance_Data!P593,"Valid","Invalid")</f>
        <v>Valid</v>
      </c>
      <c r="M597" s="3" t="str">
        <f>IF("Q"&amp;ROUNDUP(MONTH(Finance_Data!G593)/3,0)=Finance_Data!Q593,"Valid","Invalid")</f>
        <v>Valid</v>
      </c>
      <c r="N597" s="7" t="str">
        <f t="shared" si="9"/>
        <v>Pass</v>
      </c>
    </row>
    <row r="598" spans="1:14" x14ac:dyDescent="0.35">
      <c r="A598" s="17" t="s">
        <v>96</v>
      </c>
      <c r="B598" s="3" t="str">
        <f>IF(ISBLANK(Table3[[#This Row],[Campaign_ID]]),"Invalid","Valid")</f>
        <v>Valid</v>
      </c>
      <c r="C598" s="3" t="str">
        <f>IF(COUNTA(Finance_Data!A594:R594)=18,"Valid","Missing")</f>
        <v>Valid</v>
      </c>
      <c r="D598" s="3" t="str">
        <f>IF(COUNTIF(Finance_Data!$T$2:$T$1001,Finance_Data!T594)&gt;1,"Duplicate","Valid")</f>
        <v>Valid</v>
      </c>
      <c r="E598" s="3" t="str">
        <f>IF(Finance_Data!H594&gt;Finance_Data!G594,"Valid","Invalid")</f>
        <v>Valid</v>
      </c>
      <c r="F598" s="3" t="str" cm="1">
        <f t="array" ref="F598">_xlfn.IFS(Finance_Data!S594&lt;7,"Short",Finance_Data!S594&lt;=30,"Normal",Finance_Data!S594&lt;=60,"Long",Finance_Data!S594&gt;60,"Very Long")</f>
        <v>Long</v>
      </c>
      <c r="G598" s="3" t="str">
        <f>IF(ABS(Finance_Data!I594*Finance_Data!J594)-Finance_Data!K594&lt;1,"Valid","Invalid")</f>
        <v>Valid</v>
      </c>
      <c r="H598" s="3" t="str">
        <f>IF(Finance_Data!L594&gt;0,"Valid","Invalid")</f>
        <v>Valid</v>
      </c>
      <c r="I598" s="3" t="str">
        <f>IF(Finance_Data!L594&gt;=Finance_Data!M594,"Valid","Invalid")</f>
        <v>Valid</v>
      </c>
      <c r="J598" s="3" t="str">
        <f>IF(AND(Finance_Data!I594&gt;=0,Finance_Data!K594&gt;=0),"Valid","Invalid")</f>
        <v>Valid</v>
      </c>
      <c r="K598" s="3" t="str">
        <f>IF(Finance_Data!N594&gt;=0,"Valid","Invalid")</f>
        <v>Valid</v>
      </c>
      <c r="L598" s="3" t="str">
        <f>IF(TEXT(Finance_Data!G594,"mmmm")=Finance_Data!P594,"Valid","Invalid")</f>
        <v>Valid</v>
      </c>
      <c r="M598" s="3" t="str">
        <f>IF("Q"&amp;ROUNDUP(MONTH(Finance_Data!G594)/3,0)=Finance_Data!Q594,"Valid","Invalid")</f>
        <v>Valid</v>
      </c>
      <c r="N598" s="7" t="str">
        <f t="shared" si="9"/>
        <v>Pass</v>
      </c>
    </row>
    <row r="599" spans="1:14" x14ac:dyDescent="0.35">
      <c r="A599" s="17" t="s">
        <v>83</v>
      </c>
      <c r="B599" s="3" t="str">
        <f>IF(ISBLANK(Table3[[#This Row],[Campaign_ID]]),"Invalid","Valid")</f>
        <v>Valid</v>
      </c>
      <c r="C599" s="3" t="str">
        <f>IF(COUNTA(Finance_Data!A595:R595)=18,"Valid","Missing")</f>
        <v>Valid</v>
      </c>
      <c r="D599" s="3" t="str">
        <f>IF(COUNTIF(Finance_Data!$T$2:$T$1001,Finance_Data!T595)&gt;1,"Duplicate","Valid")</f>
        <v>Valid</v>
      </c>
      <c r="E599" s="3" t="str">
        <f>IF(Finance_Data!H595&gt;Finance_Data!G595,"Valid","Invalid")</f>
        <v>Valid</v>
      </c>
      <c r="F599" s="3" t="str" cm="1">
        <f t="array" ref="F599">_xlfn.IFS(Finance_Data!S595&lt;7,"Short",Finance_Data!S595&lt;=30,"Normal",Finance_Data!S595&lt;=60,"Long",Finance_Data!S595&gt;60,"Very Long")</f>
        <v>Long</v>
      </c>
      <c r="G599" s="3" t="str">
        <f>IF(ABS(Finance_Data!I595*Finance_Data!J595)-Finance_Data!K595&lt;1,"Valid","Invalid")</f>
        <v>Valid</v>
      </c>
      <c r="H599" s="3" t="str">
        <f>IF(Finance_Data!L595&gt;0,"Valid","Invalid")</f>
        <v>Valid</v>
      </c>
      <c r="I599" s="3" t="str">
        <f>IF(Finance_Data!L595&gt;=Finance_Data!M595,"Valid","Invalid")</f>
        <v>Valid</v>
      </c>
      <c r="J599" s="3" t="str">
        <f>IF(AND(Finance_Data!I595&gt;=0,Finance_Data!K595&gt;=0),"Valid","Invalid")</f>
        <v>Valid</v>
      </c>
      <c r="K599" s="3" t="str">
        <f>IF(Finance_Data!N595&gt;=0,"Valid","Invalid")</f>
        <v>Valid</v>
      </c>
      <c r="L599" s="3" t="str">
        <f>IF(TEXT(Finance_Data!G595,"mmmm")=Finance_Data!P595,"Valid","Invalid")</f>
        <v>Valid</v>
      </c>
      <c r="M599" s="3" t="str">
        <f>IF("Q"&amp;ROUNDUP(MONTH(Finance_Data!G595)/3,0)=Finance_Data!Q595,"Valid","Invalid")</f>
        <v>Valid</v>
      </c>
      <c r="N599" s="7" t="str">
        <f t="shared" si="9"/>
        <v>Pass</v>
      </c>
    </row>
    <row r="600" spans="1:14" x14ac:dyDescent="0.35">
      <c r="A600" s="17" t="s">
        <v>88</v>
      </c>
      <c r="B600" s="3" t="str">
        <f>IF(ISBLANK(Table3[[#This Row],[Campaign_ID]]),"Invalid","Valid")</f>
        <v>Valid</v>
      </c>
      <c r="C600" s="3" t="str">
        <f>IF(COUNTA(Finance_Data!A596:R596)=18,"Valid","Missing")</f>
        <v>Valid</v>
      </c>
      <c r="D600" s="3" t="str">
        <f>IF(COUNTIF(Finance_Data!$T$2:$T$1001,Finance_Data!T596)&gt;1,"Duplicate","Valid")</f>
        <v>Valid</v>
      </c>
      <c r="E600" s="3" t="str">
        <f>IF(Finance_Data!H596&gt;Finance_Data!G596,"Valid","Invalid")</f>
        <v>Valid</v>
      </c>
      <c r="F600" s="3" t="str" cm="1">
        <f t="array" ref="F600">_xlfn.IFS(Finance_Data!S596&lt;7,"Short",Finance_Data!S596&lt;=30,"Normal",Finance_Data!S596&lt;=60,"Long",Finance_Data!S596&gt;60,"Very Long")</f>
        <v>Long</v>
      </c>
      <c r="G600" s="3" t="str">
        <f>IF(ABS(Finance_Data!I596*Finance_Data!J596)-Finance_Data!K596&lt;1,"Valid","Invalid")</f>
        <v>Valid</v>
      </c>
      <c r="H600" s="3" t="str">
        <f>IF(Finance_Data!L596&gt;0,"Valid","Invalid")</f>
        <v>Valid</v>
      </c>
      <c r="I600" s="3" t="str">
        <f>IF(Finance_Data!L596&gt;=Finance_Data!M596,"Valid","Invalid")</f>
        <v>Valid</v>
      </c>
      <c r="J600" s="3" t="str">
        <f>IF(AND(Finance_Data!I596&gt;=0,Finance_Data!K596&gt;=0),"Valid","Invalid")</f>
        <v>Valid</v>
      </c>
      <c r="K600" s="3" t="str">
        <f>IF(Finance_Data!N596&gt;=0,"Valid","Invalid")</f>
        <v>Valid</v>
      </c>
      <c r="L600" s="3" t="str">
        <f>IF(TEXT(Finance_Data!G596,"mmmm")=Finance_Data!P596,"Valid","Invalid")</f>
        <v>Valid</v>
      </c>
      <c r="M600" s="3" t="str">
        <f>IF("Q"&amp;ROUNDUP(MONTH(Finance_Data!G596)/3,0)=Finance_Data!Q596,"Valid","Invalid")</f>
        <v>Valid</v>
      </c>
      <c r="N600" s="7" t="str">
        <f t="shared" si="9"/>
        <v>Pass</v>
      </c>
    </row>
    <row r="601" spans="1:14" x14ac:dyDescent="0.35">
      <c r="A601" s="17" t="s">
        <v>105</v>
      </c>
      <c r="B601" s="3" t="str">
        <f>IF(ISBLANK(Table3[[#This Row],[Campaign_ID]]),"Invalid","Valid")</f>
        <v>Valid</v>
      </c>
      <c r="C601" s="3" t="str">
        <f>IF(COUNTA(Finance_Data!A597:R597)=18,"Valid","Missing")</f>
        <v>Valid</v>
      </c>
      <c r="D601" s="3" t="str">
        <f>IF(COUNTIF(Finance_Data!$T$2:$T$1001,Finance_Data!T597)&gt;1,"Duplicate","Valid")</f>
        <v>Valid</v>
      </c>
      <c r="E601" s="3" t="str">
        <f>IF(Finance_Data!H597&gt;Finance_Data!G597,"Valid","Invalid")</f>
        <v>Valid</v>
      </c>
      <c r="F601" s="3" t="str" cm="1">
        <f t="array" ref="F601">_xlfn.IFS(Finance_Data!S597&lt;7,"Short",Finance_Data!S597&lt;=30,"Normal",Finance_Data!S597&lt;=60,"Long",Finance_Data!S597&gt;60,"Very Long")</f>
        <v>Long</v>
      </c>
      <c r="G601" s="3" t="str">
        <f>IF(ABS(Finance_Data!I597*Finance_Data!J597)-Finance_Data!K597&lt;1,"Valid","Invalid")</f>
        <v>Valid</v>
      </c>
      <c r="H601" s="3" t="str">
        <f>IF(Finance_Data!L597&gt;0,"Valid","Invalid")</f>
        <v>Valid</v>
      </c>
      <c r="I601" s="3" t="str">
        <f>IF(Finance_Data!L597&gt;=Finance_Data!M597,"Valid","Invalid")</f>
        <v>Valid</v>
      </c>
      <c r="J601" s="3" t="str">
        <f>IF(AND(Finance_Data!I597&gt;=0,Finance_Data!K597&gt;=0),"Valid","Invalid")</f>
        <v>Valid</v>
      </c>
      <c r="K601" s="3" t="str">
        <f>IF(Finance_Data!N597&gt;=0,"Valid","Invalid")</f>
        <v>Valid</v>
      </c>
      <c r="L601" s="3" t="str">
        <f>IF(TEXT(Finance_Data!G597,"mmmm")=Finance_Data!P597,"Valid","Invalid")</f>
        <v>Valid</v>
      </c>
      <c r="M601" s="3" t="str">
        <f>IF("Q"&amp;ROUNDUP(MONTH(Finance_Data!G597)/3,0)=Finance_Data!Q597,"Valid","Invalid")</f>
        <v>Valid</v>
      </c>
      <c r="N601" s="7" t="str">
        <f t="shared" si="9"/>
        <v>Pass</v>
      </c>
    </row>
    <row r="602" spans="1:14" x14ac:dyDescent="0.35">
      <c r="A602" s="17" t="s">
        <v>79</v>
      </c>
      <c r="B602" s="3" t="str">
        <f>IF(ISBLANK(Table3[[#This Row],[Campaign_ID]]),"Invalid","Valid")</f>
        <v>Valid</v>
      </c>
      <c r="C602" s="3" t="str">
        <f>IF(COUNTA(Finance_Data!A598:R598)=18,"Valid","Missing")</f>
        <v>Valid</v>
      </c>
      <c r="D602" s="3" t="str">
        <f>IF(COUNTIF(Finance_Data!$T$2:$T$1001,Finance_Data!T598)&gt;1,"Duplicate","Valid")</f>
        <v>Valid</v>
      </c>
      <c r="E602" s="3" t="str">
        <f>IF(Finance_Data!H598&gt;Finance_Data!G598,"Valid","Invalid")</f>
        <v>Valid</v>
      </c>
      <c r="F602" s="3" t="str" cm="1">
        <f t="array" ref="F602">_xlfn.IFS(Finance_Data!S598&lt;7,"Short",Finance_Data!S598&lt;=30,"Normal",Finance_Data!S598&lt;=60,"Long",Finance_Data!S598&gt;60,"Very Long")</f>
        <v>Normal</v>
      </c>
      <c r="G602" s="3" t="str">
        <f>IF(ABS(Finance_Data!I598*Finance_Data!J598)-Finance_Data!K598&lt;1,"Valid","Invalid")</f>
        <v>Valid</v>
      </c>
      <c r="H602" s="3" t="str">
        <f>IF(Finance_Data!L598&gt;0,"Valid","Invalid")</f>
        <v>Valid</v>
      </c>
      <c r="I602" s="3" t="str">
        <f>IF(Finance_Data!L598&gt;=Finance_Data!M598,"Valid","Invalid")</f>
        <v>Valid</v>
      </c>
      <c r="J602" s="3" t="str">
        <f>IF(AND(Finance_Data!I598&gt;=0,Finance_Data!K598&gt;=0),"Valid","Invalid")</f>
        <v>Valid</v>
      </c>
      <c r="K602" s="3" t="str">
        <f>IF(Finance_Data!N598&gt;=0,"Valid","Invalid")</f>
        <v>Valid</v>
      </c>
      <c r="L602" s="3" t="str">
        <f>IF(TEXT(Finance_Data!G598,"mmmm")=Finance_Data!P598,"Valid","Invalid")</f>
        <v>Valid</v>
      </c>
      <c r="M602" s="3" t="str">
        <f>IF("Q"&amp;ROUNDUP(MONTH(Finance_Data!G598)/3,0)=Finance_Data!Q598,"Valid","Invalid")</f>
        <v>Valid</v>
      </c>
      <c r="N602" s="7" t="str">
        <f t="shared" si="9"/>
        <v>Pass</v>
      </c>
    </row>
    <row r="603" spans="1:14" x14ac:dyDescent="0.35">
      <c r="A603" s="17" t="s">
        <v>109</v>
      </c>
      <c r="B603" s="3" t="str">
        <f>IF(ISBLANK(Table3[[#This Row],[Campaign_ID]]),"Invalid","Valid")</f>
        <v>Valid</v>
      </c>
      <c r="C603" s="3" t="str">
        <f>IF(COUNTA(Finance_Data!A599:R599)=18,"Valid","Missing")</f>
        <v>Valid</v>
      </c>
      <c r="D603" s="3" t="str">
        <f>IF(COUNTIF(Finance_Data!$T$2:$T$1001,Finance_Data!T599)&gt;1,"Duplicate","Valid")</f>
        <v>Valid</v>
      </c>
      <c r="E603" s="3" t="str">
        <f>IF(Finance_Data!H599&gt;Finance_Data!G599,"Valid","Invalid")</f>
        <v>Valid</v>
      </c>
      <c r="F603" s="3" t="str" cm="1">
        <f t="array" ref="F603">_xlfn.IFS(Finance_Data!S599&lt;7,"Short",Finance_Data!S599&lt;=30,"Normal",Finance_Data!S599&lt;=60,"Long",Finance_Data!S599&gt;60,"Very Long")</f>
        <v>Normal</v>
      </c>
      <c r="G603" s="3" t="str">
        <f>IF(ABS(Finance_Data!I599*Finance_Data!J599)-Finance_Data!K599&lt;1,"Valid","Invalid")</f>
        <v>Valid</v>
      </c>
      <c r="H603" s="3" t="str">
        <f>IF(Finance_Data!L599&gt;0,"Valid","Invalid")</f>
        <v>Valid</v>
      </c>
      <c r="I603" s="3" t="str">
        <f>IF(Finance_Data!L599&gt;=Finance_Data!M599,"Valid","Invalid")</f>
        <v>Valid</v>
      </c>
      <c r="J603" s="3" t="str">
        <f>IF(AND(Finance_Data!I599&gt;=0,Finance_Data!K599&gt;=0),"Valid","Invalid")</f>
        <v>Valid</v>
      </c>
      <c r="K603" s="3" t="str">
        <f>IF(Finance_Data!N599&gt;=0,"Valid","Invalid")</f>
        <v>Valid</v>
      </c>
      <c r="L603" s="3" t="str">
        <f>IF(TEXT(Finance_Data!G599,"mmmm")=Finance_Data!P599,"Valid","Invalid")</f>
        <v>Valid</v>
      </c>
      <c r="M603" s="3" t="str">
        <f>IF("Q"&amp;ROUNDUP(MONTH(Finance_Data!G599)/3,0)=Finance_Data!Q599,"Valid","Invalid")</f>
        <v>Valid</v>
      </c>
      <c r="N603" s="7" t="str">
        <f t="shared" si="9"/>
        <v>Pass</v>
      </c>
    </row>
    <row r="604" spans="1:14" x14ac:dyDescent="0.35">
      <c r="A604" s="17" t="s">
        <v>66</v>
      </c>
      <c r="B604" s="3" t="str">
        <f>IF(ISBLANK(Table3[[#This Row],[Campaign_ID]]),"Invalid","Valid")</f>
        <v>Valid</v>
      </c>
      <c r="C604" s="3" t="str">
        <f>IF(COUNTA(Finance_Data!A600:R600)=18,"Valid","Missing")</f>
        <v>Valid</v>
      </c>
      <c r="D604" s="3" t="str">
        <f>IF(COUNTIF(Finance_Data!$T$2:$T$1001,Finance_Data!T600)&gt;1,"Duplicate","Valid")</f>
        <v>Valid</v>
      </c>
      <c r="E604" s="3" t="str">
        <f>IF(Finance_Data!H600&gt;Finance_Data!G600,"Valid","Invalid")</f>
        <v>Valid</v>
      </c>
      <c r="F604" s="3" t="str" cm="1">
        <f t="array" ref="F604">_xlfn.IFS(Finance_Data!S600&lt;7,"Short",Finance_Data!S600&lt;=30,"Normal",Finance_Data!S600&lt;=60,"Long",Finance_Data!S600&gt;60,"Very Long")</f>
        <v>Normal</v>
      </c>
      <c r="G604" s="3" t="str">
        <f>IF(ABS(Finance_Data!I600*Finance_Data!J600)-Finance_Data!K600&lt;1,"Valid","Invalid")</f>
        <v>Valid</v>
      </c>
      <c r="H604" s="3" t="str">
        <f>IF(Finance_Data!L600&gt;0,"Valid","Invalid")</f>
        <v>Valid</v>
      </c>
      <c r="I604" s="3" t="str">
        <f>IF(Finance_Data!L600&gt;=Finance_Data!M600,"Valid","Invalid")</f>
        <v>Valid</v>
      </c>
      <c r="J604" s="3" t="str">
        <f>IF(AND(Finance_Data!I600&gt;=0,Finance_Data!K600&gt;=0),"Valid","Invalid")</f>
        <v>Valid</v>
      </c>
      <c r="K604" s="3" t="str">
        <f>IF(Finance_Data!N600&gt;=0,"Valid","Invalid")</f>
        <v>Valid</v>
      </c>
      <c r="L604" s="3" t="str">
        <f>IF(TEXT(Finance_Data!G600,"mmmm")=Finance_Data!P600,"Valid","Invalid")</f>
        <v>Valid</v>
      </c>
      <c r="M604" s="3" t="str">
        <f>IF("Q"&amp;ROUNDUP(MONTH(Finance_Data!G600)/3,0)=Finance_Data!Q600,"Valid","Invalid")</f>
        <v>Valid</v>
      </c>
      <c r="N604" s="7" t="str">
        <f t="shared" si="9"/>
        <v>Pass</v>
      </c>
    </row>
    <row r="605" spans="1:14" x14ac:dyDescent="0.35">
      <c r="A605" s="17" t="s">
        <v>102</v>
      </c>
      <c r="B605" s="3" t="str">
        <f>IF(ISBLANK(Table3[[#This Row],[Campaign_ID]]),"Invalid","Valid")</f>
        <v>Valid</v>
      </c>
      <c r="C605" s="3" t="str">
        <f>IF(COUNTA(Finance_Data!A601:R601)=18,"Valid","Missing")</f>
        <v>Valid</v>
      </c>
      <c r="D605" s="3" t="str">
        <f>IF(COUNTIF(Finance_Data!$T$2:$T$1001,Finance_Data!T601)&gt;1,"Duplicate","Valid")</f>
        <v>Valid</v>
      </c>
      <c r="E605" s="3" t="str">
        <f>IF(Finance_Data!H601&gt;Finance_Data!G601,"Valid","Invalid")</f>
        <v>Valid</v>
      </c>
      <c r="F605" s="3" t="str" cm="1">
        <f t="array" ref="F605">_xlfn.IFS(Finance_Data!S601&lt;7,"Short",Finance_Data!S601&lt;=30,"Normal",Finance_Data!S601&lt;=60,"Long",Finance_Data!S601&gt;60,"Very Long")</f>
        <v>Long</v>
      </c>
      <c r="G605" s="3" t="str">
        <f>IF(ABS(Finance_Data!I601*Finance_Data!J601)-Finance_Data!K601&lt;1,"Valid","Invalid")</f>
        <v>Valid</v>
      </c>
      <c r="H605" s="3" t="str">
        <f>IF(Finance_Data!L601&gt;0,"Valid","Invalid")</f>
        <v>Valid</v>
      </c>
      <c r="I605" s="3" t="str">
        <f>IF(Finance_Data!L601&gt;=Finance_Data!M601,"Valid","Invalid")</f>
        <v>Valid</v>
      </c>
      <c r="J605" s="3" t="str">
        <f>IF(AND(Finance_Data!I601&gt;=0,Finance_Data!K601&gt;=0),"Valid","Invalid")</f>
        <v>Valid</v>
      </c>
      <c r="K605" s="3" t="str">
        <f>IF(Finance_Data!N601&gt;=0,"Valid","Invalid")</f>
        <v>Valid</v>
      </c>
      <c r="L605" s="3" t="str">
        <f>IF(TEXT(Finance_Data!G601,"mmmm")=Finance_Data!P601,"Valid","Invalid")</f>
        <v>Valid</v>
      </c>
      <c r="M605" s="3" t="str">
        <f>IF("Q"&amp;ROUNDUP(MONTH(Finance_Data!G601)/3,0)=Finance_Data!Q601,"Valid","Invalid")</f>
        <v>Valid</v>
      </c>
      <c r="N605" s="7" t="str">
        <f t="shared" si="9"/>
        <v>Pass</v>
      </c>
    </row>
    <row r="606" spans="1:14" x14ac:dyDescent="0.35">
      <c r="A606" s="17" t="s">
        <v>115</v>
      </c>
      <c r="B606" s="3" t="str">
        <f>IF(ISBLANK(Table3[[#This Row],[Campaign_ID]]),"Invalid","Valid")</f>
        <v>Valid</v>
      </c>
      <c r="C606" s="3" t="str">
        <f>IF(COUNTA(Finance_Data!A602:R602)=18,"Valid","Missing")</f>
        <v>Valid</v>
      </c>
      <c r="D606" s="3" t="str">
        <f>IF(COUNTIF(Finance_Data!$T$2:$T$1001,Finance_Data!T602)&gt;1,"Duplicate","Valid")</f>
        <v>Valid</v>
      </c>
      <c r="E606" s="3" t="str">
        <f>IF(Finance_Data!H602&gt;Finance_Data!G602,"Valid","Invalid")</f>
        <v>Valid</v>
      </c>
      <c r="F606" s="3" t="str" cm="1">
        <f t="array" ref="F606">_xlfn.IFS(Finance_Data!S602&lt;7,"Short",Finance_Data!S602&lt;=30,"Normal",Finance_Data!S602&lt;=60,"Long",Finance_Data!S602&gt;60,"Very Long")</f>
        <v>Normal</v>
      </c>
      <c r="G606" s="3" t="str">
        <f>IF(ABS(Finance_Data!I602*Finance_Data!J602)-Finance_Data!K602&lt;1,"Valid","Invalid")</f>
        <v>Valid</v>
      </c>
      <c r="H606" s="3" t="str">
        <f>IF(Finance_Data!L602&gt;0,"Valid","Invalid")</f>
        <v>Valid</v>
      </c>
      <c r="I606" s="3" t="str">
        <f>IF(Finance_Data!L602&gt;=Finance_Data!M602,"Valid","Invalid")</f>
        <v>Valid</v>
      </c>
      <c r="J606" s="3" t="str">
        <f>IF(AND(Finance_Data!I602&gt;=0,Finance_Data!K602&gt;=0),"Valid","Invalid")</f>
        <v>Valid</v>
      </c>
      <c r="K606" s="3" t="str">
        <f>IF(Finance_Data!N602&gt;=0,"Valid","Invalid")</f>
        <v>Valid</v>
      </c>
      <c r="L606" s="3" t="str">
        <f>IF(TEXT(Finance_Data!G602,"mmmm")=Finance_Data!P602,"Valid","Invalid")</f>
        <v>Valid</v>
      </c>
      <c r="M606" s="3" t="str">
        <f>IF("Q"&amp;ROUNDUP(MONTH(Finance_Data!G602)/3,0)=Finance_Data!Q602,"Valid","Invalid")</f>
        <v>Valid</v>
      </c>
      <c r="N606" s="7" t="str">
        <f t="shared" si="9"/>
        <v>Pass</v>
      </c>
    </row>
    <row r="607" spans="1:14" x14ac:dyDescent="0.35">
      <c r="A607" s="17" t="s">
        <v>42</v>
      </c>
      <c r="B607" s="3" t="str">
        <f>IF(ISBLANK(Table3[[#This Row],[Campaign_ID]]),"Invalid","Valid")</f>
        <v>Valid</v>
      </c>
      <c r="C607" s="3" t="str">
        <f>IF(COUNTA(Finance_Data!A603:R603)=18,"Valid","Missing")</f>
        <v>Valid</v>
      </c>
      <c r="D607" s="3" t="str">
        <f>IF(COUNTIF(Finance_Data!$T$2:$T$1001,Finance_Data!T603)&gt;1,"Duplicate","Valid")</f>
        <v>Valid</v>
      </c>
      <c r="E607" s="3" t="str">
        <f>IF(Finance_Data!H603&gt;Finance_Data!G603,"Valid","Invalid")</f>
        <v>Valid</v>
      </c>
      <c r="F607" s="3" t="str" cm="1">
        <f t="array" ref="F607">_xlfn.IFS(Finance_Data!S603&lt;7,"Short",Finance_Data!S603&lt;=30,"Normal",Finance_Data!S603&lt;=60,"Long",Finance_Data!S603&gt;60,"Very Long")</f>
        <v>Normal</v>
      </c>
      <c r="G607" s="3" t="str">
        <f>IF(ABS(Finance_Data!I603*Finance_Data!J603)-Finance_Data!K603&lt;1,"Valid","Invalid")</f>
        <v>Valid</v>
      </c>
      <c r="H607" s="3" t="str">
        <f>IF(Finance_Data!L603&gt;0,"Valid","Invalid")</f>
        <v>Valid</v>
      </c>
      <c r="I607" s="3" t="str">
        <f>IF(Finance_Data!L603&gt;=Finance_Data!M603,"Valid","Invalid")</f>
        <v>Valid</v>
      </c>
      <c r="J607" s="3" t="str">
        <f>IF(AND(Finance_Data!I603&gt;=0,Finance_Data!K603&gt;=0),"Valid","Invalid")</f>
        <v>Valid</v>
      </c>
      <c r="K607" s="3" t="str">
        <f>IF(Finance_Data!N603&gt;=0,"Valid","Invalid")</f>
        <v>Valid</v>
      </c>
      <c r="L607" s="3" t="str">
        <f>IF(TEXT(Finance_Data!G603,"mmmm")=Finance_Data!P603,"Valid","Invalid")</f>
        <v>Valid</v>
      </c>
      <c r="M607" s="3" t="str">
        <f>IF("Q"&amp;ROUNDUP(MONTH(Finance_Data!G603)/3,0)=Finance_Data!Q603,"Valid","Invalid")</f>
        <v>Valid</v>
      </c>
      <c r="N607" s="7" t="str">
        <f t="shared" si="9"/>
        <v>Pass</v>
      </c>
    </row>
    <row r="608" spans="1:14" x14ac:dyDescent="0.35">
      <c r="A608" s="17" t="s">
        <v>42</v>
      </c>
      <c r="B608" s="3" t="str">
        <f>IF(ISBLANK(Table3[[#This Row],[Campaign_ID]]),"Invalid","Valid")</f>
        <v>Valid</v>
      </c>
      <c r="C608" s="3" t="str">
        <f>IF(COUNTA(Finance_Data!A604:R604)=18,"Valid","Missing")</f>
        <v>Valid</v>
      </c>
      <c r="D608" s="3" t="str">
        <f>IF(COUNTIF(Finance_Data!$T$2:$T$1001,Finance_Data!T604)&gt;1,"Duplicate","Valid")</f>
        <v>Valid</v>
      </c>
      <c r="E608" s="3" t="str">
        <f>IF(Finance_Data!H604&gt;Finance_Data!G604,"Valid","Invalid")</f>
        <v>Valid</v>
      </c>
      <c r="F608" s="3" t="str" cm="1">
        <f t="array" ref="F608">_xlfn.IFS(Finance_Data!S604&lt;7,"Short",Finance_Data!S604&lt;=30,"Normal",Finance_Data!S604&lt;=60,"Long",Finance_Data!S604&gt;60,"Very Long")</f>
        <v>Normal</v>
      </c>
      <c r="G608" s="3" t="str">
        <f>IF(ABS(Finance_Data!I604*Finance_Data!J604)-Finance_Data!K604&lt;1,"Valid","Invalid")</f>
        <v>Valid</v>
      </c>
      <c r="H608" s="3" t="str">
        <f>IF(Finance_Data!L604&gt;0,"Valid","Invalid")</f>
        <v>Valid</v>
      </c>
      <c r="I608" s="3" t="str">
        <f>IF(Finance_Data!L604&gt;=Finance_Data!M604,"Valid","Invalid")</f>
        <v>Valid</v>
      </c>
      <c r="J608" s="3" t="str">
        <f>IF(AND(Finance_Data!I604&gt;=0,Finance_Data!K604&gt;=0),"Valid","Invalid")</f>
        <v>Valid</v>
      </c>
      <c r="K608" s="3" t="str">
        <f>IF(Finance_Data!N604&gt;=0,"Valid","Invalid")</f>
        <v>Valid</v>
      </c>
      <c r="L608" s="3" t="str">
        <f>IF(TEXT(Finance_Data!G604,"mmmm")=Finance_Data!P604,"Valid","Invalid")</f>
        <v>Valid</v>
      </c>
      <c r="M608" s="3" t="str">
        <f>IF("Q"&amp;ROUNDUP(MONTH(Finance_Data!G604)/3,0)=Finance_Data!Q604,"Valid","Invalid")</f>
        <v>Valid</v>
      </c>
      <c r="N608" s="7" t="str">
        <f t="shared" si="9"/>
        <v>Pass</v>
      </c>
    </row>
    <row r="609" spans="1:14" x14ac:dyDescent="0.35">
      <c r="A609" s="17" t="s">
        <v>96</v>
      </c>
      <c r="B609" s="3" t="str">
        <f>IF(ISBLANK(Table3[[#This Row],[Campaign_ID]]),"Invalid","Valid")</f>
        <v>Valid</v>
      </c>
      <c r="C609" s="3" t="str">
        <f>IF(COUNTA(Finance_Data!A605:R605)=18,"Valid","Missing")</f>
        <v>Valid</v>
      </c>
      <c r="D609" s="3" t="str">
        <f>IF(COUNTIF(Finance_Data!$T$2:$T$1001,Finance_Data!T605)&gt;1,"Duplicate","Valid")</f>
        <v>Valid</v>
      </c>
      <c r="E609" s="3" t="str">
        <f>IF(Finance_Data!H605&gt;Finance_Data!G605,"Valid","Invalid")</f>
        <v>Valid</v>
      </c>
      <c r="F609" s="3" t="str" cm="1">
        <f t="array" ref="F609">_xlfn.IFS(Finance_Data!S605&lt;7,"Short",Finance_Data!S605&lt;=30,"Normal",Finance_Data!S605&lt;=60,"Long",Finance_Data!S605&gt;60,"Very Long")</f>
        <v>Normal</v>
      </c>
      <c r="G609" s="3" t="str">
        <f>IF(ABS(Finance_Data!I605*Finance_Data!J605)-Finance_Data!K605&lt;1,"Valid","Invalid")</f>
        <v>Valid</v>
      </c>
      <c r="H609" s="3" t="str">
        <f>IF(Finance_Data!L605&gt;0,"Valid","Invalid")</f>
        <v>Valid</v>
      </c>
      <c r="I609" s="3" t="str">
        <f>IF(Finance_Data!L605&gt;=Finance_Data!M605,"Valid","Invalid")</f>
        <v>Valid</v>
      </c>
      <c r="J609" s="3" t="str">
        <f>IF(AND(Finance_Data!I605&gt;=0,Finance_Data!K605&gt;=0),"Valid","Invalid")</f>
        <v>Valid</v>
      </c>
      <c r="K609" s="3" t="str">
        <f>IF(Finance_Data!N605&gt;=0,"Valid","Invalid")</f>
        <v>Valid</v>
      </c>
      <c r="L609" s="3" t="str">
        <f>IF(TEXT(Finance_Data!G605,"mmmm")=Finance_Data!P605,"Valid","Invalid")</f>
        <v>Valid</v>
      </c>
      <c r="M609" s="3" t="str">
        <f>IF("Q"&amp;ROUNDUP(MONTH(Finance_Data!G605)/3,0)=Finance_Data!Q605,"Valid","Invalid")</f>
        <v>Valid</v>
      </c>
      <c r="N609" s="7" t="str">
        <f t="shared" si="9"/>
        <v>Pass</v>
      </c>
    </row>
    <row r="610" spans="1:14" x14ac:dyDescent="0.35">
      <c r="A610" s="17" t="s">
        <v>86</v>
      </c>
      <c r="B610" s="3" t="str">
        <f>IF(ISBLANK(Table3[[#This Row],[Campaign_ID]]),"Invalid","Valid")</f>
        <v>Valid</v>
      </c>
      <c r="C610" s="3" t="str">
        <f>IF(COUNTA(Finance_Data!A606:R606)=18,"Valid","Missing")</f>
        <v>Valid</v>
      </c>
      <c r="D610" s="3" t="str">
        <f>IF(COUNTIF(Finance_Data!$T$2:$T$1001,Finance_Data!T606)&gt;1,"Duplicate","Valid")</f>
        <v>Valid</v>
      </c>
      <c r="E610" s="3" t="str">
        <f>IF(Finance_Data!H606&gt;Finance_Data!G606,"Valid","Invalid")</f>
        <v>Valid</v>
      </c>
      <c r="F610" s="3" t="str" cm="1">
        <f t="array" ref="F610">_xlfn.IFS(Finance_Data!S606&lt;7,"Short",Finance_Data!S606&lt;=30,"Normal",Finance_Data!S606&lt;=60,"Long",Finance_Data!S606&gt;60,"Very Long")</f>
        <v>Long</v>
      </c>
      <c r="G610" s="3" t="str">
        <f>IF(ABS(Finance_Data!I606*Finance_Data!J606)-Finance_Data!K606&lt;1,"Valid","Invalid")</f>
        <v>Valid</v>
      </c>
      <c r="H610" s="3" t="str">
        <f>IF(Finance_Data!L606&gt;0,"Valid","Invalid")</f>
        <v>Valid</v>
      </c>
      <c r="I610" s="3" t="str">
        <f>IF(Finance_Data!L606&gt;=Finance_Data!M606,"Valid","Invalid")</f>
        <v>Valid</v>
      </c>
      <c r="J610" s="3" t="str">
        <f>IF(AND(Finance_Data!I606&gt;=0,Finance_Data!K606&gt;=0),"Valid","Invalid")</f>
        <v>Valid</v>
      </c>
      <c r="K610" s="3" t="str">
        <f>IF(Finance_Data!N606&gt;=0,"Valid","Invalid")</f>
        <v>Valid</v>
      </c>
      <c r="L610" s="3" t="str">
        <f>IF(TEXT(Finance_Data!G606,"mmmm")=Finance_Data!P606,"Valid","Invalid")</f>
        <v>Valid</v>
      </c>
      <c r="M610" s="3" t="str">
        <f>IF("Q"&amp;ROUNDUP(MONTH(Finance_Data!G606)/3,0)=Finance_Data!Q606,"Valid","Invalid")</f>
        <v>Valid</v>
      </c>
      <c r="N610" s="7" t="str">
        <f t="shared" si="9"/>
        <v>Pass</v>
      </c>
    </row>
    <row r="611" spans="1:14" x14ac:dyDescent="0.35">
      <c r="A611" s="17" t="s">
        <v>34</v>
      </c>
      <c r="B611" s="3" t="str">
        <f>IF(ISBLANK(Table3[[#This Row],[Campaign_ID]]),"Invalid","Valid")</f>
        <v>Valid</v>
      </c>
      <c r="C611" s="3" t="str">
        <f>IF(COUNTA(Finance_Data!A607:R607)=18,"Valid","Missing")</f>
        <v>Valid</v>
      </c>
      <c r="D611" s="3" t="str">
        <f>IF(COUNTIF(Finance_Data!$T$2:$T$1001,Finance_Data!T607)&gt;1,"Duplicate","Valid")</f>
        <v>Valid</v>
      </c>
      <c r="E611" s="3" t="str">
        <f>IF(Finance_Data!H607&gt;Finance_Data!G607,"Valid","Invalid")</f>
        <v>Valid</v>
      </c>
      <c r="F611" s="3" t="str" cm="1">
        <f t="array" ref="F611">_xlfn.IFS(Finance_Data!S607&lt;7,"Short",Finance_Data!S607&lt;=30,"Normal",Finance_Data!S607&lt;=60,"Long",Finance_Data!S607&gt;60,"Very Long")</f>
        <v>Long</v>
      </c>
      <c r="G611" s="3" t="str">
        <f>IF(ABS(Finance_Data!I607*Finance_Data!J607)-Finance_Data!K607&lt;1,"Valid","Invalid")</f>
        <v>Valid</v>
      </c>
      <c r="H611" s="3" t="str">
        <f>IF(Finance_Data!L607&gt;0,"Valid","Invalid")</f>
        <v>Valid</v>
      </c>
      <c r="I611" s="3" t="str">
        <f>IF(Finance_Data!L607&gt;=Finance_Data!M607,"Valid","Invalid")</f>
        <v>Valid</v>
      </c>
      <c r="J611" s="3" t="str">
        <f>IF(AND(Finance_Data!I607&gt;=0,Finance_Data!K607&gt;=0),"Valid","Invalid")</f>
        <v>Valid</v>
      </c>
      <c r="K611" s="3" t="str">
        <f>IF(Finance_Data!N607&gt;=0,"Valid","Invalid")</f>
        <v>Valid</v>
      </c>
      <c r="L611" s="3" t="str">
        <f>IF(TEXT(Finance_Data!G607,"mmmm")=Finance_Data!P607,"Valid","Invalid")</f>
        <v>Valid</v>
      </c>
      <c r="M611" s="3" t="str">
        <f>IF("Q"&amp;ROUNDUP(MONTH(Finance_Data!G607)/3,0)=Finance_Data!Q607,"Valid","Invalid")</f>
        <v>Valid</v>
      </c>
      <c r="N611" s="7" t="str">
        <f t="shared" si="9"/>
        <v>Pass</v>
      </c>
    </row>
    <row r="612" spans="1:14" x14ac:dyDescent="0.35">
      <c r="A612" s="17" t="s">
        <v>99</v>
      </c>
      <c r="B612" s="3" t="str">
        <f>IF(ISBLANK(Table3[[#This Row],[Campaign_ID]]),"Invalid","Valid")</f>
        <v>Valid</v>
      </c>
      <c r="C612" s="3" t="str">
        <f>IF(COUNTA(Finance_Data!A608:R608)=18,"Valid","Missing")</f>
        <v>Valid</v>
      </c>
      <c r="D612" s="3" t="str">
        <f>IF(COUNTIF(Finance_Data!$T$2:$T$1001,Finance_Data!T608)&gt;1,"Duplicate","Valid")</f>
        <v>Valid</v>
      </c>
      <c r="E612" s="3" t="str">
        <f>IF(Finance_Data!H608&gt;Finance_Data!G608,"Valid","Invalid")</f>
        <v>Valid</v>
      </c>
      <c r="F612" s="3" t="str" cm="1">
        <f t="array" ref="F612">_xlfn.IFS(Finance_Data!S608&lt;7,"Short",Finance_Data!S608&lt;=30,"Normal",Finance_Data!S608&lt;=60,"Long",Finance_Data!S608&gt;60,"Very Long")</f>
        <v>Normal</v>
      </c>
      <c r="G612" s="3" t="str">
        <f>IF(ABS(Finance_Data!I608*Finance_Data!J608)-Finance_Data!K608&lt;1,"Valid","Invalid")</f>
        <v>Valid</v>
      </c>
      <c r="H612" s="3" t="str">
        <f>IF(Finance_Data!L608&gt;0,"Valid","Invalid")</f>
        <v>Valid</v>
      </c>
      <c r="I612" s="3" t="str">
        <f>IF(Finance_Data!L608&gt;=Finance_Data!M608,"Valid","Invalid")</f>
        <v>Valid</v>
      </c>
      <c r="J612" s="3" t="str">
        <f>IF(AND(Finance_Data!I608&gt;=0,Finance_Data!K608&gt;=0),"Valid","Invalid")</f>
        <v>Valid</v>
      </c>
      <c r="K612" s="3" t="str">
        <f>IF(Finance_Data!N608&gt;=0,"Valid","Invalid")</f>
        <v>Valid</v>
      </c>
      <c r="L612" s="3" t="str">
        <f>IF(TEXT(Finance_Data!G608,"mmmm")=Finance_Data!P608,"Valid","Invalid")</f>
        <v>Valid</v>
      </c>
      <c r="M612" s="3" t="str">
        <f>IF("Q"&amp;ROUNDUP(MONTH(Finance_Data!G608)/3,0)=Finance_Data!Q608,"Valid","Invalid")</f>
        <v>Valid</v>
      </c>
      <c r="N612" s="7" t="str">
        <f t="shared" si="9"/>
        <v>Pass</v>
      </c>
    </row>
    <row r="613" spans="1:14" x14ac:dyDescent="0.35">
      <c r="A613" s="17" t="s">
        <v>120</v>
      </c>
      <c r="B613" s="3" t="str">
        <f>IF(ISBLANK(Table3[[#This Row],[Campaign_ID]]),"Invalid","Valid")</f>
        <v>Valid</v>
      </c>
      <c r="C613" s="3" t="str">
        <f>IF(COUNTA(Finance_Data!A609:R609)=18,"Valid","Missing")</f>
        <v>Valid</v>
      </c>
      <c r="D613" s="3" t="str">
        <f>IF(COUNTIF(Finance_Data!$T$2:$T$1001,Finance_Data!T609)&gt;1,"Duplicate","Valid")</f>
        <v>Valid</v>
      </c>
      <c r="E613" s="3" t="str">
        <f>IF(Finance_Data!H609&gt;Finance_Data!G609,"Valid","Invalid")</f>
        <v>Valid</v>
      </c>
      <c r="F613" s="3" t="str" cm="1">
        <f t="array" ref="F613">_xlfn.IFS(Finance_Data!S609&lt;7,"Short",Finance_Data!S609&lt;=30,"Normal",Finance_Data!S609&lt;=60,"Long",Finance_Data!S609&gt;60,"Very Long")</f>
        <v>Normal</v>
      </c>
      <c r="G613" s="3" t="str">
        <f>IF(ABS(Finance_Data!I609*Finance_Data!J609)-Finance_Data!K609&lt;1,"Valid","Invalid")</f>
        <v>Valid</v>
      </c>
      <c r="H613" s="3" t="str">
        <f>IF(Finance_Data!L609&gt;0,"Valid","Invalid")</f>
        <v>Valid</v>
      </c>
      <c r="I613" s="3" t="str">
        <f>IF(Finance_Data!L609&gt;=Finance_Data!M609,"Valid","Invalid")</f>
        <v>Valid</v>
      </c>
      <c r="J613" s="3" t="str">
        <f>IF(AND(Finance_Data!I609&gt;=0,Finance_Data!K609&gt;=0),"Valid","Invalid")</f>
        <v>Valid</v>
      </c>
      <c r="K613" s="3" t="str">
        <f>IF(Finance_Data!N609&gt;=0,"Valid","Invalid")</f>
        <v>Valid</v>
      </c>
      <c r="L613" s="3" t="str">
        <f>IF(TEXT(Finance_Data!G609,"mmmm")=Finance_Data!P609,"Valid","Invalid")</f>
        <v>Valid</v>
      </c>
      <c r="M613" s="3" t="str">
        <f>IF("Q"&amp;ROUNDUP(MONTH(Finance_Data!G609)/3,0)=Finance_Data!Q609,"Valid","Invalid")</f>
        <v>Valid</v>
      </c>
      <c r="N613" s="7" t="str">
        <f t="shared" si="9"/>
        <v>Pass</v>
      </c>
    </row>
    <row r="614" spans="1:14" x14ac:dyDescent="0.35">
      <c r="A614" s="17" t="s">
        <v>94</v>
      </c>
      <c r="B614" s="3" t="str">
        <f>IF(ISBLANK(Table3[[#This Row],[Campaign_ID]]),"Invalid","Valid")</f>
        <v>Valid</v>
      </c>
      <c r="C614" s="3" t="str">
        <f>IF(COUNTA(Finance_Data!A610:R610)=18,"Valid","Missing")</f>
        <v>Valid</v>
      </c>
      <c r="D614" s="3" t="str">
        <f>IF(COUNTIF(Finance_Data!$T$2:$T$1001,Finance_Data!T610)&gt;1,"Duplicate","Valid")</f>
        <v>Valid</v>
      </c>
      <c r="E614" s="3" t="str">
        <f>IF(Finance_Data!H610&gt;Finance_Data!G610,"Valid","Invalid")</f>
        <v>Valid</v>
      </c>
      <c r="F614" s="3" t="str" cm="1">
        <f t="array" ref="F614">_xlfn.IFS(Finance_Data!S610&lt;7,"Short",Finance_Data!S610&lt;=30,"Normal",Finance_Data!S610&lt;=60,"Long",Finance_Data!S610&gt;60,"Very Long")</f>
        <v>Short</v>
      </c>
      <c r="G614" s="3" t="str">
        <f>IF(ABS(Finance_Data!I610*Finance_Data!J610)-Finance_Data!K610&lt;1,"Valid","Invalid")</f>
        <v>Valid</v>
      </c>
      <c r="H614" s="3" t="str">
        <f>IF(Finance_Data!L610&gt;0,"Valid","Invalid")</f>
        <v>Valid</v>
      </c>
      <c r="I614" s="3" t="str">
        <f>IF(Finance_Data!L610&gt;=Finance_Data!M610,"Valid","Invalid")</f>
        <v>Valid</v>
      </c>
      <c r="J614" s="3" t="str">
        <f>IF(AND(Finance_Data!I610&gt;=0,Finance_Data!K610&gt;=0),"Valid","Invalid")</f>
        <v>Valid</v>
      </c>
      <c r="K614" s="3" t="str">
        <f>IF(Finance_Data!N610&gt;=0,"Valid","Invalid")</f>
        <v>Valid</v>
      </c>
      <c r="L614" s="3" t="str">
        <f>IF(TEXT(Finance_Data!G610,"mmmm")=Finance_Data!P610,"Valid","Invalid")</f>
        <v>Valid</v>
      </c>
      <c r="M614" s="3" t="str">
        <f>IF("Q"&amp;ROUNDUP(MONTH(Finance_Data!G610)/3,0)=Finance_Data!Q610,"Valid","Invalid")</f>
        <v>Valid</v>
      </c>
      <c r="N614" s="7" t="str">
        <f t="shared" si="9"/>
        <v>Pass</v>
      </c>
    </row>
    <row r="615" spans="1:14" x14ac:dyDescent="0.35">
      <c r="A615" s="17" t="s">
        <v>98</v>
      </c>
      <c r="B615" s="3" t="str">
        <f>IF(ISBLANK(Table3[[#This Row],[Campaign_ID]]),"Invalid","Valid")</f>
        <v>Valid</v>
      </c>
      <c r="C615" s="3" t="str">
        <f>IF(COUNTA(Finance_Data!A611:R611)=18,"Valid","Missing")</f>
        <v>Valid</v>
      </c>
      <c r="D615" s="3" t="str">
        <f>IF(COUNTIF(Finance_Data!$T$2:$T$1001,Finance_Data!T611)&gt;1,"Duplicate","Valid")</f>
        <v>Valid</v>
      </c>
      <c r="E615" s="3" t="str">
        <f>IF(Finance_Data!H611&gt;Finance_Data!G611,"Valid","Invalid")</f>
        <v>Valid</v>
      </c>
      <c r="F615" s="3" t="str" cm="1">
        <f t="array" ref="F615">_xlfn.IFS(Finance_Data!S611&lt;7,"Short",Finance_Data!S611&lt;=30,"Normal",Finance_Data!S611&lt;=60,"Long",Finance_Data!S611&gt;60,"Very Long")</f>
        <v>Long</v>
      </c>
      <c r="G615" s="3" t="str">
        <f>IF(ABS(Finance_Data!I611*Finance_Data!J611)-Finance_Data!K611&lt;1,"Valid","Invalid")</f>
        <v>Valid</v>
      </c>
      <c r="H615" s="3" t="str">
        <f>IF(Finance_Data!L611&gt;0,"Valid","Invalid")</f>
        <v>Valid</v>
      </c>
      <c r="I615" s="3" t="str">
        <f>IF(Finance_Data!L611&gt;=Finance_Data!M611,"Valid","Invalid")</f>
        <v>Valid</v>
      </c>
      <c r="J615" s="3" t="str">
        <f>IF(AND(Finance_Data!I611&gt;=0,Finance_Data!K611&gt;=0),"Valid","Invalid")</f>
        <v>Valid</v>
      </c>
      <c r="K615" s="3" t="str">
        <f>IF(Finance_Data!N611&gt;=0,"Valid","Invalid")</f>
        <v>Valid</v>
      </c>
      <c r="L615" s="3" t="str">
        <f>IF(TEXT(Finance_Data!G611,"mmmm")=Finance_Data!P611,"Valid","Invalid")</f>
        <v>Valid</v>
      </c>
      <c r="M615" s="3" t="str">
        <f>IF("Q"&amp;ROUNDUP(MONTH(Finance_Data!G611)/3,0)=Finance_Data!Q611,"Valid","Invalid")</f>
        <v>Valid</v>
      </c>
      <c r="N615" s="7" t="str">
        <f t="shared" si="9"/>
        <v>Pass</v>
      </c>
    </row>
    <row r="616" spans="1:14" x14ac:dyDescent="0.35">
      <c r="A616" s="17" t="s">
        <v>67</v>
      </c>
      <c r="B616" s="3" t="str">
        <f>IF(ISBLANK(Table3[[#This Row],[Campaign_ID]]),"Invalid","Valid")</f>
        <v>Valid</v>
      </c>
      <c r="C616" s="3" t="str">
        <f>IF(COUNTA(Finance_Data!A612:R612)=18,"Valid","Missing")</f>
        <v>Valid</v>
      </c>
      <c r="D616" s="3" t="str">
        <f>IF(COUNTIF(Finance_Data!$T$2:$T$1001,Finance_Data!T612)&gt;1,"Duplicate","Valid")</f>
        <v>Valid</v>
      </c>
      <c r="E616" s="3" t="str">
        <f>IF(Finance_Data!H612&gt;Finance_Data!G612,"Valid","Invalid")</f>
        <v>Valid</v>
      </c>
      <c r="F616" s="3" t="str" cm="1">
        <f t="array" ref="F616">_xlfn.IFS(Finance_Data!S612&lt;7,"Short",Finance_Data!S612&lt;=30,"Normal",Finance_Data!S612&lt;=60,"Long",Finance_Data!S612&gt;60,"Very Long")</f>
        <v>Normal</v>
      </c>
      <c r="G616" s="3" t="str">
        <f>IF(ABS(Finance_Data!I612*Finance_Data!J612)-Finance_Data!K612&lt;1,"Valid","Invalid")</f>
        <v>Valid</v>
      </c>
      <c r="H616" s="3" t="str">
        <f>IF(Finance_Data!L612&gt;0,"Valid","Invalid")</f>
        <v>Valid</v>
      </c>
      <c r="I616" s="3" t="str">
        <f>IF(Finance_Data!L612&gt;=Finance_Data!M612,"Valid","Invalid")</f>
        <v>Valid</v>
      </c>
      <c r="J616" s="3" t="str">
        <f>IF(AND(Finance_Data!I612&gt;=0,Finance_Data!K612&gt;=0),"Valid","Invalid")</f>
        <v>Valid</v>
      </c>
      <c r="K616" s="3" t="str">
        <f>IF(Finance_Data!N612&gt;=0,"Valid","Invalid")</f>
        <v>Valid</v>
      </c>
      <c r="L616" s="3" t="str">
        <f>IF(TEXT(Finance_Data!G612,"mmmm")=Finance_Data!P612,"Valid","Invalid")</f>
        <v>Valid</v>
      </c>
      <c r="M616" s="3" t="str">
        <f>IF("Q"&amp;ROUNDUP(MONTH(Finance_Data!G612)/3,0)=Finance_Data!Q612,"Valid","Invalid")</f>
        <v>Valid</v>
      </c>
      <c r="N616" s="7" t="str">
        <f t="shared" si="9"/>
        <v>Pass</v>
      </c>
    </row>
    <row r="617" spans="1:14" x14ac:dyDescent="0.35">
      <c r="A617" s="17" t="s">
        <v>75</v>
      </c>
      <c r="B617" s="3" t="str">
        <f>IF(ISBLANK(Table3[[#This Row],[Campaign_ID]]),"Invalid","Valid")</f>
        <v>Valid</v>
      </c>
      <c r="C617" s="3" t="str">
        <f>IF(COUNTA(Finance_Data!A613:R613)=18,"Valid","Missing")</f>
        <v>Valid</v>
      </c>
      <c r="D617" s="3" t="str">
        <f>IF(COUNTIF(Finance_Data!$T$2:$T$1001,Finance_Data!T613)&gt;1,"Duplicate","Valid")</f>
        <v>Valid</v>
      </c>
      <c r="E617" s="3" t="str">
        <f>IF(Finance_Data!H613&gt;Finance_Data!G613,"Valid","Invalid")</f>
        <v>Valid</v>
      </c>
      <c r="F617" s="3" t="str" cm="1">
        <f t="array" ref="F617">_xlfn.IFS(Finance_Data!S613&lt;7,"Short",Finance_Data!S613&lt;=30,"Normal",Finance_Data!S613&lt;=60,"Long",Finance_Data!S613&gt;60,"Very Long")</f>
        <v>Normal</v>
      </c>
      <c r="G617" s="3" t="str">
        <f>IF(ABS(Finance_Data!I613*Finance_Data!J613)-Finance_Data!K613&lt;1,"Valid","Invalid")</f>
        <v>Valid</v>
      </c>
      <c r="H617" s="3" t="str">
        <f>IF(Finance_Data!L613&gt;0,"Valid","Invalid")</f>
        <v>Valid</v>
      </c>
      <c r="I617" s="3" t="str">
        <f>IF(Finance_Data!L613&gt;=Finance_Data!M613,"Valid","Invalid")</f>
        <v>Valid</v>
      </c>
      <c r="J617" s="3" t="str">
        <f>IF(AND(Finance_Data!I613&gt;=0,Finance_Data!K613&gt;=0),"Valid","Invalid")</f>
        <v>Valid</v>
      </c>
      <c r="K617" s="3" t="str">
        <f>IF(Finance_Data!N613&gt;=0,"Valid","Invalid")</f>
        <v>Valid</v>
      </c>
      <c r="L617" s="3" t="str">
        <f>IF(TEXT(Finance_Data!G613,"mmmm")=Finance_Data!P613,"Valid","Invalid")</f>
        <v>Valid</v>
      </c>
      <c r="M617" s="3" t="str">
        <f>IF("Q"&amp;ROUNDUP(MONTH(Finance_Data!G613)/3,0)=Finance_Data!Q613,"Valid","Invalid")</f>
        <v>Valid</v>
      </c>
      <c r="N617" s="7" t="str">
        <f t="shared" si="9"/>
        <v>Pass</v>
      </c>
    </row>
    <row r="618" spans="1:14" x14ac:dyDescent="0.35">
      <c r="A618" s="17" t="s">
        <v>115</v>
      </c>
      <c r="B618" s="3" t="str">
        <f>IF(ISBLANK(Table3[[#This Row],[Campaign_ID]]),"Invalid","Valid")</f>
        <v>Valid</v>
      </c>
      <c r="C618" s="3" t="str">
        <f>IF(COUNTA(Finance_Data!A614:R614)=18,"Valid","Missing")</f>
        <v>Valid</v>
      </c>
      <c r="D618" s="3" t="str">
        <f>IF(COUNTIF(Finance_Data!$T$2:$T$1001,Finance_Data!T614)&gt;1,"Duplicate","Valid")</f>
        <v>Valid</v>
      </c>
      <c r="E618" s="3" t="str">
        <f>IF(Finance_Data!H614&gt;Finance_Data!G614,"Valid","Invalid")</f>
        <v>Valid</v>
      </c>
      <c r="F618" s="3" t="str" cm="1">
        <f t="array" ref="F618">_xlfn.IFS(Finance_Data!S614&lt;7,"Short",Finance_Data!S614&lt;=30,"Normal",Finance_Data!S614&lt;=60,"Long",Finance_Data!S614&gt;60,"Very Long")</f>
        <v>Long</v>
      </c>
      <c r="G618" s="3" t="str">
        <f>IF(ABS(Finance_Data!I614*Finance_Data!J614)-Finance_Data!K614&lt;1,"Valid","Invalid")</f>
        <v>Valid</v>
      </c>
      <c r="H618" s="3" t="str">
        <f>IF(Finance_Data!L614&gt;0,"Valid","Invalid")</f>
        <v>Valid</v>
      </c>
      <c r="I618" s="3" t="str">
        <f>IF(Finance_Data!L614&gt;=Finance_Data!M614,"Valid","Invalid")</f>
        <v>Valid</v>
      </c>
      <c r="J618" s="3" t="str">
        <f>IF(AND(Finance_Data!I614&gt;=0,Finance_Data!K614&gt;=0),"Valid","Invalid")</f>
        <v>Valid</v>
      </c>
      <c r="K618" s="3" t="str">
        <f>IF(Finance_Data!N614&gt;=0,"Valid","Invalid")</f>
        <v>Valid</v>
      </c>
      <c r="L618" s="3" t="str">
        <f>IF(TEXT(Finance_Data!G614,"mmmm")=Finance_Data!P614,"Valid","Invalid")</f>
        <v>Valid</v>
      </c>
      <c r="M618" s="3" t="str">
        <f>IF("Q"&amp;ROUNDUP(MONTH(Finance_Data!G614)/3,0)=Finance_Data!Q614,"Valid","Invalid")</f>
        <v>Valid</v>
      </c>
      <c r="N618" s="7" t="str">
        <f t="shared" si="9"/>
        <v>Pass</v>
      </c>
    </row>
    <row r="619" spans="1:14" x14ac:dyDescent="0.35">
      <c r="A619" s="17" t="s">
        <v>118</v>
      </c>
      <c r="B619" s="3" t="str">
        <f>IF(ISBLANK(Table3[[#This Row],[Campaign_ID]]),"Invalid","Valid")</f>
        <v>Valid</v>
      </c>
      <c r="C619" s="3" t="str">
        <f>IF(COUNTA(Finance_Data!A615:R615)=18,"Valid","Missing")</f>
        <v>Valid</v>
      </c>
      <c r="D619" s="3" t="str">
        <f>IF(COUNTIF(Finance_Data!$T$2:$T$1001,Finance_Data!T615)&gt;1,"Duplicate","Valid")</f>
        <v>Valid</v>
      </c>
      <c r="E619" s="3" t="str">
        <f>IF(Finance_Data!H615&gt;Finance_Data!G615,"Valid","Invalid")</f>
        <v>Valid</v>
      </c>
      <c r="F619" s="3" t="str" cm="1">
        <f t="array" ref="F619">_xlfn.IFS(Finance_Data!S615&lt;7,"Short",Finance_Data!S615&lt;=30,"Normal",Finance_Data!S615&lt;=60,"Long",Finance_Data!S615&gt;60,"Very Long")</f>
        <v>Long</v>
      </c>
      <c r="G619" s="3" t="str">
        <f>IF(ABS(Finance_Data!I615*Finance_Data!J615)-Finance_Data!K615&lt;1,"Valid","Invalid")</f>
        <v>Valid</v>
      </c>
      <c r="H619" s="3" t="str">
        <f>IF(Finance_Data!L615&gt;0,"Valid","Invalid")</f>
        <v>Valid</v>
      </c>
      <c r="I619" s="3" t="str">
        <f>IF(Finance_Data!L615&gt;=Finance_Data!M615,"Valid","Invalid")</f>
        <v>Valid</v>
      </c>
      <c r="J619" s="3" t="str">
        <f>IF(AND(Finance_Data!I615&gt;=0,Finance_Data!K615&gt;=0),"Valid","Invalid")</f>
        <v>Valid</v>
      </c>
      <c r="K619" s="3" t="str">
        <f>IF(Finance_Data!N615&gt;=0,"Valid","Invalid")</f>
        <v>Valid</v>
      </c>
      <c r="L619" s="3" t="str">
        <f>IF(TEXT(Finance_Data!G615,"mmmm")=Finance_Data!P615,"Valid","Invalid")</f>
        <v>Valid</v>
      </c>
      <c r="M619" s="3" t="str">
        <f>IF("Q"&amp;ROUNDUP(MONTH(Finance_Data!G615)/3,0)=Finance_Data!Q615,"Valid","Invalid")</f>
        <v>Valid</v>
      </c>
      <c r="N619" s="7" t="str">
        <f t="shared" si="9"/>
        <v>Pass</v>
      </c>
    </row>
    <row r="620" spans="1:14" x14ac:dyDescent="0.35">
      <c r="A620" s="17" t="s">
        <v>115</v>
      </c>
      <c r="B620" s="3" t="str">
        <f>IF(ISBLANK(Table3[[#This Row],[Campaign_ID]]),"Invalid","Valid")</f>
        <v>Valid</v>
      </c>
      <c r="C620" s="3" t="str">
        <f>IF(COUNTA(Finance_Data!A616:R616)=18,"Valid","Missing")</f>
        <v>Valid</v>
      </c>
      <c r="D620" s="3" t="str">
        <f>IF(COUNTIF(Finance_Data!$T$2:$T$1001,Finance_Data!T616)&gt;1,"Duplicate","Valid")</f>
        <v>Valid</v>
      </c>
      <c r="E620" s="3" t="str">
        <f>IF(Finance_Data!H616&gt;Finance_Data!G616,"Valid","Invalid")</f>
        <v>Valid</v>
      </c>
      <c r="F620" s="3" t="str" cm="1">
        <f t="array" ref="F620">_xlfn.IFS(Finance_Data!S616&lt;7,"Short",Finance_Data!S616&lt;=30,"Normal",Finance_Data!S616&lt;=60,"Long",Finance_Data!S616&gt;60,"Very Long")</f>
        <v>Long</v>
      </c>
      <c r="G620" s="3" t="str">
        <f>IF(ABS(Finance_Data!I616*Finance_Data!J616)-Finance_Data!K616&lt;1,"Valid","Invalid")</f>
        <v>Valid</v>
      </c>
      <c r="H620" s="3" t="str">
        <f>IF(Finance_Data!L616&gt;0,"Valid","Invalid")</f>
        <v>Valid</v>
      </c>
      <c r="I620" s="3" t="str">
        <f>IF(Finance_Data!L616&gt;=Finance_Data!M616,"Valid","Invalid")</f>
        <v>Valid</v>
      </c>
      <c r="J620" s="3" t="str">
        <f>IF(AND(Finance_Data!I616&gt;=0,Finance_Data!K616&gt;=0),"Valid","Invalid")</f>
        <v>Valid</v>
      </c>
      <c r="K620" s="3" t="str">
        <f>IF(Finance_Data!N616&gt;=0,"Valid","Invalid")</f>
        <v>Valid</v>
      </c>
      <c r="L620" s="3" t="str">
        <f>IF(TEXT(Finance_Data!G616,"mmmm")=Finance_Data!P616,"Valid","Invalid")</f>
        <v>Valid</v>
      </c>
      <c r="M620" s="3" t="str">
        <f>IF("Q"&amp;ROUNDUP(MONTH(Finance_Data!G616)/3,0)=Finance_Data!Q616,"Valid","Invalid")</f>
        <v>Valid</v>
      </c>
      <c r="N620" s="7" t="str">
        <f t="shared" si="9"/>
        <v>Pass</v>
      </c>
    </row>
    <row r="621" spans="1:14" x14ac:dyDescent="0.35">
      <c r="A621" s="17" t="s">
        <v>115</v>
      </c>
      <c r="B621" s="3" t="str">
        <f>IF(ISBLANK(Table3[[#This Row],[Campaign_ID]]),"Invalid","Valid")</f>
        <v>Valid</v>
      </c>
      <c r="C621" s="3" t="str">
        <f>IF(COUNTA(Finance_Data!A617:R617)=18,"Valid","Missing")</f>
        <v>Valid</v>
      </c>
      <c r="D621" s="3" t="str">
        <f>IF(COUNTIF(Finance_Data!$T$2:$T$1001,Finance_Data!T617)&gt;1,"Duplicate","Valid")</f>
        <v>Valid</v>
      </c>
      <c r="E621" s="3" t="str">
        <f>IF(Finance_Data!H617&gt;Finance_Data!G617,"Valid","Invalid")</f>
        <v>Valid</v>
      </c>
      <c r="F621" s="3" t="str" cm="1">
        <f t="array" ref="F621">_xlfn.IFS(Finance_Data!S617&lt;7,"Short",Finance_Data!S617&lt;=30,"Normal",Finance_Data!S617&lt;=60,"Long",Finance_Data!S617&gt;60,"Very Long")</f>
        <v>Normal</v>
      </c>
      <c r="G621" s="3" t="str">
        <f>IF(ABS(Finance_Data!I617*Finance_Data!J617)-Finance_Data!K617&lt;1,"Valid","Invalid")</f>
        <v>Valid</v>
      </c>
      <c r="H621" s="3" t="str">
        <f>IF(Finance_Data!L617&gt;0,"Valid","Invalid")</f>
        <v>Valid</v>
      </c>
      <c r="I621" s="3" t="str">
        <f>IF(Finance_Data!L617&gt;=Finance_Data!M617,"Valid","Invalid")</f>
        <v>Valid</v>
      </c>
      <c r="J621" s="3" t="str">
        <f>IF(AND(Finance_Data!I617&gt;=0,Finance_Data!K617&gt;=0),"Valid","Invalid")</f>
        <v>Valid</v>
      </c>
      <c r="K621" s="3" t="str">
        <f>IF(Finance_Data!N617&gt;=0,"Valid","Invalid")</f>
        <v>Valid</v>
      </c>
      <c r="L621" s="3" t="str">
        <f>IF(TEXT(Finance_Data!G617,"mmmm")=Finance_Data!P617,"Valid","Invalid")</f>
        <v>Valid</v>
      </c>
      <c r="M621" s="3" t="str">
        <f>IF("Q"&amp;ROUNDUP(MONTH(Finance_Data!G617)/3,0)=Finance_Data!Q617,"Valid","Invalid")</f>
        <v>Valid</v>
      </c>
      <c r="N621" s="7" t="str">
        <f t="shared" si="9"/>
        <v>Pass</v>
      </c>
    </row>
    <row r="622" spans="1:14" x14ac:dyDescent="0.35">
      <c r="A622" s="17" t="s">
        <v>79</v>
      </c>
      <c r="B622" s="3" t="str">
        <f>IF(ISBLANK(Table3[[#This Row],[Campaign_ID]]),"Invalid","Valid")</f>
        <v>Valid</v>
      </c>
      <c r="C622" s="3" t="str">
        <f>IF(COUNTA(Finance_Data!A618:R618)=18,"Valid","Missing")</f>
        <v>Valid</v>
      </c>
      <c r="D622" s="3" t="str">
        <f>IF(COUNTIF(Finance_Data!$T$2:$T$1001,Finance_Data!T618)&gt;1,"Duplicate","Valid")</f>
        <v>Valid</v>
      </c>
      <c r="E622" s="3" t="str">
        <f>IF(Finance_Data!H618&gt;Finance_Data!G618,"Valid","Invalid")</f>
        <v>Valid</v>
      </c>
      <c r="F622" s="3" t="str" cm="1">
        <f t="array" ref="F622">_xlfn.IFS(Finance_Data!S618&lt;7,"Short",Finance_Data!S618&lt;=30,"Normal",Finance_Data!S618&lt;=60,"Long",Finance_Data!S618&gt;60,"Very Long")</f>
        <v>Normal</v>
      </c>
      <c r="G622" s="3" t="str">
        <f>IF(ABS(Finance_Data!I618*Finance_Data!J618)-Finance_Data!K618&lt;1,"Valid","Invalid")</f>
        <v>Valid</v>
      </c>
      <c r="H622" s="3" t="str">
        <f>IF(Finance_Data!L618&gt;0,"Valid","Invalid")</f>
        <v>Valid</v>
      </c>
      <c r="I622" s="3" t="str">
        <f>IF(Finance_Data!L618&gt;=Finance_Data!M618,"Valid","Invalid")</f>
        <v>Invalid</v>
      </c>
      <c r="J622" s="3" t="str">
        <f>IF(AND(Finance_Data!I618&gt;=0,Finance_Data!K618&gt;=0),"Valid","Invalid")</f>
        <v>Valid</v>
      </c>
      <c r="K622" s="3" t="str">
        <f>IF(Finance_Data!N618&gt;=0,"Valid","Invalid")</f>
        <v>Valid</v>
      </c>
      <c r="L622" s="3" t="str">
        <f>IF(TEXT(Finance_Data!G618,"mmmm")=Finance_Data!P618,"Valid","Invalid")</f>
        <v>Valid</v>
      </c>
      <c r="M622" s="3" t="str">
        <f>IF("Q"&amp;ROUNDUP(MONTH(Finance_Data!G618)/3,0)=Finance_Data!Q618,"Valid","Invalid")</f>
        <v>Valid</v>
      </c>
      <c r="N622" s="7" t="str">
        <f t="shared" si="9"/>
        <v>Fail</v>
      </c>
    </row>
    <row r="623" spans="1:14" x14ac:dyDescent="0.35">
      <c r="A623" s="17" t="s">
        <v>99</v>
      </c>
      <c r="B623" s="3" t="str">
        <f>IF(ISBLANK(Table3[[#This Row],[Campaign_ID]]),"Invalid","Valid")</f>
        <v>Valid</v>
      </c>
      <c r="C623" s="3" t="str">
        <f>IF(COUNTA(Finance_Data!A619:R619)=18,"Valid","Missing")</f>
        <v>Valid</v>
      </c>
      <c r="D623" s="3" t="str">
        <f>IF(COUNTIF(Finance_Data!$T$2:$T$1001,Finance_Data!T619)&gt;1,"Duplicate","Valid")</f>
        <v>Valid</v>
      </c>
      <c r="E623" s="3" t="str">
        <f>IF(Finance_Data!H619&gt;Finance_Data!G619,"Valid","Invalid")</f>
        <v>Valid</v>
      </c>
      <c r="F623" s="3" t="str" cm="1">
        <f t="array" ref="F623">_xlfn.IFS(Finance_Data!S619&lt;7,"Short",Finance_Data!S619&lt;=30,"Normal",Finance_Data!S619&lt;=60,"Long",Finance_Data!S619&gt;60,"Very Long")</f>
        <v>Long</v>
      </c>
      <c r="G623" s="3" t="str">
        <f>IF(ABS(Finance_Data!I619*Finance_Data!J619)-Finance_Data!K619&lt;1,"Valid","Invalid")</f>
        <v>Valid</v>
      </c>
      <c r="H623" s="3" t="str">
        <f>IF(Finance_Data!L619&gt;0,"Valid","Invalid")</f>
        <v>Valid</v>
      </c>
      <c r="I623" s="3" t="str">
        <f>IF(Finance_Data!L619&gt;=Finance_Data!M619,"Valid","Invalid")</f>
        <v>Valid</v>
      </c>
      <c r="J623" s="3" t="str">
        <f>IF(AND(Finance_Data!I619&gt;=0,Finance_Data!K619&gt;=0),"Valid","Invalid")</f>
        <v>Valid</v>
      </c>
      <c r="K623" s="3" t="str">
        <f>IF(Finance_Data!N619&gt;=0,"Valid","Invalid")</f>
        <v>Valid</v>
      </c>
      <c r="L623" s="3" t="str">
        <f>IF(TEXT(Finance_Data!G619,"mmmm")=Finance_Data!P619,"Valid","Invalid")</f>
        <v>Valid</v>
      </c>
      <c r="M623" s="3" t="str">
        <f>IF("Q"&amp;ROUNDUP(MONTH(Finance_Data!G619)/3,0)=Finance_Data!Q619,"Valid","Invalid")</f>
        <v>Valid</v>
      </c>
      <c r="N623" s="7" t="str">
        <f t="shared" si="9"/>
        <v>Pass</v>
      </c>
    </row>
    <row r="624" spans="1:14" x14ac:dyDescent="0.35">
      <c r="A624" s="17" t="s">
        <v>71</v>
      </c>
      <c r="B624" s="3" t="str">
        <f>IF(ISBLANK(Table3[[#This Row],[Campaign_ID]]),"Invalid","Valid")</f>
        <v>Valid</v>
      </c>
      <c r="C624" s="3" t="str">
        <f>IF(COUNTA(Finance_Data!A620:R620)=18,"Valid","Missing")</f>
        <v>Valid</v>
      </c>
      <c r="D624" s="3" t="str">
        <f>IF(COUNTIF(Finance_Data!$T$2:$T$1001,Finance_Data!T620)&gt;1,"Duplicate","Valid")</f>
        <v>Valid</v>
      </c>
      <c r="E624" s="3" t="str">
        <f>IF(Finance_Data!H620&gt;Finance_Data!G620,"Valid","Invalid")</f>
        <v>Valid</v>
      </c>
      <c r="F624" s="3" t="str" cm="1">
        <f t="array" ref="F624">_xlfn.IFS(Finance_Data!S620&lt;7,"Short",Finance_Data!S620&lt;=30,"Normal",Finance_Data!S620&lt;=60,"Long",Finance_Data!S620&gt;60,"Very Long")</f>
        <v>Normal</v>
      </c>
      <c r="G624" s="3" t="str">
        <f>IF(ABS(Finance_Data!I620*Finance_Data!J620)-Finance_Data!K620&lt;1,"Valid","Invalid")</f>
        <v>Valid</v>
      </c>
      <c r="H624" s="3" t="str">
        <f>IF(Finance_Data!L620&gt;0,"Valid","Invalid")</f>
        <v>Valid</v>
      </c>
      <c r="I624" s="3" t="str">
        <f>IF(Finance_Data!L620&gt;=Finance_Data!M620,"Valid","Invalid")</f>
        <v>Valid</v>
      </c>
      <c r="J624" s="3" t="str">
        <f>IF(AND(Finance_Data!I620&gt;=0,Finance_Data!K620&gt;=0),"Valid","Invalid")</f>
        <v>Valid</v>
      </c>
      <c r="K624" s="3" t="str">
        <f>IF(Finance_Data!N620&gt;=0,"Valid","Invalid")</f>
        <v>Valid</v>
      </c>
      <c r="L624" s="3" t="str">
        <f>IF(TEXT(Finance_Data!G620,"mmmm")=Finance_Data!P620,"Valid","Invalid")</f>
        <v>Valid</v>
      </c>
      <c r="M624" s="3" t="str">
        <f>IF("Q"&amp;ROUNDUP(MONTH(Finance_Data!G620)/3,0)=Finance_Data!Q620,"Valid","Invalid")</f>
        <v>Valid</v>
      </c>
      <c r="N624" s="7" t="str">
        <f t="shared" si="9"/>
        <v>Pass</v>
      </c>
    </row>
    <row r="625" spans="1:14" x14ac:dyDescent="0.35">
      <c r="A625" s="17" t="s">
        <v>117</v>
      </c>
      <c r="B625" s="3" t="str">
        <f>IF(ISBLANK(Table3[[#This Row],[Campaign_ID]]),"Invalid","Valid")</f>
        <v>Valid</v>
      </c>
      <c r="C625" s="3" t="str">
        <f>IF(COUNTA(Finance_Data!A621:R621)=18,"Valid","Missing")</f>
        <v>Valid</v>
      </c>
      <c r="D625" s="3" t="str">
        <f>IF(COUNTIF(Finance_Data!$T$2:$T$1001,Finance_Data!T621)&gt;1,"Duplicate","Valid")</f>
        <v>Valid</v>
      </c>
      <c r="E625" s="3" t="str">
        <f>IF(Finance_Data!H621&gt;Finance_Data!G621,"Valid","Invalid")</f>
        <v>Valid</v>
      </c>
      <c r="F625" s="3" t="str" cm="1">
        <f t="array" ref="F625">_xlfn.IFS(Finance_Data!S621&lt;7,"Short",Finance_Data!S621&lt;=30,"Normal",Finance_Data!S621&lt;=60,"Long",Finance_Data!S621&gt;60,"Very Long")</f>
        <v>Long</v>
      </c>
      <c r="G625" s="3" t="str">
        <f>IF(ABS(Finance_Data!I621*Finance_Data!J621)-Finance_Data!K621&lt;1,"Valid","Invalid")</f>
        <v>Valid</v>
      </c>
      <c r="H625" s="3" t="str">
        <f>IF(Finance_Data!L621&gt;0,"Valid","Invalid")</f>
        <v>Valid</v>
      </c>
      <c r="I625" s="3" t="str">
        <f>IF(Finance_Data!L621&gt;=Finance_Data!M621,"Valid","Invalid")</f>
        <v>Valid</v>
      </c>
      <c r="J625" s="3" t="str">
        <f>IF(AND(Finance_Data!I621&gt;=0,Finance_Data!K621&gt;=0),"Valid","Invalid")</f>
        <v>Valid</v>
      </c>
      <c r="K625" s="3" t="str">
        <f>IF(Finance_Data!N621&gt;=0,"Valid","Invalid")</f>
        <v>Valid</v>
      </c>
      <c r="L625" s="3" t="str">
        <f>IF(TEXT(Finance_Data!G621,"mmmm")=Finance_Data!P621,"Valid","Invalid")</f>
        <v>Valid</v>
      </c>
      <c r="M625" s="3" t="str">
        <f>IF("Q"&amp;ROUNDUP(MONTH(Finance_Data!G621)/3,0)=Finance_Data!Q621,"Valid","Invalid")</f>
        <v>Valid</v>
      </c>
      <c r="N625" s="7" t="str">
        <f t="shared" si="9"/>
        <v>Pass</v>
      </c>
    </row>
    <row r="626" spans="1:14" x14ac:dyDescent="0.35">
      <c r="A626" s="17" t="s">
        <v>96</v>
      </c>
      <c r="B626" s="3" t="str">
        <f>IF(ISBLANK(Table3[[#This Row],[Campaign_ID]]),"Invalid","Valid")</f>
        <v>Valid</v>
      </c>
      <c r="C626" s="3" t="str">
        <f>IF(COUNTA(Finance_Data!A622:R622)=18,"Valid","Missing")</f>
        <v>Valid</v>
      </c>
      <c r="D626" s="3" t="str">
        <f>IF(COUNTIF(Finance_Data!$T$2:$T$1001,Finance_Data!T622)&gt;1,"Duplicate","Valid")</f>
        <v>Valid</v>
      </c>
      <c r="E626" s="3" t="str">
        <f>IF(Finance_Data!H622&gt;Finance_Data!G622,"Valid","Invalid")</f>
        <v>Valid</v>
      </c>
      <c r="F626" s="3" t="str" cm="1">
        <f t="array" ref="F626">_xlfn.IFS(Finance_Data!S622&lt;7,"Short",Finance_Data!S622&lt;=30,"Normal",Finance_Data!S622&lt;=60,"Long",Finance_Data!S622&gt;60,"Very Long")</f>
        <v>Long</v>
      </c>
      <c r="G626" s="3" t="str">
        <f>IF(ABS(Finance_Data!I622*Finance_Data!J622)-Finance_Data!K622&lt;1,"Valid","Invalid")</f>
        <v>Valid</v>
      </c>
      <c r="H626" s="3" t="str">
        <f>IF(Finance_Data!L622&gt;0,"Valid","Invalid")</f>
        <v>Valid</v>
      </c>
      <c r="I626" s="3" t="str">
        <f>IF(Finance_Data!L622&gt;=Finance_Data!M622,"Valid","Invalid")</f>
        <v>Valid</v>
      </c>
      <c r="J626" s="3" t="str">
        <f>IF(AND(Finance_Data!I622&gt;=0,Finance_Data!K622&gt;=0),"Valid","Invalid")</f>
        <v>Valid</v>
      </c>
      <c r="K626" s="3" t="str">
        <f>IF(Finance_Data!N622&gt;=0,"Valid","Invalid")</f>
        <v>Valid</v>
      </c>
      <c r="L626" s="3" t="str">
        <f>IF(TEXT(Finance_Data!G622,"mmmm")=Finance_Data!P622,"Valid","Invalid")</f>
        <v>Valid</v>
      </c>
      <c r="M626" s="3" t="str">
        <f>IF("Q"&amp;ROUNDUP(MONTH(Finance_Data!G622)/3,0)=Finance_Data!Q622,"Valid","Invalid")</f>
        <v>Valid</v>
      </c>
      <c r="N626" s="7" t="str">
        <f t="shared" si="9"/>
        <v>Pass</v>
      </c>
    </row>
    <row r="627" spans="1:14" x14ac:dyDescent="0.35">
      <c r="A627" s="17" t="s">
        <v>103</v>
      </c>
      <c r="B627" s="3" t="str">
        <f>IF(ISBLANK(Table3[[#This Row],[Campaign_ID]]),"Invalid","Valid")</f>
        <v>Valid</v>
      </c>
      <c r="C627" s="3" t="str">
        <f>IF(COUNTA(Finance_Data!A623:R623)=18,"Valid","Missing")</f>
        <v>Valid</v>
      </c>
      <c r="D627" s="3" t="str">
        <f>IF(COUNTIF(Finance_Data!$T$2:$T$1001,Finance_Data!T623)&gt;1,"Duplicate","Valid")</f>
        <v>Valid</v>
      </c>
      <c r="E627" s="3" t="str">
        <f>IF(Finance_Data!H623&gt;Finance_Data!G623,"Valid","Invalid")</f>
        <v>Valid</v>
      </c>
      <c r="F627" s="3" t="str" cm="1">
        <f t="array" ref="F627">_xlfn.IFS(Finance_Data!S623&lt;7,"Short",Finance_Data!S623&lt;=30,"Normal",Finance_Data!S623&lt;=60,"Long",Finance_Data!S623&gt;60,"Very Long")</f>
        <v>Very Long</v>
      </c>
      <c r="G627" s="3" t="str">
        <f>IF(ABS(Finance_Data!I623*Finance_Data!J623)-Finance_Data!K623&lt;1,"Valid","Invalid")</f>
        <v>Valid</v>
      </c>
      <c r="H627" s="3" t="str">
        <f>IF(Finance_Data!L623&gt;0,"Valid","Invalid")</f>
        <v>Valid</v>
      </c>
      <c r="I627" s="3" t="str">
        <f>IF(Finance_Data!L623&gt;=Finance_Data!M623,"Valid","Invalid")</f>
        <v>Invalid</v>
      </c>
      <c r="J627" s="3" t="str">
        <f>IF(AND(Finance_Data!I623&gt;=0,Finance_Data!K623&gt;=0),"Valid","Invalid")</f>
        <v>Valid</v>
      </c>
      <c r="K627" s="3" t="str">
        <f>IF(Finance_Data!N623&gt;=0,"Valid","Invalid")</f>
        <v>Valid</v>
      </c>
      <c r="L627" s="3" t="str">
        <f>IF(TEXT(Finance_Data!G623,"mmmm")=Finance_Data!P623,"Valid","Invalid")</f>
        <v>Valid</v>
      </c>
      <c r="M627" s="3" t="str">
        <f>IF("Q"&amp;ROUNDUP(MONTH(Finance_Data!G623)/3,0)=Finance_Data!Q623,"Valid","Invalid")</f>
        <v>Valid</v>
      </c>
      <c r="N627" s="7" t="str">
        <f t="shared" si="9"/>
        <v>Fail</v>
      </c>
    </row>
    <row r="628" spans="1:14" x14ac:dyDescent="0.35">
      <c r="A628" s="17" t="s">
        <v>111</v>
      </c>
      <c r="B628" s="3" t="str">
        <f>IF(ISBLANK(Table3[[#This Row],[Campaign_ID]]),"Invalid","Valid")</f>
        <v>Valid</v>
      </c>
      <c r="C628" s="3" t="str">
        <f>IF(COUNTA(Finance_Data!A624:R624)=18,"Valid","Missing")</f>
        <v>Valid</v>
      </c>
      <c r="D628" s="3" t="str">
        <f>IF(COUNTIF(Finance_Data!$T$2:$T$1001,Finance_Data!T624)&gt;1,"Duplicate","Valid")</f>
        <v>Valid</v>
      </c>
      <c r="E628" s="3" t="str">
        <f>IF(Finance_Data!H624&gt;Finance_Data!G624,"Valid","Invalid")</f>
        <v>Valid</v>
      </c>
      <c r="F628" s="3" t="str" cm="1">
        <f t="array" ref="F628">_xlfn.IFS(Finance_Data!S624&lt;7,"Short",Finance_Data!S624&lt;=30,"Normal",Finance_Data!S624&lt;=60,"Long",Finance_Data!S624&gt;60,"Very Long")</f>
        <v>Long</v>
      </c>
      <c r="G628" s="3" t="str">
        <f>IF(ABS(Finance_Data!I624*Finance_Data!J624)-Finance_Data!K624&lt;1,"Valid","Invalid")</f>
        <v>Valid</v>
      </c>
      <c r="H628" s="3" t="str">
        <f>IF(Finance_Data!L624&gt;0,"Valid","Invalid")</f>
        <v>Valid</v>
      </c>
      <c r="I628" s="3" t="str">
        <f>IF(Finance_Data!L624&gt;=Finance_Data!M624,"Valid","Invalid")</f>
        <v>Valid</v>
      </c>
      <c r="J628" s="3" t="str">
        <f>IF(AND(Finance_Data!I624&gt;=0,Finance_Data!K624&gt;=0),"Valid","Invalid")</f>
        <v>Valid</v>
      </c>
      <c r="K628" s="3" t="str">
        <f>IF(Finance_Data!N624&gt;=0,"Valid","Invalid")</f>
        <v>Valid</v>
      </c>
      <c r="L628" s="3" t="str">
        <f>IF(TEXT(Finance_Data!G624,"mmmm")=Finance_Data!P624,"Valid","Invalid")</f>
        <v>Valid</v>
      </c>
      <c r="M628" s="3" t="str">
        <f>IF("Q"&amp;ROUNDUP(MONTH(Finance_Data!G624)/3,0)=Finance_Data!Q624,"Valid","Invalid")</f>
        <v>Valid</v>
      </c>
      <c r="N628" s="7" t="str">
        <f t="shared" si="9"/>
        <v>Pass</v>
      </c>
    </row>
    <row r="629" spans="1:14" x14ac:dyDescent="0.35">
      <c r="A629" s="17" t="s">
        <v>89</v>
      </c>
      <c r="B629" s="3" t="str">
        <f>IF(ISBLANK(Table3[[#This Row],[Campaign_ID]]),"Invalid","Valid")</f>
        <v>Valid</v>
      </c>
      <c r="C629" s="3" t="str">
        <f>IF(COUNTA(Finance_Data!A625:R625)=18,"Valid","Missing")</f>
        <v>Valid</v>
      </c>
      <c r="D629" s="3" t="str">
        <f>IF(COUNTIF(Finance_Data!$T$2:$T$1001,Finance_Data!T625)&gt;1,"Duplicate","Valid")</f>
        <v>Valid</v>
      </c>
      <c r="E629" s="3" t="str">
        <f>IF(Finance_Data!H625&gt;Finance_Data!G625,"Valid","Invalid")</f>
        <v>Valid</v>
      </c>
      <c r="F629" s="3" t="str" cm="1">
        <f t="array" ref="F629">_xlfn.IFS(Finance_Data!S625&lt;7,"Short",Finance_Data!S625&lt;=30,"Normal",Finance_Data!S625&lt;=60,"Long",Finance_Data!S625&gt;60,"Very Long")</f>
        <v>Short</v>
      </c>
      <c r="G629" s="3" t="str">
        <f>IF(ABS(Finance_Data!I625*Finance_Data!J625)-Finance_Data!K625&lt;1,"Valid","Invalid")</f>
        <v>Valid</v>
      </c>
      <c r="H629" s="3" t="str">
        <f>IF(Finance_Data!L625&gt;0,"Valid","Invalid")</f>
        <v>Valid</v>
      </c>
      <c r="I629" s="3" t="str">
        <f>IF(Finance_Data!L625&gt;=Finance_Data!M625,"Valid","Invalid")</f>
        <v>Valid</v>
      </c>
      <c r="J629" s="3" t="str">
        <f>IF(AND(Finance_Data!I625&gt;=0,Finance_Data!K625&gt;=0),"Valid","Invalid")</f>
        <v>Valid</v>
      </c>
      <c r="K629" s="3" t="str">
        <f>IF(Finance_Data!N625&gt;=0,"Valid","Invalid")</f>
        <v>Valid</v>
      </c>
      <c r="L629" s="3" t="str">
        <f>IF(TEXT(Finance_Data!G625,"mmmm")=Finance_Data!P625,"Valid","Invalid")</f>
        <v>Valid</v>
      </c>
      <c r="M629" s="3" t="str">
        <f>IF("Q"&amp;ROUNDUP(MONTH(Finance_Data!G625)/3,0)=Finance_Data!Q625,"Valid","Invalid")</f>
        <v>Valid</v>
      </c>
      <c r="N629" s="7" t="str">
        <f t="shared" si="9"/>
        <v>Pass</v>
      </c>
    </row>
    <row r="630" spans="1:14" x14ac:dyDescent="0.35">
      <c r="A630" s="17" t="s">
        <v>78</v>
      </c>
      <c r="B630" s="3" t="str">
        <f>IF(ISBLANK(Table3[[#This Row],[Campaign_ID]]),"Invalid","Valid")</f>
        <v>Valid</v>
      </c>
      <c r="C630" s="3" t="str">
        <f>IF(COUNTA(Finance_Data!A626:R626)=18,"Valid","Missing")</f>
        <v>Valid</v>
      </c>
      <c r="D630" s="3" t="str">
        <f>IF(COUNTIF(Finance_Data!$T$2:$T$1001,Finance_Data!T626)&gt;1,"Duplicate","Valid")</f>
        <v>Valid</v>
      </c>
      <c r="E630" s="3" t="str">
        <f>IF(Finance_Data!H626&gt;Finance_Data!G626,"Valid","Invalid")</f>
        <v>Valid</v>
      </c>
      <c r="F630" s="3" t="str" cm="1">
        <f t="array" ref="F630">_xlfn.IFS(Finance_Data!S626&lt;7,"Short",Finance_Data!S626&lt;=30,"Normal",Finance_Data!S626&lt;=60,"Long",Finance_Data!S626&gt;60,"Very Long")</f>
        <v>Long</v>
      </c>
      <c r="G630" s="3" t="str">
        <f>IF(ABS(Finance_Data!I626*Finance_Data!J626)-Finance_Data!K626&lt;1,"Valid","Invalid")</f>
        <v>Valid</v>
      </c>
      <c r="H630" s="3" t="str">
        <f>IF(Finance_Data!L626&gt;0,"Valid","Invalid")</f>
        <v>Valid</v>
      </c>
      <c r="I630" s="3" t="str">
        <f>IF(Finance_Data!L626&gt;=Finance_Data!M626,"Valid","Invalid")</f>
        <v>Valid</v>
      </c>
      <c r="J630" s="3" t="str">
        <f>IF(AND(Finance_Data!I626&gt;=0,Finance_Data!K626&gt;=0),"Valid","Invalid")</f>
        <v>Valid</v>
      </c>
      <c r="K630" s="3" t="str">
        <f>IF(Finance_Data!N626&gt;=0,"Valid","Invalid")</f>
        <v>Valid</v>
      </c>
      <c r="L630" s="3" t="str">
        <f>IF(TEXT(Finance_Data!G626,"mmmm")=Finance_Data!P626,"Valid","Invalid")</f>
        <v>Valid</v>
      </c>
      <c r="M630" s="3" t="str">
        <f>IF("Q"&amp;ROUNDUP(MONTH(Finance_Data!G626)/3,0)=Finance_Data!Q626,"Valid","Invalid")</f>
        <v>Valid</v>
      </c>
      <c r="N630" s="7" t="str">
        <f t="shared" si="9"/>
        <v>Pass</v>
      </c>
    </row>
    <row r="631" spans="1:14" x14ac:dyDescent="0.35">
      <c r="A631" s="17" t="s">
        <v>82</v>
      </c>
      <c r="B631" s="3" t="str">
        <f>IF(ISBLANK(Table3[[#This Row],[Campaign_ID]]),"Invalid","Valid")</f>
        <v>Valid</v>
      </c>
      <c r="C631" s="3" t="str">
        <f>IF(COUNTA(Finance_Data!A627:R627)=18,"Valid","Missing")</f>
        <v>Valid</v>
      </c>
      <c r="D631" s="3" t="str">
        <f>IF(COUNTIF(Finance_Data!$T$2:$T$1001,Finance_Data!T627)&gt;1,"Duplicate","Valid")</f>
        <v>Valid</v>
      </c>
      <c r="E631" s="3" t="str">
        <f>IF(Finance_Data!H627&gt;Finance_Data!G627,"Valid","Invalid")</f>
        <v>Valid</v>
      </c>
      <c r="F631" s="3" t="str" cm="1">
        <f t="array" ref="F631">_xlfn.IFS(Finance_Data!S627&lt;7,"Short",Finance_Data!S627&lt;=30,"Normal",Finance_Data!S627&lt;=60,"Long",Finance_Data!S627&gt;60,"Very Long")</f>
        <v>Long</v>
      </c>
      <c r="G631" s="3" t="str">
        <f>IF(ABS(Finance_Data!I627*Finance_Data!J627)-Finance_Data!K627&lt;1,"Valid","Invalid")</f>
        <v>Valid</v>
      </c>
      <c r="H631" s="3" t="str">
        <f>IF(Finance_Data!L627&gt;0,"Valid","Invalid")</f>
        <v>Valid</v>
      </c>
      <c r="I631" s="3" t="str">
        <f>IF(Finance_Data!L627&gt;=Finance_Data!M627,"Valid","Invalid")</f>
        <v>Valid</v>
      </c>
      <c r="J631" s="3" t="str">
        <f>IF(AND(Finance_Data!I627&gt;=0,Finance_Data!K627&gt;=0),"Valid","Invalid")</f>
        <v>Valid</v>
      </c>
      <c r="K631" s="3" t="str">
        <f>IF(Finance_Data!N627&gt;=0,"Valid","Invalid")</f>
        <v>Valid</v>
      </c>
      <c r="L631" s="3" t="str">
        <f>IF(TEXT(Finance_Data!G627,"mmmm")=Finance_Data!P627,"Valid","Invalid")</f>
        <v>Valid</v>
      </c>
      <c r="M631" s="3" t="str">
        <f>IF("Q"&amp;ROUNDUP(MONTH(Finance_Data!G627)/3,0)=Finance_Data!Q627,"Valid","Invalid")</f>
        <v>Valid</v>
      </c>
      <c r="N631" s="7" t="str">
        <f t="shared" si="9"/>
        <v>Pass</v>
      </c>
    </row>
    <row r="632" spans="1:14" x14ac:dyDescent="0.35">
      <c r="A632" s="17" t="s">
        <v>105</v>
      </c>
      <c r="B632" s="3" t="str">
        <f>IF(ISBLANK(Table3[[#This Row],[Campaign_ID]]),"Invalid","Valid")</f>
        <v>Valid</v>
      </c>
      <c r="C632" s="3" t="str">
        <f>IF(COUNTA(Finance_Data!A628:R628)=18,"Valid","Missing")</f>
        <v>Valid</v>
      </c>
      <c r="D632" s="3" t="str">
        <f>IF(COUNTIF(Finance_Data!$T$2:$T$1001,Finance_Data!T628)&gt;1,"Duplicate","Valid")</f>
        <v>Valid</v>
      </c>
      <c r="E632" s="3" t="str">
        <f>IF(Finance_Data!H628&gt;Finance_Data!G628,"Valid","Invalid")</f>
        <v>Valid</v>
      </c>
      <c r="F632" s="3" t="str" cm="1">
        <f t="array" ref="F632">_xlfn.IFS(Finance_Data!S628&lt;7,"Short",Finance_Data!S628&lt;=30,"Normal",Finance_Data!S628&lt;=60,"Long",Finance_Data!S628&gt;60,"Very Long")</f>
        <v>Long</v>
      </c>
      <c r="G632" s="3" t="str">
        <f>IF(ABS(Finance_Data!I628*Finance_Data!J628)-Finance_Data!K628&lt;1,"Valid","Invalid")</f>
        <v>Valid</v>
      </c>
      <c r="H632" s="3" t="str">
        <f>IF(Finance_Data!L628&gt;0,"Valid","Invalid")</f>
        <v>Valid</v>
      </c>
      <c r="I632" s="3" t="str">
        <f>IF(Finance_Data!L628&gt;=Finance_Data!M628,"Valid","Invalid")</f>
        <v>Valid</v>
      </c>
      <c r="J632" s="3" t="str">
        <f>IF(AND(Finance_Data!I628&gt;=0,Finance_Data!K628&gt;=0),"Valid","Invalid")</f>
        <v>Valid</v>
      </c>
      <c r="K632" s="3" t="str">
        <f>IF(Finance_Data!N628&gt;=0,"Valid","Invalid")</f>
        <v>Valid</v>
      </c>
      <c r="L632" s="3" t="str">
        <f>IF(TEXT(Finance_Data!G628,"mmmm")=Finance_Data!P628,"Valid","Invalid")</f>
        <v>Valid</v>
      </c>
      <c r="M632" s="3" t="str">
        <f>IF("Q"&amp;ROUNDUP(MONTH(Finance_Data!G628)/3,0)=Finance_Data!Q628,"Valid","Invalid")</f>
        <v>Valid</v>
      </c>
      <c r="N632" s="7" t="str">
        <f t="shared" si="9"/>
        <v>Pass</v>
      </c>
    </row>
    <row r="633" spans="1:14" x14ac:dyDescent="0.35">
      <c r="A633" s="17" t="s">
        <v>82</v>
      </c>
      <c r="B633" s="3" t="str">
        <f>IF(ISBLANK(Table3[[#This Row],[Campaign_ID]]),"Invalid","Valid")</f>
        <v>Valid</v>
      </c>
      <c r="C633" s="3" t="str">
        <f>IF(COUNTA(Finance_Data!A629:R629)=18,"Valid","Missing")</f>
        <v>Valid</v>
      </c>
      <c r="D633" s="3" t="str">
        <f>IF(COUNTIF(Finance_Data!$T$2:$T$1001,Finance_Data!T629)&gt;1,"Duplicate","Valid")</f>
        <v>Valid</v>
      </c>
      <c r="E633" s="3" t="str">
        <f>IF(Finance_Data!H629&gt;Finance_Data!G629,"Valid","Invalid")</f>
        <v>Valid</v>
      </c>
      <c r="F633" s="3" t="str" cm="1">
        <f t="array" ref="F633">_xlfn.IFS(Finance_Data!S629&lt;7,"Short",Finance_Data!S629&lt;=30,"Normal",Finance_Data!S629&lt;=60,"Long",Finance_Data!S629&gt;60,"Very Long")</f>
        <v>Normal</v>
      </c>
      <c r="G633" s="3" t="str">
        <f>IF(ABS(Finance_Data!I629*Finance_Data!J629)-Finance_Data!K629&lt;1,"Valid","Invalid")</f>
        <v>Valid</v>
      </c>
      <c r="H633" s="3" t="str">
        <f>IF(Finance_Data!L629&gt;0,"Valid","Invalid")</f>
        <v>Valid</v>
      </c>
      <c r="I633" s="3" t="str">
        <f>IF(Finance_Data!L629&gt;=Finance_Data!M629,"Valid","Invalid")</f>
        <v>Invalid</v>
      </c>
      <c r="J633" s="3" t="str">
        <f>IF(AND(Finance_Data!I629&gt;=0,Finance_Data!K629&gt;=0),"Valid","Invalid")</f>
        <v>Valid</v>
      </c>
      <c r="K633" s="3" t="str">
        <f>IF(Finance_Data!N629&gt;=0,"Valid","Invalid")</f>
        <v>Valid</v>
      </c>
      <c r="L633" s="3" t="str">
        <f>IF(TEXT(Finance_Data!G629,"mmmm")=Finance_Data!P629,"Valid","Invalid")</f>
        <v>Valid</v>
      </c>
      <c r="M633" s="3" t="str">
        <f>IF("Q"&amp;ROUNDUP(MONTH(Finance_Data!G629)/3,0)=Finance_Data!Q629,"Valid","Invalid")</f>
        <v>Valid</v>
      </c>
      <c r="N633" s="7" t="str">
        <f t="shared" si="9"/>
        <v>Fail</v>
      </c>
    </row>
    <row r="634" spans="1:14" x14ac:dyDescent="0.35">
      <c r="A634" s="17" t="s">
        <v>96</v>
      </c>
      <c r="B634" s="3" t="str">
        <f>IF(ISBLANK(Table3[[#This Row],[Campaign_ID]]),"Invalid","Valid")</f>
        <v>Valid</v>
      </c>
      <c r="C634" s="3" t="str">
        <f>IF(COUNTA(Finance_Data!A630:R630)=18,"Valid","Missing")</f>
        <v>Valid</v>
      </c>
      <c r="D634" s="3" t="str">
        <f>IF(COUNTIF(Finance_Data!$T$2:$T$1001,Finance_Data!T630)&gt;1,"Duplicate","Valid")</f>
        <v>Valid</v>
      </c>
      <c r="E634" s="3" t="str">
        <f>IF(Finance_Data!H630&gt;Finance_Data!G630,"Valid","Invalid")</f>
        <v>Valid</v>
      </c>
      <c r="F634" s="3" t="str" cm="1">
        <f t="array" ref="F634">_xlfn.IFS(Finance_Data!S630&lt;7,"Short",Finance_Data!S630&lt;=30,"Normal",Finance_Data!S630&lt;=60,"Long",Finance_Data!S630&gt;60,"Very Long")</f>
        <v>Normal</v>
      </c>
      <c r="G634" s="3" t="str">
        <f>IF(ABS(Finance_Data!I630*Finance_Data!J630)-Finance_Data!K630&lt;1,"Valid","Invalid")</f>
        <v>Valid</v>
      </c>
      <c r="H634" s="3" t="str">
        <f>IF(Finance_Data!L630&gt;0,"Valid","Invalid")</f>
        <v>Valid</v>
      </c>
      <c r="I634" s="3" t="str">
        <f>IF(Finance_Data!L630&gt;=Finance_Data!M630,"Valid","Invalid")</f>
        <v>Valid</v>
      </c>
      <c r="J634" s="3" t="str">
        <f>IF(AND(Finance_Data!I630&gt;=0,Finance_Data!K630&gt;=0),"Valid","Invalid")</f>
        <v>Valid</v>
      </c>
      <c r="K634" s="3" t="str">
        <f>IF(Finance_Data!N630&gt;=0,"Valid","Invalid")</f>
        <v>Valid</v>
      </c>
      <c r="L634" s="3" t="str">
        <f>IF(TEXT(Finance_Data!G630,"mmmm")=Finance_Data!P630,"Valid","Invalid")</f>
        <v>Valid</v>
      </c>
      <c r="M634" s="3" t="str">
        <f>IF("Q"&amp;ROUNDUP(MONTH(Finance_Data!G630)/3,0)=Finance_Data!Q630,"Valid","Invalid")</f>
        <v>Valid</v>
      </c>
      <c r="N634" s="7" t="str">
        <f t="shared" si="9"/>
        <v>Pass</v>
      </c>
    </row>
    <row r="635" spans="1:14" x14ac:dyDescent="0.35">
      <c r="A635" s="17" t="s">
        <v>90</v>
      </c>
      <c r="B635" s="3" t="str">
        <f>IF(ISBLANK(Table3[[#This Row],[Campaign_ID]]),"Invalid","Valid")</f>
        <v>Valid</v>
      </c>
      <c r="C635" s="3" t="str">
        <f>IF(COUNTA(Finance_Data!A631:R631)=18,"Valid","Missing")</f>
        <v>Valid</v>
      </c>
      <c r="D635" s="3" t="str">
        <f>IF(COUNTIF(Finance_Data!$T$2:$T$1001,Finance_Data!T631)&gt;1,"Duplicate","Valid")</f>
        <v>Valid</v>
      </c>
      <c r="E635" s="3" t="str">
        <f>IF(Finance_Data!H631&gt;Finance_Data!G631,"Valid","Invalid")</f>
        <v>Valid</v>
      </c>
      <c r="F635" s="3" t="str" cm="1">
        <f t="array" ref="F635">_xlfn.IFS(Finance_Data!S631&lt;7,"Short",Finance_Data!S631&lt;=30,"Normal",Finance_Data!S631&lt;=60,"Long",Finance_Data!S631&gt;60,"Very Long")</f>
        <v>Long</v>
      </c>
      <c r="G635" s="3" t="str">
        <f>IF(ABS(Finance_Data!I631*Finance_Data!J631)-Finance_Data!K631&lt;1,"Valid","Invalid")</f>
        <v>Valid</v>
      </c>
      <c r="H635" s="3" t="str">
        <f>IF(Finance_Data!L631&gt;0,"Valid","Invalid")</f>
        <v>Valid</v>
      </c>
      <c r="I635" s="3" t="str">
        <f>IF(Finance_Data!L631&gt;=Finance_Data!M631,"Valid","Invalid")</f>
        <v>Valid</v>
      </c>
      <c r="J635" s="3" t="str">
        <f>IF(AND(Finance_Data!I631&gt;=0,Finance_Data!K631&gt;=0),"Valid","Invalid")</f>
        <v>Valid</v>
      </c>
      <c r="K635" s="3" t="str">
        <f>IF(Finance_Data!N631&gt;=0,"Valid","Invalid")</f>
        <v>Valid</v>
      </c>
      <c r="L635" s="3" t="str">
        <f>IF(TEXT(Finance_Data!G631,"mmmm")=Finance_Data!P631,"Valid","Invalid")</f>
        <v>Valid</v>
      </c>
      <c r="M635" s="3" t="str">
        <f>IF("Q"&amp;ROUNDUP(MONTH(Finance_Data!G631)/3,0)=Finance_Data!Q631,"Valid","Invalid")</f>
        <v>Valid</v>
      </c>
      <c r="N635" s="7" t="str">
        <f t="shared" si="9"/>
        <v>Pass</v>
      </c>
    </row>
    <row r="636" spans="1:14" x14ac:dyDescent="0.35">
      <c r="A636" s="17" t="s">
        <v>95</v>
      </c>
      <c r="B636" s="3" t="str">
        <f>IF(ISBLANK(Table3[[#This Row],[Campaign_ID]]),"Invalid","Valid")</f>
        <v>Valid</v>
      </c>
      <c r="C636" s="3" t="str">
        <f>IF(COUNTA(Finance_Data!A632:R632)=18,"Valid","Missing")</f>
        <v>Valid</v>
      </c>
      <c r="D636" s="3" t="str">
        <f>IF(COUNTIF(Finance_Data!$T$2:$T$1001,Finance_Data!T632)&gt;1,"Duplicate","Valid")</f>
        <v>Valid</v>
      </c>
      <c r="E636" s="3" t="str">
        <f>IF(Finance_Data!H632&gt;Finance_Data!G632,"Valid","Invalid")</f>
        <v>Valid</v>
      </c>
      <c r="F636" s="3" t="str" cm="1">
        <f t="array" ref="F636">_xlfn.IFS(Finance_Data!S632&lt;7,"Short",Finance_Data!S632&lt;=30,"Normal",Finance_Data!S632&lt;=60,"Long",Finance_Data!S632&gt;60,"Very Long")</f>
        <v>Long</v>
      </c>
      <c r="G636" s="3" t="str">
        <f>IF(ABS(Finance_Data!I632*Finance_Data!J632)-Finance_Data!K632&lt;1,"Valid","Invalid")</f>
        <v>Valid</v>
      </c>
      <c r="H636" s="3" t="str">
        <f>IF(Finance_Data!L632&gt;0,"Valid","Invalid")</f>
        <v>Valid</v>
      </c>
      <c r="I636" s="3" t="str">
        <f>IF(Finance_Data!L632&gt;=Finance_Data!M632,"Valid","Invalid")</f>
        <v>Valid</v>
      </c>
      <c r="J636" s="3" t="str">
        <f>IF(AND(Finance_Data!I632&gt;=0,Finance_Data!K632&gt;=0),"Valid","Invalid")</f>
        <v>Valid</v>
      </c>
      <c r="K636" s="3" t="str">
        <f>IF(Finance_Data!N632&gt;=0,"Valid","Invalid")</f>
        <v>Valid</v>
      </c>
      <c r="L636" s="3" t="str">
        <f>IF(TEXT(Finance_Data!G632,"mmmm")=Finance_Data!P632,"Valid","Invalid")</f>
        <v>Valid</v>
      </c>
      <c r="M636" s="3" t="str">
        <f>IF("Q"&amp;ROUNDUP(MONTH(Finance_Data!G632)/3,0)=Finance_Data!Q632,"Valid","Invalid")</f>
        <v>Valid</v>
      </c>
      <c r="N636" s="7" t="str">
        <f t="shared" si="9"/>
        <v>Pass</v>
      </c>
    </row>
    <row r="637" spans="1:14" x14ac:dyDescent="0.35">
      <c r="A637" s="17" t="s">
        <v>96</v>
      </c>
      <c r="B637" s="3" t="str">
        <f>IF(ISBLANK(Table3[[#This Row],[Campaign_ID]]),"Invalid","Valid")</f>
        <v>Valid</v>
      </c>
      <c r="C637" s="3" t="str">
        <f>IF(COUNTA(Finance_Data!A633:R633)=18,"Valid","Missing")</f>
        <v>Valid</v>
      </c>
      <c r="D637" s="3" t="str">
        <f>IF(COUNTIF(Finance_Data!$T$2:$T$1001,Finance_Data!T633)&gt;1,"Duplicate","Valid")</f>
        <v>Valid</v>
      </c>
      <c r="E637" s="3" t="str">
        <f>IF(Finance_Data!H633&gt;Finance_Data!G633,"Valid","Invalid")</f>
        <v>Valid</v>
      </c>
      <c r="F637" s="3" t="str" cm="1">
        <f t="array" ref="F637">_xlfn.IFS(Finance_Data!S633&lt;7,"Short",Finance_Data!S633&lt;=30,"Normal",Finance_Data!S633&lt;=60,"Long",Finance_Data!S633&gt;60,"Very Long")</f>
        <v>Long</v>
      </c>
      <c r="G637" s="3" t="str">
        <f>IF(ABS(Finance_Data!I633*Finance_Data!J633)-Finance_Data!K633&lt;1,"Valid","Invalid")</f>
        <v>Valid</v>
      </c>
      <c r="H637" s="3" t="str">
        <f>IF(Finance_Data!L633&gt;0,"Valid","Invalid")</f>
        <v>Valid</v>
      </c>
      <c r="I637" s="3" t="str">
        <f>IF(Finance_Data!L633&gt;=Finance_Data!M633,"Valid","Invalid")</f>
        <v>Valid</v>
      </c>
      <c r="J637" s="3" t="str">
        <f>IF(AND(Finance_Data!I633&gt;=0,Finance_Data!K633&gt;=0),"Valid","Invalid")</f>
        <v>Valid</v>
      </c>
      <c r="K637" s="3" t="str">
        <f>IF(Finance_Data!N633&gt;=0,"Valid","Invalid")</f>
        <v>Valid</v>
      </c>
      <c r="L637" s="3" t="str">
        <f>IF(TEXT(Finance_Data!G633,"mmmm")=Finance_Data!P633,"Valid","Invalid")</f>
        <v>Valid</v>
      </c>
      <c r="M637" s="3" t="str">
        <f>IF("Q"&amp;ROUNDUP(MONTH(Finance_Data!G633)/3,0)=Finance_Data!Q633,"Valid","Invalid")</f>
        <v>Valid</v>
      </c>
      <c r="N637" s="7" t="str">
        <f t="shared" si="9"/>
        <v>Pass</v>
      </c>
    </row>
    <row r="638" spans="1:14" x14ac:dyDescent="0.35">
      <c r="A638" s="17" t="s">
        <v>77</v>
      </c>
      <c r="B638" s="3" t="str">
        <f>IF(ISBLANK(Table3[[#This Row],[Campaign_ID]]),"Invalid","Valid")</f>
        <v>Valid</v>
      </c>
      <c r="C638" s="3" t="str">
        <f>IF(COUNTA(Finance_Data!A634:R634)=18,"Valid","Missing")</f>
        <v>Valid</v>
      </c>
      <c r="D638" s="3" t="str">
        <f>IF(COUNTIF(Finance_Data!$T$2:$T$1001,Finance_Data!T634)&gt;1,"Duplicate","Valid")</f>
        <v>Valid</v>
      </c>
      <c r="E638" s="3" t="str">
        <f>IF(Finance_Data!H634&gt;Finance_Data!G634,"Valid","Invalid")</f>
        <v>Valid</v>
      </c>
      <c r="F638" s="3" t="str" cm="1">
        <f t="array" ref="F638">_xlfn.IFS(Finance_Data!S634&lt;7,"Short",Finance_Data!S634&lt;=30,"Normal",Finance_Data!S634&lt;=60,"Long",Finance_Data!S634&gt;60,"Very Long")</f>
        <v>Long</v>
      </c>
      <c r="G638" s="3" t="str">
        <f>IF(ABS(Finance_Data!I634*Finance_Data!J634)-Finance_Data!K634&lt;1,"Valid","Invalid")</f>
        <v>Valid</v>
      </c>
      <c r="H638" s="3" t="str">
        <f>IF(Finance_Data!L634&gt;0,"Valid","Invalid")</f>
        <v>Valid</v>
      </c>
      <c r="I638" s="3" t="str">
        <f>IF(Finance_Data!L634&gt;=Finance_Data!M634,"Valid","Invalid")</f>
        <v>Valid</v>
      </c>
      <c r="J638" s="3" t="str">
        <f>IF(AND(Finance_Data!I634&gt;=0,Finance_Data!K634&gt;=0),"Valid","Invalid")</f>
        <v>Valid</v>
      </c>
      <c r="K638" s="3" t="str">
        <f>IF(Finance_Data!N634&gt;=0,"Valid","Invalid")</f>
        <v>Valid</v>
      </c>
      <c r="L638" s="3" t="str">
        <f>IF(TEXT(Finance_Data!G634,"mmmm")=Finance_Data!P634,"Valid","Invalid")</f>
        <v>Valid</v>
      </c>
      <c r="M638" s="3" t="str">
        <f>IF("Q"&amp;ROUNDUP(MONTH(Finance_Data!G634)/3,0)=Finance_Data!Q634,"Valid","Invalid")</f>
        <v>Valid</v>
      </c>
      <c r="N638" s="7" t="str">
        <f t="shared" si="9"/>
        <v>Pass</v>
      </c>
    </row>
    <row r="639" spans="1:14" x14ac:dyDescent="0.35">
      <c r="A639" s="17" t="s">
        <v>79</v>
      </c>
      <c r="B639" s="3" t="str">
        <f>IF(ISBLANK(Table3[[#This Row],[Campaign_ID]]),"Invalid","Valid")</f>
        <v>Valid</v>
      </c>
      <c r="C639" s="3" t="str">
        <f>IF(COUNTA(Finance_Data!A635:R635)=18,"Valid","Missing")</f>
        <v>Valid</v>
      </c>
      <c r="D639" s="3" t="str">
        <f>IF(COUNTIF(Finance_Data!$T$2:$T$1001,Finance_Data!T635)&gt;1,"Duplicate","Valid")</f>
        <v>Valid</v>
      </c>
      <c r="E639" s="3" t="str">
        <f>IF(Finance_Data!H635&gt;Finance_Data!G635,"Valid","Invalid")</f>
        <v>Valid</v>
      </c>
      <c r="F639" s="3" t="str" cm="1">
        <f t="array" ref="F639">_xlfn.IFS(Finance_Data!S635&lt;7,"Short",Finance_Data!S635&lt;=30,"Normal",Finance_Data!S635&lt;=60,"Long",Finance_Data!S635&gt;60,"Very Long")</f>
        <v>Normal</v>
      </c>
      <c r="G639" s="3" t="str">
        <f>IF(ABS(Finance_Data!I635*Finance_Data!J635)-Finance_Data!K635&lt;1,"Valid","Invalid")</f>
        <v>Valid</v>
      </c>
      <c r="H639" s="3" t="str">
        <f>IF(Finance_Data!L635&gt;0,"Valid","Invalid")</f>
        <v>Valid</v>
      </c>
      <c r="I639" s="3" t="str">
        <f>IF(Finance_Data!L635&gt;=Finance_Data!M635,"Valid","Invalid")</f>
        <v>Valid</v>
      </c>
      <c r="J639" s="3" t="str">
        <f>IF(AND(Finance_Data!I635&gt;=0,Finance_Data!K635&gt;=0),"Valid","Invalid")</f>
        <v>Valid</v>
      </c>
      <c r="K639" s="3" t="str">
        <f>IF(Finance_Data!N635&gt;=0,"Valid","Invalid")</f>
        <v>Valid</v>
      </c>
      <c r="L639" s="3" t="str">
        <f>IF(TEXT(Finance_Data!G635,"mmmm")=Finance_Data!P635,"Valid","Invalid")</f>
        <v>Valid</v>
      </c>
      <c r="M639" s="3" t="str">
        <f>IF("Q"&amp;ROUNDUP(MONTH(Finance_Data!G635)/3,0)=Finance_Data!Q635,"Valid","Invalid")</f>
        <v>Valid</v>
      </c>
      <c r="N639" s="7" t="str">
        <f t="shared" si="9"/>
        <v>Pass</v>
      </c>
    </row>
    <row r="640" spans="1:14" x14ac:dyDescent="0.35">
      <c r="A640" s="17" t="s">
        <v>98</v>
      </c>
      <c r="B640" s="3" t="str">
        <f>IF(ISBLANK(Table3[[#This Row],[Campaign_ID]]),"Invalid","Valid")</f>
        <v>Valid</v>
      </c>
      <c r="C640" s="3" t="str">
        <f>IF(COUNTA(Finance_Data!A636:R636)=18,"Valid","Missing")</f>
        <v>Valid</v>
      </c>
      <c r="D640" s="3" t="str">
        <f>IF(COUNTIF(Finance_Data!$T$2:$T$1001,Finance_Data!T636)&gt;1,"Duplicate","Valid")</f>
        <v>Valid</v>
      </c>
      <c r="E640" s="3" t="str">
        <f>IF(Finance_Data!H636&gt;Finance_Data!G636,"Valid","Invalid")</f>
        <v>Valid</v>
      </c>
      <c r="F640" s="3" t="str" cm="1">
        <f t="array" ref="F640">_xlfn.IFS(Finance_Data!S636&lt;7,"Short",Finance_Data!S636&lt;=30,"Normal",Finance_Data!S636&lt;=60,"Long",Finance_Data!S636&gt;60,"Very Long")</f>
        <v>Long</v>
      </c>
      <c r="G640" s="3" t="str">
        <f>IF(ABS(Finance_Data!I636*Finance_Data!J636)-Finance_Data!K636&lt;1,"Valid","Invalid")</f>
        <v>Valid</v>
      </c>
      <c r="H640" s="3" t="str">
        <f>IF(Finance_Data!L636&gt;0,"Valid","Invalid")</f>
        <v>Valid</v>
      </c>
      <c r="I640" s="3" t="str">
        <f>IF(Finance_Data!L636&gt;=Finance_Data!M636,"Valid","Invalid")</f>
        <v>Valid</v>
      </c>
      <c r="J640" s="3" t="str">
        <f>IF(AND(Finance_Data!I636&gt;=0,Finance_Data!K636&gt;=0),"Valid","Invalid")</f>
        <v>Valid</v>
      </c>
      <c r="K640" s="3" t="str">
        <f>IF(Finance_Data!N636&gt;=0,"Valid","Invalid")</f>
        <v>Valid</v>
      </c>
      <c r="L640" s="3" t="str">
        <f>IF(TEXT(Finance_Data!G636,"mmmm")=Finance_Data!P636,"Valid","Invalid")</f>
        <v>Valid</v>
      </c>
      <c r="M640" s="3" t="str">
        <f>IF("Q"&amp;ROUNDUP(MONTH(Finance_Data!G636)/3,0)=Finance_Data!Q636,"Valid","Invalid")</f>
        <v>Valid</v>
      </c>
      <c r="N640" s="7" t="str">
        <f t="shared" si="9"/>
        <v>Pass</v>
      </c>
    </row>
    <row r="641" spans="1:14" x14ac:dyDescent="0.35">
      <c r="A641" s="17" t="s">
        <v>34</v>
      </c>
      <c r="B641" s="3" t="str">
        <f>IF(ISBLANK(Table3[[#This Row],[Campaign_ID]]),"Invalid","Valid")</f>
        <v>Valid</v>
      </c>
      <c r="C641" s="3" t="str">
        <f>IF(COUNTA(Finance_Data!A637:R637)=18,"Valid","Missing")</f>
        <v>Valid</v>
      </c>
      <c r="D641" s="3" t="str">
        <f>IF(COUNTIF(Finance_Data!$T$2:$T$1001,Finance_Data!T637)&gt;1,"Duplicate","Valid")</f>
        <v>Valid</v>
      </c>
      <c r="E641" s="3" t="str">
        <f>IF(Finance_Data!H637&gt;Finance_Data!G637,"Valid","Invalid")</f>
        <v>Valid</v>
      </c>
      <c r="F641" s="3" t="str" cm="1">
        <f t="array" ref="F641">_xlfn.IFS(Finance_Data!S637&lt;7,"Short",Finance_Data!S637&lt;=30,"Normal",Finance_Data!S637&lt;=60,"Long",Finance_Data!S637&gt;60,"Very Long")</f>
        <v>Long</v>
      </c>
      <c r="G641" s="3" t="str">
        <f>IF(ABS(Finance_Data!I637*Finance_Data!J637)-Finance_Data!K637&lt;1,"Valid","Invalid")</f>
        <v>Valid</v>
      </c>
      <c r="H641" s="3" t="str">
        <f>IF(Finance_Data!L637&gt;0,"Valid","Invalid")</f>
        <v>Valid</v>
      </c>
      <c r="I641" s="3" t="str">
        <f>IF(Finance_Data!L637&gt;=Finance_Data!M637,"Valid","Invalid")</f>
        <v>Valid</v>
      </c>
      <c r="J641" s="3" t="str">
        <f>IF(AND(Finance_Data!I637&gt;=0,Finance_Data!K637&gt;=0),"Valid","Invalid")</f>
        <v>Valid</v>
      </c>
      <c r="K641" s="3" t="str">
        <f>IF(Finance_Data!N637&gt;=0,"Valid","Invalid")</f>
        <v>Valid</v>
      </c>
      <c r="L641" s="3" t="str">
        <f>IF(TEXT(Finance_Data!G637,"mmmm")=Finance_Data!P637,"Valid","Invalid")</f>
        <v>Valid</v>
      </c>
      <c r="M641" s="3" t="str">
        <f>IF("Q"&amp;ROUNDUP(MONTH(Finance_Data!G637)/3,0)=Finance_Data!Q637,"Valid","Invalid")</f>
        <v>Valid</v>
      </c>
      <c r="N641" s="7" t="str">
        <f t="shared" si="9"/>
        <v>Pass</v>
      </c>
    </row>
    <row r="642" spans="1:14" x14ac:dyDescent="0.35">
      <c r="A642" s="17" t="s">
        <v>68</v>
      </c>
      <c r="B642" s="3" t="str">
        <f>IF(ISBLANK(Table3[[#This Row],[Campaign_ID]]),"Invalid","Valid")</f>
        <v>Valid</v>
      </c>
      <c r="C642" s="3" t="str">
        <f>IF(COUNTA(Finance_Data!A638:R638)=18,"Valid","Missing")</f>
        <v>Valid</v>
      </c>
      <c r="D642" s="3" t="str">
        <f>IF(COUNTIF(Finance_Data!$T$2:$T$1001,Finance_Data!T638)&gt;1,"Duplicate","Valid")</f>
        <v>Valid</v>
      </c>
      <c r="E642" s="3" t="str">
        <f>IF(Finance_Data!H638&gt;Finance_Data!G638,"Valid","Invalid")</f>
        <v>Valid</v>
      </c>
      <c r="F642" s="3" t="str" cm="1">
        <f t="array" ref="F642">_xlfn.IFS(Finance_Data!S638&lt;7,"Short",Finance_Data!S638&lt;=30,"Normal",Finance_Data!S638&lt;=60,"Long",Finance_Data!S638&gt;60,"Very Long")</f>
        <v>Normal</v>
      </c>
      <c r="G642" s="3" t="str">
        <f>IF(ABS(Finance_Data!I638*Finance_Data!J638)-Finance_Data!K638&lt;1,"Valid","Invalid")</f>
        <v>Valid</v>
      </c>
      <c r="H642" s="3" t="str">
        <f>IF(Finance_Data!L638&gt;0,"Valid","Invalid")</f>
        <v>Valid</v>
      </c>
      <c r="I642" s="3" t="str">
        <f>IF(Finance_Data!L638&gt;=Finance_Data!M638,"Valid","Invalid")</f>
        <v>Valid</v>
      </c>
      <c r="J642" s="3" t="str">
        <f>IF(AND(Finance_Data!I638&gt;=0,Finance_Data!K638&gt;=0),"Valid","Invalid")</f>
        <v>Valid</v>
      </c>
      <c r="K642" s="3" t="str">
        <f>IF(Finance_Data!N638&gt;=0,"Valid","Invalid")</f>
        <v>Valid</v>
      </c>
      <c r="L642" s="3" t="str">
        <f>IF(TEXT(Finance_Data!G638,"mmmm")=Finance_Data!P638,"Valid","Invalid")</f>
        <v>Valid</v>
      </c>
      <c r="M642" s="3" t="str">
        <f>IF("Q"&amp;ROUNDUP(MONTH(Finance_Data!G638)/3,0)=Finance_Data!Q638,"Valid","Invalid")</f>
        <v>Valid</v>
      </c>
      <c r="N642" s="7" t="str">
        <f t="shared" si="9"/>
        <v>Pass</v>
      </c>
    </row>
    <row r="643" spans="1:14" x14ac:dyDescent="0.35">
      <c r="A643" s="17" t="s">
        <v>57</v>
      </c>
      <c r="B643" s="3" t="str">
        <f>IF(ISBLANK(Table3[[#This Row],[Campaign_ID]]),"Invalid","Valid")</f>
        <v>Valid</v>
      </c>
      <c r="C643" s="3" t="str">
        <f>IF(COUNTA(Finance_Data!A639:R639)=18,"Valid","Missing")</f>
        <v>Valid</v>
      </c>
      <c r="D643" s="3" t="str">
        <f>IF(COUNTIF(Finance_Data!$T$2:$T$1001,Finance_Data!T639)&gt;1,"Duplicate","Valid")</f>
        <v>Valid</v>
      </c>
      <c r="E643" s="3" t="str">
        <f>IF(Finance_Data!H639&gt;Finance_Data!G639,"Valid","Invalid")</f>
        <v>Valid</v>
      </c>
      <c r="F643" s="3" t="str" cm="1">
        <f t="array" ref="F643">_xlfn.IFS(Finance_Data!S639&lt;7,"Short",Finance_Data!S639&lt;=30,"Normal",Finance_Data!S639&lt;=60,"Long",Finance_Data!S639&gt;60,"Very Long")</f>
        <v>Normal</v>
      </c>
      <c r="G643" s="3" t="str">
        <f>IF(ABS(Finance_Data!I639*Finance_Data!J639)-Finance_Data!K639&lt;1,"Valid","Invalid")</f>
        <v>Valid</v>
      </c>
      <c r="H643" s="3" t="str">
        <f>IF(Finance_Data!L639&gt;0,"Valid","Invalid")</f>
        <v>Valid</v>
      </c>
      <c r="I643" s="3" t="str">
        <f>IF(Finance_Data!L639&gt;=Finance_Data!M639,"Valid","Invalid")</f>
        <v>Valid</v>
      </c>
      <c r="J643" s="3" t="str">
        <f>IF(AND(Finance_Data!I639&gt;=0,Finance_Data!K639&gt;=0),"Valid","Invalid")</f>
        <v>Valid</v>
      </c>
      <c r="K643" s="3" t="str">
        <f>IF(Finance_Data!N639&gt;=0,"Valid","Invalid")</f>
        <v>Valid</v>
      </c>
      <c r="L643" s="3" t="str">
        <f>IF(TEXT(Finance_Data!G639,"mmmm")=Finance_Data!P639,"Valid","Invalid")</f>
        <v>Valid</v>
      </c>
      <c r="M643" s="3" t="str">
        <f>IF("Q"&amp;ROUNDUP(MONTH(Finance_Data!G639)/3,0)=Finance_Data!Q639,"Valid","Invalid")</f>
        <v>Valid</v>
      </c>
      <c r="N643" s="7" t="str">
        <f t="shared" si="9"/>
        <v>Pass</v>
      </c>
    </row>
    <row r="644" spans="1:14" x14ac:dyDescent="0.35">
      <c r="A644" s="17" t="s">
        <v>72</v>
      </c>
      <c r="B644" s="3" t="str">
        <f>IF(ISBLANK(Table3[[#This Row],[Campaign_ID]]),"Invalid","Valid")</f>
        <v>Valid</v>
      </c>
      <c r="C644" s="3" t="str">
        <f>IF(COUNTA(Finance_Data!A640:R640)=18,"Valid","Missing")</f>
        <v>Valid</v>
      </c>
      <c r="D644" s="3" t="str">
        <f>IF(COUNTIF(Finance_Data!$T$2:$T$1001,Finance_Data!T640)&gt;1,"Duplicate","Valid")</f>
        <v>Valid</v>
      </c>
      <c r="E644" s="3" t="str">
        <f>IF(Finance_Data!H640&gt;Finance_Data!G640,"Valid","Invalid")</f>
        <v>Valid</v>
      </c>
      <c r="F644" s="3" t="str" cm="1">
        <f t="array" ref="F644">_xlfn.IFS(Finance_Data!S640&lt;7,"Short",Finance_Data!S640&lt;=30,"Normal",Finance_Data!S640&lt;=60,"Long",Finance_Data!S640&gt;60,"Very Long")</f>
        <v>Long</v>
      </c>
      <c r="G644" s="3" t="str">
        <f>IF(ABS(Finance_Data!I640*Finance_Data!J640)-Finance_Data!K640&lt;1,"Valid","Invalid")</f>
        <v>Valid</v>
      </c>
      <c r="H644" s="3" t="str">
        <f>IF(Finance_Data!L640&gt;0,"Valid","Invalid")</f>
        <v>Valid</v>
      </c>
      <c r="I644" s="3" t="str">
        <f>IF(Finance_Data!L640&gt;=Finance_Data!M640,"Valid","Invalid")</f>
        <v>Valid</v>
      </c>
      <c r="J644" s="3" t="str">
        <f>IF(AND(Finance_Data!I640&gt;=0,Finance_Data!K640&gt;=0),"Valid","Invalid")</f>
        <v>Valid</v>
      </c>
      <c r="K644" s="3" t="str">
        <f>IF(Finance_Data!N640&gt;=0,"Valid","Invalid")</f>
        <v>Valid</v>
      </c>
      <c r="L644" s="3" t="str">
        <f>IF(TEXT(Finance_Data!G640,"mmmm")=Finance_Data!P640,"Valid","Invalid")</f>
        <v>Valid</v>
      </c>
      <c r="M644" s="3" t="str">
        <f>IF("Q"&amp;ROUNDUP(MONTH(Finance_Data!G640)/3,0)=Finance_Data!Q640,"Valid","Invalid")</f>
        <v>Valid</v>
      </c>
      <c r="N644" s="7" t="str">
        <f t="shared" si="9"/>
        <v>Pass</v>
      </c>
    </row>
    <row r="645" spans="1:14" x14ac:dyDescent="0.35">
      <c r="A645" s="17" t="s">
        <v>114</v>
      </c>
      <c r="B645" s="3" t="str">
        <f>IF(ISBLANK(Table3[[#This Row],[Campaign_ID]]),"Invalid","Valid")</f>
        <v>Valid</v>
      </c>
      <c r="C645" s="3" t="str">
        <f>IF(COUNTA(Finance_Data!A641:R641)=18,"Valid","Missing")</f>
        <v>Valid</v>
      </c>
      <c r="D645" s="3" t="str">
        <f>IF(COUNTIF(Finance_Data!$T$2:$T$1001,Finance_Data!T641)&gt;1,"Duplicate","Valid")</f>
        <v>Valid</v>
      </c>
      <c r="E645" s="3" t="str">
        <f>IF(Finance_Data!H641&gt;Finance_Data!G641,"Valid","Invalid")</f>
        <v>Valid</v>
      </c>
      <c r="F645" s="3" t="str" cm="1">
        <f t="array" ref="F645">_xlfn.IFS(Finance_Data!S641&lt;7,"Short",Finance_Data!S641&lt;=30,"Normal",Finance_Data!S641&lt;=60,"Long",Finance_Data!S641&gt;60,"Very Long")</f>
        <v>Normal</v>
      </c>
      <c r="G645" s="3" t="str">
        <f>IF(ABS(Finance_Data!I641*Finance_Data!J641)-Finance_Data!K641&lt;1,"Valid","Invalid")</f>
        <v>Valid</v>
      </c>
      <c r="H645" s="3" t="str">
        <f>IF(Finance_Data!L641&gt;0,"Valid","Invalid")</f>
        <v>Valid</v>
      </c>
      <c r="I645" s="3" t="str">
        <f>IF(Finance_Data!L641&gt;=Finance_Data!M641,"Valid","Invalid")</f>
        <v>Valid</v>
      </c>
      <c r="J645" s="3" t="str">
        <f>IF(AND(Finance_Data!I641&gt;=0,Finance_Data!K641&gt;=0),"Valid","Invalid")</f>
        <v>Valid</v>
      </c>
      <c r="K645" s="3" t="str">
        <f>IF(Finance_Data!N641&gt;=0,"Valid","Invalid")</f>
        <v>Valid</v>
      </c>
      <c r="L645" s="3" t="str">
        <f>IF(TEXT(Finance_Data!G641,"mmmm")=Finance_Data!P641,"Valid","Invalid")</f>
        <v>Valid</v>
      </c>
      <c r="M645" s="3" t="str">
        <f>IF("Q"&amp;ROUNDUP(MONTH(Finance_Data!G641)/3,0)=Finance_Data!Q641,"Valid","Invalid")</f>
        <v>Valid</v>
      </c>
      <c r="N645" s="7" t="str">
        <f t="shared" si="9"/>
        <v>Pass</v>
      </c>
    </row>
    <row r="646" spans="1:14" x14ac:dyDescent="0.35">
      <c r="A646" s="17" t="s">
        <v>77</v>
      </c>
      <c r="B646" s="3" t="str">
        <f>IF(ISBLANK(Table3[[#This Row],[Campaign_ID]]),"Invalid","Valid")</f>
        <v>Valid</v>
      </c>
      <c r="C646" s="3" t="str">
        <f>IF(COUNTA(Finance_Data!A642:R642)=18,"Valid","Missing")</f>
        <v>Valid</v>
      </c>
      <c r="D646" s="3" t="str">
        <f>IF(COUNTIF(Finance_Data!$T$2:$T$1001,Finance_Data!T642)&gt;1,"Duplicate","Valid")</f>
        <v>Valid</v>
      </c>
      <c r="E646" s="3" t="str">
        <f>IF(Finance_Data!H642&gt;Finance_Data!G642,"Valid","Invalid")</f>
        <v>Valid</v>
      </c>
      <c r="F646" s="3" t="str" cm="1">
        <f t="array" ref="F646">_xlfn.IFS(Finance_Data!S642&lt;7,"Short",Finance_Data!S642&lt;=30,"Normal",Finance_Data!S642&lt;=60,"Long",Finance_Data!S642&gt;60,"Very Long")</f>
        <v>Long</v>
      </c>
      <c r="G646" s="3" t="str">
        <f>IF(ABS(Finance_Data!I642*Finance_Data!J642)-Finance_Data!K642&lt;1,"Valid","Invalid")</f>
        <v>Valid</v>
      </c>
      <c r="H646" s="3" t="str">
        <f>IF(Finance_Data!L642&gt;0,"Valid","Invalid")</f>
        <v>Valid</v>
      </c>
      <c r="I646" s="3" t="str">
        <f>IF(Finance_Data!L642&gt;=Finance_Data!M642,"Valid","Invalid")</f>
        <v>Valid</v>
      </c>
      <c r="J646" s="3" t="str">
        <f>IF(AND(Finance_Data!I642&gt;=0,Finance_Data!K642&gt;=0),"Valid","Invalid")</f>
        <v>Valid</v>
      </c>
      <c r="K646" s="3" t="str">
        <f>IF(Finance_Data!N642&gt;=0,"Valid","Invalid")</f>
        <v>Valid</v>
      </c>
      <c r="L646" s="3" t="str">
        <f>IF(TEXT(Finance_Data!G642,"mmmm")=Finance_Data!P642,"Valid","Invalid")</f>
        <v>Valid</v>
      </c>
      <c r="M646" s="3" t="str">
        <f>IF("Q"&amp;ROUNDUP(MONTH(Finance_Data!G642)/3,0)=Finance_Data!Q642,"Valid","Invalid")</f>
        <v>Valid</v>
      </c>
      <c r="N646" s="7" t="str">
        <f t="shared" ref="N646:N709" si="10">IF(AND(B646="Valid",E646="Valid",G646="Valid",H646="Valid",I646="Valid",J646="Valid",K646="Valid",L646="Valid",M646="Valid"),"Pass","Fail")</f>
        <v>Pass</v>
      </c>
    </row>
    <row r="647" spans="1:14" x14ac:dyDescent="0.35">
      <c r="A647" s="17" t="s">
        <v>91</v>
      </c>
      <c r="B647" s="3" t="str">
        <f>IF(ISBLANK(Table3[[#This Row],[Campaign_ID]]),"Invalid","Valid")</f>
        <v>Valid</v>
      </c>
      <c r="C647" s="3" t="str">
        <f>IF(COUNTA(Finance_Data!A643:R643)=18,"Valid","Missing")</f>
        <v>Valid</v>
      </c>
      <c r="D647" s="3" t="str">
        <f>IF(COUNTIF(Finance_Data!$T$2:$T$1001,Finance_Data!T643)&gt;1,"Duplicate","Valid")</f>
        <v>Valid</v>
      </c>
      <c r="E647" s="3" t="str">
        <f>IF(Finance_Data!H643&gt;Finance_Data!G643,"Valid","Invalid")</f>
        <v>Valid</v>
      </c>
      <c r="F647" s="3" t="str" cm="1">
        <f t="array" ref="F647">_xlfn.IFS(Finance_Data!S643&lt;7,"Short",Finance_Data!S643&lt;=30,"Normal",Finance_Data!S643&lt;=60,"Long",Finance_Data!S643&gt;60,"Very Long")</f>
        <v>Normal</v>
      </c>
      <c r="G647" s="3" t="str">
        <f>IF(ABS(Finance_Data!I643*Finance_Data!J643)-Finance_Data!K643&lt;1,"Valid","Invalid")</f>
        <v>Valid</v>
      </c>
      <c r="H647" s="3" t="str">
        <f>IF(Finance_Data!L643&gt;0,"Valid","Invalid")</f>
        <v>Valid</v>
      </c>
      <c r="I647" s="3" t="str">
        <f>IF(Finance_Data!L643&gt;=Finance_Data!M643,"Valid","Invalid")</f>
        <v>Valid</v>
      </c>
      <c r="J647" s="3" t="str">
        <f>IF(AND(Finance_Data!I643&gt;=0,Finance_Data!K643&gt;=0),"Valid","Invalid")</f>
        <v>Valid</v>
      </c>
      <c r="K647" s="3" t="str">
        <f>IF(Finance_Data!N643&gt;=0,"Valid","Invalid")</f>
        <v>Valid</v>
      </c>
      <c r="L647" s="3" t="str">
        <f>IF(TEXT(Finance_Data!G643,"mmmm")=Finance_Data!P643,"Valid","Invalid")</f>
        <v>Valid</v>
      </c>
      <c r="M647" s="3" t="str">
        <f>IF("Q"&amp;ROUNDUP(MONTH(Finance_Data!G643)/3,0)=Finance_Data!Q643,"Valid","Invalid")</f>
        <v>Valid</v>
      </c>
      <c r="N647" s="7" t="str">
        <f t="shared" si="10"/>
        <v>Pass</v>
      </c>
    </row>
    <row r="648" spans="1:14" x14ac:dyDescent="0.35">
      <c r="A648" s="17" t="s">
        <v>67</v>
      </c>
      <c r="B648" s="3" t="str">
        <f>IF(ISBLANK(Table3[[#This Row],[Campaign_ID]]),"Invalid","Valid")</f>
        <v>Valid</v>
      </c>
      <c r="C648" s="3" t="str">
        <f>IF(COUNTA(Finance_Data!A644:R644)=18,"Valid","Missing")</f>
        <v>Valid</v>
      </c>
      <c r="D648" s="3" t="str">
        <f>IF(COUNTIF(Finance_Data!$T$2:$T$1001,Finance_Data!T644)&gt;1,"Duplicate","Valid")</f>
        <v>Valid</v>
      </c>
      <c r="E648" s="3" t="str">
        <f>IF(Finance_Data!H644&gt;Finance_Data!G644,"Valid","Invalid")</f>
        <v>Valid</v>
      </c>
      <c r="F648" s="3" t="str" cm="1">
        <f t="array" ref="F648">_xlfn.IFS(Finance_Data!S644&lt;7,"Short",Finance_Data!S644&lt;=30,"Normal",Finance_Data!S644&lt;=60,"Long",Finance_Data!S644&gt;60,"Very Long")</f>
        <v>Long</v>
      </c>
      <c r="G648" s="3" t="str">
        <f>IF(ABS(Finance_Data!I644*Finance_Data!J644)-Finance_Data!K644&lt;1,"Valid","Invalid")</f>
        <v>Valid</v>
      </c>
      <c r="H648" s="3" t="str">
        <f>IF(Finance_Data!L644&gt;0,"Valid","Invalid")</f>
        <v>Valid</v>
      </c>
      <c r="I648" s="3" t="str">
        <f>IF(Finance_Data!L644&gt;=Finance_Data!M644,"Valid","Invalid")</f>
        <v>Valid</v>
      </c>
      <c r="J648" s="3" t="str">
        <f>IF(AND(Finance_Data!I644&gt;=0,Finance_Data!K644&gt;=0),"Valid","Invalid")</f>
        <v>Valid</v>
      </c>
      <c r="K648" s="3" t="str">
        <f>IF(Finance_Data!N644&gt;=0,"Valid","Invalid")</f>
        <v>Valid</v>
      </c>
      <c r="L648" s="3" t="str">
        <f>IF(TEXT(Finance_Data!G644,"mmmm")=Finance_Data!P644,"Valid","Invalid")</f>
        <v>Valid</v>
      </c>
      <c r="M648" s="3" t="str">
        <f>IF("Q"&amp;ROUNDUP(MONTH(Finance_Data!G644)/3,0)=Finance_Data!Q644,"Valid","Invalid")</f>
        <v>Valid</v>
      </c>
      <c r="N648" s="7" t="str">
        <f t="shared" si="10"/>
        <v>Pass</v>
      </c>
    </row>
    <row r="649" spans="1:14" x14ac:dyDescent="0.35">
      <c r="A649" s="17" t="s">
        <v>68</v>
      </c>
      <c r="B649" s="3" t="str">
        <f>IF(ISBLANK(Table3[[#This Row],[Campaign_ID]]),"Invalid","Valid")</f>
        <v>Valid</v>
      </c>
      <c r="C649" s="3" t="str">
        <f>IF(COUNTA(Finance_Data!A645:R645)=18,"Valid","Missing")</f>
        <v>Valid</v>
      </c>
      <c r="D649" s="3" t="str">
        <f>IF(COUNTIF(Finance_Data!$T$2:$T$1001,Finance_Data!T645)&gt;1,"Duplicate","Valid")</f>
        <v>Valid</v>
      </c>
      <c r="E649" s="3" t="str">
        <f>IF(Finance_Data!H645&gt;Finance_Data!G645,"Valid","Invalid")</f>
        <v>Valid</v>
      </c>
      <c r="F649" s="3" t="str" cm="1">
        <f t="array" ref="F649">_xlfn.IFS(Finance_Data!S645&lt;7,"Short",Finance_Data!S645&lt;=30,"Normal",Finance_Data!S645&lt;=60,"Long",Finance_Data!S645&gt;60,"Very Long")</f>
        <v>Long</v>
      </c>
      <c r="G649" s="3" t="str">
        <f>IF(ABS(Finance_Data!I645*Finance_Data!J645)-Finance_Data!K645&lt;1,"Valid","Invalid")</f>
        <v>Valid</v>
      </c>
      <c r="H649" s="3" t="str">
        <f>IF(Finance_Data!L645&gt;0,"Valid","Invalid")</f>
        <v>Valid</v>
      </c>
      <c r="I649" s="3" t="str">
        <f>IF(Finance_Data!L645&gt;=Finance_Data!M645,"Valid","Invalid")</f>
        <v>Valid</v>
      </c>
      <c r="J649" s="3" t="str">
        <f>IF(AND(Finance_Data!I645&gt;=0,Finance_Data!K645&gt;=0),"Valid","Invalid")</f>
        <v>Valid</v>
      </c>
      <c r="K649" s="3" t="str">
        <f>IF(Finance_Data!N645&gt;=0,"Valid","Invalid")</f>
        <v>Valid</v>
      </c>
      <c r="L649" s="3" t="str">
        <f>IF(TEXT(Finance_Data!G645,"mmmm")=Finance_Data!P645,"Valid","Invalid")</f>
        <v>Valid</v>
      </c>
      <c r="M649" s="3" t="str">
        <f>IF("Q"&amp;ROUNDUP(MONTH(Finance_Data!G645)/3,0)=Finance_Data!Q645,"Valid","Invalid")</f>
        <v>Valid</v>
      </c>
      <c r="N649" s="7" t="str">
        <f t="shared" si="10"/>
        <v>Pass</v>
      </c>
    </row>
    <row r="650" spans="1:14" x14ac:dyDescent="0.35">
      <c r="A650" s="17" t="s">
        <v>84</v>
      </c>
      <c r="B650" s="3" t="str">
        <f>IF(ISBLANK(Table3[[#This Row],[Campaign_ID]]),"Invalid","Valid")</f>
        <v>Valid</v>
      </c>
      <c r="C650" s="3" t="str">
        <f>IF(COUNTA(Finance_Data!A646:R646)=18,"Valid","Missing")</f>
        <v>Valid</v>
      </c>
      <c r="D650" s="3" t="str">
        <f>IF(COUNTIF(Finance_Data!$T$2:$T$1001,Finance_Data!T646)&gt;1,"Duplicate","Valid")</f>
        <v>Valid</v>
      </c>
      <c r="E650" s="3" t="str">
        <f>IF(Finance_Data!H646&gt;Finance_Data!G646,"Valid","Invalid")</f>
        <v>Valid</v>
      </c>
      <c r="F650" s="3" t="str" cm="1">
        <f t="array" ref="F650">_xlfn.IFS(Finance_Data!S646&lt;7,"Short",Finance_Data!S646&lt;=30,"Normal",Finance_Data!S646&lt;=60,"Long",Finance_Data!S646&gt;60,"Very Long")</f>
        <v>Long</v>
      </c>
      <c r="G650" s="3" t="str">
        <f>IF(ABS(Finance_Data!I646*Finance_Data!J646)-Finance_Data!K646&lt;1,"Valid","Invalid")</f>
        <v>Valid</v>
      </c>
      <c r="H650" s="3" t="str">
        <f>IF(Finance_Data!L646&gt;0,"Valid","Invalid")</f>
        <v>Valid</v>
      </c>
      <c r="I650" s="3" t="str">
        <f>IF(Finance_Data!L646&gt;=Finance_Data!M646,"Valid","Invalid")</f>
        <v>Valid</v>
      </c>
      <c r="J650" s="3" t="str">
        <f>IF(AND(Finance_Data!I646&gt;=0,Finance_Data!K646&gt;=0),"Valid","Invalid")</f>
        <v>Valid</v>
      </c>
      <c r="K650" s="3" t="str">
        <f>IF(Finance_Data!N646&gt;=0,"Valid","Invalid")</f>
        <v>Valid</v>
      </c>
      <c r="L650" s="3" t="str">
        <f>IF(TEXT(Finance_Data!G646,"mmmm")=Finance_Data!P646,"Valid","Invalid")</f>
        <v>Valid</v>
      </c>
      <c r="M650" s="3" t="str">
        <f>IF("Q"&amp;ROUNDUP(MONTH(Finance_Data!G646)/3,0)=Finance_Data!Q646,"Valid","Invalid")</f>
        <v>Valid</v>
      </c>
      <c r="N650" s="7" t="str">
        <f t="shared" si="10"/>
        <v>Pass</v>
      </c>
    </row>
    <row r="651" spans="1:14" x14ac:dyDescent="0.35">
      <c r="A651" s="17" t="s">
        <v>47</v>
      </c>
      <c r="B651" s="3" t="str">
        <f>IF(ISBLANK(Table3[[#This Row],[Campaign_ID]]),"Invalid","Valid")</f>
        <v>Valid</v>
      </c>
      <c r="C651" s="3" t="str">
        <f>IF(COUNTA(Finance_Data!A647:R647)=18,"Valid","Missing")</f>
        <v>Valid</v>
      </c>
      <c r="D651" s="3" t="str">
        <f>IF(COUNTIF(Finance_Data!$T$2:$T$1001,Finance_Data!T647)&gt;1,"Duplicate","Valid")</f>
        <v>Valid</v>
      </c>
      <c r="E651" s="3" t="str">
        <f>IF(Finance_Data!H647&gt;Finance_Data!G647,"Valid","Invalid")</f>
        <v>Valid</v>
      </c>
      <c r="F651" s="3" t="str" cm="1">
        <f t="array" ref="F651">_xlfn.IFS(Finance_Data!S647&lt;7,"Short",Finance_Data!S647&lt;=30,"Normal",Finance_Data!S647&lt;=60,"Long",Finance_Data!S647&gt;60,"Very Long")</f>
        <v>Long</v>
      </c>
      <c r="G651" s="3" t="str">
        <f>IF(ABS(Finance_Data!I647*Finance_Data!J647)-Finance_Data!K647&lt;1,"Valid","Invalid")</f>
        <v>Valid</v>
      </c>
      <c r="H651" s="3" t="str">
        <f>IF(Finance_Data!L647&gt;0,"Valid","Invalid")</f>
        <v>Valid</v>
      </c>
      <c r="I651" s="3" t="str">
        <f>IF(Finance_Data!L647&gt;=Finance_Data!M647,"Valid","Invalid")</f>
        <v>Valid</v>
      </c>
      <c r="J651" s="3" t="str">
        <f>IF(AND(Finance_Data!I647&gt;=0,Finance_Data!K647&gt;=0),"Valid","Invalid")</f>
        <v>Valid</v>
      </c>
      <c r="K651" s="3" t="str">
        <f>IF(Finance_Data!N647&gt;=0,"Valid","Invalid")</f>
        <v>Valid</v>
      </c>
      <c r="L651" s="3" t="str">
        <f>IF(TEXT(Finance_Data!G647,"mmmm")=Finance_Data!P647,"Valid","Invalid")</f>
        <v>Valid</v>
      </c>
      <c r="M651" s="3" t="str">
        <f>IF("Q"&amp;ROUNDUP(MONTH(Finance_Data!G647)/3,0)=Finance_Data!Q647,"Valid","Invalid")</f>
        <v>Valid</v>
      </c>
      <c r="N651" s="7" t="str">
        <f t="shared" si="10"/>
        <v>Pass</v>
      </c>
    </row>
    <row r="652" spans="1:14" x14ac:dyDescent="0.35">
      <c r="A652" s="17" t="s">
        <v>115</v>
      </c>
      <c r="B652" s="3" t="str">
        <f>IF(ISBLANK(Table3[[#This Row],[Campaign_ID]]),"Invalid","Valid")</f>
        <v>Valid</v>
      </c>
      <c r="C652" s="3" t="str">
        <f>IF(COUNTA(Finance_Data!A648:R648)=18,"Valid","Missing")</f>
        <v>Valid</v>
      </c>
      <c r="D652" s="3" t="str">
        <f>IF(COUNTIF(Finance_Data!$T$2:$T$1001,Finance_Data!T648)&gt;1,"Duplicate","Valid")</f>
        <v>Valid</v>
      </c>
      <c r="E652" s="3" t="str">
        <f>IF(Finance_Data!H648&gt;Finance_Data!G648,"Valid","Invalid")</f>
        <v>Valid</v>
      </c>
      <c r="F652" s="3" t="str" cm="1">
        <f t="array" ref="F652">_xlfn.IFS(Finance_Data!S648&lt;7,"Short",Finance_Data!S648&lt;=30,"Normal",Finance_Data!S648&lt;=60,"Long",Finance_Data!S648&gt;60,"Very Long")</f>
        <v>Long</v>
      </c>
      <c r="G652" s="3" t="str">
        <f>IF(ABS(Finance_Data!I648*Finance_Data!J648)-Finance_Data!K648&lt;1,"Valid","Invalid")</f>
        <v>Valid</v>
      </c>
      <c r="H652" s="3" t="str">
        <f>IF(Finance_Data!L648&gt;0,"Valid","Invalid")</f>
        <v>Valid</v>
      </c>
      <c r="I652" s="3" t="str">
        <f>IF(Finance_Data!L648&gt;=Finance_Data!M648,"Valid","Invalid")</f>
        <v>Valid</v>
      </c>
      <c r="J652" s="3" t="str">
        <f>IF(AND(Finance_Data!I648&gt;=0,Finance_Data!K648&gt;=0),"Valid","Invalid")</f>
        <v>Valid</v>
      </c>
      <c r="K652" s="3" t="str">
        <f>IF(Finance_Data!N648&gt;=0,"Valid","Invalid")</f>
        <v>Valid</v>
      </c>
      <c r="L652" s="3" t="str">
        <f>IF(TEXT(Finance_Data!G648,"mmmm")=Finance_Data!P648,"Valid","Invalid")</f>
        <v>Valid</v>
      </c>
      <c r="M652" s="3" t="str">
        <f>IF("Q"&amp;ROUNDUP(MONTH(Finance_Data!G648)/3,0)=Finance_Data!Q648,"Valid","Invalid")</f>
        <v>Valid</v>
      </c>
      <c r="N652" s="7" t="str">
        <f t="shared" si="10"/>
        <v>Pass</v>
      </c>
    </row>
    <row r="653" spans="1:14" x14ac:dyDescent="0.35">
      <c r="A653" s="17" t="s">
        <v>87</v>
      </c>
      <c r="B653" s="3" t="str">
        <f>IF(ISBLANK(Table3[[#This Row],[Campaign_ID]]),"Invalid","Valid")</f>
        <v>Valid</v>
      </c>
      <c r="C653" s="3" t="str">
        <f>IF(COUNTA(Finance_Data!A649:R649)=18,"Valid","Missing")</f>
        <v>Valid</v>
      </c>
      <c r="D653" s="3" t="str">
        <f>IF(COUNTIF(Finance_Data!$T$2:$T$1001,Finance_Data!T649)&gt;1,"Duplicate","Valid")</f>
        <v>Valid</v>
      </c>
      <c r="E653" s="3" t="str">
        <f>IF(Finance_Data!H649&gt;Finance_Data!G649,"Valid","Invalid")</f>
        <v>Valid</v>
      </c>
      <c r="F653" s="3" t="str" cm="1">
        <f t="array" ref="F653">_xlfn.IFS(Finance_Data!S649&lt;7,"Short",Finance_Data!S649&lt;=30,"Normal",Finance_Data!S649&lt;=60,"Long",Finance_Data!S649&gt;60,"Very Long")</f>
        <v>Normal</v>
      </c>
      <c r="G653" s="3" t="str">
        <f>IF(ABS(Finance_Data!I649*Finance_Data!J649)-Finance_Data!K649&lt;1,"Valid","Invalid")</f>
        <v>Valid</v>
      </c>
      <c r="H653" s="3" t="str">
        <f>IF(Finance_Data!L649&gt;0,"Valid","Invalid")</f>
        <v>Valid</v>
      </c>
      <c r="I653" s="3" t="str">
        <f>IF(Finance_Data!L649&gt;=Finance_Data!M649,"Valid","Invalid")</f>
        <v>Valid</v>
      </c>
      <c r="J653" s="3" t="str">
        <f>IF(AND(Finance_Data!I649&gt;=0,Finance_Data!K649&gt;=0),"Valid","Invalid")</f>
        <v>Valid</v>
      </c>
      <c r="K653" s="3" t="str">
        <f>IF(Finance_Data!N649&gt;=0,"Valid","Invalid")</f>
        <v>Valid</v>
      </c>
      <c r="L653" s="3" t="str">
        <f>IF(TEXT(Finance_Data!G649,"mmmm")=Finance_Data!P649,"Valid","Invalid")</f>
        <v>Valid</v>
      </c>
      <c r="M653" s="3" t="str">
        <f>IF("Q"&amp;ROUNDUP(MONTH(Finance_Data!G649)/3,0)=Finance_Data!Q649,"Valid","Invalid")</f>
        <v>Valid</v>
      </c>
      <c r="N653" s="7" t="str">
        <f t="shared" si="10"/>
        <v>Pass</v>
      </c>
    </row>
    <row r="654" spans="1:14" x14ac:dyDescent="0.35">
      <c r="A654" s="17" t="s">
        <v>64</v>
      </c>
      <c r="B654" s="3" t="str">
        <f>IF(ISBLANK(Table3[[#This Row],[Campaign_ID]]),"Invalid","Valid")</f>
        <v>Valid</v>
      </c>
      <c r="C654" s="3" t="str">
        <f>IF(COUNTA(Finance_Data!A650:R650)=18,"Valid","Missing")</f>
        <v>Valid</v>
      </c>
      <c r="D654" s="3" t="str">
        <f>IF(COUNTIF(Finance_Data!$T$2:$T$1001,Finance_Data!T650)&gt;1,"Duplicate","Valid")</f>
        <v>Valid</v>
      </c>
      <c r="E654" s="3" t="str">
        <f>IF(Finance_Data!H650&gt;Finance_Data!G650,"Valid","Invalid")</f>
        <v>Valid</v>
      </c>
      <c r="F654" s="3" t="str" cm="1">
        <f t="array" ref="F654">_xlfn.IFS(Finance_Data!S650&lt;7,"Short",Finance_Data!S650&lt;=30,"Normal",Finance_Data!S650&lt;=60,"Long",Finance_Data!S650&gt;60,"Very Long")</f>
        <v>Long</v>
      </c>
      <c r="G654" s="3" t="str">
        <f>IF(ABS(Finance_Data!I650*Finance_Data!J650)-Finance_Data!K650&lt;1,"Valid","Invalid")</f>
        <v>Valid</v>
      </c>
      <c r="H654" s="3" t="str">
        <f>IF(Finance_Data!L650&gt;0,"Valid","Invalid")</f>
        <v>Valid</v>
      </c>
      <c r="I654" s="3" t="str">
        <f>IF(Finance_Data!L650&gt;=Finance_Data!M650,"Valid","Invalid")</f>
        <v>Valid</v>
      </c>
      <c r="J654" s="3" t="str">
        <f>IF(AND(Finance_Data!I650&gt;=0,Finance_Data!K650&gt;=0),"Valid","Invalid")</f>
        <v>Valid</v>
      </c>
      <c r="K654" s="3" t="str">
        <f>IF(Finance_Data!N650&gt;=0,"Valid","Invalid")</f>
        <v>Valid</v>
      </c>
      <c r="L654" s="3" t="str">
        <f>IF(TEXT(Finance_Data!G650,"mmmm")=Finance_Data!P650,"Valid","Invalid")</f>
        <v>Valid</v>
      </c>
      <c r="M654" s="3" t="str">
        <f>IF("Q"&amp;ROUNDUP(MONTH(Finance_Data!G650)/3,0)=Finance_Data!Q650,"Valid","Invalid")</f>
        <v>Valid</v>
      </c>
      <c r="N654" s="7" t="str">
        <f t="shared" si="10"/>
        <v>Pass</v>
      </c>
    </row>
    <row r="655" spans="1:14" x14ac:dyDescent="0.35">
      <c r="A655" s="17" t="s">
        <v>113</v>
      </c>
      <c r="B655" s="3" t="str">
        <f>IF(ISBLANK(Table3[[#This Row],[Campaign_ID]]),"Invalid","Valid")</f>
        <v>Valid</v>
      </c>
      <c r="C655" s="3" t="str">
        <f>IF(COUNTA(Finance_Data!A651:R651)=18,"Valid","Missing")</f>
        <v>Valid</v>
      </c>
      <c r="D655" s="3" t="str">
        <f>IF(COUNTIF(Finance_Data!$T$2:$T$1001,Finance_Data!T651)&gt;1,"Duplicate","Valid")</f>
        <v>Valid</v>
      </c>
      <c r="E655" s="3" t="str">
        <f>IF(Finance_Data!H651&gt;Finance_Data!G651,"Valid","Invalid")</f>
        <v>Valid</v>
      </c>
      <c r="F655" s="3" t="str" cm="1">
        <f t="array" ref="F655">_xlfn.IFS(Finance_Data!S651&lt;7,"Short",Finance_Data!S651&lt;=30,"Normal",Finance_Data!S651&lt;=60,"Long",Finance_Data!S651&gt;60,"Very Long")</f>
        <v>Normal</v>
      </c>
      <c r="G655" s="3" t="str">
        <f>IF(ABS(Finance_Data!I651*Finance_Data!J651)-Finance_Data!K651&lt;1,"Valid","Invalid")</f>
        <v>Valid</v>
      </c>
      <c r="H655" s="3" t="str">
        <f>IF(Finance_Data!L651&gt;0,"Valid","Invalid")</f>
        <v>Valid</v>
      </c>
      <c r="I655" s="3" t="str">
        <f>IF(Finance_Data!L651&gt;=Finance_Data!M651,"Valid","Invalid")</f>
        <v>Valid</v>
      </c>
      <c r="J655" s="3" t="str">
        <f>IF(AND(Finance_Data!I651&gt;=0,Finance_Data!K651&gt;=0),"Valid","Invalid")</f>
        <v>Valid</v>
      </c>
      <c r="K655" s="3" t="str">
        <f>IF(Finance_Data!N651&gt;=0,"Valid","Invalid")</f>
        <v>Valid</v>
      </c>
      <c r="L655" s="3" t="str">
        <f>IF(TEXT(Finance_Data!G651,"mmmm")=Finance_Data!P651,"Valid","Invalid")</f>
        <v>Valid</v>
      </c>
      <c r="M655" s="3" t="str">
        <f>IF("Q"&amp;ROUNDUP(MONTH(Finance_Data!G651)/3,0)=Finance_Data!Q651,"Valid","Invalid")</f>
        <v>Valid</v>
      </c>
      <c r="N655" s="7" t="str">
        <f t="shared" si="10"/>
        <v>Pass</v>
      </c>
    </row>
    <row r="656" spans="1:14" x14ac:dyDescent="0.35">
      <c r="A656" s="17" t="s">
        <v>47</v>
      </c>
      <c r="B656" s="3" t="str">
        <f>IF(ISBLANK(Table3[[#This Row],[Campaign_ID]]),"Invalid","Valid")</f>
        <v>Valid</v>
      </c>
      <c r="C656" s="3" t="str">
        <f>IF(COUNTA(Finance_Data!A652:R652)=18,"Valid","Missing")</f>
        <v>Valid</v>
      </c>
      <c r="D656" s="3" t="str">
        <f>IF(COUNTIF(Finance_Data!$T$2:$T$1001,Finance_Data!T652)&gt;1,"Duplicate","Valid")</f>
        <v>Valid</v>
      </c>
      <c r="E656" s="3" t="str">
        <f>IF(Finance_Data!H652&gt;Finance_Data!G652,"Valid","Invalid")</f>
        <v>Valid</v>
      </c>
      <c r="F656" s="3" t="str" cm="1">
        <f t="array" ref="F656">_xlfn.IFS(Finance_Data!S652&lt;7,"Short",Finance_Data!S652&lt;=30,"Normal",Finance_Data!S652&lt;=60,"Long",Finance_Data!S652&gt;60,"Very Long")</f>
        <v>Long</v>
      </c>
      <c r="G656" s="3" t="str">
        <f>IF(ABS(Finance_Data!I652*Finance_Data!J652)-Finance_Data!K652&lt;1,"Valid","Invalid")</f>
        <v>Valid</v>
      </c>
      <c r="H656" s="3" t="str">
        <f>IF(Finance_Data!L652&gt;0,"Valid","Invalid")</f>
        <v>Valid</v>
      </c>
      <c r="I656" s="3" t="str">
        <f>IF(Finance_Data!L652&gt;=Finance_Data!M652,"Valid","Invalid")</f>
        <v>Valid</v>
      </c>
      <c r="J656" s="3" t="str">
        <f>IF(AND(Finance_Data!I652&gt;=0,Finance_Data!K652&gt;=0),"Valid","Invalid")</f>
        <v>Valid</v>
      </c>
      <c r="K656" s="3" t="str">
        <f>IF(Finance_Data!N652&gt;=0,"Valid","Invalid")</f>
        <v>Valid</v>
      </c>
      <c r="L656" s="3" t="str">
        <f>IF(TEXT(Finance_Data!G652,"mmmm")=Finance_Data!P652,"Valid","Invalid")</f>
        <v>Valid</v>
      </c>
      <c r="M656" s="3" t="str">
        <f>IF("Q"&amp;ROUNDUP(MONTH(Finance_Data!G652)/3,0)=Finance_Data!Q652,"Valid","Invalid")</f>
        <v>Valid</v>
      </c>
      <c r="N656" s="7" t="str">
        <f t="shared" si="10"/>
        <v>Pass</v>
      </c>
    </row>
    <row r="657" spans="1:14" x14ac:dyDescent="0.35">
      <c r="A657" s="17" t="s">
        <v>95</v>
      </c>
      <c r="B657" s="3" t="str">
        <f>IF(ISBLANK(Table3[[#This Row],[Campaign_ID]]),"Invalid","Valid")</f>
        <v>Valid</v>
      </c>
      <c r="C657" s="3" t="str">
        <f>IF(COUNTA(Finance_Data!A653:R653)=18,"Valid","Missing")</f>
        <v>Valid</v>
      </c>
      <c r="D657" s="3" t="str">
        <f>IF(COUNTIF(Finance_Data!$T$2:$T$1001,Finance_Data!T653)&gt;1,"Duplicate","Valid")</f>
        <v>Valid</v>
      </c>
      <c r="E657" s="3" t="str">
        <f>IF(Finance_Data!H653&gt;Finance_Data!G653,"Valid","Invalid")</f>
        <v>Valid</v>
      </c>
      <c r="F657" s="3" t="str" cm="1">
        <f t="array" ref="F657">_xlfn.IFS(Finance_Data!S653&lt;7,"Short",Finance_Data!S653&lt;=30,"Normal",Finance_Data!S653&lt;=60,"Long",Finance_Data!S653&gt;60,"Very Long")</f>
        <v>Long</v>
      </c>
      <c r="G657" s="3" t="str">
        <f>IF(ABS(Finance_Data!I653*Finance_Data!J653)-Finance_Data!K653&lt;1,"Valid","Invalid")</f>
        <v>Valid</v>
      </c>
      <c r="H657" s="3" t="str">
        <f>IF(Finance_Data!L653&gt;0,"Valid","Invalid")</f>
        <v>Valid</v>
      </c>
      <c r="I657" s="3" t="str">
        <f>IF(Finance_Data!L653&gt;=Finance_Data!M653,"Valid","Invalid")</f>
        <v>Valid</v>
      </c>
      <c r="J657" s="3" t="str">
        <f>IF(AND(Finance_Data!I653&gt;=0,Finance_Data!K653&gt;=0),"Valid","Invalid")</f>
        <v>Valid</v>
      </c>
      <c r="K657" s="3" t="str">
        <f>IF(Finance_Data!N653&gt;=0,"Valid","Invalid")</f>
        <v>Valid</v>
      </c>
      <c r="L657" s="3" t="str">
        <f>IF(TEXT(Finance_Data!G653,"mmmm")=Finance_Data!P653,"Valid","Invalid")</f>
        <v>Valid</v>
      </c>
      <c r="M657" s="3" t="str">
        <f>IF("Q"&amp;ROUNDUP(MONTH(Finance_Data!G653)/3,0)=Finance_Data!Q653,"Valid","Invalid")</f>
        <v>Valid</v>
      </c>
      <c r="N657" s="7" t="str">
        <f t="shared" si="10"/>
        <v>Pass</v>
      </c>
    </row>
    <row r="658" spans="1:14" x14ac:dyDescent="0.35">
      <c r="A658" s="17" t="s">
        <v>99</v>
      </c>
      <c r="B658" s="3" t="str">
        <f>IF(ISBLANK(Table3[[#This Row],[Campaign_ID]]),"Invalid","Valid")</f>
        <v>Valid</v>
      </c>
      <c r="C658" s="3" t="str">
        <f>IF(COUNTA(Finance_Data!A654:R654)=18,"Valid","Missing")</f>
        <v>Valid</v>
      </c>
      <c r="D658" s="3" t="str">
        <f>IF(COUNTIF(Finance_Data!$T$2:$T$1001,Finance_Data!T654)&gt;1,"Duplicate","Valid")</f>
        <v>Valid</v>
      </c>
      <c r="E658" s="3" t="str">
        <f>IF(Finance_Data!H654&gt;Finance_Data!G654,"Valid","Invalid")</f>
        <v>Valid</v>
      </c>
      <c r="F658" s="3" t="str" cm="1">
        <f t="array" ref="F658">_xlfn.IFS(Finance_Data!S654&lt;7,"Short",Finance_Data!S654&lt;=30,"Normal",Finance_Data!S654&lt;=60,"Long",Finance_Data!S654&gt;60,"Very Long")</f>
        <v>Normal</v>
      </c>
      <c r="G658" s="3" t="str">
        <f>IF(ABS(Finance_Data!I654*Finance_Data!J654)-Finance_Data!K654&lt;1,"Valid","Invalid")</f>
        <v>Valid</v>
      </c>
      <c r="H658" s="3" t="str">
        <f>IF(Finance_Data!L654&gt;0,"Valid","Invalid")</f>
        <v>Valid</v>
      </c>
      <c r="I658" s="3" t="str">
        <f>IF(Finance_Data!L654&gt;=Finance_Data!M654,"Valid","Invalid")</f>
        <v>Valid</v>
      </c>
      <c r="J658" s="3" t="str">
        <f>IF(AND(Finance_Data!I654&gt;=0,Finance_Data!K654&gt;=0),"Valid","Invalid")</f>
        <v>Valid</v>
      </c>
      <c r="K658" s="3" t="str">
        <f>IF(Finance_Data!N654&gt;=0,"Valid","Invalid")</f>
        <v>Valid</v>
      </c>
      <c r="L658" s="3" t="str">
        <f>IF(TEXT(Finance_Data!G654,"mmmm")=Finance_Data!P654,"Valid","Invalid")</f>
        <v>Valid</v>
      </c>
      <c r="M658" s="3" t="str">
        <f>IF("Q"&amp;ROUNDUP(MONTH(Finance_Data!G654)/3,0)=Finance_Data!Q654,"Valid","Invalid")</f>
        <v>Valid</v>
      </c>
      <c r="N658" s="7" t="str">
        <f t="shared" si="10"/>
        <v>Pass</v>
      </c>
    </row>
    <row r="659" spans="1:14" x14ac:dyDescent="0.35">
      <c r="A659" s="17" t="s">
        <v>75</v>
      </c>
      <c r="B659" s="3" t="str">
        <f>IF(ISBLANK(Table3[[#This Row],[Campaign_ID]]),"Invalid","Valid")</f>
        <v>Valid</v>
      </c>
      <c r="C659" s="3" t="str">
        <f>IF(COUNTA(Finance_Data!A655:R655)=18,"Valid","Missing")</f>
        <v>Valid</v>
      </c>
      <c r="D659" s="3" t="str">
        <f>IF(COUNTIF(Finance_Data!$T$2:$T$1001,Finance_Data!T655)&gt;1,"Duplicate","Valid")</f>
        <v>Valid</v>
      </c>
      <c r="E659" s="3" t="str">
        <f>IF(Finance_Data!H655&gt;Finance_Data!G655,"Valid","Invalid")</f>
        <v>Valid</v>
      </c>
      <c r="F659" s="3" t="str" cm="1">
        <f t="array" ref="F659">_xlfn.IFS(Finance_Data!S655&lt;7,"Short",Finance_Data!S655&lt;=30,"Normal",Finance_Data!S655&lt;=60,"Long",Finance_Data!S655&gt;60,"Very Long")</f>
        <v>Long</v>
      </c>
      <c r="G659" s="3" t="str">
        <f>IF(ABS(Finance_Data!I655*Finance_Data!J655)-Finance_Data!K655&lt;1,"Valid","Invalid")</f>
        <v>Valid</v>
      </c>
      <c r="H659" s="3" t="str">
        <f>IF(Finance_Data!L655&gt;0,"Valid","Invalid")</f>
        <v>Valid</v>
      </c>
      <c r="I659" s="3" t="str">
        <f>IF(Finance_Data!L655&gt;=Finance_Data!M655,"Valid","Invalid")</f>
        <v>Valid</v>
      </c>
      <c r="J659" s="3" t="str">
        <f>IF(AND(Finance_Data!I655&gt;=0,Finance_Data!K655&gt;=0),"Valid","Invalid")</f>
        <v>Valid</v>
      </c>
      <c r="K659" s="3" t="str">
        <f>IF(Finance_Data!N655&gt;=0,"Valid","Invalid")</f>
        <v>Valid</v>
      </c>
      <c r="L659" s="3" t="str">
        <f>IF(TEXT(Finance_Data!G655,"mmmm")=Finance_Data!P655,"Valid","Invalid")</f>
        <v>Valid</v>
      </c>
      <c r="M659" s="3" t="str">
        <f>IF("Q"&amp;ROUNDUP(MONTH(Finance_Data!G655)/3,0)=Finance_Data!Q655,"Valid","Invalid")</f>
        <v>Valid</v>
      </c>
      <c r="N659" s="7" t="str">
        <f t="shared" si="10"/>
        <v>Pass</v>
      </c>
    </row>
    <row r="660" spans="1:14" x14ac:dyDescent="0.35">
      <c r="A660" s="17" t="s">
        <v>81</v>
      </c>
      <c r="B660" s="3" t="str">
        <f>IF(ISBLANK(Table3[[#This Row],[Campaign_ID]]),"Invalid","Valid")</f>
        <v>Valid</v>
      </c>
      <c r="C660" s="3" t="str">
        <f>IF(COUNTA(Finance_Data!A656:R656)=18,"Valid","Missing")</f>
        <v>Valid</v>
      </c>
      <c r="D660" s="3" t="str">
        <f>IF(COUNTIF(Finance_Data!$T$2:$T$1001,Finance_Data!T656)&gt;1,"Duplicate","Valid")</f>
        <v>Valid</v>
      </c>
      <c r="E660" s="3" t="str">
        <f>IF(Finance_Data!H656&gt;Finance_Data!G656,"Valid","Invalid")</f>
        <v>Valid</v>
      </c>
      <c r="F660" s="3" t="str" cm="1">
        <f t="array" ref="F660">_xlfn.IFS(Finance_Data!S656&lt;7,"Short",Finance_Data!S656&lt;=30,"Normal",Finance_Data!S656&lt;=60,"Long",Finance_Data!S656&gt;60,"Very Long")</f>
        <v>Normal</v>
      </c>
      <c r="G660" s="3" t="str">
        <f>IF(ABS(Finance_Data!I656*Finance_Data!J656)-Finance_Data!K656&lt;1,"Valid","Invalid")</f>
        <v>Valid</v>
      </c>
      <c r="H660" s="3" t="str">
        <f>IF(Finance_Data!L656&gt;0,"Valid","Invalid")</f>
        <v>Valid</v>
      </c>
      <c r="I660" s="3" t="str">
        <f>IF(Finance_Data!L656&gt;=Finance_Data!M656,"Valid","Invalid")</f>
        <v>Valid</v>
      </c>
      <c r="J660" s="3" t="str">
        <f>IF(AND(Finance_Data!I656&gt;=0,Finance_Data!K656&gt;=0),"Valid","Invalid")</f>
        <v>Valid</v>
      </c>
      <c r="K660" s="3" t="str">
        <f>IF(Finance_Data!N656&gt;=0,"Valid","Invalid")</f>
        <v>Valid</v>
      </c>
      <c r="L660" s="3" t="str">
        <f>IF(TEXT(Finance_Data!G656,"mmmm")=Finance_Data!P656,"Valid","Invalid")</f>
        <v>Valid</v>
      </c>
      <c r="M660" s="3" t="str">
        <f>IF("Q"&amp;ROUNDUP(MONTH(Finance_Data!G656)/3,0)=Finance_Data!Q656,"Valid","Invalid")</f>
        <v>Valid</v>
      </c>
      <c r="N660" s="7" t="str">
        <f t="shared" si="10"/>
        <v>Pass</v>
      </c>
    </row>
    <row r="661" spans="1:14" x14ac:dyDescent="0.35">
      <c r="A661" s="17" t="s">
        <v>102</v>
      </c>
      <c r="B661" s="3" t="str">
        <f>IF(ISBLANK(Table3[[#This Row],[Campaign_ID]]),"Invalid","Valid")</f>
        <v>Valid</v>
      </c>
      <c r="C661" s="3" t="str">
        <f>IF(COUNTA(Finance_Data!A657:R657)=18,"Valid","Missing")</f>
        <v>Valid</v>
      </c>
      <c r="D661" s="3" t="str">
        <f>IF(COUNTIF(Finance_Data!$T$2:$T$1001,Finance_Data!T657)&gt;1,"Duplicate","Valid")</f>
        <v>Valid</v>
      </c>
      <c r="E661" s="3" t="str">
        <f>IF(Finance_Data!H657&gt;Finance_Data!G657,"Valid","Invalid")</f>
        <v>Valid</v>
      </c>
      <c r="F661" s="3" t="str" cm="1">
        <f t="array" ref="F661">_xlfn.IFS(Finance_Data!S657&lt;7,"Short",Finance_Data!S657&lt;=30,"Normal",Finance_Data!S657&lt;=60,"Long",Finance_Data!S657&gt;60,"Very Long")</f>
        <v>Long</v>
      </c>
      <c r="G661" s="3" t="str">
        <f>IF(ABS(Finance_Data!I657*Finance_Data!J657)-Finance_Data!K657&lt;1,"Valid","Invalid")</f>
        <v>Valid</v>
      </c>
      <c r="H661" s="3" t="str">
        <f>IF(Finance_Data!L657&gt;0,"Valid","Invalid")</f>
        <v>Valid</v>
      </c>
      <c r="I661" s="3" t="str">
        <f>IF(Finance_Data!L657&gt;=Finance_Data!M657,"Valid","Invalid")</f>
        <v>Valid</v>
      </c>
      <c r="J661" s="3" t="str">
        <f>IF(AND(Finance_Data!I657&gt;=0,Finance_Data!K657&gt;=0),"Valid","Invalid")</f>
        <v>Valid</v>
      </c>
      <c r="K661" s="3" t="str">
        <f>IF(Finance_Data!N657&gt;=0,"Valid","Invalid")</f>
        <v>Valid</v>
      </c>
      <c r="L661" s="3" t="str">
        <f>IF(TEXT(Finance_Data!G657,"mmmm")=Finance_Data!P657,"Valid","Invalid")</f>
        <v>Valid</v>
      </c>
      <c r="M661" s="3" t="str">
        <f>IF("Q"&amp;ROUNDUP(MONTH(Finance_Data!G657)/3,0)=Finance_Data!Q657,"Valid","Invalid")</f>
        <v>Valid</v>
      </c>
      <c r="N661" s="7" t="str">
        <f t="shared" si="10"/>
        <v>Pass</v>
      </c>
    </row>
    <row r="662" spans="1:14" x14ac:dyDescent="0.35">
      <c r="A662" s="17" t="s">
        <v>34</v>
      </c>
      <c r="B662" s="3" t="str">
        <f>IF(ISBLANK(Table3[[#This Row],[Campaign_ID]]),"Invalid","Valid")</f>
        <v>Valid</v>
      </c>
      <c r="C662" s="3" t="str">
        <f>IF(COUNTA(Finance_Data!A658:R658)=18,"Valid","Missing")</f>
        <v>Valid</v>
      </c>
      <c r="D662" s="3" t="str">
        <f>IF(COUNTIF(Finance_Data!$T$2:$T$1001,Finance_Data!T658)&gt;1,"Duplicate","Valid")</f>
        <v>Valid</v>
      </c>
      <c r="E662" s="3" t="str">
        <f>IF(Finance_Data!H658&gt;Finance_Data!G658,"Valid","Invalid")</f>
        <v>Valid</v>
      </c>
      <c r="F662" s="3" t="str" cm="1">
        <f t="array" ref="F662">_xlfn.IFS(Finance_Data!S658&lt;7,"Short",Finance_Data!S658&lt;=30,"Normal",Finance_Data!S658&lt;=60,"Long",Finance_Data!S658&gt;60,"Very Long")</f>
        <v>Long</v>
      </c>
      <c r="G662" s="3" t="str">
        <f>IF(ABS(Finance_Data!I658*Finance_Data!J658)-Finance_Data!K658&lt;1,"Valid","Invalid")</f>
        <v>Valid</v>
      </c>
      <c r="H662" s="3" t="str">
        <f>IF(Finance_Data!L658&gt;0,"Valid","Invalid")</f>
        <v>Valid</v>
      </c>
      <c r="I662" s="3" t="str">
        <f>IF(Finance_Data!L658&gt;=Finance_Data!M658,"Valid","Invalid")</f>
        <v>Valid</v>
      </c>
      <c r="J662" s="3" t="str">
        <f>IF(AND(Finance_Data!I658&gt;=0,Finance_Data!K658&gt;=0),"Valid","Invalid")</f>
        <v>Valid</v>
      </c>
      <c r="K662" s="3" t="str">
        <f>IF(Finance_Data!N658&gt;=0,"Valid","Invalid")</f>
        <v>Valid</v>
      </c>
      <c r="L662" s="3" t="str">
        <f>IF(TEXT(Finance_Data!G658,"mmmm")=Finance_Data!P658,"Valid","Invalid")</f>
        <v>Valid</v>
      </c>
      <c r="M662" s="3" t="str">
        <f>IF("Q"&amp;ROUNDUP(MONTH(Finance_Data!G658)/3,0)=Finance_Data!Q658,"Valid","Invalid")</f>
        <v>Valid</v>
      </c>
      <c r="N662" s="7" t="str">
        <f t="shared" si="10"/>
        <v>Pass</v>
      </c>
    </row>
    <row r="663" spans="1:14" x14ac:dyDescent="0.35">
      <c r="A663" s="17" t="s">
        <v>91</v>
      </c>
      <c r="B663" s="3" t="str">
        <f>IF(ISBLANK(Table3[[#This Row],[Campaign_ID]]),"Invalid","Valid")</f>
        <v>Valid</v>
      </c>
      <c r="C663" s="3" t="str">
        <f>IF(COUNTA(Finance_Data!A659:R659)=18,"Valid","Missing")</f>
        <v>Valid</v>
      </c>
      <c r="D663" s="3" t="str">
        <f>IF(COUNTIF(Finance_Data!$T$2:$T$1001,Finance_Data!T659)&gt;1,"Duplicate","Valid")</f>
        <v>Valid</v>
      </c>
      <c r="E663" s="3" t="str">
        <f>IF(Finance_Data!H659&gt;Finance_Data!G659,"Valid","Invalid")</f>
        <v>Valid</v>
      </c>
      <c r="F663" s="3" t="str" cm="1">
        <f t="array" ref="F663">_xlfn.IFS(Finance_Data!S659&lt;7,"Short",Finance_Data!S659&lt;=30,"Normal",Finance_Data!S659&lt;=60,"Long",Finance_Data!S659&gt;60,"Very Long")</f>
        <v>Normal</v>
      </c>
      <c r="G663" s="3" t="str">
        <f>IF(ABS(Finance_Data!I659*Finance_Data!J659)-Finance_Data!K659&lt;1,"Valid","Invalid")</f>
        <v>Valid</v>
      </c>
      <c r="H663" s="3" t="str">
        <f>IF(Finance_Data!L659&gt;0,"Valid","Invalid")</f>
        <v>Valid</v>
      </c>
      <c r="I663" s="3" t="str">
        <f>IF(Finance_Data!L659&gt;=Finance_Data!M659,"Valid","Invalid")</f>
        <v>Valid</v>
      </c>
      <c r="J663" s="3" t="str">
        <f>IF(AND(Finance_Data!I659&gt;=0,Finance_Data!K659&gt;=0),"Valid","Invalid")</f>
        <v>Valid</v>
      </c>
      <c r="K663" s="3" t="str">
        <f>IF(Finance_Data!N659&gt;=0,"Valid","Invalid")</f>
        <v>Valid</v>
      </c>
      <c r="L663" s="3" t="str">
        <f>IF(TEXT(Finance_Data!G659,"mmmm")=Finance_Data!P659,"Valid","Invalid")</f>
        <v>Valid</v>
      </c>
      <c r="M663" s="3" t="str">
        <f>IF("Q"&amp;ROUNDUP(MONTH(Finance_Data!G659)/3,0)=Finance_Data!Q659,"Valid","Invalid")</f>
        <v>Valid</v>
      </c>
      <c r="N663" s="7" t="str">
        <f t="shared" si="10"/>
        <v>Pass</v>
      </c>
    </row>
    <row r="664" spans="1:14" x14ac:dyDescent="0.35">
      <c r="A664" s="17" t="s">
        <v>75</v>
      </c>
      <c r="B664" s="3" t="str">
        <f>IF(ISBLANK(Table3[[#This Row],[Campaign_ID]]),"Invalid","Valid")</f>
        <v>Valid</v>
      </c>
      <c r="C664" s="3" t="str">
        <f>IF(COUNTA(Finance_Data!A660:R660)=18,"Valid","Missing")</f>
        <v>Valid</v>
      </c>
      <c r="D664" s="3" t="str">
        <f>IF(COUNTIF(Finance_Data!$T$2:$T$1001,Finance_Data!T660)&gt;1,"Duplicate","Valid")</f>
        <v>Valid</v>
      </c>
      <c r="E664" s="3" t="str">
        <f>IF(Finance_Data!H660&gt;Finance_Data!G660,"Valid","Invalid")</f>
        <v>Valid</v>
      </c>
      <c r="F664" s="3" t="str" cm="1">
        <f t="array" ref="F664">_xlfn.IFS(Finance_Data!S660&lt;7,"Short",Finance_Data!S660&lt;=30,"Normal",Finance_Data!S660&lt;=60,"Long",Finance_Data!S660&gt;60,"Very Long")</f>
        <v>Normal</v>
      </c>
      <c r="G664" s="3" t="str">
        <f>IF(ABS(Finance_Data!I660*Finance_Data!J660)-Finance_Data!K660&lt;1,"Valid","Invalid")</f>
        <v>Valid</v>
      </c>
      <c r="H664" s="3" t="str">
        <f>IF(Finance_Data!L660&gt;0,"Valid","Invalid")</f>
        <v>Valid</v>
      </c>
      <c r="I664" s="3" t="str">
        <f>IF(Finance_Data!L660&gt;=Finance_Data!M660,"Valid","Invalid")</f>
        <v>Valid</v>
      </c>
      <c r="J664" s="3" t="str">
        <f>IF(AND(Finance_Data!I660&gt;=0,Finance_Data!K660&gt;=0),"Valid","Invalid")</f>
        <v>Valid</v>
      </c>
      <c r="K664" s="3" t="str">
        <f>IF(Finance_Data!N660&gt;=0,"Valid","Invalid")</f>
        <v>Valid</v>
      </c>
      <c r="L664" s="3" t="str">
        <f>IF(TEXT(Finance_Data!G660,"mmmm")=Finance_Data!P660,"Valid","Invalid")</f>
        <v>Valid</v>
      </c>
      <c r="M664" s="3" t="str">
        <f>IF("Q"&amp;ROUNDUP(MONTH(Finance_Data!G660)/3,0)=Finance_Data!Q660,"Valid","Invalid")</f>
        <v>Valid</v>
      </c>
      <c r="N664" s="7" t="str">
        <f t="shared" si="10"/>
        <v>Pass</v>
      </c>
    </row>
    <row r="665" spans="1:14" x14ac:dyDescent="0.35">
      <c r="A665" s="17" t="s">
        <v>119</v>
      </c>
      <c r="B665" s="3" t="str">
        <f>IF(ISBLANK(Table3[[#This Row],[Campaign_ID]]),"Invalid","Valid")</f>
        <v>Valid</v>
      </c>
      <c r="C665" s="3" t="str">
        <f>IF(COUNTA(Finance_Data!A661:R661)=18,"Valid","Missing")</f>
        <v>Valid</v>
      </c>
      <c r="D665" s="3" t="str">
        <f>IF(COUNTIF(Finance_Data!$T$2:$T$1001,Finance_Data!T661)&gt;1,"Duplicate","Valid")</f>
        <v>Valid</v>
      </c>
      <c r="E665" s="3" t="str">
        <f>IF(Finance_Data!H661&gt;Finance_Data!G661,"Valid","Invalid")</f>
        <v>Valid</v>
      </c>
      <c r="F665" s="3" t="str" cm="1">
        <f t="array" ref="F665">_xlfn.IFS(Finance_Data!S661&lt;7,"Short",Finance_Data!S661&lt;=30,"Normal",Finance_Data!S661&lt;=60,"Long",Finance_Data!S661&gt;60,"Very Long")</f>
        <v>Long</v>
      </c>
      <c r="G665" s="3" t="str">
        <f>IF(ABS(Finance_Data!I661*Finance_Data!J661)-Finance_Data!K661&lt;1,"Valid","Invalid")</f>
        <v>Valid</v>
      </c>
      <c r="H665" s="3" t="str">
        <f>IF(Finance_Data!L661&gt;0,"Valid","Invalid")</f>
        <v>Valid</v>
      </c>
      <c r="I665" s="3" t="str">
        <f>IF(Finance_Data!L661&gt;=Finance_Data!M661,"Valid","Invalid")</f>
        <v>Valid</v>
      </c>
      <c r="J665" s="3" t="str">
        <f>IF(AND(Finance_Data!I661&gt;=0,Finance_Data!K661&gt;=0),"Valid","Invalid")</f>
        <v>Valid</v>
      </c>
      <c r="K665" s="3" t="str">
        <f>IF(Finance_Data!N661&gt;=0,"Valid","Invalid")</f>
        <v>Valid</v>
      </c>
      <c r="L665" s="3" t="str">
        <f>IF(TEXT(Finance_Data!G661,"mmmm")=Finance_Data!P661,"Valid","Invalid")</f>
        <v>Valid</v>
      </c>
      <c r="M665" s="3" t="str">
        <f>IF("Q"&amp;ROUNDUP(MONTH(Finance_Data!G661)/3,0)=Finance_Data!Q661,"Valid","Invalid")</f>
        <v>Valid</v>
      </c>
      <c r="N665" s="7" t="str">
        <f t="shared" si="10"/>
        <v>Pass</v>
      </c>
    </row>
    <row r="666" spans="1:14" x14ac:dyDescent="0.35">
      <c r="A666" s="17" t="s">
        <v>112</v>
      </c>
      <c r="B666" s="3" t="str">
        <f>IF(ISBLANK(Table3[[#This Row],[Campaign_ID]]),"Invalid","Valid")</f>
        <v>Valid</v>
      </c>
      <c r="C666" s="3" t="str">
        <f>IF(COUNTA(Finance_Data!A662:R662)=18,"Valid","Missing")</f>
        <v>Valid</v>
      </c>
      <c r="D666" s="3" t="str">
        <f>IF(COUNTIF(Finance_Data!$T$2:$T$1001,Finance_Data!T662)&gt;1,"Duplicate","Valid")</f>
        <v>Valid</v>
      </c>
      <c r="E666" s="3" t="str">
        <f>IF(Finance_Data!H662&gt;Finance_Data!G662,"Valid","Invalid")</f>
        <v>Valid</v>
      </c>
      <c r="F666" s="3" t="str" cm="1">
        <f t="array" ref="F666">_xlfn.IFS(Finance_Data!S662&lt;7,"Short",Finance_Data!S662&lt;=30,"Normal",Finance_Data!S662&lt;=60,"Long",Finance_Data!S662&gt;60,"Very Long")</f>
        <v>Long</v>
      </c>
      <c r="G666" s="3" t="str">
        <f>IF(ABS(Finance_Data!I662*Finance_Data!J662)-Finance_Data!K662&lt;1,"Valid","Invalid")</f>
        <v>Valid</v>
      </c>
      <c r="H666" s="3" t="str">
        <f>IF(Finance_Data!L662&gt;0,"Valid","Invalid")</f>
        <v>Valid</v>
      </c>
      <c r="I666" s="3" t="str">
        <f>IF(Finance_Data!L662&gt;=Finance_Data!M662,"Valid","Invalid")</f>
        <v>Valid</v>
      </c>
      <c r="J666" s="3" t="str">
        <f>IF(AND(Finance_Data!I662&gt;=0,Finance_Data!K662&gt;=0),"Valid","Invalid")</f>
        <v>Valid</v>
      </c>
      <c r="K666" s="3" t="str">
        <f>IF(Finance_Data!N662&gt;=0,"Valid","Invalid")</f>
        <v>Valid</v>
      </c>
      <c r="L666" s="3" t="str">
        <f>IF(TEXT(Finance_Data!G662,"mmmm")=Finance_Data!P662,"Valid","Invalid")</f>
        <v>Valid</v>
      </c>
      <c r="M666" s="3" t="str">
        <f>IF("Q"&amp;ROUNDUP(MONTH(Finance_Data!G662)/3,0)=Finance_Data!Q662,"Valid","Invalid")</f>
        <v>Valid</v>
      </c>
      <c r="N666" s="7" t="str">
        <f t="shared" si="10"/>
        <v>Pass</v>
      </c>
    </row>
    <row r="667" spans="1:14" x14ac:dyDescent="0.35">
      <c r="A667" s="17" t="s">
        <v>102</v>
      </c>
      <c r="B667" s="3" t="str">
        <f>IF(ISBLANK(Table3[[#This Row],[Campaign_ID]]),"Invalid","Valid")</f>
        <v>Valid</v>
      </c>
      <c r="C667" s="3" t="str">
        <f>IF(COUNTA(Finance_Data!A663:R663)=18,"Valid","Missing")</f>
        <v>Valid</v>
      </c>
      <c r="D667" s="3" t="str">
        <f>IF(COUNTIF(Finance_Data!$T$2:$T$1001,Finance_Data!T663)&gt;1,"Duplicate","Valid")</f>
        <v>Valid</v>
      </c>
      <c r="E667" s="3" t="str">
        <f>IF(Finance_Data!H663&gt;Finance_Data!G663,"Valid","Invalid")</f>
        <v>Valid</v>
      </c>
      <c r="F667" s="3" t="str" cm="1">
        <f t="array" ref="F667">_xlfn.IFS(Finance_Data!S663&lt;7,"Short",Finance_Data!S663&lt;=30,"Normal",Finance_Data!S663&lt;=60,"Long",Finance_Data!S663&gt;60,"Very Long")</f>
        <v>Long</v>
      </c>
      <c r="G667" s="3" t="str">
        <f>IF(ABS(Finance_Data!I663*Finance_Data!J663)-Finance_Data!K663&lt;1,"Valid","Invalid")</f>
        <v>Valid</v>
      </c>
      <c r="H667" s="3" t="str">
        <f>IF(Finance_Data!L663&gt;0,"Valid","Invalid")</f>
        <v>Valid</v>
      </c>
      <c r="I667" s="3" t="str">
        <f>IF(Finance_Data!L663&gt;=Finance_Data!M663,"Valid","Invalid")</f>
        <v>Valid</v>
      </c>
      <c r="J667" s="3" t="str">
        <f>IF(AND(Finance_Data!I663&gt;=0,Finance_Data!K663&gt;=0),"Valid","Invalid")</f>
        <v>Valid</v>
      </c>
      <c r="K667" s="3" t="str">
        <f>IF(Finance_Data!N663&gt;=0,"Valid","Invalid")</f>
        <v>Valid</v>
      </c>
      <c r="L667" s="3" t="str">
        <f>IF(TEXT(Finance_Data!G663,"mmmm")=Finance_Data!P663,"Valid","Invalid")</f>
        <v>Valid</v>
      </c>
      <c r="M667" s="3" t="str">
        <f>IF("Q"&amp;ROUNDUP(MONTH(Finance_Data!G663)/3,0)=Finance_Data!Q663,"Valid","Invalid")</f>
        <v>Valid</v>
      </c>
      <c r="N667" s="7" t="str">
        <f t="shared" si="10"/>
        <v>Pass</v>
      </c>
    </row>
    <row r="668" spans="1:14" x14ac:dyDescent="0.35">
      <c r="A668" s="17" t="s">
        <v>87</v>
      </c>
      <c r="B668" s="3" t="str">
        <f>IF(ISBLANK(Table3[[#This Row],[Campaign_ID]]),"Invalid","Valid")</f>
        <v>Valid</v>
      </c>
      <c r="C668" s="3" t="str">
        <f>IF(COUNTA(Finance_Data!A664:R664)=18,"Valid","Missing")</f>
        <v>Valid</v>
      </c>
      <c r="D668" s="3" t="str">
        <f>IF(COUNTIF(Finance_Data!$T$2:$T$1001,Finance_Data!T664)&gt;1,"Duplicate","Valid")</f>
        <v>Valid</v>
      </c>
      <c r="E668" s="3" t="str">
        <f>IF(Finance_Data!H664&gt;Finance_Data!G664,"Valid","Invalid")</f>
        <v>Valid</v>
      </c>
      <c r="F668" s="3" t="str" cm="1">
        <f t="array" ref="F668">_xlfn.IFS(Finance_Data!S664&lt;7,"Short",Finance_Data!S664&lt;=30,"Normal",Finance_Data!S664&lt;=60,"Long",Finance_Data!S664&gt;60,"Very Long")</f>
        <v>Long</v>
      </c>
      <c r="G668" s="3" t="str">
        <f>IF(ABS(Finance_Data!I664*Finance_Data!J664)-Finance_Data!K664&lt;1,"Valid","Invalid")</f>
        <v>Valid</v>
      </c>
      <c r="H668" s="3" t="str">
        <f>IF(Finance_Data!L664&gt;0,"Valid","Invalid")</f>
        <v>Valid</v>
      </c>
      <c r="I668" s="3" t="str">
        <f>IF(Finance_Data!L664&gt;=Finance_Data!M664,"Valid","Invalid")</f>
        <v>Valid</v>
      </c>
      <c r="J668" s="3" t="str">
        <f>IF(AND(Finance_Data!I664&gt;=0,Finance_Data!K664&gt;=0),"Valid","Invalid")</f>
        <v>Valid</v>
      </c>
      <c r="K668" s="3" t="str">
        <f>IF(Finance_Data!N664&gt;=0,"Valid","Invalid")</f>
        <v>Valid</v>
      </c>
      <c r="L668" s="3" t="str">
        <f>IF(TEXT(Finance_Data!G664,"mmmm")=Finance_Data!P664,"Valid","Invalid")</f>
        <v>Valid</v>
      </c>
      <c r="M668" s="3" t="str">
        <f>IF("Q"&amp;ROUNDUP(MONTH(Finance_Data!G664)/3,0)=Finance_Data!Q664,"Valid","Invalid")</f>
        <v>Valid</v>
      </c>
      <c r="N668" s="7" t="str">
        <f t="shared" si="10"/>
        <v>Pass</v>
      </c>
    </row>
    <row r="669" spans="1:14" x14ac:dyDescent="0.35">
      <c r="A669" s="17" t="s">
        <v>116</v>
      </c>
      <c r="B669" s="3" t="str">
        <f>IF(ISBLANK(Table3[[#This Row],[Campaign_ID]]),"Invalid","Valid")</f>
        <v>Valid</v>
      </c>
      <c r="C669" s="3" t="str">
        <f>IF(COUNTA(Finance_Data!A665:R665)=18,"Valid","Missing")</f>
        <v>Valid</v>
      </c>
      <c r="D669" s="3" t="str">
        <f>IF(COUNTIF(Finance_Data!$T$2:$T$1001,Finance_Data!T665)&gt;1,"Duplicate","Valid")</f>
        <v>Valid</v>
      </c>
      <c r="E669" s="3" t="str">
        <f>IF(Finance_Data!H665&gt;Finance_Data!G665,"Valid","Invalid")</f>
        <v>Valid</v>
      </c>
      <c r="F669" s="3" t="str" cm="1">
        <f t="array" ref="F669">_xlfn.IFS(Finance_Data!S665&lt;7,"Short",Finance_Data!S665&lt;=30,"Normal",Finance_Data!S665&lt;=60,"Long",Finance_Data!S665&gt;60,"Very Long")</f>
        <v>Long</v>
      </c>
      <c r="G669" s="3" t="str">
        <f>IF(ABS(Finance_Data!I665*Finance_Data!J665)-Finance_Data!K665&lt;1,"Valid","Invalid")</f>
        <v>Valid</v>
      </c>
      <c r="H669" s="3" t="str">
        <f>IF(Finance_Data!L665&gt;0,"Valid","Invalid")</f>
        <v>Valid</v>
      </c>
      <c r="I669" s="3" t="str">
        <f>IF(Finance_Data!L665&gt;=Finance_Data!M665,"Valid","Invalid")</f>
        <v>Valid</v>
      </c>
      <c r="J669" s="3" t="str">
        <f>IF(AND(Finance_Data!I665&gt;=0,Finance_Data!K665&gt;=0),"Valid","Invalid")</f>
        <v>Valid</v>
      </c>
      <c r="K669" s="3" t="str">
        <f>IF(Finance_Data!N665&gt;=0,"Valid","Invalid")</f>
        <v>Valid</v>
      </c>
      <c r="L669" s="3" t="str">
        <f>IF(TEXT(Finance_Data!G665,"mmmm")=Finance_Data!P665,"Valid","Invalid")</f>
        <v>Valid</v>
      </c>
      <c r="M669" s="3" t="str">
        <f>IF("Q"&amp;ROUNDUP(MONTH(Finance_Data!G665)/3,0)=Finance_Data!Q665,"Valid","Invalid")</f>
        <v>Valid</v>
      </c>
      <c r="N669" s="7" t="str">
        <f t="shared" si="10"/>
        <v>Pass</v>
      </c>
    </row>
    <row r="670" spans="1:14" x14ac:dyDescent="0.35">
      <c r="A670" s="17" t="s">
        <v>100</v>
      </c>
      <c r="B670" s="3" t="str">
        <f>IF(ISBLANK(Table3[[#This Row],[Campaign_ID]]),"Invalid","Valid")</f>
        <v>Valid</v>
      </c>
      <c r="C670" s="3" t="str">
        <f>IF(COUNTA(Finance_Data!A666:R666)=18,"Valid","Missing")</f>
        <v>Valid</v>
      </c>
      <c r="D670" s="3" t="str">
        <f>IF(COUNTIF(Finance_Data!$T$2:$T$1001,Finance_Data!T666)&gt;1,"Duplicate","Valid")</f>
        <v>Valid</v>
      </c>
      <c r="E670" s="3" t="str">
        <f>IF(Finance_Data!H666&gt;Finance_Data!G666,"Valid","Invalid")</f>
        <v>Valid</v>
      </c>
      <c r="F670" s="3" t="str" cm="1">
        <f t="array" ref="F670">_xlfn.IFS(Finance_Data!S666&lt;7,"Short",Finance_Data!S666&lt;=30,"Normal",Finance_Data!S666&lt;=60,"Long",Finance_Data!S666&gt;60,"Very Long")</f>
        <v>Normal</v>
      </c>
      <c r="G670" s="3" t="str">
        <f>IF(ABS(Finance_Data!I666*Finance_Data!J666)-Finance_Data!K666&lt;1,"Valid","Invalid")</f>
        <v>Valid</v>
      </c>
      <c r="H670" s="3" t="str">
        <f>IF(Finance_Data!L666&gt;0,"Valid","Invalid")</f>
        <v>Valid</v>
      </c>
      <c r="I670" s="3" t="str">
        <f>IF(Finance_Data!L666&gt;=Finance_Data!M666,"Valid","Invalid")</f>
        <v>Valid</v>
      </c>
      <c r="J670" s="3" t="str">
        <f>IF(AND(Finance_Data!I666&gt;=0,Finance_Data!K666&gt;=0),"Valid","Invalid")</f>
        <v>Valid</v>
      </c>
      <c r="K670" s="3" t="str">
        <f>IF(Finance_Data!N666&gt;=0,"Valid","Invalid")</f>
        <v>Valid</v>
      </c>
      <c r="L670" s="3" t="str">
        <f>IF(TEXT(Finance_Data!G666,"mmmm")=Finance_Data!P666,"Valid","Invalid")</f>
        <v>Valid</v>
      </c>
      <c r="M670" s="3" t="str">
        <f>IF("Q"&amp;ROUNDUP(MONTH(Finance_Data!G666)/3,0)=Finance_Data!Q666,"Valid","Invalid")</f>
        <v>Valid</v>
      </c>
      <c r="N670" s="7" t="str">
        <f t="shared" si="10"/>
        <v>Pass</v>
      </c>
    </row>
    <row r="671" spans="1:14" x14ac:dyDescent="0.35">
      <c r="A671" s="17" t="s">
        <v>112</v>
      </c>
      <c r="B671" s="3" t="str">
        <f>IF(ISBLANK(Table3[[#This Row],[Campaign_ID]]),"Invalid","Valid")</f>
        <v>Valid</v>
      </c>
      <c r="C671" s="3" t="str">
        <f>IF(COUNTA(Finance_Data!A667:R667)=18,"Valid","Missing")</f>
        <v>Valid</v>
      </c>
      <c r="D671" s="3" t="str">
        <f>IF(COUNTIF(Finance_Data!$T$2:$T$1001,Finance_Data!T667)&gt;1,"Duplicate","Valid")</f>
        <v>Valid</v>
      </c>
      <c r="E671" s="3" t="str">
        <f>IF(Finance_Data!H667&gt;Finance_Data!G667,"Valid","Invalid")</f>
        <v>Valid</v>
      </c>
      <c r="F671" s="3" t="str" cm="1">
        <f t="array" ref="F671">_xlfn.IFS(Finance_Data!S667&lt;7,"Short",Finance_Data!S667&lt;=30,"Normal",Finance_Data!S667&lt;=60,"Long",Finance_Data!S667&gt;60,"Very Long")</f>
        <v>Long</v>
      </c>
      <c r="G671" s="3" t="str">
        <f>IF(ABS(Finance_Data!I667*Finance_Data!J667)-Finance_Data!K667&lt;1,"Valid","Invalid")</f>
        <v>Valid</v>
      </c>
      <c r="H671" s="3" t="str">
        <f>IF(Finance_Data!L667&gt;0,"Valid","Invalid")</f>
        <v>Valid</v>
      </c>
      <c r="I671" s="3" t="str">
        <f>IF(Finance_Data!L667&gt;=Finance_Data!M667,"Valid","Invalid")</f>
        <v>Valid</v>
      </c>
      <c r="J671" s="3" t="str">
        <f>IF(AND(Finance_Data!I667&gt;=0,Finance_Data!K667&gt;=0),"Valid","Invalid")</f>
        <v>Valid</v>
      </c>
      <c r="K671" s="3" t="str">
        <f>IF(Finance_Data!N667&gt;=0,"Valid","Invalid")</f>
        <v>Valid</v>
      </c>
      <c r="L671" s="3" t="str">
        <f>IF(TEXT(Finance_Data!G667,"mmmm")=Finance_Data!P667,"Valid","Invalid")</f>
        <v>Valid</v>
      </c>
      <c r="M671" s="3" t="str">
        <f>IF("Q"&amp;ROUNDUP(MONTH(Finance_Data!G667)/3,0)=Finance_Data!Q667,"Valid","Invalid")</f>
        <v>Valid</v>
      </c>
      <c r="N671" s="7" t="str">
        <f t="shared" si="10"/>
        <v>Pass</v>
      </c>
    </row>
    <row r="672" spans="1:14" x14ac:dyDescent="0.35">
      <c r="A672" s="17" t="s">
        <v>116</v>
      </c>
      <c r="B672" s="3" t="str">
        <f>IF(ISBLANK(Table3[[#This Row],[Campaign_ID]]),"Invalid","Valid")</f>
        <v>Valid</v>
      </c>
      <c r="C672" s="3" t="str">
        <f>IF(COUNTA(Finance_Data!A668:R668)=18,"Valid","Missing")</f>
        <v>Valid</v>
      </c>
      <c r="D672" s="3" t="str">
        <f>IF(COUNTIF(Finance_Data!$T$2:$T$1001,Finance_Data!T668)&gt;1,"Duplicate","Valid")</f>
        <v>Valid</v>
      </c>
      <c r="E672" s="3" t="str">
        <f>IF(Finance_Data!H668&gt;Finance_Data!G668,"Valid","Invalid")</f>
        <v>Valid</v>
      </c>
      <c r="F672" s="3" t="str" cm="1">
        <f t="array" ref="F672">_xlfn.IFS(Finance_Data!S668&lt;7,"Short",Finance_Data!S668&lt;=30,"Normal",Finance_Data!S668&lt;=60,"Long",Finance_Data!S668&gt;60,"Very Long")</f>
        <v>Long</v>
      </c>
      <c r="G672" s="3" t="str">
        <f>IF(ABS(Finance_Data!I668*Finance_Data!J668)-Finance_Data!K668&lt;1,"Valid","Invalid")</f>
        <v>Valid</v>
      </c>
      <c r="H672" s="3" t="str">
        <f>IF(Finance_Data!L668&gt;0,"Valid","Invalid")</f>
        <v>Valid</v>
      </c>
      <c r="I672" s="3" t="str">
        <f>IF(Finance_Data!L668&gt;=Finance_Data!M668,"Valid","Invalid")</f>
        <v>Valid</v>
      </c>
      <c r="J672" s="3" t="str">
        <f>IF(AND(Finance_Data!I668&gt;=0,Finance_Data!K668&gt;=0),"Valid","Invalid")</f>
        <v>Valid</v>
      </c>
      <c r="K672" s="3" t="str">
        <f>IF(Finance_Data!N668&gt;=0,"Valid","Invalid")</f>
        <v>Valid</v>
      </c>
      <c r="L672" s="3" t="str">
        <f>IF(TEXT(Finance_Data!G668,"mmmm")=Finance_Data!P668,"Valid","Invalid")</f>
        <v>Valid</v>
      </c>
      <c r="M672" s="3" t="str">
        <f>IF("Q"&amp;ROUNDUP(MONTH(Finance_Data!G668)/3,0)=Finance_Data!Q668,"Valid","Invalid")</f>
        <v>Valid</v>
      </c>
      <c r="N672" s="7" t="str">
        <f t="shared" si="10"/>
        <v>Pass</v>
      </c>
    </row>
    <row r="673" spans="1:14" x14ac:dyDescent="0.35">
      <c r="A673" s="17" t="s">
        <v>106</v>
      </c>
      <c r="B673" s="3" t="str">
        <f>IF(ISBLANK(Table3[[#This Row],[Campaign_ID]]),"Invalid","Valid")</f>
        <v>Valid</v>
      </c>
      <c r="C673" s="3" t="str">
        <f>IF(COUNTA(Finance_Data!A669:R669)=18,"Valid","Missing")</f>
        <v>Valid</v>
      </c>
      <c r="D673" s="3" t="str">
        <f>IF(COUNTIF(Finance_Data!$T$2:$T$1001,Finance_Data!T669)&gt;1,"Duplicate","Valid")</f>
        <v>Valid</v>
      </c>
      <c r="E673" s="3" t="str">
        <f>IF(Finance_Data!H669&gt;Finance_Data!G669,"Valid","Invalid")</f>
        <v>Valid</v>
      </c>
      <c r="F673" s="3" t="str" cm="1">
        <f t="array" ref="F673">_xlfn.IFS(Finance_Data!S669&lt;7,"Short",Finance_Data!S669&lt;=30,"Normal",Finance_Data!S669&lt;=60,"Long",Finance_Data!S669&gt;60,"Very Long")</f>
        <v>Normal</v>
      </c>
      <c r="G673" s="3" t="str">
        <f>IF(ABS(Finance_Data!I669*Finance_Data!J669)-Finance_Data!K669&lt;1,"Valid","Invalid")</f>
        <v>Valid</v>
      </c>
      <c r="H673" s="3" t="str">
        <f>IF(Finance_Data!L669&gt;0,"Valid","Invalid")</f>
        <v>Valid</v>
      </c>
      <c r="I673" s="3" t="str">
        <f>IF(Finance_Data!L669&gt;=Finance_Data!M669,"Valid","Invalid")</f>
        <v>Valid</v>
      </c>
      <c r="J673" s="3" t="str">
        <f>IF(AND(Finance_Data!I669&gt;=0,Finance_Data!K669&gt;=0),"Valid","Invalid")</f>
        <v>Valid</v>
      </c>
      <c r="K673" s="3" t="str">
        <f>IF(Finance_Data!N669&gt;=0,"Valid","Invalid")</f>
        <v>Valid</v>
      </c>
      <c r="L673" s="3" t="str">
        <f>IF(TEXT(Finance_Data!G669,"mmmm")=Finance_Data!P669,"Valid","Invalid")</f>
        <v>Valid</v>
      </c>
      <c r="M673" s="3" t="str">
        <f>IF("Q"&amp;ROUNDUP(MONTH(Finance_Data!G669)/3,0)=Finance_Data!Q669,"Valid","Invalid")</f>
        <v>Valid</v>
      </c>
      <c r="N673" s="7" t="str">
        <f t="shared" si="10"/>
        <v>Pass</v>
      </c>
    </row>
    <row r="674" spans="1:14" x14ac:dyDescent="0.35">
      <c r="A674" s="17" t="s">
        <v>57</v>
      </c>
      <c r="B674" s="3" t="str">
        <f>IF(ISBLANK(Table3[[#This Row],[Campaign_ID]]),"Invalid","Valid")</f>
        <v>Valid</v>
      </c>
      <c r="C674" s="3" t="str">
        <f>IF(COUNTA(Finance_Data!A670:R670)=18,"Valid","Missing")</f>
        <v>Valid</v>
      </c>
      <c r="D674" s="3" t="str">
        <f>IF(COUNTIF(Finance_Data!$T$2:$T$1001,Finance_Data!T670)&gt;1,"Duplicate","Valid")</f>
        <v>Valid</v>
      </c>
      <c r="E674" s="3" t="str">
        <f>IF(Finance_Data!H670&gt;Finance_Data!G670,"Valid","Invalid")</f>
        <v>Valid</v>
      </c>
      <c r="F674" s="3" t="str" cm="1">
        <f t="array" ref="F674">_xlfn.IFS(Finance_Data!S670&lt;7,"Short",Finance_Data!S670&lt;=30,"Normal",Finance_Data!S670&lt;=60,"Long",Finance_Data!S670&gt;60,"Very Long")</f>
        <v>Normal</v>
      </c>
      <c r="G674" s="3" t="str">
        <f>IF(ABS(Finance_Data!I670*Finance_Data!J670)-Finance_Data!K670&lt;1,"Valid","Invalid")</f>
        <v>Valid</v>
      </c>
      <c r="H674" s="3" t="str">
        <f>IF(Finance_Data!L670&gt;0,"Valid","Invalid")</f>
        <v>Valid</v>
      </c>
      <c r="I674" s="3" t="str">
        <f>IF(Finance_Data!L670&gt;=Finance_Data!M670,"Valid","Invalid")</f>
        <v>Valid</v>
      </c>
      <c r="J674" s="3" t="str">
        <f>IF(AND(Finance_Data!I670&gt;=0,Finance_Data!K670&gt;=0),"Valid","Invalid")</f>
        <v>Valid</v>
      </c>
      <c r="K674" s="3" t="str">
        <f>IF(Finance_Data!N670&gt;=0,"Valid","Invalid")</f>
        <v>Valid</v>
      </c>
      <c r="L674" s="3" t="str">
        <f>IF(TEXT(Finance_Data!G670,"mmmm")=Finance_Data!P670,"Valid","Invalid")</f>
        <v>Valid</v>
      </c>
      <c r="M674" s="3" t="str">
        <f>IF("Q"&amp;ROUNDUP(MONTH(Finance_Data!G670)/3,0)=Finance_Data!Q670,"Valid","Invalid")</f>
        <v>Valid</v>
      </c>
      <c r="N674" s="7" t="str">
        <f t="shared" si="10"/>
        <v>Pass</v>
      </c>
    </row>
    <row r="675" spans="1:14" x14ac:dyDescent="0.35">
      <c r="A675" s="17" t="s">
        <v>47</v>
      </c>
      <c r="B675" s="3" t="str">
        <f>IF(ISBLANK(Table3[[#This Row],[Campaign_ID]]),"Invalid","Valid")</f>
        <v>Valid</v>
      </c>
      <c r="C675" s="3" t="str">
        <f>IF(COUNTA(Finance_Data!A671:R671)=18,"Valid","Missing")</f>
        <v>Valid</v>
      </c>
      <c r="D675" s="3" t="str">
        <f>IF(COUNTIF(Finance_Data!$T$2:$T$1001,Finance_Data!T671)&gt;1,"Duplicate","Valid")</f>
        <v>Valid</v>
      </c>
      <c r="E675" s="3" t="str">
        <f>IF(Finance_Data!H671&gt;Finance_Data!G671,"Valid","Invalid")</f>
        <v>Valid</v>
      </c>
      <c r="F675" s="3" t="str" cm="1">
        <f t="array" ref="F675">_xlfn.IFS(Finance_Data!S671&lt;7,"Short",Finance_Data!S671&lt;=30,"Normal",Finance_Data!S671&lt;=60,"Long",Finance_Data!S671&gt;60,"Very Long")</f>
        <v>Short</v>
      </c>
      <c r="G675" s="3" t="str">
        <f>IF(ABS(Finance_Data!I671*Finance_Data!J671)-Finance_Data!K671&lt;1,"Valid","Invalid")</f>
        <v>Valid</v>
      </c>
      <c r="H675" s="3" t="str">
        <f>IF(Finance_Data!L671&gt;0,"Valid","Invalid")</f>
        <v>Valid</v>
      </c>
      <c r="I675" s="3" t="str">
        <f>IF(Finance_Data!L671&gt;=Finance_Data!M671,"Valid","Invalid")</f>
        <v>Valid</v>
      </c>
      <c r="J675" s="3" t="str">
        <f>IF(AND(Finance_Data!I671&gt;=0,Finance_Data!K671&gt;=0),"Valid","Invalid")</f>
        <v>Valid</v>
      </c>
      <c r="K675" s="3" t="str">
        <f>IF(Finance_Data!N671&gt;=0,"Valid","Invalid")</f>
        <v>Valid</v>
      </c>
      <c r="L675" s="3" t="str">
        <f>IF(TEXT(Finance_Data!G671,"mmmm")=Finance_Data!P671,"Valid","Invalid")</f>
        <v>Valid</v>
      </c>
      <c r="M675" s="3" t="str">
        <f>IF("Q"&amp;ROUNDUP(MONTH(Finance_Data!G671)/3,0)=Finance_Data!Q671,"Valid","Invalid")</f>
        <v>Valid</v>
      </c>
      <c r="N675" s="7" t="str">
        <f t="shared" si="10"/>
        <v>Pass</v>
      </c>
    </row>
    <row r="676" spans="1:14" x14ac:dyDescent="0.35">
      <c r="A676" s="17" t="s">
        <v>82</v>
      </c>
      <c r="B676" s="3" t="str">
        <f>IF(ISBLANK(Table3[[#This Row],[Campaign_ID]]),"Invalid","Valid")</f>
        <v>Valid</v>
      </c>
      <c r="C676" s="3" t="str">
        <f>IF(COUNTA(Finance_Data!A672:R672)=18,"Valid","Missing")</f>
        <v>Valid</v>
      </c>
      <c r="D676" s="3" t="str">
        <f>IF(COUNTIF(Finance_Data!$T$2:$T$1001,Finance_Data!T672)&gt;1,"Duplicate","Valid")</f>
        <v>Valid</v>
      </c>
      <c r="E676" s="3" t="str">
        <f>IF(Finance_Data!H672&gt;Finance_Data!G672,"Valid","Invalid")</f>
        <v>Valid</v>
      </c>
      <c r="F676" s="3" t="str" cm="1">
        <f t="array" ref="F676">_xlfn.IFS(Finance_Data!S672&lt;7,"Short",Finance_Data!S672&lt;=30,"Normal",Finance_Data!S672&lt;=60,"Long",Finance_Data!S672&gt;60,"Very Long")</f>
        <v>Long</v>
      </c>
      <c r="G676" s="3" t="str">
        <f>IF(ABS(Finance_Data!I672*Finance_Data!J672)-Finance_Data!K672&lt;1,"Valid","Invalid")</f>
        <v>Valid</v>
      </c>
      <c r="H676" s="3" t="str">
        <f>IF(Finance_Data!L672&gt;0,"Valid","Invalid")</f>
        <v>Valid</v>
      </c>
      <c r="I676" s="3" t="str">
        <f>IF(Finance_Data!L672&gt;=Finance_Data!M672,"Valid","Invalid")</f>
        <v>Valid</v>
      </c>
      <c r="J676" s="3" t="str">
        <f>IF(AND(Finance_Data!I672&gt;=0,Finance_Data!K672&gt;=0),"Valid","Invalid")</f>
        <v>Valid</v>
      </c>
      <c r="K676" s="3" t="str">
        <f>IF(Finance_Data!N672&gt;=0,"Valid","Invalid")</f>
        <v>Valid</v>
      </c>
      <c r="L676" s="3" t="str">
        <f>IF(TEXT(Finance_Data!G672,"mmmm")=Finance_Data!P672,"Valid","Invalid")</f>
        <v>Valid</v>
      </c>
      <c r="M676" s="3" t="str">
        <f>IF("Q"&amp;ROUNDUP(MONTH(Finance_Data!G672)/3,0)=Finance_Data!Q672,"Valid","Invalid")</f>
        <v>Valid</v>
      </c>
      <c r="N676" s="7" t="str">
        <f t="shared" si="10"/>
        <v>Pass</v>
      </c>
    </row>
    <row r="677" spans="1:14" x14ac:dyDescent="0.35">
      <c r="A677" s="17" t="s">
        <v>120</v>
      </c>
      <c r="B677" s="3" t="str">
        <f>IF(ISBLANK(Table3[[#This Row],[Campaign_ID]]),"Invalid","Valid")</f>
        <v>Valid</v>
      </c>
      <c r="C677" s="3" t="str">
        <f>IF(COUNTA(Finance_Data!A673:R673)=18,"Valid","Missing")</f>
        <v>Valid</v>
      </c>
      <c r="D677" s="3" t="str">
        <f>IF(COUNTIF(Finance_Data!$T$2:$T$1001,Finance_Data!T673)&gt;1,"Duplicate","Valid")</f>
        <v>Valid</v>
      </c>
      <c r="E677" s="3" t="str">
        <f>IF(Finance_Data!H673&gt;Finance_Data!G673,"Valid","Invalid")</f>
        <v>Valid</v>
      </c>
      <c r="F677" s="3" t="str" cm="1">
        <f t="array" ref="F677">_xlfn.IFS(Finance_Data!S673&lt;7,"Short",Finance_Data!S673&lt;=30,"Normal",Finance_Data!S673&lt;=60,"Long",Finance_Data!S673&gt;60,"Very Long")</f>
        <v>Long</v>
      </c>
      <c r="G677" s="3" t="str">
        <f>IF(ABS(Finance_Data!I673*Finance_Data!J673)-Finance_Data!K673&lt;1,"Valid","Invalid")</f>
        <v>Valid</v>
      </c>
      <c r="H677" s="3" t="str">
        <f>IF(Finance_Data!L673&gt;0,"Valid","Invalid")</f>
        <v>Valid</v>
      </c>
      <c r="I677" s="3" t="str">
        <f>IF(Finance_Data!L673&gt;=Finance_Data!M673,"Valid","Invalid")</f>
        <v>Valid</v>
      </c>
      <c r="J677" s="3" t="str">
        <f>IF(AND(Finance_Data!I673&gt;=0,Finance_Data!K673&gt;=0),"Valid","Invalid")</f>
        <v>Valid</v>
      </c>
      <c r="K677" s="3" t="str">
        <f>IF(Finance_Data!N673&gt;=0,"Valid","Invalid")</f>
        <v>Valid</v>
      </c>
      <c r="L677" s="3" t="str">
        <f>IF(TEXT(Finance_Data!G673,"mmmm")=Finance_Data!P673,"Valid","Invalid")</f>
        <v>Valid</v>
      </c>
      <c r="M677" s="3" t="str">
        <f>IF("Q"&amp;ROUNDUP(MONTH(Finance_Data!G673)/3,0)=Finance_Data!Q673,"Valid","Invalid")</f>
        <v>Valid</v>
      </c>
      <c r="N677" s="7" t="str">
        <f t="shared" si="10"/>
        <v>Pass</v>
      </c>
    </row>
    <row r="678" spans="1:14" x14ac:dyDescent="0.35">
      <c r="A678" s="17" t="s">
        <v>89</v>
      </c>
      <c r="B678" s="3" t="str">
        <f>IF(ISBLANK(Table3[[#This Row],[Campaign_ID]]),"Invalid","Valid")</f>
        <v>Valid</v>
      </c>
      <c r="C678" s="3" t="str">
        <f>IF(COUNTA(Finance_Data!A674:R674)=18,"Valid","Missing")</f>
        <v>Valid</v>
      </c>
      <c r="D678" s="3" t="str">
        <f>IF(COUNTIF(Finance_Data!$T$2:$T$1001,Finance_Data!T674)&gt;1,"Duplicate","Valid")</f>
        <v>Valid</v>
      </c>
      <c r="E678" s="3" t="str">
        <f>IF(Finance_Data!H674&gt;Finance_Data!G674,"Valid","Invalid")</f>
        <v>Valid</v>
      </c>
      <c r="F678" s="3" t="str" cm="1">
        <f t="array" ref="F678">_xlfn.IFS(Finance_Data!S674&lt;7,"Short",Finance_Data!S674&lt;=30,"Normal",Finance_Data!S674&lt;=60,"Long",Finance_Data!S674&gt;60,"Very Long")</f>
        <v>Normal</v>
      </c>
      <c r="G678" s="3" t="str">
        <f>IF(ABS(Finance_Data!I674*Finance_Data!J674)-Finance_Data!K674&lt;1,"Valid","Invalid")</f>
        <v>Valid</v>
      </c>
      <c r="H678" s="3" t="str">
        <f>IF(Finance_Data!L674&gt;0,"Valid","Invalid")</f>
        <v>Valid</v>
      </c>
      <c r="I678" s="3" t="str">
        <f>IF(Finance_Data!L674&gt;=Finance_Data!M674,"Valid","Invalid")</f>
        <v>Valid</v>
      </c>
      <c r="J678" s="3" t="str">
        <f>IF(AND(Finance_Data!I674&gt;=0,Finance_Data!K674&gt;=0),"Valid","Invalid")</f>
        <v>Valid</v>
      </c>
      <c r="K678" s="3" t="str">
        <f>IF(Finance_Data!N674&gt;=0,"Valid","Invalid")</f>
        <v>Valid</v>
      </c>
      <c r="L678" s="3" t="str">
        <f>IF(TEXT(Finance_Data!G674,"mmmm")=Finance_Data!P674,"Valid","Invalid")</f>
        <v>Valid</v>
      </c>
      <c r="M678" s="3" t="str">
        <f>IF("Q"&amp;ROUNDUP(MONTH(Finance_Data!G674)/3,0)=Finance_Data!Q674,"Valid","Invalid")</f>
        <v>Valid</v>
      </c>
      <c r="N678" s="7" t="str">
        <f t="shared" si="10"/>
        <v>Pass</v>
      </c>
    </row>
    <row r="679" spans="1:14" x14ac:dyDescent="0.35">
      <c r="A679" s="17" t="s">
        <v>47</v>
      </c>
      <c r="B679" s="3" t="str">
        <f>IF(ISBLANK(Table3[[#This Row],[Campaign_ID]]),"Invalid","Valid")</f>
        <v>Valid</v>
      </c>
      <c r="C679" s="3" t="str">
        <f>IF(COUNTA(Finance_Data!A675:R675)=18,"Valid","Missing")</f>
        <v>Valid</v>
      </c>
      <c r="D679" s="3" t="str">
        <f>IF(COUNTIF(Finance_Data!$T$2:$T$1001,Finance_Data!T675)&gt;1,"Duplicate","Valid")</f>
        <v>Valid</v>
      </c>
      <c r="E679" s="3" t="str">
        <f>IF(Finance_Data!H675&gt;Finance_Data!G675,"Valid","Invalid")</f>
        <v>Valid</v>
      </c>
      <c r="F679" s="3" t="str" cm="1">
        <f t="array" ref="F679">_xlfn.IFS(Finance_Data!S675&lt;7,"Short",Finance_Data!S675&lt;=30,"Normal",Finance_Data!S675&lt;=60,"Long",Finance_Data!S675&gt;60,"Very Long")</f>
        <v>Normal</v>
      </c>
      <c r="G679" s="3" t="str">
        <f>IF(ABS(Finance_Data!I675*Finance_Data!J675)-Finance_Data!K675&lt;1,"Valid","Invalid")</f>
        <v>Valid</v>
      </c>
      <c r="H679" s="3" t="str">
        <f>IF(Finance_Data!L675&gt;0,"Valid","Invalid")</f>
        <v>Valid</v>
      </c>
      <c r="I679" s="3" t="str">
        <f>IF(Finance_Data!L675&gt;=Finance_Data!M675,"Valid","Invalid")</f>
        <v>Valid</v>
      </c>
      <c r="J679" s="3" t="str">
        <f>IF(AND(Finance_Data!I675&gt;=0,Finance_Data!K675&gt;=0),"Valid","Invalid")</f>
        <v>Valid</v>
      </c>
      <c r="K679" s="3" t="str">
        <f>IF(Finance_Data!N675&gt;=0,"Valid","Invalid")</f>
        <v>Valid</v>
      </c>
      <c r="L679" s="3" t="str">
        <f>IF(TEXT(Finance_Data!G675,"mmmm")=Finance_Data!P675,"Valid","Invalid")</f>
        <v>Valid</v>
      </c>
      <c r="M679" s="3" t="str">
        <f>IF("Q"&amp;ROUNDUP(MONTH(Finance_Data!G675)/3,0)=Finance_Data!Q675,"Valid","Invalid")</f>
        <v>Valid</v>
      </c>
      <c r="N679" s="7" t="str">
        <f t="shared" si="10"/>
        <v>Pass</v>
      </c>
    </row>
    <row r="680" spans="1:14" x14ac:dyDescent="0.35">
      <c r="A680" s="17" t="s">
        <v>99</v>
      </c>
      <c r="B680" s="3" t="str">
        <f>IF(ISBLANK(Table3[[#This Row],[Campaign_ID]]),"Invalid","Valid")</f>
        <v>Valid</v>
      </c>
      <c r="C680" s="3" t="str">
        <f>IF(COUNTA(Finance_Data!A676:R676)=18,"Valid","Missing")</f>
        <v>Valid</v>
      </c>
      <c r="D680" s="3" t="str">
        <f>IF(COUNTIF(Finance_Data!$T$2:$T$1001,Finance_Data!T676)&gt;1,"Duplicate","Valid")</f>
        <v>Valid</v>
      </c>
      <c r="E680" s="3" t="str">
        <f>IF(Finance_Data!H676&gt;Finance_Data!G676,"Valid","Invalid")</f>
        <v>Valid</v>
      </c>
      <c r="F680" s="3" t="str" cm="1">
        <f t="array" ref="F680">_xlfn.IFS(Finance_Data!S676&lt;7,"Short",Finance_Data!S676&lt;=30,"Normal",Finance_Data!S676&lt;=60,"Long",Finance_Data!S676&gt;60,"Very Long")</f>
        <v>Long</v>
      </c>
      <c r="G680" s="3" t="str">
        <f>IF(ABS(Finance_Data!I676*Finance_Data!J676)-Finance_Data!K676&lt;1,"Valid","Invalid")</f>
        <v>Valid</v>
      </c>
      <c r="H680" s="3" t="str">
        <f>IF(Finance_Data!L676&gt;0,"Valid","Invalid")</f>
        <v>Valid</v>
      </c>
      <c r="I680" s="3" t="str">
        <f>IF(Finance_Data!L676&gt;=Finance_Data!M676,"Valid","Invalid")</f>
        <v>Valid</v>
      </c>
      <c r="J680" s="3" t="str">
        <f>IF(AND(Finance_Data!I676&gt;=0,Finance_Data!K676&gt;=0),"Valid","Invalid")</f>
        <v>Valid</v>
      </c>
      <c r="K680" s="3" t="str">
        <f>IF(Finance_Data!N676&gt;=0,"Valid","Invalid")</f>
        <v>Valid</v>
      </c>
      <c r="L680" s="3" t="str">
        <f>IF(TEXT(Finance_Data!G676,"mmmm")=Finance_Data!P676,"Valid","Invalid")</f>
        <v>Valid</v>
      </c>
      <c r="M680" s="3" t="str">
        <f>IF("Q"&amp;ROUNDUP(MONTH(Finance_Data!G676)/3,0)=Finance_Data!Q676,"Valid","Invalid")</f>
        <v>Valid</v>
      </c>
      <c r="N680" s="7" t="str">
        <f t="shared" si="10"/>
        <v>Pass</v>
      </c>
    </row>
    <row r="681" spans="1:14" x14ac:dyDescent="0.35">
      <c r="A681" s="17" t="s">
        <v>111</v>
      </c>
      <c r="B681" s="3" t="str">
        <f>IF(ISBLANK(Table3[[#This Row],[Campaign_ID]]),"Invalid","Valid")</f>
        <v>Valid</v>
      </c>
      <c r="C681" s="3" t="str">
        <f>IF(COUNTA(Finance_Data!A677:R677)=18,"Valid","Missing")</f>
        <v>Valid</v>
      </c>
      <c r="D681" s="3" t="str">
        <f>IF(COUNTIF(Finance_Data!$T$2:$T$1001,Finance_Data!T677)&gt;1,"Duplicate","Valid")</f>
        <v>Valid</v>
      </c>
      <c r="E681" s="3" t="str">
        <f>IF(Finance_Data!H677&gt;Finance_Data!G677,"Valid","Invalid")</f>
        <v>Valid</v>
      </c>
      <c r="F681" s="3" t="str" cm="1">
        <f t="array" ref="F681">_xlfn.IFS(Finance_Data!S677&lt;7,"Short",Finance_Data!S677&lt;=30,"Normal",Finance_Data!S677&lt;=60,"Long",Finance_Data!S677&gt;60,"Very Long")</f>
        <v>Long</v>
      </c>
      <c r="G681" s="3" t="str">
        <f>IF(ABS(Finance_Data!I677*Finance_Data!J677)-Finance_Data!K677&lt;1,"Valid","Invalid")</f>
        <v>Valid</v>
      </c>
      <c r="H681" s="3" t="str">
        <f>IF(Finance_Data!L677&gt;0,"Valid","Invalid")</f>
        <v>Valid</v>
      </c>
      <c r="I681" s="3" t="str">
        <f>IF(Finance_Data!L677&gt;=Finance_Data!M677,"Valid","Invalid")</f>
        <v>Valid</v>
      </c>
      <c r="J681" s="3" t="str">
        <f>IF(AND(Finance_Data!I677&gt;=0,Finance_Data!K677&gt;=0),"Valid","Invalid")</f>
        <v>Valid</v>
      </c>
      <c r="K681" s="3" t="str">
        <f>IF(Finance_Data!N677&gt;=0,"Valid","Invalid")</f>
        <v>Valid</v>
      </c>
      <c r="L681" s="3" t="str">
        <f>IF(TEXT(Finance_Data!G677,"mmmm")=Finance_Data!P677,"Valid","Invalid")</f>
        <v>Valid</v>
      </c>
      <c r="M681" s="3" t="str">
        <f>IF("Q"&amp;ROUNDUP(MONTH(Finance_Data!G677)/3,0)=Finance_Data!Q677,"Valid","Invalid")</f>
        <v>Valid</v>
      </c>
      <c r="N681" s="7" t="str">
        <f t="shared" si="10"/>
        <v>Pass</v>
      </c>
    </row>
    <row r="682" spans="1:14" x14ac:dyDescent="0.35">
      <c r="A682" s="17" t="s">
        <v>103</v>
      </c>
      <c r="B682" s="3" t="str">
        <f>IF(ISBLANK(Table3[[#This Row],[Campaign_ID]]),"Invalid","Valid")</f>
        <v>Valid</v>
      </c>
      <c r="C682" s="3" t="str">
        <f>IF(COUNTA(Finance_Data!A678:R678)=18,"Valid","Missing")</f>
        <v>Valid</v>
      </c>
      <c r="D682" s="3" t="str">
        <f>IF(COUNTIF(Finance_Data!$T$2:$T$1001,Finance_Data!T678)&gt;1,"Duplicate","Valid")</f>
        <v>Valid</v>
      </c>
      <c r="E682" s="3" t="str">
        <f>IF(Finance_Data!H678&gt;Finance_Data!G678,"Valid","Invalid")</f>
        <v>Valid</v>
      </c>
      <c r="F682" s="3" t="str" cm="1">
        <f t="array" ref="F682">_xlfn.IFS(Finance_Data!S678&lt;7,"Short",Finance_Data!S678&lt;=30,"Normal",Finance_Data!S678&lt;=60,"Long",Finance_Data!S678&gt;60,"Very Long")</f>
        <v>Normal</v>
      </c>
      <c r="G682" s="3" t="str">
        <f>IF(ABS(Finance_Data!I678*Finance_Data!J678)-Finance_Data!K678&lt;1,"Valid","Invalid")</f>
        <v>Valid</v>
      </c>
      <c r="H682" s="3" t="str">
        <f>IF(Finance_Data!L678&gt;0,"Valid","Invalid")</f>
        <v>Valid</v>
      </c>
      <c r="I682" s="3" t="str">
        <f>IF(Finance_Data!L678&gt;=Finance_Data!M678,"Valid","Invalid")</f>
        <v>Valid</v>
      </c>
      <c r="J682" s="3" t="str">
        <f>IF(AND(Finance_Data!I678&gt;=0,Finance_Data!K678&gt;=0),"Valid","Invalid")</f>
        <v>Valid</v>
      </c>
      <c r="K682" s="3" t="str">
        <f>IF(Finance_Data!N678&gt;=0,"Valid","Invalid")</f>
        <v>Valid</v>
      </c>
      <c r="L682" s="3" t="str">
        <f>IF(TEXT(Finance_Data!G678,"mmmm")=Finance_Data!P678,"Valid","Invalid")</f>
        <v>Valid</v>
      </c>
      <c r="M682" s="3" t="str">
        <f>IF("Q"&amp;ROUNDUP(MONTH(Finance_Data!G678)/3,0)=Finance_Data!Q678,"Valid","Invalid")</f>
        <v>Valid</v>
      </c>
      <c r="N682" s="7" t="str">
        <f t="shared" si="10"/>
        <v>Pass</v>
      </c>
    </row>
    <row r="683" spans="1:14" x14ac:dyDescent="0.35">
      <c r="A683" s="17" t="s">
        <v>116</v>
      </c>
      <c r="B683" s="3" t="str">
        <f>IF(ISBLANK(Table3[[#This Row],[Campaign_ID]]),"Invalid","Valid")</f>
        <v>Valid</v>
      </c>
      <c r="C683" s="3" t="str">
        <f>IF(COUNTA(Finance_Data!A679:R679)=18,"Valid","Missing")</f>
        <v>Valid</v>
      </c>
      <c r="D683" s="3" t="str">
        <f>IF(COUNTIF(Finance_Data!$T$2:$T$1001,Finance_Data!T679)&gt;1,"Duplicate","Valid")</f>
        <v>Valid</v>
      </c>
      <c r="E683" s="3" t="str">
        <f>IF(Finance_Data!H679&gt;Finance_Data!G679,"Valid","Invalid")</f>
        <v>Valid</v>
      </c>
      <c r="F683" s="3" t="str" cm="1">
        <f t="array" ref="F683">_xlfn.IFS(Finance_Data!S679&lt;7,"Short",Finance_Data!S679&lt;=30,"Normal",Finance_Data!S679&lt;=60,"Long",Finance_Data!S679&gt;60,"Very Long")</f>
        <v>Long</v>
      </c>
      <c r="G683" s="3" t="str">
        <f>IF(ABS(Finance_Data!I679*Finance_Data!J679)-Finance_Data!K679&lt;1,"Valid","Invalid")</f>
        <v>Valid</v>
      </c>
      <c r="H683" s="3" t="str">
        <f>IF(Finance_Data!L679&gt;0,"Valid","Invalid")</f>
        <v>Valid</v>
      </c>
      <c r="I683" s="3" t="str">
        <f>IF(Finance_Data!L679&gt;=Finance_Data!M679,"Valid","Invalid")</f>
        <v>Valid</v>
      </c>
      <c r="J683" s="3" t="str">
        <f>IF(AND(Finance_Data!I679&gt;=0,Finance_Data!K679&gt;=0),"Valid","Invalid")</f>
        <v>Valid</v>
      </c>
      <c r="K683" s="3" t="str">
        <f>IF(Finance_Data!N679&gt;=0,"Valid","Invalid")</f>
        <v>Valid</v>
      </c>
      <c r="L683" s="3" t="str">
        <f>IF(TEXT(Finance_Data!G679,"mmmm")=Finance_Data!P679,"Valid","Invalid")</f>
        <v>Valid</v>
      </c>
      <c r="M683" s="3" t="str">
        <f>IF("Q"&amp;ROUNDUP(MONTH(Finance_Data!G679)/3,0)=Finance_Data!Q679,"Valid","Invalid")</f>
        <v>Valid</v>
      </c>
      <c r="N683" s="7" t="str">
        <f t="shared" si="10"/>
        <v>Pass</v>
      </c>
    </row>
    <row r="684" spans="1:14" x14ac:dyDescent="0.35">
      <c r="A684" s="17" t="s">
        <v>47</v>
      </c>
      <c r="B684" s="3" t="str">
        <f>IF(ISBLANK(Table3[[#This Row],[Campaign_ID]]),"Invalid","Valid")</f>
        <v>Valid</v>
      </c>
      <c r="C684" s="3" t="str">
        <f>IF(COUNTA(Finance_Data!A680:R680)=18,"Valid","Missing")</f>
        <v>Valid</v>
      </c>
      <c r="D684" s="3" t="str">
        <f>IF(COUNTIF(Finance_Data!$T$2:$T$1001,Finance_Data!T680)&gt;1,"Duplicate","Valid")</f>
        <v>Valid</v>
      </c>
      <c r="E684" s="3" t="str">
        <f>IF(Finance_Data!H680&gt;Finance_Data!G680,"Valid","Invalid")</f>
        <v>Valid</v>
      </c>
      <c r="F684" s="3" t="str" cm="1">
        <f t="array" ref="F684">_xlfn.IFS(Finance_Data!S680&lt;7,"Short",Finance_Data!S680&lt;=30,"Normal",Finance_Data!S680&lt;=60,"Long",Finance_Data!S680&gt;60,"Very Long")</f>
        <v>Normal</v>
      </c>
      <c r="G684" s="3" t="str">
        <f>IF(ABS(Finance_Data!I680*Finance_Data!J680)-Finance_Data!K680&lt;1,"Valid","Invalid")</f>
        <v>Valid</v>
      </c>
      <c r="H684" s="3" t="str">
        <f>IF(Finance_Data!L680&gt;0,"Valid","Invalid")</f>
        <v>Valid</v>
      </c>
      <c r="I684" s="3" t="str">
        <f>IF(Finance_Data!L680&gt;=Finance_Data!M680,"Valid","Invalid")</f>
        <v>Valid</v>
      </c>
      <c r="J684" s="3" t="str">
        <f>IF(AND(Finance_Data!I680&gt;=0,Finance_Data!K680&gt;=0),"Valid","Invalid")</f>
        <v>Valid</v>
      </c>
      <c r="K684" s="3" t="str">
        <f>IF(Finance_Data!N680&gt;=0,"Valid","Invalid")</f>
        <v>Valid</v>
      </c>
      <c r="L684" s="3" t="str">
        <f>IF(TEXT(Finance_Data!G680,"mmmm")=Finance_Data!P680,"Valid","Invalid")</f>
        <v>Valid</v>
      </c>
      <c r="M684" s="3" t="str">
        <f>IF("Q"&amp;ROUNDUP(MONTH(Finance_Data!G680)/3,0)=Finance_Data!Q680,"Valid","Invalid")</f>
        <v>Valid</v>
      </c>
      <c r="N684" s="7" t="str">
        <f t="shared" si="10"/>
        <v>Pass</v>
      </c>
    </row>
    <row r="685" spans="1:14" x14ac:dyDescent="0.35">
      <c r="A685" s="17" t="s">
        <v>78</v>
      </c>
      <c r="B685" s="3" t="str">
        <f>IF(ISBLANK(Table3[[#This Row],[Campaign_ID]]),"Invalid","Valid")</f>
        <v>Valid</v>
      </c>
      <c r="C685" s="3" t="str">
        <f>IF(COUNTA(Finance_Data!A681:R681)=18,"Valid","Missing")</f>
        <v>Valid</v>
      </c>
      <c r="D685" s="3" t="str">
        <f>IF(COUNTIF(Finance_Data!$T$2:$T$1001,Finance_Data!T681)&gt;1,"Duplicate","Valid")</f>
        <v>Valid</v>
      </c>
      <c r="E685" s="3" t="str">
        <f>IF(Finance_Data!H681&gt;Finance_Data!G681,"Valid","Invalid")</f>
        <v>Valid</v>
      </c>
      <c r="F685" s="3" t="str" cm="1">
        <f t="array" ref="F685">_xlfn.IFS(Finance_Data!S681&lt;7,"Short",Finance_Data!S681&lt;=30,"Normal",Finance_Data!S681&lt;=60,"Long",Finance_Data!S681&gt;60,"Very Long")</f>
        <v>Long</v>
      </c>
      <c r="G685" s="3" t="str">
        <f>IF(ABS(Finance_Data!I681*Finance_Data!J681)-Finance_Data!K681&lt;1,"Valid","Invalid")</f>
        <v>Valid</v>
      </c>
      <c r="H685" s="3" t="str">
        <f>IF(Finance_Data!L681&gt;0,"Valid","Invalid")</f>
        <v>Valid</v>
      </c>
      <c r="I685" s="3" t="str">
        <f>IF(Finance_Data!L681&gt;=Finance_Data!M681,"Valid","Invalid")</f>
        <v>Valid</v>
      </c>
      <c r="J685" s="3" t="str">
        <f>IF(AND(Finance_Data!I681&gt;=0,Finance_Data!K681&gt;=0),"Valid","Invalid")</f>
        <v>Valid</v>
      </c>
      <c r="K685" s="3" t="str">
        <f>IF(Finance_Data!N681&gt;=0,"Valid","Invalid")</f>
        <v>Valid</v>
      </c>
      <c r="L685" s="3" t="str">
        <f>IF(TEXT(Finance_Data!G681,"mmmm")=Finance_Data!P681,"Valid","Invalid")</f>
        <v>Valid</v>
      </c>
      <c r="M685" s="3" t="str">
        <f>IF("Q"&amp;ROUNDUP(MONTH(Finance_Data!G681)/3,0)=Finance_Data!Q681,"Valid","Invalid")</f>
        <v>Valid</v>
      </c>
      <c r="N685" s="7" t="str">
        <f t="shared" si="10"/>
        <v>Pass</v>
      </c>
    </row>
    <row r="686" spans="1:14" x14ac:dyDescent="0.35">
      <c r="A686" s="17" t="s">
        <v>96</v>
      </c>
      <c r="B686" s="3" t="str">
        <f>IF(ISBLANK(Table3[[#This Row],[Campaign_ID]]),"Invalid","Valid")</f>
        <v>Valid</v>
      </c>
      <c r="C686" s="3" t="str">
        <f>IF(COUNTA(Finance_Data!A682:R682)=18,"Valid","Missing")</f>
        <v>Valid</v>
      </c>
      <c r="D686" s="3" t="str">
        <f>IF(COUNTIF(Finance_Data!$T$2:$T$1001,Finance_Data!T682)&gt;1,"Duplicate","Valid")</f>
        <v>Valid</v>
      </c>
      <c r="E686" s="3" t="str">
        <f>IF(Finance_Data!H682&gt;Finance_Data!G682,"Valid","Invalid")</f>
        <v>Valid</v>
      </c>
      <c r="F686" s="3" t="str" cm="1">
        <f t="array" ref="F686">_xlfn.IFS(Finance_Data!S682&lt;7,"Short",Finance_Data!S682&lt;=30,"Normal",Finance_Data!S682&lt;=60,"Long",Finance_Data!S682&gt;60,"Very Long")</f>
        <v>Long</v>
      </c>
      <c r="G686" s="3" t="str">
        <f>IF(ABS(Finance_Data!I682*Finance_Data!J682)-Finance_Data!K682&lt;1,"Valid","Invalid")</f>
        <v>Valid</v>
      </c>
      <c r="H686" s="3" t="str">
        <f>IF(Finance_Data!L682&gt;0,"Valid","Invalid")</f>
        <v>Valid</v>
      </c>
      <c r="I686" s="3" t="str">
        <f>IF(Finance_Data!L682&gt;=Finance_Data!M682,"Valid","Invalid")</f>
        <v>Valid</v>
      </c>
      <c r="J686" s="3" t="str">
        <f>IF(AND(Finance_Data!I682&gt;=0,Finance_Data!K682&gt;=0),"Valid","Invalid")</f>
        <v>Valid</v>
      </c>
      <c r="K686" s="3" t="str">
        <f>IF(Finance_Data!N682&gt;=0,"Valid","Invalid")</f>
        <v>Valid</v>
      </c>
      <c r="L686" s="3" t="str">
        <f>IF(TEXT(Finance_Data!G682,"mmmm")=Finance_Data!P682,"Valid","Invalid")</f>
        <v>Valid</v>
      </c>
      <c r="M686" s="3" t="str">
        <f>IF("Q"&amp;ROUNDUP(MONTH(Finance_Data!G682)/3,0)=Finance_Data!Q682,"Valid","Invalid")</f>
        <v>Valid</v>
      </c>
      <c r="N686" s="7" t="str">
        <f t="shared" si="10"/>
        <v>Pass</v>
      </c>
    </row>
    <row r="687" spans="1:14" x14ac:dyDescent="0.35">
      <c r="A687" s="17" t="s">
        <v>27</v>
      </c>
      <c r="B687" s="3" t="str">
        <f>IF(ISBLANK(Table3[[#This Row],[Campaign_ID]]),"Invalid","Valid")</f>
        <v>Valid</v>
      </c>
      <c r="C687" s="3" t="str">
        <f>IF(COUNTA(Finance_Data!A683:R683)=18,"Valid","Missing")</f>
        <v>Valid</v>
      </c>
      <c r="D687" s="3" t="str">
        <f>IF(COUNTIF(Finance_Data!$T$2:$T$1001,Finance_Data!T683)&gt;1,"Duplicate","Valid")</f>
        <v>Valid</v>
      </c>
      <c r="E687" s="3" t="str">
        <f>IF(Finance_Data!H683&gt;Finance_Data!G683,"Valid","Invalid")</f>
        <v>Valid</v>
      </c>
      <c r="F687" s="3" t="str" cm="1">
        <f t="array" ref="F687">_xlfn.IFS(Finance_Data!S683&lt;7,"Short",Finance_Data!S683&lt;=30,"Normal",Finance_Data!S683&lt;=60,"Long",Finance_Data!S683&gt;60,"Very Long")</f>
        <v>Long</v>
      </c>
      <c r="G687" s="3" t="str">
        <f>IF(ABS(Finance_Data!I683*Finance_Data!J683)-Finance_Data!K683&lt;1,"Valid","Invalid")</f>
        <v>Valid</v>
      </c>
      <c r="H687" s="3" t="str">
        <f>IF(Finance_Data!L683&gt;0,"Valid","Invalid")</f>
        <v>Valid</v>
      </c>
      <c r="I687" s="3" t="str">
        <f>IF(Finance_Data!L683&gt;=Finance_Data!M683,"Valid","Invalid")</f>
        <v>Valid</v>
      </c>
      <c r="J687" s="3" t="str">
        <f>IF(AND(Finance_Data!I683&gt;=0,Finance_Data!K683&gt;=0),"Valid","Invalid")</f>
        <v>Valid</v>
      </c>
      <c r="K687" s="3" t="str">
        <f>IF(Finance_Data!N683&gt;=0,"Valid","Invalid")</f>
        <v>Valid</v>
      </c>
      <c r="L687" s="3" t="str">
        <f>IF(TEXT(Finance_Data!G683,"mmmm")=Finance_Data!P683,"Valid","Invalid")</f>
        <v>Valid</v>
      </c>
      <c r="M687" s="3" t="str">
        <f>IF("Q"&amp;ROUNDUP(MONTH(Finance_Data!G683)/3,0)=Finance_Data!Q683,"Valid","Invalid")</f>
        <v>Valid</v>
      </c>
      <c r="N687" s="7" t="str">
        <f t="shared" si="10"/>
        <v>Pass</v>
      </c>
    </row>
    <row r="688" spans="1:14" x14ac:dyDescent="0.35">
      <c r="A688" s="17" t="s">
        <v>94</v>
      </c>
      <c r="B688" s="3" t="str">
        <f>IF(ISBLANK(Table3[[#This Row],[Campaign_ID]]),"Invalid","Valid")</f>
        <v>Valid</v>
      </c>
      <c r="C688" s="3" t="str">
        <f>IF(COUNTA(Finance_Data!A684:R684)=18,"Valid","Missing")</f>
        <v>Valid</v>
      </c>
      <c r="D688" s="3" t="str">
        <f>IF(COUNTIF(Finance_Data!$T$2:$T$1001,Finance_Data!T684)&gt;1,"Duplicate","Valid")</f>
        <v>Valid</v>
      </c>
      <c r="E688" s="3" t="str">
        <f>IF(Finance_Data!H684&gt;Finance_Data!G684,"Valid","Invalid")</f>
        <v>Valid</v>
      </c>
      <c r="F688" s="3" t="str" cm="1">
        <f t="array" ref="F688">_xlfn.IFS(Finance_Data!S684&lt;7,"Short",Finance_Data!S684&lt;=30,"Normal",Finance_Data!S684&lt;=60,"Long",Finance_Data!S684&gt;60,"Very Long")</f>
        <v>Long</v>
      </c>
      <c r="G688" s="3" t="str">
        <f>IF(ABS(Finance_Data!I684*Finance_Data!J684)-Finance_Data!K684&lt;1,"Valid","Invalid")</f>
        <v>Valid</v>
      </c>
      <c r="H688" s="3" t="str">
        <f>IF(Finance_Data!L684&gt;0,"Valid","Invalid")</f>
        <v>Valid</v>
      </c>
      <c r="I688" s="3" t="str">
        <f>IF(Finance_Data!L684&gt;=Finance_Data!M684,"Valid","Invalid")</f>
        <v>Invalid</v>
      </c>
      <c r="J688" s="3" t="str">
        <f>IF(AND(Finance_Data!I684&gt;=0,Finance_Data!K684&gt;=0),"Valid","Invalid")</f>
        <v>Valid</v>
      </c>
      <c r="K688" s="3" t="str">
        <f>IF(Finance_Data!N684&gt;=0,"Valid","Invalid")</f>
        <v>Valid</v>
      </c>
      <c r="L688" s="3" t="str">
        <f>IF(TEXT(Finance_Data!G684,"mmmm")=Finance_Data!P684,"Valid","Invalid")</f>
        <v>Valid</v>
      </c>
      <c r="M688" s="3" t="str">
        <f>IF("Q"&amp;ROUNDUP(MONTH(Finance_Data!G684)/3,0)=Finance_Data!Q684,"Valid","Invalid")</f>
        <v>Valid</v>
      </c>
      <c r="N688" s="7" t="str">
        <f t="shared" si="10"/>
        <v>Fail</v>
      </c>
    </row>
    <row r="689" spans="1:14" x14ac:dyDescent="0.35">
      <c r="A689" s="17" t="s">
        <v>96</v>
      </c>
      <c r="B689" s="3" t="str">
        <f>IF(ISBLANK(Table3[[#This Row],[Campaign_ID]]),"Invalid","Valid")</f>
        <v>Valid</v>
      </c>
      <c r="C689" s="3" t="str">
        <f>IF(COUNTA(Finance_Data!A685:R685)=18,"Valid","Missing")</f>
        <v>Valid</v>
      </c>
      <c r="D689" s="3" t="str">
        <f>IF(COUNTIF(Finance_Data!$T$2:$T$1001,Finance_Data!T685)&gt;1,"Duplicate","Valid")</f>
        <v>Valid</v>
      </c>
      <c r="E689" s="3" t="str">
        <f>IF(Finance_Data!H685&gt;Finance_Data!G685,"Valid","Invalid")</f>
        <v>Valid</v>
      </c>
      <c r="F689" s="3" t="str" cm="1">
        <f t="array" ref="F689">_xlfn.IFS(Finance_Data!S685&lt;7,"Short",Finance_Data!S685&lt;=30,"Normal",Finance_Data!S685&lt;=60,"Long",Finance_Data!S685&gt;60,"Very Long")</f>
        <v>Long</v>
      </c>
      <c r="G689" s="3" t="str">
        <f>IF(ABS(Finance_Data!I685*Finance_Data!J685)-Finance_Data!K685&lt;1,"Valid","Invalid")</f>
        <v>Valid</v>
      </c>
      <c r="H689" s="3" t="str">
        <f>IF(Finance_Data!L685&gt;0,"Valid","Invalid")</f>
        <v>Valid</v>
      </c>
      <c r="I689" s="3" t="str">
        <f>IF(Finance_Data!L685&gt;=Finance_Data!M685,"Valid","Invalid")</f>
        <v>Valid</v>
      </c>
      <c r="J689" s="3" t="str">
        <f>IF(AND(Finance_Data!I685&gt;=0,Finance_Data!K685&gt;=0),"Valid","Invalid")</f>
        <v>Valid</v>
      </c>
      <c r="K689" s="3" t="str">
        <f>IF(Finance_Data!N685&gt;=0,"Valid","Invalid")</f>
        <v>Valid</v>
      </c>
      <c r="L689" s="3" t="str">
        <f>IF(TEXT(Finance_Data!G685,"mmmm")=Finance_Data!P685,"Valid","Invalid")</f>
        <v>Valid</v>
      </c>
      <c r="M689" s="3" t="str">
        <f>IF("Q"&amp;ROUNDUP(MONTH(Finance_Data!G685)/3,0)=Finance_Data!Q685,"Valid","Invalid")</f>
        <v>Valid</v>
      </c>
      <c r="N689" s="7" t="str">
        <f t="shared" si="10"/>
        <v>Pass</v>
      </c>
    </row>
    <row r="690" spans="1:14" x14ac:dyDescent="0.35">
      <c r="A690" s="17" t="s">
        <v>107</v>
      </c>
      <c r="B690" s="3" t="str">
        <f>IF(ISBLANK(Table3[[#This Row],[Campaign_ID]]),"Invalid","Valid")</f>
        <v>Valid</v>
      </c>
      <c r="C690" s="3" t="str">
        <f>IF(COUNTA(Finance_Data!A686:R686)=18,"Valid","Missing")</f>
        <v>Valid</v>
      </c>
      <c r="D690" s="3" t="str">
        <f>IF(COUNTIF(Finance_Data!$T$2:$T$1001,Finance_Data!T686)&gt;1,"Duplicate","Valid")</f>
        <v>Valid</v>
      </c>
      <c r="E690" s="3" t="str">
        <f>IF(Finance_Data!H686&gt;Finance_Data!G686,"Valid","Invalid")</f>
        <v>Valid</v>
      </c>
      <c r="F690" s="3" t="str" cm="1">
        <f t="array" ref="F690">_xlfn.IFS(Finance_Data!S686&lt;7,"Short",Finance_Data!S686&lt;=30,"Normal",Finance_Data!S686&lt;=60,"Long",Finance_Data!S686&gt;60,"Very Long")</f>
        <v>Long</v>
      </c>
      <c r="G690" s="3" t="str">
        <f>IF(ABS(Finance_Data!I686*Finance_Data!J686)-Finance_Data!K686&lt;1,"Valid","Invalid")</f>
        <v>Valid</v>
      </c>
      <c r="H690" s="3" t="str">
        <f>IF(Finance_Data!L686&gt;0,"Valid","Invalid")</f>
        <v>Valid</v>
      </c>
      <c r="I690" s="3" t="str">
        <f>IF(Finance_Data!L686&gt;=Finance_Data!M686,"Valid","Invalid")</f>
        <v>Valid</v>
      </c>
      <c r="J690" s="3" t="str">
        <f>IF(AND(Finance_Data!I686&gt;=0,Finance_Data!K686&gt;=0),"Valid","Invalid")</f>
        <v>Valid</v>
      </c>
      <c r="K690" s="3" t="str">
        <f>IF(Finance_Data!N686&gt;=0,"Valid","Invalid")</f>
        <v>Valid</v>
      </c>
      <c r="L690" s="3" t="str">
        <f>IF(TEXT(Finance_Data!G686,"mmmm")=Finance_Data!P686,"Valid","Invalid")</f>
        <v>Valid</v>
      </c>
      <c r="M690" s="3" t="str">
        <f>IF("Q"&amp;ROUNDUP(MONTH(Finance_Data!G686)/3,0)=Finance_Data!Q686,"Valid","Invalid")</f>
        <v>Valid</v>
      </c>
      <c r="N690" s="7" t="str">
        <f t="shared" si="10"/>
        <v>Pass</v>
      </c>
    </row>
    <row r="691" spans="1:14" x14ac:dyDescent="0.35">
      <c r="A691" s="17" t="s">
        <v>97</v>
      </c>
      <c r="B691" s="3" t="str">
        <f>IF(ISBLANK(Table3[[#This Row],[Campaign_ID]]),"Invalid","Valid")</f>
        <v>Valid</v>
      </c>
      <c r="C691" s="3" t="str">
        <f>IF(COUNTA(Finance_Data!A687:R687)=18,"Valid","Missing")</f>
        <v>Valid</v>
      </c>
      <c r="D691" s="3" t="str">
        <f>IF(COUNTIF(Finance_Data!$T$2:$T$1001,Finance_Data!T687)&gt;1,"Duplicate","Valid")</f>
        <v>Valid</v>
      </c>
      <c r="E691" s="3" t="str">
        <f>IF(Finance_Data!H687&gt;Finance_Data!G687,"Valid","Invalid")</f>
        <v>Valid</v>
      </c>
      <c r="F691" s="3" t="str" cm="1">
        <f t="array" ref="F691">_xlfn.IFS(Finance_Data!S687&lt;7,"Short",Finance_Data!S687&lt;=30,"Normal",Finance_Data!S687&lt;=60,"Long",Finance_Data!S687&gt;60,"Very Long")</f>
        <v>Long</v>
      </c>
      <c r="G691" s="3" t="str">
        <f>IF(ABS(Finance_Data!I687*Finance_Data!J687)-Finance_Data!K687&lt;1,"Valid","Invalid")</f>
        <v>Valid</v>
      </c>
      <c r="H691" s="3" t="str">
        <f>IF(Finance_Data!L687&gt;0,"Valid","Invalid")</f>
        <v>Valid</v>
      </c>
      <c r="I691" s="3" t="str">
        <f>IF(Finance_Data!L687&gt;=Finance_Data!M687,"Valid","Invalid")</f>
        <v>Valid</v>
      </c>
      <c r="J691" s="3" t="str">
        <f>IF(AND(Finance_Data!I687&gt;=0,Finance_Data!K687&gt;=0),"Valid","Invalid")</f>
        <v>Valid</v>
      </c>
      <c r="K691" s="3" t="str">
        <f>IF(Finance_Data!N687&gt;=0,"Valid","Invalid")</f>
        <v>Valid</v>
      </c>
      <c r="L691" s="3" t="str">
        <f>IF(TEXT(Finance_Data!G687,"mmmm")=Finance_Data!P687,"Valid","Invalid")</f>
        <v>Valid</v>
      </c>
      <c r="M691" s="3" t="str">
        <f>IF("Q"&amp;ROUNDUP(MONTH(Finance_Data!G687)/3,0)=Finance_Data!Q687,"Valid","Invalid")</f>
        <v>Valid</v>
      </c>
      <c r="N691" s="7" t="str">
        <f t="shared" si="10"/>
        <v>Pass</v>
      </c>
    </row>
    <row r="692" spans="1:14" x14ac:dyDescent="0.35">
      <c r="A692" s="17" t="s">
        <v>91</v>
      </c>
      <c r="B692" s="3" t="str">
        <f>IF(ISBLANK(Table3[[#This Row],[Campaign_ID]]),"Invalid","Valid")</f>
        <v>Valid</v>
      </c>
      <c r="C692" s="3" t="str">
        <f>IF(COUNTA(Finance_Data!A688:R688)=18,"Valid","Missing")</f>
        <v>Valid</v>
      </c>
      <c r="D692" s="3" t="str">
        <f>IF(COUNTIF(Finance_Data!$T$2:$T$1001,Finance_Data!T688)&gt;1,"Duplicate","Valid")</f>
        <v>Valid</v>
      </c>
      <c r="E692" s="3" t="str">
        <f>IF(Finance_Data!H688&gt;Finance_Data!G688,"Valid","Invalid")</f>
        <v>Valid</v>
      </c>
      <c r="F692" s="3" t="str" cm="1">
        <f t="array" ref="F692">_xlfn.IFS(Finance_Data!S688&lt;7,"Short",Finance_Data!S688&lt;=30,"Normal",Finance_Data!S688&lt;=60,"Long",Finance_Data!S688&gt;60,"Very Long")</f>
        <v>Long</v>
      </c>
      <c r="G692" s="3" t="str">
        <f>IF(ABS(Finance_Data!I688*Finance_Data!J688)-Finance_Data!K688&lt;1,"Valid","Invalid")</f>
        <v>Valid</v>
      </c>
      <c r="H692" s="3" t="str">
        <f>IF(Finance_Data!L688&gt;0,"Valid","Invalid")</f>
        <v>Valid</v>
      </c>
      <c r="I692" s="3" t="str">
        <f>IF(Finance_Data!L688&gt;=Finance_Data!M688,"Valid","Invalid")</f>
        <v>Valid</v>
      </c>
      <c r="J692" s="3" t="str">
        <f>IF(AND(Finance_Data!I688&gt;=0,Finance_Data!K688&gt;=0),"Valid","Invalid")</f>
        <v>Valid</v>
      </c>
      <c r="K692" s="3" t="str">
        <f>IF(Finance_Data!N688&gt;=0,"Valid","Invalid")</f>
        <v>Valid</v>
      </c>
      <c r="L692" s="3" t="str">
        <f>IF(TEXT(Finance_Data!G688,"mmmm")=Finance_Data!P688,"Valid","Invalid")</f>
        <v>Valid</v>
      </c>
      <c r="M692" s="3" t="str">
        <f>IF("Q"&amp;ROUNDUP(MONTH(Finance_Data!G688)/3,0)=Finance_Data!Q688,"Valid","Invalid")</f>
        <v>Valid</v>
      </c>
      <c r="N692" s="7" t="str">
        <f t="shared" si="10"/>
        <v>Pass</v>
      </c>
    </row>
    <row r="693" spans="1:14" x14ac:dyDescent="0.35">
      <c r="A693" s="17" t="s">
        <v>70</v>
      </c>
      <c r="B693" s="3" t="str">
        <f>IF(ISBLANK(Table3[[#This Row],[Campaign_ID]]),"Invalid","Valid")</f>
        <v>Valid</v>
      </c>
      <c r="C693" s="3" t="str">
        <f>IF(COUNTA(Finance_Data!A689:R689)=18,"Valid","Missing")</f>
        <v>Valid</v>
      </c>
      <c r="D693" s="3" t="str">
        <f>IF(COUNTIF(Finance_Data!$T$2:$T$1001,Finance_Data!T689)&gt;1,"Duplicate","Valid")</f>
        <v>Valid</v>
      </c>
      <c r="E693" s="3" t="str">
        <f>IF(Finance_Data!H689&gt;Finance_Data!G689,"Valid","Invalid")</f>
        <v>Valid</v>
      </c>
      <c r="F693" s="3" t="str" cm="1">
        <f t="array" ref="F693">_xlfn.IFS(Finance_Data!S689&lt;7,"Short",Finance_Data!S689&lt;=30,"Normal",Finance_Data!S689&lt;=60,"Long",Finance_Data!S689&gt;60,"Very Long")</f>
        <v>Normal</v>
      </c>
      <c r="G693" s="3" t="str">
        <f>IF(ABS(Finance_Data!I689*Finance_Data!J689)-Finance_Data!K689&lt;1,"Valid","Invalid")</f>
        <v>Valid</v>
      </c>
      <c r="H693" s="3" t="str">
        <f>IF(Finance_Data!L689&gt;0,"Valid","Invalid")</f>
        <v>Valid</v>
      </c>
      <c r="I693" s="3" t="str">
        <f>IF(Finance_Data!L689&gt;=Finance_Data!M689,"Valid","Invalid")</f>
        <v>Valid</v>
      </c>
      <c r="J693" s="3" t="str">
        <f>IF(AND(Finance_Data!I689&gt;=0,Finance_Data!K689&gt;=0),"Valid","Invalid")</f>
        <v>Valid</v>
      </c>
      <c r="K693" s="3" t="str">
        <f>IF(Finance_Data!N689&gt;=0,"Valid","Invalid")</f>
        <v>Valid</v>
      </c>
      <c r="L693" s="3" t="str">
        <f>IF(TEXT(Finance_Data!G689,"mmmm")=Finance_Data!P689,"Valid","Invalid")</f>
        <v>Valid</v>
      </c>
      <c r="M693" s="3" t="str">
        <f>IF("Q"&amp;ROUNDUP(MONTH(Finance_Data!G689)/3,0)=Finance_Data!Q689,"Valid","Invalid")</f>
        <v>Valid</v>
      </c>
      <c r="N693" s="7" t="str">
        <f t="shared" si="10"/>
        <v>Pass</v>
      </c>
    </row>
    <row r="694" spans="1:14" x14ac:dyDescent="0.35">
      <c r="A694" s="17" t="s">
        <v>86</v>
      </c>
      <c r="B694" s="3" t="str">
        <f>IF(ISBLANK(Table3[[#This Row],[Campaign_ID]]),"Invalid","Valid")</f>
        <v>Valid</v>
      </c>
      <c r="C694" s="3" t="str">
        <f>IF(COUNTA(Finance_Data!A690:R690)=18,"Valid","Missing")</f>
        <v>Valid</v>
      </c>
      <c r="D694" s="3" t="str">
        <f>IF(COUNTIF(Finance_Data!$T$2:$T$1001,Finance_Data!T690)&gt;1,"Duplicate","Valid")</f>
        <v>Valid</v>
      </c>
      <c r="E694" s="3" t="str">
        <f>IF(Finance_Data!H690&gt;Finance_Data!G690,"Valid","Invalid")</f>
        <v>Valid</v>
      </c>
      <c r="F694" s="3" t="str" cm="1">
        <f t="array" ref="F694">_xlfn.IFS(Finance_Data!S690&lt;7,"Short",Finance_Data!S690&lt;=30,"Normal",Finance_Data!S690&lt;=60,"Long",Finance_Data!S690&gt;60,"Very Long")</f>
        <v>Normal</v>
      </c>
      <c r="G694" s="3" t="str">
        <f>IF(ABS(Finance_Data!I690*Finance_Data!J690)-Finance_Data!K690&lt;1,"Valid","Invalid")</f>
        <v>Valid</v>
      </c>
      <c r="H694" s="3" t="str">
        <f>IF(Finance_Data!L690&gt;0,"Valid","Invalid")</f>
        <v>Valid</v>
      </c>
      <c r="I694" s="3" t="str">
        <f>IF(Finance_Data!L690&gt;=Finance_Data!M690,"Valid","Invalid")</f>
        <v>Valid</v>
      </c>
      <c r="J694" s="3" t="str">
        <f>IF(AND(Finance_Data!I690&gt;=0,Finance_Data!K690&gt;=0),"Valid","Invalid")</f>
        <v>Valid</v>
      </c>
      <c r="K694" s="3" t="str">
        <f>IF(Finance_Data!N690&gt;=0,"Valid","Invalid")</f>
        <v>Valid</v>
      </c>
      <c r="L694" s="3" t="str">
        <f>IF(TEXT(Finance_Data!G690,"mmmm")=Finance_Data!P690,"Valid","Invalid")</f>
        <v>Valid</v>
      </c>
      <c r="M694" s="3" t="str">
        <f>IF("Q"&amp;ROUNDUP(MONTH(Finance_Data!G690)/3,0)=Finance_Data!Q690,"Valid","Invalid")</f>
        <v>Valid</v>
      </c>
      <c r="N694" s="7" t="str">
        <f t="shared" si="10"/>
        <v>Pass</v>
      </c>
    </row>
    <row r="695" spans="1:14" x14ac:dyDescent="0.35">
      <c r="A695" s="17" t="s">
        <v>42</v>
      </c>
      <c r="B695" s="3" t="str">
        <f>IF(ISBLANK(Table3[[#This Row],[Campaign_ID]]),"Invalid","Valid")</f>
        <v>Valid</v>
      </c>
      <c r="C695" s="3" t="str">
        <f>IF(COUNTA(Finance_Data!A691:R691)=18,"Valid","Missing")</f>
        <v>Valid</v>
      </c>
      <c r="D695" s="3" t="str">
        <f>IF(COUNTIF(Finance_Data!$T$2:$T$1001,Finance_Data!T691)&gt;1,"Duplicate","Valid")</f>
        <v>Valid</v>
      </c>
      <c r="E695" s="3" t="str">
        <f>IF(Finance_Data!H691&gt;Finance_Data!G691,"Valid","Invalid")</f>
        <v>Valid</v>
      </c>
      <c r="F695" s="3" t="str" cm="1">
        <f t="array" ref="F695">_xlfn.IFS(Finance_Data!S691&lt;7,"Short",Finance_Data!S691&lt;=30,"Normal",Finance_Data!S691&lt;=60,"Long",Finance_Data!S691&gt;60,"Very Long")</f>
        <v>Long</v>
      </c>
      <c r="G695" s="3" t="str">
        <f>IF(ABS(Finance_Data!I691*Finance_Data!J691)-Finance_Data!K691&lt;1,"Valid","Invalid")</f>
        <v>Valid</v>
      </c>
      <c r="H695" s="3" t="str">
        <f>IF(Finance_Data!L691&gt;0,"Valid","Invalid")</f>
        <v>Valid</v>
      </c>
      <c r="I695" s="3" t="str">
        <f>IF(Finance_Data!L691&gt;=Finance_Data!M691,"Valid","Invalid")</f>
        <v>Valid</v>
      </c>
      <c r="J695" s="3" t="str">
        <f>IF(AND(Finance_Data!I691&gt;=0,Finance_Data!K691&gt;=0),"Valid","Invalid")</f>
        <v>Valid</v>
      </c>
      <c r="K695" s="3" t="str">
        <f>IF(Finance_Data!N691&gt;=0,"Valid","Invalid")</f>
        <v>Valid</v>
      </c>
      <c r="L695" s="3" t="str">
        <f>IF(TEXT(Finance_Data!G691,"mmmm")=Finance_Data!P691,"Valid","Invalid")</f>
        <v>Valid</v>
      </c>
      <c r="M695" s="3" t="str">
        <f>IF("Q"&amp;ROUNDUP(MONTH(Finance_Data!G691)/3,0)=Finance_Data!Q691,"Valid","Invalid")</f>
        <v>Valid</v>
      </c>
      <c r="N695" s="7" t="str">
        <f t="shared" si="10"/>
        <v>Pass</v>
      </c>
    </row>
    <row r="696" spans="1:14" x14ac:dyDescent="0.35">
      <c r="A696" s="17" t="s">
        <v>72</v>
      </c>
      <c r="B696" s="3" t="str">
        <f>IF(ISBLANK(Table3[[#This Row],[Campaign_ID]]),"Invalid","Valid")</f>
        <v>Valid</v>
      </c>
      <c r="C696" s="3" t="str">
        <f>IF(COUNTA(Finance_Data!A692:R692)=18,"Valid","Missing")</f>
        <v>Valid</v>
      </c>
      <c r="D696" s="3" t="str">
        <f>IF(COUNTIF(Finance_Data!$T$2:$T$1001,Finance_Data!T692)&gt;1,"Duplicate","Valid")</f>
        <v>Valid</v>
      </c>
      <c r="E696" s="3" t="str">
        <f>IF(Finance_Data!H692&gt;Finance_Data!G692,"Valid","Invalid")</f>
        <v>Valid</v>
      </c>
      <c r="F696" s="3" t="str" cm="1">
        <f t="array" ref="F696">_xlfn.IFS(Finance_Data!S692&lt;7,"Short",Finance_Data!S692&lt;=30,"Normal",Finance_Data!S692&lt;=60,"Long",Finance_Data!S692&gt;60,"Very Long")</f>
        <v>Normal</v>
      </c>
      <c r="G696" s="3" t="str">
        <f>IF(ABS(Finance_Data!I692*Finance_Data!J692)-Finance_Data!K692&lt;1,"Valid","Invalid")</f>
        <v>Valid</v>
      </c>
      <c r="H696" s="3" t="str">
        <f>IF(Finance_Data!L692&gt;0,"Valid","Invalid")</f>
        <v>Valid</v>
      </c>
      <c r="I696" s="3" t="str">
        <f>IF(Finance_Data!L692&gt;=Finance_Data!M692,"Valid","Invalid")</f>
        <v>Valid</v>
      </c>
      <c r="J696" s="3" t="str">
        <f>IF(AND(Finance_Data!I692&gt;=0,Finance_Data!K692&gt;=0),"Valid","Invalid")</f>
        <v>Valid</v>
      </c>
      <c r="K696" s="3" t="str">
        <f>IF(Finance_Data!N692&gt;=0,"Valid","Invalid")</f>
        <v>Valid</v>
      </c>
      <c r="L696" s="3" t="str">
        <f>IF(TEXT(Finance_Data!G692,"mmmm")=Finance_Data!P692,"Valid","Invalid")</f>
        <v>Valid</v>
      </c>
      <c r="M696" s="3" t="str">
        <f>IF("Q"&amp;ROUNDUP(MONTH(Finance_Data!G692)/3,0)=Finance_Data!Q692,"Valid","Invalid")</f>
        <v>Valid</v>
      </c>
      <c r="N696" s="7" t="str">
        <f t="shared" si="10"/>
        <v>Pass</v>
      </c>
    </row>
    <row r="697" spans="1:14" x14ac:dyDescent="0.35">
      <c r="A697" s="17" t="s">
        <v>96</v>
      </c>
      <c r="B697" s="3" t="str">
        <f>IF(ISBLANK(Table3[[#This Row],[Campaign_ID]]),"Invalid","Valid")</f>
        <v>Valid</v>
      </c>
      <c r="C697" s="3" t="str">
        <f>IF(COUNTA(Finance_Data!A693:R693)=18,"Valid","Missing")</f>
        <v>Valid</v>
      </c>
      <c r="D697" s="3" t="str">
        <f>IF(COUNTIF(Finance_Data!$T$2:$T$1001,Finance_Data!T693)&gt;1,"Duplicate","Valid")</f>
        <v>Valid</v>
      </c>
      <c r="E697" s="3" t="str">
        <f>IF(Finance_Data!H693&gt;Finance_Data!G693,"Valid","Invalid")</f>
        <v>Valid</v>
      </c>
      <c r="F697" s="3" t="str" cm="1">
        <f t="array" ref="F697">_xlfn.IFS(Finance_Data!S693&lt;7,"Short",Finance_Data!S693&lt;=30,"Normal",Finance_Data!S693&lt;=60,"Long",Finance_Data!S693&gt;60,"Very Long")</f>
        <v>Normal</v>
      </c>
      <c r="G697" s="3" t="str">
        <f>IF(ABS(Finance_Data!I693*Finance_Data!J693)-Finance_Data!K693&lt;1,"Valid","Invalid")</f>
        <v>Valid</v>
      </c>
      <c r="H697" s="3" t="str">
        <f>IF(Finance_Data!L693&gt;0,"Valid","Invalid")</f>
        <v>Valid</v>
      </c>
      <c r="I697" s="3" t="str">
        <f>IF(Finance_Data!L693&gt;=Finance_Data!M693,"Valid","Invalid")</f>
        <v>Valid</v>
      </c>
      <c r="J697" s="3" t="str">
        <f>IF(AND(Finance_Data!I693&gt;=0,Finance_Data!K693&gt;=0),"Valid","Invalid")</f>
        <v>Valid</v>
      </c>
      <c r="K697" s="3" t="str">
        <f>IF(Finance_Data!N693&gt;=0,"Valid","Invalid")</f>
        <v>Valid</v>
      </c>
      <c r="L697" s="3" t="str">
        <f>IF(TEXT(Finance_Data!G693,"mmmm")=Finance_Data!P693,"Valid","Invalid")</f>
        <v>Valid</v>
      </c>
      <c r="M697" s="3" t="str">
        <f>IF("Q"&amp;ROUNDUP(MONTH(Finance_Data!G693)/3,0)=Finance_Data!Q693,"Valid","Invalid")</f>
        <v>Valid</v>
      </c>
      <c r="N697" s="7" t="str">
        <f t="shared" si="10"/>
        <v>Pass</v>
      </c>
    </row>
    <row r="698" spans="1:14" x14ac:dyDescent="0.35">
      <c r="A698" s="17" t="s">
        <v>95</v>
      </c>
      <c r="B698" s="3" t="str">
        <f>IF(ISBLANK(Table3[[#This Row],[Campaign_ID]]),"Invalid","Valid")</f>
        <v>Valid</v>
      </c>
      <c r="C698" s="3" t="str">
        <f>IF(COUNTA(Finance_Data!A694:R694)=18,"Valid","Missing")</f>
        <v>Valid</v>
      </c>
      <c r="D698" s="3" t="str">
        <f>IF(COUNTIF(Finance_Data!$T$2:$T$1001,Finance_Data!T694)&gt;1,"Duplicate","Valid")</f>
        <v>Valid</v>
      </c>
      <c r="E698" s="3" t="str">
        <f>IF(Finance_Data!H694&gt;Finance_Data!G694,"Valid","Invalid")</f>
        <v>Valid</v>
      </c>
      <c r="F698" s="3" t="str" cm="1">
        <f t="array" ref="F698">_xlfn.IFS(Finance_Data!S694&lt;7,"Short",Finance_Data!S694&lt;=30,"Normal",Finance_Data!S694&lt;=60,"Long",Finance_Data!S694&gt;60,"Very Long")</f>
        <v>Long</v>
      </c>
      <c r="G698" s="3" t="str">
        <f>IF(ABS(Finance_Data!I694*Finance_Data!J694)-Finance_Data!K694&lt;1,"Valid","Invalid")</f>
        <v>Valid</v>
      </c>
      <c r="H698" s="3" t="str">
        <f>IF(Finance_Data!L694&gt;0,"Valid","Invalid")</f>
        <v>Valid</v>
      </c>
      <c r="I698" s="3" t="str">
        <f>IF(Finance_Data!L694&gt;=Finance_Data!M694,"Valid","Invalid")</f>
        <v>Valid</v>
      </c>
      <c r="J698" s="3" t="str">
        <f>IF(AND(Finance_Data!I694&gt;=0,Finance_Data!K694&gt;=0),"Valid","Invalid")</f>
        <v>Valid</v>
      </c>
      <c r="K698" s="3" t="str">
        <f>IF(Finance_Data!N694&gt;=0,"Valid","Invalid")</f>
        <v>Valid</v>
      </c>
      <c r="L698" s="3" t="str">
        <f>IF(TEXT(Finance_Data!G694,"mmmm")=Finance_Data!P694,"Valid","Invalid")</f>
        <v>Valid</v>
      </c>
      <c r="M698" s="3" t="str">
        <f>IF("Q"&amp;ROUNDUP(MONTH(Finance_Data!G694)/3,0)=Finance_Data!Q694,"Valid","Invalid")</f>
        <v>Valid</v>
      </c>
      <c r="N698" s="7" t="str">
        <f t="shared" si="10"/>
        <v>Pass</v>
      </c>
    </row>
    <row r="699" spans="1:14" x14ac:dyDescent="0.35">
      <c r="A699" s="17" t="s">
        <v>106</v>
      </c>
      <c r="B699" s="3" t="str">
        <f>IF(ISBLANK(Table3[[#This Row],[Campaign_ID]]),"Invalid","Valid")</f>
        <v>Valid</v>
      </c>
      <c r="C699" s="3" t="str">
        <f>IF(COUNTA(Finance_Data!A695:R695)=18,"Valid","Missing")</f>
        <v>Valid</v>
      </c>
      <c r="D699" s="3" t="str">
        <f>IF(COUNTIF(Finance_Data!$T$2:$T$1001,Finance_Data!T695)&gt;1,"Duplicate","Valid")</f>
        <v>Valid</v>
      </c>
      <c r="E699" s="3" t="str">
        <f>IF(Finance_Data!H695&gt;Finance_Data!G695,"Valid","Invalid")</f>
        <v>Valid</v>
      </c>
      <c r="F699" s="3" t="str" cm="1">
        <f t="array" ref="F699">_xlfn.IFS(Finance_Data!S695&lt;7,"Short",Finance_Data!S695&lt;=30,"Normal",Finance_Data!S695&lt;=60,"Long",Finance_Data!S695&gt;60,"Very Long")</f>
        <v>Normal</v>
      </c>
      <c r="G699" s="3" t="str">
        <f>IF(ABS(Finance_Data!I695*Finance_Data!J695)-Finance_Data!K695&lt;1,"Valid","Invalid")</f>
        <v>Valid</v>
      </c>
      <c r="H699" s="3" t="str">
        <f>IF(Finance_Data!L695&gt;0,"Valid","Invalid")</f>
        <v>Valid</v>
      </c>
      <c r="I699" s="3" t="str">
        <f>IF(Finance_Data!L695&gt;=Finance_Data!M695,"Valid","Invalid")</f>
        <v>Valid</v>
      </c>
      <c r="J699" s="3" t="str">
        <f>IF(AND(Finance_Data!I695&gt;=0,Finance_Data!K695&gt;=0),"Valid","Invalid")</f>
        <v>Valid</v>
      </c>
      <c r="K699" s="3" t="str">
        <f>IF(Finance_Data!N695&gt;=0,"Valid","Invalid")</f>
        <v>Valid</v>
      </c>
      <c r="L699" s="3" t="str">
        <f>IF(TEXT(Finance_Data!G695,"mmmm")=Finance_Data!P695,"Valid","Invalid")</f>
        <v>Valid</v>
      </c>
      <c r="M699" s="3" t="str">
        <f>IF("Q"&amp;ROUNDUP(MONTH(Finance_Data!G695)/3,0)=Finance_Data!Q695,"Valid","Invalid")</f>
        <v>Valid</v>
      </c>
      <c r="N699" s="7" t="str">
        <f t="shared" si="10"/>
        <v>Pass</v>
      </c>
    </row>
    <row r="700" spans="1:14" x14ac:dyDescent="0.35">
      <c r="A700" s="17" t="s">
        <v>117</v>
      </c>
      <c r="B700" s="3" t="str">
        <f>IF(ISBLANK(Table3[[#This Row],[Campaign_ID]]),"Invalid","Valid")</f>
        <v>Valid</v>
      </c>
      <c r="C700" s="3" t="str">
        <f>IF(COUNTA(Finance_Data!A696:R696)=18,"Valid","Missing")</f>
        <v>Valid</v>
      </c>
      <c r="D700" s="3" t="str">
        <f>IF(COUNTIF(Finance_Data!$T$2:$T$1001,Finance_Data!T696)&gt;1,"Duplicate","Valid")</f>
        <v>Valid</v>
      </c>
      <c r="E700" s="3" t="str">
        <f>IF(Finance_Data!H696&gt;Finance_Data!G696,"Valid","Invalid")</f>
        <v>Valid</v>
      </c>
      <c r="F700" s="3" t="str" cm="1">
        <f t="array" ref="F700">_xlfn.IFS(Finance_Data!S696&lt;7,"Short",Finance_Data!S696&lt;=30,"Normal",Finance_Data!S696&lt;=60,"Long",Finance_Data!S696&gt;60,"Very Long")</f>
        <v>Long</v>
      </c>
      <c r="G700" s="3" t="str">
        <f>IF(ABS(Finance_Data!I696*Finance_Data!J696)-Finance_Data!K696&lt;1,"Valid","Invalid")</f>
        <v>Valid</v>
      </c>
      <c r="H700" s="3" t="str">
        <f>IF(Finance_Data!L696&gt;0,"Valid","Invalid")</f>
        <v>Valid</v>
      </c>
      <c r="I700" s="3" t="str">
        <f>IF(Finance_Data!L696&gt;=Finance_Data!M696,"Valid","Invalid")</f>
        <v>Valid</v>
      </c>
      <c r="J700" s="3" t="str">
        <f>IF(AND(Finance_Data!I696&gt;=0,Finance_Data!K696&gt;=0),"Valid","Invalid")</f>
        <v>Valid</v>
      </c>
      <c r="K700" s="3" t="str">
        <f>IF(Finance_Data!N696&gt;=0,"Valid","Invalid")</f>
        <v>Valid</v>
      </c>
      <c r="L700" s="3" t="str">
        <f>IF(TEXT(Finance_Data!G696,"mmmm")=Finance_Data!P696,"Valid","Invalid")</f>
        <v>Valid</v>
      </c>
      <c r="M700" s="3" t="str">
        <f>IF("Q"&amp;ROUNDUP(MONTH(Finance_Data!G696)/3,0)=Finance_Data!Q696,"Valid","Invalid")</f>
        <v>Valid</v>
      </c>
      <c r="N700" s="7" t="str">
        <f t="shared" si="10"/>
        <v>Pass</v>
      </c>
    </row>
    <row r="701" spans="1:14" x14ac:dyDescent="0.35">
      <c r="A701" s="17" t="s">
        <v>109</v>
      </c>
      <c r="B701" s="3" t="str">
        <f>IF(ISBLANK(Table3[[#This Row],[Campaign_ID]]),"Invalid","Valid")</f>
        <v>Valid</v>
      </c>
      <c r="C701" s="3" t="str">
        <f>IF(COUNTA(Finance_Data!A697:R697)=18,"Valid","Missing")</f>
        <v>Valid</v>
      </c>
      <c r="D701" s="3" t="str">
        <f>IF(COUNTIF(Finance_Data!$T$2:$T$1001,Finance_Data!T697)&gt;1,"Duplicate","Valid")</f>
        <v>Valid</v>
      </c>
      <c r="E701" s="3" t="str">
        <f>IF(Finance_Data!H697&gt;Finance_Data!G697,"Valid","Invalid")</f>
        <v>Valid</v>
      </c>
      <c r="F701" s="3" t="str" cm="1">
        <f t="array" ref="F701">_xlfn.IFS(Finance_Data!S697&lt;7,"Short",Finance_Data!S697&lt;=30,"Normal",Finance_Data!S697&lt;=60,"Long",Finance_Data!S697&gt;60,"Very Long")</f>
        <v>Normal</v>
      </c>
      <c r="G701" s="3" t="str">
        <f>IF(ABS(Finance_Data!I697*Finance_Data!J697)-Finance_Data!K697&lt;1,"Valid","Invalid")</f>
        <v>Valid</v>
      </c>
      <c r="H701" s="3" t="str">
        <f>IF(Finance_Data!L697&gt;0,"Valid","Invalid")</f>
        <v>Valid</v>
      </c>
      <c r="I701" s="3" t="str">
        <f>IF(Finance_Data!L697&gt;=Finance_Data!M697,"Valid","Invalid")</f>
        <v>Valid</v>
      </c>
      <c r="J701" s="3" t="str">
        <f>IF(AND(Finance_Data!I697&gt;=0,Finance_Data!K697&gt;=0),"Valid","Invalid")</f>
        <v>Valid</v>
      </c>
      <c r="K701" s="3" t="str">
        <f>IF(Finance_Data!N697&gt;=0,"Valid","Invalid")</f>
        <v>Valid</v>
      </c>
      <c r="L701" s="3" t="str">
        <f>IF(TEXT(Finance_Data!G697,"mmmm")=Finance_Data!P697,"Valid","Invalid")</f>
        <v>Valid</v>
      </c>
      <c r="M701" s="3" t="str">
        <f>IF("Q"&amp;ROUNDUP(MONTH(Finance_Data!G697)/3,0)=Finance_Data!Q697,"Valid","Invalid")</f>
        <v>Valid</v>
      </c>
      <c r="N701" s="7" t="str">
        <f t="shared" si="10"/>
        <v>Pass</v>
      </c>
    </row>
    <row r="702" spans="1:14" x14ac:dyDescent="0.35">
      <c r="A702" s="17" t="s">
        <v>67</v>
      </c>
      <c r="B702" s="3" t="str">
        <f>IF(ISBLANK(Table3[[#This Row],[Campaign_ID]]),"Invalid","Valid")</f>
        <v>Valid</v>
      </c>
      <c r="C702" s="3" t="str">
        <f>IF(COUNTA(Finance_Data!A698:R698)=18,"Valid","Missing")</f>
        <v>Valid</v>
      </c>
      <c r="D702" s="3" t="str">
        <f>IF(COUNTIF(Finance_Data!$T$2:$T$1001,Finance_Data!T698)&gt;1,"Duplicate","Valid")</f>
        <v>Valid</v>
      </c>
      <c r="E702" s="3" t="str">
        <f>IF(Finance_Data!H698&gt;Finance_Data!G698,"Valid","Invalid")</f>
        <v>Valid</v>
      </c>
      <c r="F702" s="3" t="str" cm="1">
        <f t="array" ref="F702">_xlfn.IFS(Finance_Data!S698&lt;7,"Short",Finance_Data!S698&lt;=30,"Normal",Finance_Data!S698&lt;=60,"Long",Finance_Data!S698&gt;60,"Very Long")</f>
        <v>Normal</v>
      </c>
      <c r="G702" s="3" t="str">
        <f>IF(ABS(Finance_Data!I698*Finance_Data!J698)-Finance_Data!K698&lt;1,"Valid","Invalid")</f>
        <v>Valid</v>
      </c>
      <c r="H702" s="3" t="str">
        <f>IF(Finance_Data!L698&gt;0,"Valid","Invalid")</f>
        <v>Valid</v>
      </c>
      <c r="I702" s="3" t="str">
        <f>IF(Finance_Data!L698&gt;=Finance_Data!M698,"Valid","Invalid")</f>
        <v>Valid</v>
      </c>
      <c r="J702" s="3" t="str">
        <f>IF(AND(Finance_Data!I698&gt;=0,Finance_Data!K698&gt;=0),"Valid","Invalid")</f>
        <v>Valid</v>
      </c>
      <c r="K702" s="3" t="str">
        <f>IF(Finance_Data!N698&gt;=0,"Valid","Invalid")</f>
        <v>Valid</v>
      </c>
      <c r="L702" s="3" t="str">
        <f>IF(TEXT(Finance_Data!G698,"mmmm")=Finance_Data!P698,"Valid","Invalid")</f>
        <v>Valid</v>
      </c>
      <c r="M702" s="3" t="str">
        <f>IF("Q"&amp;ROUNDUP(MONTH(Finance_Data!G698)/3,0)=Finance_Data!Q698,"Valid","Invalid")</f>
        <v>Valid</v>
      </c>
      <c r="N702" s="7" t="str">
        <f t="shared" si="10"/>
        <v>Pass</v>
      </c>
    </row>
    <row r="703" spans="1:14" x14ac:dyDescent="0.35">
      <c r="A703" s="17" t="s">
        <v>72</v>
      </c>
      <c r="B703" s="3" t="str">
        <f>IF(ISBLANK(Table3[[#This Row],[Campaign_ID]]),"Invalid","Valid")</f>
        <v>Valid</v>
      </c>
      <c r="C703" s="3" t="str">
        <f>IF(COUNTA(Finance_Data!A699:R699)=18,"Valid","Missing")</f>
        <v>Valid</v>
      </c>
      <c r="D703" s="3" t="str">
        <f>IF(COUNTIF(Finance_Data!$T$2:$T$1001,Finance_Data!T699)&gt;1,"Duplicate","Valid")</f>
        <v>Valid</v>
      </c>
      <c r="E703" s="3" t="str">
        <f>IF(Finance_Data!H699&gt;Finance_Data!G699,"Valid","Invalid")</f>
        <v>Valid</v>
      </c>
      <c r="F703" s="3" t="str" cm="1">
        <f t="array" ref="F703">_xlfn.IFS(Finance_Data!S699&lt;7,"Short",Finance_Data!S699&lt;=30,"Normal",Finance_Data!S699&lt;=60,"Long",Finance_Data!S699&gt;60,"Very Long")</f>
        <v>Normal</v>
      </c>
      <c r="G703" s="3" t="str">
        <f>IF(ABS(Finance_Data!I699*Finance_Data!J699)-Finance_Data!K699&lt;1,"Valid","Invalid")</f>
        <v>Valid</v>
      </c>
      <c r="H703" s="3" t="str">
        <f>IF(Finance_Data!L699&gt;0,"Valid","Invalid")</f>
        <v>Valid</v>
      </c>
      <c r="I703" s="3" t="str">
        <f>IF(Finance_Data!L699&gt;=Finance_Data!M699,"Valid","Invalid")</f>
        <v>Valid</v>
      </c>
      <c r="J703" s="3" t="str">
        <f>IF(AND(Finance_Data!I699&gt;=0,Finance_Data!K699&gt;=0),"Valid","Invalid")</f>
        <v>Valid</v>
      </c>
      <c r="K703" s="3" t="str">
        <f>IF(Finance_Data!N699&gt;=0,"Valid","Invalid")</f>
        <v>Valid</v>
      </c>
      <c r="L703" s="3" t="str">
        <f>IF(TEXT(Finance_Data!G699,"mmmm")=Finance_Data!P699,"Valid","Invalid")</f>
        <v>Valid</v>
      </c>
      <c r="M703" s="3" t="str">
        <f>IF("Q"&amp;ROUNDUP(MONTH(Finance_Data!G699)/3,0)=Finance_Data!Q699,"Valid","Invalid")</f>
        <v>Valid</v>
      </c>
      <c r="N703" s="7" t="str">
        <f t="shared" si="10"/>
        <v>Pass</v>
      </c>
    </row>
    <row r="704" spans="1:14" x14ac:dyDescent="0.35">
      <c r="A704" s="17" t="s">
        <v>55</v>
      </c>
      <c r="B704" s="3" t="str">
        <f>IF(ISBLANK(Table3[[#This Row],[Campaign_ID]]),"Invalid","Valid")</f>
        <v>Valid</v>
      </c>
      <c r="C704" s="3" t="str">
        <f>IF(COUNTA(Finance_Data!A700:R700)=18,"Valid","Missing")</f>
        <v>Valid</v>
      </c>
      <c r="D704" s="3" t="str">
        <f>IF(COUNTIF(Finance_Data!$T$2:$T$1001,Finance_Data!T700)&gt;1,"Duplicate","Valid")</f>
        <v>Valid</v>
      </c>
      <c r="E704" s="3" t="str">
        <f>IF(Finance_Data!H700&gt;Finance_Data!G700,"Valid","Invalid")</f>
        <v>Valid</v>
      </c>
      <c r="F704" s="3" t="str" cm="1">
        <f t="array" ref="F704">_xlfn.IFS(Finance_Data!S700&lt;7,"Short",Finance_Data!S700&lt;=30,"Normal",Finance_Data!S700&lt;=60,"Long",Finance_Data!S700&gt;60,"Very Long")</f>
        <v>Long</v>
      </c>
      <c r="G704" s="3" t="str">
        <f>IF(ABS(Finance_Data!I700*Finance_Data!J700)-Finance_Data!K700&lt;1,"Valid","Invalid")</f>
        <v>Valid</v>
      </c>
      <c r="H704" s="3" t="str">
        <f>IF(Finance_Data!L700&gt;0,"Valid","Invalid")</f>
        <v>Valid</v>
      </c>
      <c r="I704" s="3" t="str">
        <f>IF(Finance_Data!L700&gt;=Finance_Data!M700,"Valid","Invalid")</f>
        <v>Valid</v>
      </c>
      <c r="J704" s="3" t="str">
        <f>IF(AND(Finance_Data!I700&gt;=0,Finance_Data!K700&gt;=0),"Valid","Invalid")</f>
        <v>Valid</v>
      </c>
      <c r="K704" s="3" t="str">
        <f>IF(Finance_Data!N700&gt;=0,"Valid","Invalid")</f>
        <v>Valid</v>
      </c>
      <c r="L704" s="3" t="str">
        <f>IF(TEXT(Finance_Data!G700,"mmmm")=Finance_Data!P700,"Valid","Invalid")</f>
        <v>Valid</v>
      </c>
      <c r="M704" s="3" t="str">
        <f>IF("Q"&amp;ROUNDUP(MONTH(Finance_Data!G700)/3,0)=Finance_Data!Q700,"Valid","Invalid")</f>
        <v>Valid</v>
      </c>
      <c r="N704" s="7" t="str">
        <f t="shared" si="10"/>
        <v>Pass</v>
      </c>
    </row>
    <row r="705" spans="1:14" x14ac:dyDescent="0.35">
      <c r="A705" s="17" t="s">
        <v>55</v>
      </c>
      <c r="B705" s="3" t="str">
        <f>IF(ISBLANK(Table3[[#This Row],[Campaign_ID]]),"Invalid","Valid")</f>
        <v>Valid</v>
      </c>
      <c r="C705" s="3" t="str">
        <f>IF(COUNTA(Finance_Data!A701:R701)=18,"Valid","Missing")</f>
        <v>Valid</v>
      </c>
      <c r="D705" s="3" t="str">
        <f>IF(COUNTIF(Finance_Data!$T$2:$T$1001,Finance_Data!T701)&gt;1,"Duplicate","Valid")</f>
        <v>Valid</v>
      </c>
      <c r="E705" s="3" t="str">
        <f>IF(Finance_Data!H701&gt;Finance_Data!G701,"Valid","Invalid")</f>
        <v>Valid</v>
      </c>
      <c r="F705" s="3" t="str" cm="1">
        <f t="array" ref="F705">_xlfn.IFS(Finance_Data!S701&lt;7,"Short",Finance_Data!S701&lt;=30,"Normal",Finance_Data!S701&lt;=60,"Long",Finance_Data!S701&gt;60,"Very Long")</f>
        <v>Long</v>
      </c>
      <c r="G705" s="3" t="str">
        <f>IF(ABS(Finance_Data!I701*Finance_Data!J701)-Finance_Data!K701&lt;1,"Valid","Invalid")</f>
        <v>Valid</v>
      </c>
      <c r="H705" s="3" t="str">
        <f>IF(Finance_Data!L701&gt;0,"Valid","Invalid")</f>
        <v>Valid</v>
      </c>
      <c r="I705" s="3" t="str">
        <f>IF(Finance_Data!L701&gt;=Finance_Data!M701,"Valid","Invalid")</f>
        <v>Valid</v>
      </c>
      <c r="J705" s="3" t="str">
        <f>IF(AND(Finance_Data!I701&gt;=0,Finance_Data!K701&gt;=0),"Valid","Invalid")</f>
        <v>Valid</v>
      </c>
      <c r="K705" s="3" t="str">
        <f>IF(Finance_Data!N701&gt;=0,"Valid","Invalid")</f>
        <v>Valid</v>
      </c>
      <c r="L705" s="3" t="str">
        <f>IF(TEXT(Finance_Data!G701,"mmmm")=Finance_Data!P701,"Valid","Invalid")</f>
        <v>Valid</v>
      </c>
      <c r="M705" s="3" t="str">
        <f>IF("Q"&amp;ROUNDUP(MONTH(Finance_Data!G701)/3,0)=Finance_Data!Q701,"Valid","Invalid")</f>
        <v>Valid</v>
      </c>
      <c r="N705" s="7" t="str">
        <f t="shared" si="10"/>
        <v>Pass</v>
      </c>
    </row>
    <row r="706" spans="1:14" x14ac:dyDescent="0.35">
      <c r="A706" s="17" t="s">
        <v>94</v>
      </c>
      <c r="B706" s="3" t="str">
        <f>IF(ISBLANK(Table3[[#This Row],[Campaign_ID]]),"Invalid","Valid")</f>
        <v>Valid</v>
      </c>
      <c r="C706" s="3" t="str">
        <f>IF(COUNTA(Finance_Data!A702:R702)=18,"Valid","Missing")</f>
        <v>Valid</v>
      </c>
      <c r="D706" s="3" t="str">
        <f>IF(COUNTIF(Finance_Data!$T$2:$T$1001,Finance_Data!T702)&gt;1,"Duplicate","Valid")</f>
        <v>Valid</v>
      </c>
      <c r="E706" s="3" t="str">
        <f>IF(Finance_Data!H702&gt;Finance_Data!G702,"Valid","Invalid")</f>
        <v>Valid</v>
      </c>
      <c r="F706" s="3" t="str" cm="1">
        <f t="array" ref="F706">_xlfn.IFS(Finance_Data!S702&lt;7,"Short",Finance_Data!S702&lt;=30,"Normal",Finance_Data!S702&lt;=60,"Long",Finance_Data!S702&gt;60,"Very Long")</f>
        <v>Long</v>
      </c>
      <c r="G706" s="3" t="str">
        <f>IF(ABS(Finance_Data!I702*Finance_Data!J702)-Finance_Data!K702&lt;1,"Valid","Invalid")</f>
        <v>Valid</v>
      </c>
      <c r="H706" s="3" t="str">
        <f>IF(Finance_Data!L702&gt;0,"Valid","Invalid")</f>
        <v>Valid</v>
      </c>
      <c r="I706" s="3" t="str">
        <f>IF(Finance_Data!L702&gt;=Finance_Data!M702,"Valid","Invalid")</f>
        <v>Valid</v>
      </c>
      <c r="J706" s="3" t="str">
        <f>IF(AND(Finance_Data!I702&gt;=0,Finance_Data!K702&gt;=0),"Valid","Invalid")</f>
        <v>Valid</v>
      </c>
      <c r="K706" s="3" t="str">
        <f>IF(Finance_Data!N702&gt;=0,"Valid","Invalid")</f>
        <v>Valid</v>
      </c>
      <c r="L706" s="3" t="str">
        <f>IF(TEXT(Finance_Data!G702,"mmmm")=Finance_Data!P702,"Valid","Invalid")</f>
        <v>Valid</v>
      </c>
      <c r="M706" s="3" t="str">
        <f>IF("Q"&amp;ROUNDUP(MONTH(Finance_Data!G702)/3,0)=Finance_Data!Q702,"Valid","Invalid")</f>
        <v>Valid</v>
      </c>
      <c r="N706" s="7" t="str">
        <f t="shared" si="10"/>
        <v>Pass</v>
      </c>
    </row>
    <row r="707" spans="1:14" x14ac:dyDescent="0.35">
      <c r="A707" s="17" t="s">
        <v>93</v>
      </c>
      <c r="B707" s="3" t="str">
        <f>IF(ISBLANK(Table3[[#This Row],[Campaign_ID]]),"Invalid","Valid")</f>
        <v>Valid</v>
      </c>
      <c r="C707" s="3" t="str">
        <f>IF(COUNTA(Finance_Data!A703:R703)=18,"Valid","Missing")</f>
        <v>Valid</v>
      </c>
      <c r="D707" s="3" t="str">
        <f>IF(COUNTIF(Finance_Data!$T$2:$T$1001,Finance_Data!T703)&gt;1,"Duplicate","Valid")</f>
        <v>Valid</v>
      </c>
      <c r="E707" s="3" t="str">
        <f>IF(Finance_Data!H703&gt;Finance_Data!G703,"Valid","Invalid")</f>
        <v>Valid</v>
      </c>
      <c r="F707" s="3" t="str" cm="1">
        <f t="array" ref="F707">_xlfn.IFS(Finance_Data!S703&lt;7,"Short",Finance_Data!S703&lt;=30,"Normal",Finance_Data!S703&lt;=60,"Long",Finance_Data!S703&gt;60,"Very Long")</f>
        <v>Long</v>
      </c>
      <c r="G707" s="3" t="str">
        <f>IF(ABS(Finance_Data!I703*Finance_Data!J703)-Finance_Data!K703&lt;1,"Valid","Invalid")</f>
        <v>Valid</v>
      </c>
      <c r="H707" s="3" t="str">
        <f>IF(Finance_Data!L703&gt;0,"Valid","Invalid")</f>
        <v>Valid</v>
      </c>
      <c r="I707" s="3" t="str">
        <f>IF(Finance_Data!L703&gt;=Finance_Data!M703,"Valid","Invalid")</f>
        <v>Valid</v>
      </c>
      <c r="J707" s="3" t="str">
        <f>IF(AND(Finance_Data!I703&gt;=0,Finance_Data!K703&gt;=0),"Valid","Invalid")</f>
        <v>Valid</v>
      </c>
      <c r="K707" s="3" t="str">
        <f>IF(Finance_Data!N703&gt;=0,"Valid","Invalid")</f>
        <v>Valid</v>
      </c>
      <c r="L707" s="3" t="str">
        <f>IF(TEXT(Finance_Data!G703,"mmmm")=Finance_Data!P703,"Valid","Invalid")</f>
        <v>Valid</v>
      </c>
      <c r="M707" s="3" t="str">
        <f>IF("Q"&amp;ROUNDUP(MONTH(Finance_Data!G703)/3,0)=Finance_Data!Q703,"Valid","Invalid")</f>
        <v>Valid</v>
      </c>
      <c r="N707" s="7" t="str">
        <f t="shared" si="10"/>
        <v>Pass</v>
      </c>
    </row>
    <row r="708" spans="1:14" x14ac:dyDescent="0.35">
      <c r="A708" s="17" t="s">
        <v>110</v>
      </c>
      <c r="B708" s="3" t="str">
        <f>IF(ISBLANK(Table3[[#This Row],[Campaign_ID]]),"Invalid","Valid")</f>
        <v>Valid</v>
      </c>
      <c r="C708" s="3" t="str">
        <f>IF(COUNTA(Finance_Data!A704:R704)=18,"Valid","Missing")</f>
        <v>Valid</v>
      </c>
      <c r="D708" s="3" t="str">
        <f>IF(COUNTIF(Finance_Data!$T$2:$T$1001,Finance_Data!T704)&gt;1,"Duplicate","Valid")</f>
        <v>Valid</v>
      </c>
      <c r="E708" s="3" t="str">
        <f>IF(Finance_Data!H704&gt;Finance_Data!G704,"Valid","Invalid")</f>
        <v>Valid</v>
      </c>
      <c r="F708" s="3" t="str" cm="1">
        <f t="array" ref="F708">_xlfn.IFS(Finance_Data!S704&lt;7,"Short",Finance_Data!S704&lt;=30,"Normal",Finance_Data!S704&lt;=60,"Long",Finance_Data!S704&gt;60,"Very Long")</f>
        <v>Long</v>
      </c>
      <c r="G708" s="3" t="str">
        <f>IF(ABS(Finance_Data!I704*Finance_Data!J704)-Finance_Data!K704&lt;1,"Valid","Invalid")</f>
        <v>Valid</v>
      </c>
      <c r="H708" s="3" t="str">
        <f>IF(Finance_Data!L704&gt;0,"Valid","Invalid")</f>
        <v>Valid</v>
      </c>
      <c r="I708" s="3" t="str">
        <f>IF(Finance_Data!L704&gt;=Finance_Data!M704,"Valid","Invalid")</f>
        <v>Valid</v>
      </c>
      <c r="J708" s="3" t="str">
        <f>IF(AND(Finance_Data!I704&gt;=0,Finance_Data!K704&gt;=0),"Valid","Invalid")</f>
        <v>Valid</v>
      </c>
      <c r="K708" s="3" t="str">
        <f>IF(Finance_Data!N704&gt;=0,"Valid","Invalid")</f>
        <v>Valid</v>
      </c>
      <c r="L708" s="3" t="str">
        <f>IF(TEXT(Finance_Data!G704,"mmmm")=Finance_Data!P704,"Valid","Invalid")</f>
        <v>Valid</v>
      </c>
      <c r="M708" s="3" t="str">
        <f>IF("Q"&amp;ROUNDUP(MONTH(Finance_Data!G704)/3,0)=Finance_Data!Q704,"Valid","Invalid")</f>
        <v>Valid</v>
      </c>
      <c r="N708" s="7" t="str">
        <f t="shared" si="10"/>
        <v>Pass</v>
      </c>
    </row>
    <row r="709" spans="1:14" x14ac:dyDescent="0.35">
      <c r="A709" s="17" t="s">
        <v>86</v>
      </c>
      <c r="B709" s="3" t="str">
        <f>IF(ISBLANK(Table3[[#This Row],[Campaign_ID]]),"Invalid","Valid")</f>
        <v>Valid</v>
      </c>
      <c r="C709" s="3" t="str">
        <f>IF(COUNTA(Finance_Data!A705:R705)=18,"Valid","Missing")</f>
        <v>Valid</v>
      </c>
      <c r="D709" s="3" t="str">
        <f>IF(COUNTIF(Finance_Data!$T$2:$T$1001,Finance_Data!T705)&gt;1,"Duplicate","Valid")</f>
        <v>Valid</v>
      </c>
      <c r="E709" s="3" t="str">
        <f>IF(Finance_Data!H705&gt;Finance_Data!G705,"Valid","Invalid")</f>
        <v>Valid</v>
      </c>
      <c r="F709" s="3" t="str" cm="1">
        <f t="array" ref="F709">_xlfn.IFS(Finance_Data!S705&lt;7,"Short",Finance_Data!S705&lt;=30,"Normal",Finance_Data!S705&lt;=60,"Long",Finance_Data!S705&gt;60,"Very Long")</f>
        <v>Normal</v>
      </c>
      <c r="G709" s="3" t="str">
        <f>IF(ABS(Finance_Data!I705*Finance_Data!J705)-Finance_Data!K705&lt;1,"Valid","Invalid")</f>
        <v>Valid</v>
      </c>
      <c r="H709" s="3" t="str">
        <f>IF(Finance_Data!L705&gt;0,"Valid","Invalid")</f>
        <v>Valid</v>
      </c>
      <c r="I709" s="3" t="str">
        <f>IF(Finance_Data!L705&gt;=Finance_Data!M705,"Valid","Invalid")</f>
        <v>Valid</v>
      </c>
      <c r="J709" s="3" t="str">
        <f>IF(AND(Finance_Data!I705&gt;=0,Finance_Data!K705&gt;=0),"Valid","Invalid")</f>
        <v>Valid</v>
      </c>
      <c r="K709" s="3" t="str">
        <f>IF(Finance_Data!N705&gt;=0,"Valid","Invalid")</f>
        <v>Valid</v>
      </c>
      <c r="L709" s="3" t="str">
        <f>IF(TEXT(Finance_Data!G705,"mmmm")=Finance_Data!P705,"Valid","Invalid")</f>
        <v>Valid</v>
      </c>
      <c r="M709" s="3" t="str">
        <f>IF("Q"&amp;ROUNDUP(MONTH(Finance_Data!G705)/3,0)=Finance_Data!Q705,"Valid","Invalid")</f>
        <v>Valid</v>
      </c>
      <c r="N709" s="7" t="str">
        <f t="shared" si="10"/>
        <v>Pass</v>
      </c>
    </row>
    <row r="710" spans="1:14" x14ac:dyDescent="0.35">
      <c r="A710" s="17" t="s">
        <v>79</v>
      </c>
      <c r="B710" s="3" t="str">
        <f>IF(ISBLANK(Table3[[#This Row],[Campaign_ID]]),"Invalid","Valid")</f>
        <v>Valid</v>
      </c>
      <c r="C710" s="3" t="str">
        <f>IF(COUNTA(Finance_Data!A706:R706)=18,"Valid","Missing")</f>
        <v>Valid</v>
      </c>
      <c r="D710" s="3" t="str">
        <f>IF(COUNTIF(Finance_Data!$T$2:$T$1001,Finance_Data!T706)&gt;1,"Duplicate","Valid")</f>
        <v>Valid</v>
      </c>
      <c r="E710" s="3" t="str">
        <f>IF(Finance_Data!H706&gt;Finance_Data!G706,"Valid","Invalid")</f>
        <v>Valid</v>
      </c>
      <c r="F710" s="3" t="str" cm="1">
        <f t="array" ref="F710">_xlfn.IFS(Finance_Data!S706&lt;7,"Short",Finance_Data!S706&lt;=30,"Normal",Finance_Data!S706&lt;=60,"Long",Finance_Data!S706&gt;60,"Very Long")</f>
        <v>Long</v>
      </c>
      <c r="G710" s="3" t="str">
        <f>IF(ABS(Finance_Data!I706*Finance_Data!J706)-Finance_Data!K706&lt;1,"Valid","Invalid")</f>
        <v>Valid</v>
      </c>
      <c r="H710" s="3" t="str">
        <f>IF(Finance_Data!L706&gt;0,"Valid","Invalid")</f>
        <v>Valid</v>
      </c>
      <c r="I710" s="3" t="str">
        <f>IF(Finance_Data!L706&gt;=Finance_Data!M706,"Valid","Invalid")</f>
        <v>Valid</v>
      </c>
      <c r="J710" s="3" t="str">
        <f>IF(AND(Finance_Data!I706&gt;=0,Finance_Data!K706&gt;=0),"Valid","Invalid")</f>
        <v>Valid</v>
      </c>
      <c r="K710" s="3" t="str">
        <f>IF(Finance_Data!N706&gt;=0,"Valid","Invalid")</f>
        <v>Valid</v>
      </c>
      <c r="L710" s="3" t="str">
        <f>IF(TEXT(Finance_Data!G706,"mmmm")=Finance_Data!P706,"Valid","Invalid")</f>
        <v>Valid</v>
      </c>
      <c r="M710" s="3" t="str">
        <f>IF("Q"&amp;ROUNDUP(MONTH(Finance_Data!G706)/3,0)=Finance_Data!Q706,"Valid","Invalid")</f>
        <v>Valid</v>
      </c>
      <c r="N710" s="7" t="str">
        <f t="shared" ref="N710:N773" si="11">IF(AND(B710="Valid",E710="Valid",G710="Valid",H710="Valid",I710="Valid",J710="Valid",K710="Valid",L710="Valid",M710="Valid"),"Pass","Fail")</f>
        <v>Pass</v>
      </c>
    </row>
    <row r="711" spans="1:14" x14ac:dyDescent="0.35">
      <c r="A711" s="17" t="s">
        <v>83</v>
      </c>
      <c r="B711" s="3" t="str">
        <f>IF(ISBLANK(Table3[[#This Row],[Campaign_ID]]),"Invalid","Valid")</f>
        <v>Valid</v>
      </c>
      <c r="C711" s="3" t="str">
        <f>IF(COUNTA(Finance_Data!A707:R707)=18,"Valid","Missing")</f>
        <v>Valid</v>
      </c>
      <c r="D711" s="3" t="str">
        <f>IF(COUNTIF(Finance_Data!$T$2:$T$1001,Finance_Data!T707)&gt;1,"Duplicate","Valid")</f>
        <v>Valid</v>
      </c>
      <c r="E711" s="3" t="str">
        <f>IF(Finance_Data!H707&gt;Finance_Data!G707,"Valid","Invalid")</f>
        <v>Valid</v>
      </c>
      <c r="F711" s="3" t="str" cm="1">
        <f t="array" ref="F711">_xlfn.IFS(Finance_Data!S707&lt;7,"Short",Finance_Data!S707&lt;=30,"Normal",Finance_Data!S707&lt;=60,"Long",Finance_Data!S707&gt;60,"Very Long")</f>
        <v>Normal</v>
      </c>
      <c r="G711" s="3" t="str">
        <f>IF(ABS(Finance_Data!I707*Finance_Data!J707)-Finance_Data!K707&lt;1,"Valid","Invalid")</f>
        <v>Valid</v>
      </c>
      <c r="H711" s="3" t="str">
        <f>IF(Finance_Data!L707&gt;0,"Valid","Invalid")</f>
        <v>Valid</v>
      </c>
      <c r="I711" s="3" t="str">
        <f>IF(Finance_Data!L707&gt;=Finance_Data!M707,"Valid","Invalid")</f>
        <v>Valid</v>
      </c>
      <c r="J711" s="3" t="str">
        <f>IF(AND(Finance_Data!I707&gt;=0,Finance_Data!K707&gt;=0),"Valid","Invalid")</f>
        <v>Valid</v>
      </c>
      <c r="K711" s="3" t="str">
        <f>IF(Finance_Data!N707&gt;=0,"Valid","Invalid")</f>
        <v>Valid</v>
      </c>
      <c r="L711" s="3" t="str">
        <f>IF(TEXT(Finance_Data!G707,"mmmm")=Finance_Data!P707,"Valid","Invalid")</f>
        <v>Valid</v>
      </c>
      <c r="M711" s="3" t="str">
        <f>IF("Q"&amp;ROUNDUP(MONTH(Finance_Data!G707)/3,0)=Finance_Data!Q707,"Valid","Invalid")</f>
        <v>Valid</v>
      </c>
      <c r="N711" s="7" t="str">
        <f t="shared" si="11"/>
        <v>Pass</v>
      </c>
    </row>
    <row r="712" spans="1:14" x14ac:dyDescent="0.35">
      <c r="A712" s="17" t="s">
        <v>90</v>
      </c>
      <c r="B712" s="3" t="str">
        <f>IF(ISBLANK(Table3[[#This Row],[Campaign_ID]]),"Invalid","Valid")</f>
        <v>Valid</v>
      </c>
      <c r="C712" s="3" t="str">
        <f>IF(COUNTA(Finance_Data!A708:R708)=18,"Valid","Missing")</f>
        <v>Valid</v>
      </c>
      <c r="D712" s="3" t="str">
        <f>IF(COUNTIF(Finance_Data!$T$2:$T$1001,Finance_Data!T708)&gt;1,"Duplicate","Valid")</f>
        <v>Valid</v>
      </c>
      <c r="E712" s="3" t="str">
        <f>IF(Finance_Data!H708&gt;Finance_Data!G708,"Valid","Invalid")</f>
        <v>Valid</v>
      </c>
      <c r="F712" s="3" t="str" cm="1">
        <f t="array" ref="F712">_xlfn.IFS(Finance_Data!S708&lt;7,"Short",Finance_Data!S708&lt;=30,"Normal",Finance_Data!S708&lt;=60,"Long",Finance_Data!S708&gt;60,"Very Long")</f>
        <v>Long</v>
      </c>
      <c r="G712" s="3" t="str">
        <f>IF(ABS(Finance_Data!I708*Finance_Data!J708)-Finance_Data!K708&lt;1,"Valid","Invalid")</f>
        <v>Valid</v>
      </c>
      <c r="H712" s="3" t="str">
        <f>IF(Finance_Data!L708&gt;0,"Valid","Invalid")</f>
        <v>Valid</v>
      </c>
      <c r="I712" s="3" t="str">
        <f>IF(Finance_Data!L708&gt;=Finance_Data!M708,"Valid","Invalid")</f>
        <v>Valid</v>
      </c>
      <c r="J712" s="3" t="str">
        <f>IF(AND(Finance_Data!I708&gt;=0,Finance_Data!K708&gt;=0),"Valid","Invalid")</f>
        <v>Valid</v>
      </c>
      <c r="K712" s="3" t="str">
        <f>IF(Finance_Data!N708&gt;=0,"Valid","Invalid")</f>
        <v>Valid</v>
      </c>
      <c r="L712" s="3" t="str">
        <f>IF(TEXT(Finance_Data!G708,"mmmm")=Finance_Data!P708,"Valid","Invalid")</f>
        <v>Valid</v>
      </c>
      <c r="M712" s="3" t="str">
        <f>IF("Q"&amp;ROUNDUP(MONTH(Finance_Data!G708)/3,0)=Finance_Data!Q708,"Valid","Invalid")</f>
        <v>Valid</v>
      </c>
      <c r="N712" s="7" t="str">
        <f t="shared" si="11"/>
        <v>Pass</v>
      </c>
    </row>
    <row r="713" spans="1:14" x14ac:dyDescent="0.35">
      <c r="A713" s="17" t="s">
        <v>113</v>
      </c>
      <c r="B713" s="3" t="str">
        <f>IF(ISBLANK(Table3[[#This Row],[Campaign_ID]]),"Invalid","Valid")</f>
        <v>Valid</v>
      </c>
      <c r="C713" s="3" t="str">
        <f>IF(COUNTA(Finance_Data!A709:R709)=18,"Valid","Missing")</f>
        <v>Valid</v>
      </c>
      <c r="D713" s="3" t="str">
        <f>IF(COUNTIF(Finance_Data!$T$2:$T$1001,Finance_Data!T709)&gt;1,"Duplicate","Valid")</f>
        <v>Valid</v>
      </c>
      <c r="E713" s="3" t="str">
        <f>IF(Finance_Data!H709&gt;Finance_Data!G709,"Valid","Invalid")</f>
        <v>Valid</v>
      </c>
      <c r="F713" s="3" t="str" cm="1">
        <f t="array" ref="F713">_xlfn.IFS(Finance_Data!S709&lt;7,"Short",Finance_Data!S709&lt;=30,"Normal",Finance_Data!S709&lt;=60,"Long",Finance_Data!S709&gt;60,"Very Long")</f>
        <v>Normal</v>
      </c>
      <c r="G713" s="3" t="str">
        <f>IF(ABS(Finance_Data!I709*Finance_Data!J709)-Finance_Data!K709&lt;1,"Valid","Invalid")</f>
        <v>Valid</v>
      </c>
      <c r="H713" s="3" t="str">
        <f>IF(Finance_Data!L709&gt;0,"Valid","Invalid")</f>
        <v>Valid</v>
      </c>
      <c r="I713" s="3" t="str">
        <f>IF(Finance_Data!L709&gt;=Finance_Data!M709,"Valid","Invalid")</f>
        <v>Valid</v>
      </c>
      <c r="J713" s="3" t="str">
        <f>IF(AND(Finance_Data!I709&gt;=0,Finance_Data!K709&gt;=0),"Valid","Invalid")</f>
        <v>Valid</v>
      </c>
      <c r="K713" s="3" t="str">
        <f>IF(Finance_Data!N709&gt;=0,"Valid","Invalid")</f>
        <v>Valid</v>
      </c>
      <c r="L713" s="3" t="str">
        <f>IF(TEXT(Finance_Data!G709,"mmmm")=Finance_Data!P709,"Valid","Invalid")</f>
        <v>Valid</v>
      </c>
      <c r="M713" s="3" t="str">
        <f>IF("Q"&amp;ROUNDUP(MONTH(Finance_Data!G709)/3,0)=Finance_Data!Q709,"Valid","Invalid")</f>
        <v>Valid</v>
      </c>
      <c r="N713" s="7" t="str">
        <f t="shared" si="11"/>
        <v>Pass</v>
      </c>
    </row>
    <row r="714" spans="1:14" x14ac:dyDescent="0.35">
      <c r="A714" s="17" t="s">
        <v>82</v>
      </c>
      <c r="B714" s="3" t="str">
        <f>IF(ISBLANK(Table3[[#This Row],[Campaign_ID]]),"Invalid","Valid")</f>
        <v>Valid</v>
      </c>
      <c r="C714" s="3" t="str">
        <f>IF(COUNTA(Finance_Data!A710:R710)=18,"Valid","Missing")</f>
        <v>Valid</v>
      </c>
      <c r="D714" s="3" t="str">
        <f>IF(COUNTIF(Finance_Data!$T$2:$T$1001,Finance_Data!T710)&gt;1,"Duplicate","Valid")</f>
        <v>Valid</v>
      </c>
      <c r="E714" s="3" t="str">
        <f>IF(Finance_Data!H710&gt;Finance_Data!G710,"Valid","Invalid")</f>
        <v>Valid</v>
      </c>
      <c r="F714" s="3" t="str" cm="1">
        <f t="array" ref="F714">_xlfn.IFS(Finance_Data!S710&lt;7,"Short",Finance_Data!S710&lt;=30,"Normal",Finance_Data!S710&lt;=60,"Long",Finance_Data!S710&gt;60,"Very Long")</f>
        <v>Long</v>
      </c>
      <c r="G714" s="3" t="str">
        <f>IF(ABS(Finance_Data!I710*Finance_Data!J710)-Finance_Data!K710&lt;1,"Valid","Invalid")</f>
        <v>Valid</v>
      </c>
      <c r="H714" s="3" t="str">
        <f>IF(Finance_Data!L710&gt;0,"Valid","Invalid")</f>
        <v>Valid</v>
      </c>
      <c r="I714" s="3" t="str">
        <f>IF(Finance_Data!L710&gt;=Finance_Data!M710,"Valid","Invalid")</f>
        <v>Valid</v>
      </c>
      <c r="J714" s="3" t="str">
        <f>IF(AND(Finance_Data!I710&gt;=0,Finance_Data!K710&gt;=0),"Valid","Invalid")</f>
        <v>Valid</v>
      </c>
      <c r="K714" s="3" t="str">
        <f>IF(Finance_Data!N710&gt;=0,"Valid","Invalid")</f>
        <v>Valid</v>
      </c>
      <c r="L714" s="3" t="str">
        <f>IF(TEXT(Finance_Data!G710,"mmmm")=Finance_Data!P710,"Valid","Invalid")</f>
        <v>Valid</v>
      </c>
      <c r="M714" s="3" t="str">
        <f>IF("Q"&amp;ROUNDUP(MONTH(Finance_Data!G710)/3,0)=Finance_Data!Q710,"Valid","Invalid")</f>
        <v>Valid</v>
      </c>
      <c r="N714" s="7" t="str">
        <f t="shared" si="11"/>
        <v>Pass</v>
      </c>
    </row>
    <row r="715" spans="1:14" x14ac:dyDescent="0.35">
      <c r="A715" s="17" t="s">
        <v>84</v>
      </c>
      <c r="B715" s="3" t="str">
        <f>IF(ISBLANK(Table3[[#This Row],[Campaign_ID]]),"Invalid","Valid")</f>
        <v>Valid</v>
      </c>
      <c r="C715" s="3" t="str">
        <f>IF(COUNTA(Finance_Data!A711:R711)=18,"Valid","Missing")</f>
        <v>Valid</v>
      </c>
      <c r="D715" s="3" t="str">
        <f>IF(COUNTIF(Finance_Data!$T$2:$T$1001,Finance_Data!T711)&gt;1,"Duplicate","Valid")</f>
        <v>Valid</v>
      </c>
      <c r="E715" s="3" t="str">
        <f>IF(Finance_Data!H711&gt;Finance_Data!G711,"Valid","Invalid")</f>
        <v>Valid</v>
      </c>
      <c r="F715" s="3" t="str" cm="1">
        <f t="array" ref="F715">_xlfn.IFS(Finance_Data!S711&lt;7,"Short",Finance_Data!S711&lt;=30,"Normal",Finance_Data!S711&lt;=60,"Long",Finance_Data!S711&gt;60,"Very Long")</f>
        <v>Long</v>
      </c>
      <c r="G715" s="3" t="str">
        <f>IF(ABS(Finance_Data!I711*Finance_Data!J711)-Finance_Data!K711&lt;1,"Valid","Invalid")</f>
        <v>Valid</v>
      </c>
      <c r="H715" s="3" t="str">
        <f>IF(Finance_Data!L711&gt;0,"Valid","Invalid")</f>
        <v>Valid</v>
      </c>
      <c r="I715" s="3" t="str">
        <f>IF(Finance_Data!L711&gt;=Finance_Data!M711,"Valid","Invalid")</f>
        <v>Valid</v>
      </c>
      <c r="J715" s="3" t="str">
        <f>IF(AND(Finance_Data!I711&gt;=0,Finance_Data!K711&gt;=0),"Valid","Invalid")</f>
        <v>Valid</v>
      </c>
      <c r="K715" s="3" t="str">
        <f>IF(Finance_Data!N711&gt;=0,"Valid","Invalid")</f>
        <v>Valid</v>
      </c>
      <c r="L715" s="3" t="str">
        <f>IF(TEXT(Finance_Data!G711,"mmmm")=Finance_Data!P711,"Valid","Invalid")</f>
        <v>Valid</v>
      </c>
      <c r="M715" s="3" t="str">
        <f>IF("Q"&amp;ROUNDUP(MONTH(Finance_Data!G711)/3,0)=Finance_Data!Q711,"Valid","Invalid")</f>
        <v>Valid</v>
      </c>
      <c r="N715" s="7" t="str">
        <f t="shared" si="11"/>
        <v>Pass</v>
      </c>
    </row>
    <row r="716" spans="1:14" x14ac:dyDescent="0.35">
      <c r="A716" s="17" t="s">
        <v>108</v>
      </c>
      <c r="B716" s="3" t="str">
        <f>IF(ISBLANK(Table3[[#This Row],[Campaign_ID]]),"Invalid","Valid")</f>
        <v>Valid</v>
      </c>
      <c r="C716" s="3" t="str">
        <f>IF(COUNTA(Finance_Data!A712:R712)=18,"Valid","Missing")</f>
        <v>Valid</v>
      </c>
      <c r="D716" s="3" t="str">
        <f>IF(COUNTIF(Finance_Data!$T$2:$T$1001,Finance_Data!T712)&gt;1,"Duplicate","Valid")</f>
        <v>Valid</v>
      </c>
      <c r="E716" s="3" t="str">
        <f>IF(Finance_Data!H712&gt;Finance_Data!G712,"Valid","Invalid")</f>
        <v>Valid</v>
      </c>
      <c r="F716" s="3" t="str" cm="1">
        <f t="array" ref="F716">_xlfn.IFS(Finance_Data!S712&lt;7,"Short",Finance_Data!S712&lt;=30,"Normal",Finance_Data!S712&lt;=60,"Long",Finance_Data!S712&gt;60,"Very Long")</f>
        <v>Normal</v>
      </c>
      <c r="G716" s="3" t="str">
        <f>IF(ABS(Finance_Data!I712*Finance_Data!J712)-Finance_Data!K712&lt;1,"Valid","Invalid")</f>
        <v>Valid</v>
      </c>
      <c r="H716" s="3" t="str">
        <f>IF(Finance_Data!L712&gt;0,"Valid","Invalid")</f>
        <v>Valid</v>
      </c>
      <c r="I716" s="3" t="str">
        <f>IF(Finance_Data!L712&gt;=Finance_Data!M712,"Valid","Invalid")</f>
        <v>Invalid</v>
      </c>
      <c r="J716" s="3" t="str">
        <f>IF(AND(Finance_Data!I712&gt;=0,Finance_Data!K712&gt;=0),"Valid","Invalid")</f>
        <v>Valid</v>
      </c>
      <c r="K716" s="3" t="str">
        <f>IF(Finance_Data!N712&gt;=0,"Valid","Invalid")</f>
        <v>Valid</v>
      </c>
      <c r="L716" s="3" t="str">
        <f>IF(TEXT(Finance_Data!G712,"mmmm")=Finance_Data!P712,"Valid","Invalid")</f>
        <v>Valid</v>
      </c>
      <c r="M716" s="3" t="str">
        <f>IF("Q"&amp;ROUNDUP(MONTH(Finance_Data!G712)/3,0)=Finance_Data!Q712,"Valid","Invalid")</f>
        <v>Valid</v>
      </c>
      <c r="N716" s="7" t="str">
        <f t="shared" si="11"/>
        <v>Fail</v>
      </c>
    </row>
    <row r="717" spans="1:14" x14ac:dyDescent="0.35">
      <c r="A717" s="17" t="s">
        <v>100</v>
      </c>
      <c r="B717" s="3" t="str">
        <f>IF(ISBLANK(Table3[[#This Row],[Campaign_ID]]),"Invalid","Valid")</f>
        <v>Valid</v>
      </c>
      <c r="C717" s="3" t="str">
        <f>IF(COUNTA(Finance_Data!A713:R713)=18,"Valid","Missing")</f>
        <v>Valid</v>
      </c>
      <c r="D717" s="3" t="str">
        <f>IF(COUNTIF(Finance_Data!$T$2:$T$1001,Finance_Data!T713)&gt;1,"Duplicate","Valid")</f>
        <v>Valid</v>
      </c>
      <c r="E717" s="3" t="str">
        <f>IF(Finance_Data!H713&gt;Finance_Data!G713,"Valid","Invalid")</f>
        <v>Valid</v>
      </c>
      <c r="F717" s="3" t="str" cm="1">
        <f t="array" ref="F717">_xlfn.IFS(Finance_Data!S713&lt;7,"Short",Finance_Data!S713&lt;=30,"Normal",Finance_Data!S713&lt;=60,"Long",Finance_Data!S713&gt;60,"Very Long")</f>
        <v>Long</v>
      </c>
      <c r="G717" s="3" t="str">
        <f>IF(ABS(Finance_Data!I713*Finance_Data!J713)-Finance_Data!K713&lt;1,"Valid","Invalid")</f>
        <v>Valid</v>
      </c>
      <c r="H717" s="3" t="str">
        <f>IF(Finance_Data!L713&gt;0,"Valid","Invalid")</f>
        <v>Valid</v>
      </c>
      <c r="I717" s="3" t="str">
        <f>IF(Finance_Data!L713&gt;=Finance_Data!M713,"Valid","Invalid")</f>
        <v>Valid</v>
      </c>
      <c r="J717" s="3" t="str">
        <f>IF(AND(Finance_Data!I713&gt;=0,Finance_Data!K713&gt;=0),"Valid","Invalid")</f>
        <v>Valid</v>
      </c>
      <c r="K717" s="3" t="str">
        <f>IF(Finance_Data!N713&gt;=0,"Valid","Invalid")</f>
        <v>Valid</v>
      </c>
      <c r="L717" s="3" t="str">
        <f>IF(TEXT(Finance_Data!G713,"mmmm")=Finance_Data!P713,"Valid","Invalid")</f>
        <v>Valid</v>
      </c>
      <c r="M717" s="3" t="str">
        <f>IF("Q"&amp;ROUNDUP(MONTH(Finance_Data!G713)/3,0)=Finance_Data!Q713,"Valid","Invalid")</f>
        <v>Valid</v>
      </c>
      <c r="N717" s="7" t="str">
        <f t="shared" si="11"/>
        <v>Pass</v>
      </c>
    </row>
    <row r="718" spans="1:14" x14ac:dyDescent="0.35">
      <c r="A718" s="17" t="s">
        <v>75</v>
      </c>
      <c r="B718" s="3" t="str">
        <f>IF(ISBLANK(Table3[[#This Row],[Campaign_ID]]),"Invalid","Valid")</f>
        <v>Valid</v>
      </c>
      <c r="C718" s="3" t="str">
        <f>IF(COUNTA(Finance_Data!A714:R714)=18,"Valid","Missing")</f>
        <v>Valid</v>
      </c>
      <c r="D718" s="3" t="str">
        <f>IF(COUNTIF(Finance_Data!$T$2:$T$1001,Finance_Data!T714)&gt;1,"Duplicate","Valid")</f>
        <v>Valid</v>
      </c>
      <c r="E718" s="3" t="str">
        <f>IF(Finance_Data!H714&gt;Finance_Data!G714,"Valid","Invalid")</f>
        <v>Valid</v>
      </c>
      <c r="F718" s="3" t="str" cm="1">
        <f t="array" ref="F718">_xlfn.IFS(Finance_Data!S714&lt;7,"Short",Finance_Data!S714&lt;=30,"Normal",Finance_Data!S714&lt;=60,"Long",Finance_Data!S714&gt;60,"Very Long")</f>
        <v>Long</v>
      </c>
      <c r="G718" s="3" t="str">
        <f>IF(ABS(Finance_Data!I714*Finance_Data!J714)-Finance_Data!K714&lt;1,"Valid","Invalid")</f>
        <v>Valid</v>
      </c>
      <c r="H718" s="3" t="str">
        <f>IF(Finance_Data!L714&gt;0,"Valid","Invalid")</f>
        <v>Valid</v>
      </c>
      <c r="I718" s="3" t="str">
        <f>IF(Finance_Data!L714&gt;=Finance_Data!M714,"Valid","Invalid")</f>
        <v>Valid</v>
      </c>
      <c r="J718" s="3" t="str">
        <f>IF(AND(Finance_Data!I714&gt;=0,Finance_Data!K714&gt;=0),"Valid","Invalid")</f>
        <v>Valid</v>
      </c>
      <c r="K718" s="3" t="str">
        <f>IF(Finance_Data!N714&gt;=0,"Valid","Invalid")</f>
        <v>Valid</v>
      </c>
      <c r="L718" s="3" t="str">
        <f>IF(TEXT(Finance_Data!G714,"mmmm")=Finance_Data!P714,"Valid","Invalid")</f>
        <v>Valid</v>
      </c>
      <c r="M718" s="3" t="str">
        <f>IF("Q"&amp;ROUNDUP(MONTH(Finance_Data!G714)/3,0)=Finance_Data!Q714,"Valid","Invalid")</f>
        <v>Valid</v>
      </c>
      <c r="N718" s="7" t="str">
        <f t="shared" si="11"/>
        <v>Pass</v>
      </c>
    </row>
    <row r="719" spans="1:14" x14ac:dyDescent="0.35">
      <c r="A719" s="17" t="s">
        <v>72</v>
      </c>
      <c r="B719" s="3" t="str">
        <f>IF(ISBLANK(Table3[[#This Row],[Campaign_ID]]),"Invalid","Valid")</f>
        <v>Valid</v>
      </c>
      <c r="C719" s="3" t="str">
        <f>IF(COUNTA(Finance_Data!A715:R715)=18,"Valid","Missing")</f>
        <v>Valid</v>
      </c>
      <c r="D719" s="3" t="str">
        <f>IF(COUNTIF(Finance_Data!$T$2:$T$1001,Finance_Data!T715)&gt;1,"Duplicate","Valid")</f>
        <v>Valid</v>
      </c>
      <c r="E719" s="3" t="str">
        <f>IF(Finance_Data!H715&gt;Finance_Data!G715,"Valid","Invalid")</f>
        <v>Valid</v>
      </c>
      <c r="F719" s="3" t="str" cm="1">
        <f t="array" ref="F719">_xlfn.IFS(Finance_Data!S715&lt;7,"Short",Finance_Data!S715&lt;=30,"Normal",Finance_Data!S715&lt;=60,"Long",Finance_Data!S715&gt;60,"Very Long")</f>
        <v>Normal</v>
      </c>
      <c r="G719" s="3" t="str">
        <f>IF(ABS(Finance_Data!I715*Finance_Data!J715)-Finance_Data!K715&lt;1,"Valid","Invalid")</f>
        <v>Valid</v>
      </c>
      <c r="H719" s="3" t="str">
        <f>IF(Finance_Data!L715&gt;0,"Valid","Invalid")</f>
        <v>Valid</v>
      </c>
      <c r="I719" s="3" t="str">
        <f>IF(Finance_Data!L715&gt;=Finance_Data!M715,"Valid","Invalid")</f>
        <v>Valid</v>
      </c>
      <c r="J719" s="3" t="str">
        <f>IF(AND(Finance_Data!I715&gt;=0,Finance_Data!K715&gt;=0),"Valid","Invalid")</f>
        <v>Valid</v>
      </c>
      <c r="K719" s="3" t="str">
        <f>IF(Finance_Data!N715&gt;=0,"Valid","Invalid")</f>
        <v>Valid</v>
      </c>
      <c r="L719" s="3" t="str">
        <f>IF(TEXT(Finance_Data!G715,"mmmm")=Finance_Data!P715,"Valid","Invalid")</f>
        <v>Valid</v>
      </c>
      <c r="M719" s="3" t="str">
        <f>IF("Q"&amp;ROUNDUP(MONTH(Finance_Data!G715)/3,0)=Finance_Data!Q715,"Valid","Invalid")</f>
        <v>Valid</v>
      </c>
      <c r="N719" s="7" t="str">
        <f t="shared" si="11"/>
        <v>Pass</v>
      </c>
    </row>
    <row r="720" spans="1:14" x14ac:dyDescent="0.35">
      <c r="A720" s="17" t="s">
        <v>71</v>
      </c>
      <c r="B720" s="3" t="str">
        <f>IF(ISBLANK(Table3[[#This Row],[Campaign_ID]]),"Invalid","Valid")</f>
        <v>Valid</v>
      </c>
      <c r="C720" s="3" t="str">
        <f>IF(COUNTA(Finance_Data!A716:R716)=18,"Valid","Missing")</f>
        <v>Valid</v>
      </c>
      <c r="D720" s="3" t="str">
        <f>IF(COUNTIF(Finance_Data!$T$2:$T$1001,Finance_Data!T716)&gt;1,"Duplicate","Valid")</f>
        <v>Valid</v>
      </c>
      <c r="E720" s="3" t="str">
        <f>IF(Finance_Data!H716&gt;Finance_Data!G716,"Valid","Invalid")</f>
        <v>Valid</v>
      </c>
      <c r="F720" s="3" t="str" cm="1">
        <f t="array" ref="F720">_xlfn.IFS(Finance_Data!S716&lt;7,"Short",Finance_Data!S716&lt;=30,"Normal",Finance_Data!S716&lt;=60,"Long",Finance_Data!S716&gt;60,"Very Long")</f>
        <v>Long</v>
      </c>
      <c r="G720" s="3" t="str">
        <f>IF(ABS(Finance_Data!I716*Finance_Data!J716)-Finance_Data!K716&lt;1,"Valid","Invalid")</f>
        <v>Valid</v>
      </c>
      <c r="H720" s="3" t="str">
        <f>IF(Finance_Data!L716&gt;0,"Valid","Invalid")</f>
        <v>Valid</v>
      </c>
      <c r="I720" s="3" t="str">
        <f>IF(Finance_Data!L716&gt;=Finance_Data!M716,"Valid","Invalid")</f>
        <v>Valid</v>
      </c>
      <c r="J720" s="3" t="str">
        <f>IF(AND(Finance_Data!I716&gt;=0,Finance_Data!K716&gt;=0),"Valid","Invalid")</f>
        <v>Valid</v>
      </c>
      <c r="K720" s="3" t="str">
        <f>IF(Finance_Data!N716&gt;=0,"Valid","Invalid")</f>
        <v>Valid</v>
      </c>
      <c r="L720" s="3" t="str">
        <f>IF(TEXT(Finance_Data!G716,"mmmm")=Finance_Data!P716,"Valid","Invalid")</f>
        <v>Valid</v>
      </c>
      <c r="M720" s="3" t="str">
        <f>IF("Q"&amp;ROUNDUP(MONTH(Finance_Data!G716)/3,0)=Finance_Data!Q716,"Valid","Invalid")</f>
        <v>Valid</v>
      </c>
      <c r="N720" s="7" t="str">
        <f t="shared" si="11"/>
        <v>Pass</v>
      </c>
    </row>
    <row r="721" spans="1:14" x14ac:dyDescent="0.35">
      <c r="A721" s="17" t="s">
        <v>109</v>
      </c>
      <c r="B721" s="3" t="str">
        <f>IF(ISBLANK(Table3[[#This Row],[Campaign_ID]]),"Invalid","Valid")</f>
        <v>Valid</v>
      </c>
      <c r="C721" s="3" t="str">
        <f>IF(COUNTA(Finance_Data!A717:R717)=18,"Valid","Missing")</f>
        <v>Valid</v>
      </c>
      <c r="D721" s="3" t="str">
        <f>IF(COUNTIF(Finance_Data!$T$2:$T$1001,Finance_Data!T717)&gt;1,"Duplicate","Valid")</f>
        <v>Valid</v>
      </c>
      <c r="E721" s="3" t="str">
        <f>IF(Finance_Data!H717&gt;Finance_Data!G717,"Valid","Invalid")</f>
        <v>Valid</v>
      </c>
      <c r="F721" s="3" t="str" cm="1">
        <f t="array" ref="F721">_xlfn.IFS(Finance_Data!S717&lt;7,"Short",Finance_Data!S717&lt;=30,"Normal",Finance_Data!S717&lt;=60,"Long",Finance_Data!S717&gt;60,"Very Long")</f>
        <v>Long</v>
      </c>
      <c r="G721" s="3" t="str">
        <f>IF(ABS(Finance_Data!I717*Finance_Data!J717)-Finance_Data!K717&lt;1,"Valid","Invalid")</f>
        <v>Valid</v>
      </c>
      <c r="H721" s="3" t="str">
        <f>IF(Finance_Data!L717&gt;0,"Valid","Invalid")</f>
        <v>Valid</v>
      </c>
      <c r="I721" s="3" t="str">
        <f>IF(Finance_Data!L717&gt;=Finance_Data!M717,"Valid","Invalid")</f>
        <v>Valid</v>
      </c>
      <c r="J721" s="3" t="str">
        <f>IF(AND(Finance_Data!I717&gt;=0,Finance_Data!K717&gt;=0),"Valid","Invalid")</f>
        <v>Valid</v>
      </c>
      <c r="K721" s="3" t="str">
        <f>IF(Finance_Data!N717&gt;=0,"Valid","Invalid")</f>
        <v>Valid</v>
      </c>
      <c r="L721" s="3" t="str">
        <f>IF(TEXT(Finance_Data!G717,"mmmm")=Finance_Data!P717,"Valid","Invalid")</f>
        <v>Valid</v>
      </c>
      <c r="M721" s="3" t="str">
        <f>IF("Q"&amp;ROUNDUP(MONTH(Finance_Data!G717)/3,0)=Finance_Data!Q717,"Valid","Invalid")</f>
        <v>Valid</v>
      </c>
      <c r="N721" s="7" t="str">
        <f t="shared" si="11"/>
        <v>Pass</v>
      </c>
    </row>
    <row r="722" spans="1:14" x14ac:dyDescent="0.35">
      <c r="A722" s="17" t="s">
        <v>27</v>
      </c>
      <c r="B722" s="3" t="str">
        <f>IF(ISBLANK(Table3[[#This Row],[Campaign_ID]]),"Invalid","Valid")</f>
        <v>Valid</v>
      </c>
      <c r="C722" s="3" t="str">
        <f>IF(COUNTA(Finance_Data!A718:R718)=18,"Valid","Missing")</f>
        <v>Valid</v>
      </c>
      <c r="D722" s="3" t="str">
        <f>IF(COUNTIF(Finance_Data!$T$2:$T$1001,Finance_Data!T718)&gt;1,"Duplicate","Valid")</f>
        <v>Valid</v>
      </c>
      <c r="E722" s="3" t="str">
        <f>IF(Finance_Data!H718&gt;Finance_Data!G718,"Valid","Invalid")</f>
        <v>Valid</v>
      </c>
      <c r="F722" s="3" t="str" cm="1">
        <f t="array" ref="F722">_xlfn.IFS(Finance_Data!S718&lt;7,"Short",Finance_Data!S718&lt;=30,"Normal",Finance_Data!S718&lt;=60,"Long",Finance_Data!S718&gt;60,"Very Long")</f>
        <v>Normal</v>
      </c>
      <c r="G722" s="3" t="str">
        <f>IF(ABS(Finance_Data!I718*Finance_Data!J718)-Finance_Data!K718&lt;1,"Valid","Invalid")</f>
        <v>Valid</v>
      </c>
      <c r="H722" s="3" t="str">
        <f>IF(Finance_Data!L718&gt;0,"Valid","Invalid")</f>
        <v>Valid</v>
      </c>
      <c r="I722" s="3" t="str">
        <f>IF(Finance_Data!L718&gt;=Finance_Data!M718,"Valid","Invalid")</f>
        <v>Valid</v>
      </c>
      <c r="J722" s="3" t="str">
        <f>IF(AND(Finance_Data!I718&gt;=0,Finance_Data!K718&gt;=0),"Valid","Invalid")</f>
        <v>Valid</v>
      </c>
      <c r="K722" s="3" t="str">
        <f>IF(Finance_Data!N718&gt;=0,"Valid","Invalid")</f>
        <v>Valid</v>
      </c>
      <c r="L722" s="3" t="str">
        <f>IF(TEXT(Finance_Data!G718,"mmmm")=Finance_Data!P718,"Valid","Invalid")</f>
        <v>Valid</v>
      </c>
      <c r="M722" s="3" t="str">
        <f>IF("Q"&amp;ROUNDUP(MONTH(Finance_Data!G718)/3,0)=Finance_Data!Q718,"Valid","Invalid")</f>
        <v>Valid</v>
      </c>
      <c r="N722" s="7" t="str">
        <f t="shared" si="11"/>
        <v>Pass</v>
      </c>
    </row>
    <row r="723" spans="1:14" x14ac:dyDescent="0.35">
      <c r="A723" s="17" t="s">
        <v>18</v>
      </c>
      <c r="B723" s="3" t="str">
        <f>IF(ISBLANK(Table3[[#This Row],[Campaign_ID]]),"Invalid","Valid")</f>
        <v>Valid</v>
      </c>
      <c r="C723" s="3" t="str">
        <f>IF(COUNTA(Finance_Data!A719:R719)=18,"Valid","Missing")</f>
        <v>Valid</v>
      </c>
      <c r="D723" s="3" t="str">
        <f>IF(COUNTIF(Finance_Data!$T$2:$T$1001,Finance_Data!T719)&gt;1,"Duplicate","Valid")</f>
        <v>Valid</v>
      </c>
      <c r="E723" s="3" t="str">
        <f>IF(Finance_Data!H719&gt;Finance_Data!G719,"Valid","Invalid")</f>
        <v>Valid</v>
      </c>
      <c r="F723" s="3" t="str" cm="1">
        <f t="array" ref="F723">_xlfn.IFS(Finance_Data!S719&lt;7,"Short",Finance_Data!S719&lt;=30,"Normal",Finance_Data!S719&lt;=60,"Long",Finance_Data!S719&gt;60,"Very Long")</f>
        <v>Normal</v>
      </c>
      <c r="G723" s="3" t="str">
        <f>IF(ABS(Finance_Data!I719*Finance_Data!J719)-Finance_Data!K719&lt;1,"Valid","Invalid")</f>
        <v>Valid</v>
      </c>
      <c r="H723" s="3" t="str">
        <f>IF(Finance_Data!L719&gt;0,"Valid","Invalid")</f>
        <v>Valid</v>
      </c>
      <c r="I723" s="3" t="str">
        <f>IF(Finance_Data!L719&gt;=Finance_Data!M719,"Valid","Invalid")</f>
        <v>Valid</v>
      </c>
      <c r="J723" s="3" t="str">
        <f>IF(AND(Finance_Data!I719&gt;=0,Finance_Data!K719&gt;=0),"Valid","Invalid")</f>
        <v>Valid</v>
      </c>
      <c r="K723" s="3" t="str">
        <f>IF(Finance_Data!N719&gt;=0,"Valid","Invalid")</f>
        <v>Valid</v>
      </c>
      <c r="L723" s="3" t="str">
        <f>IF(TEXT(Finance_Data!G719,"mmmm")=Finance_Data!P719,"Valid","Invalid")</f>
        <v>Valid</v>
      </c>
      <c r="M723" s="3" t="str">
        <f>IF("Q"&amp;ROUNDUP(MONTH(Finance_Data!G719)/3,0)=Finance_Data!Q719,"Valid","Invalid")</f>
        <v>Valid</v>
      </c>
      <c r="N723" s="7" t="str">
        <f t="shared" si="11"/>
        <v>Pass</v>
      </c>
    </row>
    <row r="724" spans="1:14" x14ac:dyDescent="0.35">
      <c r="A724" s="17" t="s">
        <v>113</v>
      </c>
      <c r="B724" s="3" t="str">
        <f>IF(ISBLANK(Table3[[#This Row],[Campaign_ID]]),"Invalid","Valid")</f>
        <v>Valid</v>
      </c>
      <c r="C724" s="3" t="str">
        <f>IF(COUNTA(Finance_Data!A720:R720)=18,"Valid","Missing")</f>
        <v>Valid</v>
      </c>
      <c r="D724" s="3" t="str">
        <f>IF(COUNTIF(Finance_Data!$T$2:$T$1001,Finance_Data!T720)&gt;1,"Duplicate","Valid")</f>
        <v>Valid</v>
      </c>
      <c r="E724" s="3" t="str">
        <f>IF(Finance_Data!H720&gt;Finance_Data!G720,"Valid","Invalid")</f>
        <v>Valid</v>
      </c>
      <c r="F724" s="3" t="str" cm="1">
        <f t="array" ref="F724">_xlfn.IFS(Finance_Data!S720&lt;7,"Short",Finance_Data!S720&lt;=30,"Normal",Finance_Data!S720&lt;=60,"Long",Finance_Data!S720&gt;60,"Very Long")</f>
        <v>Long</v>
      </c>
      <c r="G724" s="3" t="str">
        <f>IF(ABS(Finance_Data!I720*Finance_Data!J720)-Finance_Data!K720&lt;1,"Valid","Invalid")</f>
        <v>Valid</v>
      </c>
      <c r="H724" s="3" t="str">
        <f>IF(Finance_Data!L720&gt;0,"Valid","Invalid")</f>
        <v>Valid</v>
      </c>
      <c r="I724" s="3" t="str">
        <f>IF(Finance_Data!L720&gt;=Finance_Data!M720,"Valid","Invalid")</f>
        <v>Valid</v>
      </c>
      <c r="J724" s="3" t="str">
        <f>IF(AND(Finance_Data!I720&gt;=0,Finance_Data!K720&gt;=0),"Valid","Invalid")</f>
        <v>Valid</v>
      </c>
      <c r="K724" s="3" t="str">
        <f>IF(Finance_Data!N720&gt;=0,"Valid","Invalid")</f>
        <v>Valid</v>
      </c>
      <c r="L724" s="3" t="str">
        <f>IF(TEXT(Finance_Data!G720,"mmmm")=Finance_Data!P720,"Valid","Invalid")</f>
        <v>Valid</v>
      </c>
      <c r="M724" s="3" t="str">
        <f>IF("Q"&amp;ROUNDUP(MONTH(Finance_Data!G720)/3,0)=Finance_Data!Q720,"Valid","Invalid")</f>
        <v>Valid</v>
      </c>
      <c r="N724" s="7" t="str">
        <f t="shared" si="11"/>
        <v>Pass</v>
      </c>
    </row>
    <row r="725" spans="1:14" x14ac:dyDescent="0.35">
      <c r="A725" s="17" t="s">
        <v>81</v>
      </c>
      <c r="B725" s="3" t="str">
        <f>IF(ISBLANK(Table3[[#This Row],[Campaign_ID]]),"Invalid","Valid")</f>
        <v>Valid</v>
      </c>
      <c r="C725" s="3" t="str">
        <f>IF(COUNTA(Finance_Data!A721:R721)=18,"Valid","Missing")</f>
        <v>Valid</v>
      </c>
      <c r="D725" s="3" t="str">
        <f>IF(COUNTIF(Finance_Data!$T$2:$T$1001,Finance_Data!T721)&gt;1,"Duplicate","Valid")</f>
        <v>Valid</v>
      </c>
      <c r="E725" s="3" t="str">
        <f>IF(Finance_Data!H721&gt;Finance_Data!G721,"Valid","Invalid")</f>
        <v>Valid</v>
      </c>
      <c r="F725" s="3" t="str" cm="1">
        <f t="array" ref="F725">_xlfn.IFS(Finance_Data!S721&lt;7,"Short",Finance_Data!S721&lt;=30,"Normal",Finance_Data!S721&lt;=60,"Long",Finance_Data!S721&gt;60,"Very Long")</f>
        <v>Normal</v>
      </c>
      <c r="G725" s="3" t="str">
        <f>IF(ABS(Finance_Data!I721*Finance_Data!J721)-Finance_Data!K721&lt;1,"Valid","Invalid")</f>
        <v>Valid</v>
      </c>
      <c r="H725" s="3" t="str">
        <f>IF(Finance_Data!L721&gt;0,"Valid","Invalid")</f>
        <v>Valid</v>
      </c>
      <c r="I725" s="3" t="str">
        <f>IF(Finance_Data!L721&gt;=Finance_Data!M721,"Valid","Invalid")</f>
        <v>Valid</v>
      </c>
      <c r="J725" s="3" t="str">
        <f>IF(AND(Finance_Data!I721&gt;=0,Finance_Data!K721&gt;=0),"Valid","Invalid")</f>
        <v>Valid</v>
      </c>
      <c r="K725" s="3" t="str">
        <f>IF(Finance_Data!N721&gt;=0,"Valid","Invalid")</f>
        <v>Valid</v>
      </c>
      <c r="L725" s="3" t="str">
        <f>IF(TEXT(Finance_Data!G721,"mmmm")=Finance_Data!P721,"Valid","Invalid")</f>
        <v>Valid</v>
      </c>
      <c r="M725" s="3" t="str">
        <f>IF("Q"&amp;ROUNDUP(MONTH(Finance_Data!G721)/3,0)=Finance_Data!Q721,"Valid","Invalid")</f>
        <v>Valid</v>
      </c>
      <c r="N725" s="7" t="str">
        <f t="shared" si="11"/>
        <v>Pass</v>
      </c>
    </row>
    <row r="726" spans="1:14" x14ac:dyDescent="0.35">
      <c r="A726" s="17" t="s">
        <v>78</v>
      </c>
      <c r="B726" s="3" t="str">
        <f>IF(ISBLANK(Table3[[#This Row],[Campaign_ID]]),"Invalid","Valid")</f>
        <v>Valid</v>
      </c>
      <c r="C726" s="3" t="str">
        <f>IF(COUNTA(Finance_Data!A722:R722)=18,"Valid","Missing")</f>
        <v>Valid</v>
      </c>
      <c r="D726" s="3" t="str">
        <f>IF(COUNTIF(Finance_Data!$T$2:$T$1001,Finance_Data!T722)&gt;1,"Duplicate","Valid")</f>
        <v>Valid</v>
      </c>
      <c r="E726" s="3" t="str">
        <f>IF(Finance_Data!H722&gt;Finance_Data!G722,"Valid","Invalid")</f>
        <v>Valid</v>
      </c>
      <c r="F726" s="3" t="str" cm="1">
        <f t="array" ref="F726">_xlfn.IFS(Finance_Data!S722&lt;7,"Short",Finance_Data!S722&lt;=30,"Normal",Finance_Data!S722&lt;=60,"Long",Finance_Data!S722&gt;60,"Very Long")</f>
        <v>Long</v>
      </c>
      <c r="G726" s="3" t="str">
        <f>IF(ABS(Finance_Data!I722*Finance_Data!J722)-Finance_Data!K722&lt;1,"Valid","Invalid")</f>
        <v>Valid</v>
      </c>
      <c r="H726" s="3" t="str">
        <f>IF(Finance_Data!L722&gt;0,"Valid","Invalid")</f>
        <v>Valid</v>
      </c>
      <c r="I726" s="3" t="str">
        <f>IF(Finance_Data!L722&gt;=Finance_Data!M722,"Valid","Invalid")</f>
        <v>Valid</v>
      </c>
      <c r="J726" s="3" t="str">
        <f>IF(AND(Finance_Data!I722&gt;=0,Finance_Data!K722&gt;=0),"Valid","Invalid")</f>
        <v>Valid</v>
      </c>
      <c r="K726" s="3" t="str">
        <f>IF(Finance_Data!N722&gt;=0,"Valid","Invalid")</f>
        <v>Valid</v>
      </c>
      <c r="L726" s="3" t="str">
        <f>IF(TEXT(Finance_Data!G722,"mmmm")=Finance_Data!P722,"Valid","Invalid")</f>
        <v>Valid</v>
      </c>
      <c r="M726" s="3" t="str">
        <f>IF("Q"&amp;ROUNDUP(MONTH(Finance_Data!G722)/3,0)=Finance_Data!Q722,"Valid","Invalid")</f>
        <v>Valid</v>
      </c>
      <c r="N726" s="7" t="str">
        <f t="shared" si="11"/>
        <v>Pass</v>
      </c>
    </row>
    <row r="727" spans="1:14" x14ac:dyDescent="0.35">
      <c r="A727" s="17" t="s">
        <v>72</v>
      </c>
      <c r="B727" s="3" t="str">
        <f>IF(ISBLANK(Table3[[#This Row],[Campaign_ID]]),"Invalid","Valid")</f>
        <v>Valid</v>
      </c>
      <c r="C727" s="3" t="str">
        <f>IF(COUNTA(Finance_Data!A723:R723)=18,"Valid","Missing")</f>
        <v>Valid</v>
      </c>
      <c r="D727" s="3" t="str">
        <f>IF(COUNTIF(Finance_Data!$T$2:$T$1001,Finance_Data!T723)&gt;1,"Duplicate","Valid")</f>
        <v>Valid</v>
      </c>
      <c r="E727" s="3" t="str">
        <f>IF(Finance_Data!H723&gt;Finance_Data!G723,"Valid","Invalid")</f>
        <v>Valid</v>
      </c>
      <c r="F727" s="3" t="str" cm="1">
        <f t="array" ref="F727">_xlfn.IFS(Finance_Data!S723&lt;7,"Short",Finance_Data!S723&lt;=30,"Normal",Finance_Data!S723&lt;=60,"Long",Finance_Data!S723&gt;60,"Very Long")</f>
        <v>Long</v>
      </c>
      <c r="G727" s="3" t="str">
        <f>IF(ABS(Finance_Data!I723*Finance_Data!J723)-Finance_Data!K723&lt;1,"Valid","Invalid")</f>
        <v>Valid</v>
      </c>
      <c r="H727" s="3" t="str">
        <f>IF(Finance_Data!L723&gt;0,"Valid","Invalid")</f>
        <v>Valid</v>
      </c>
      <c r="I727" s="3" t="str">
        <f>IF(Finance_Data!L723&gt;=Finance_Data!M723,"Valid","Invalid")</f>
        <v>Valid</v>
      </c>
      <c r="J727" s="3" t="str">
        <f>IF(AND(Finance_Data!I723&gt;=0,Finance_Data!K723&gt;=0),"Valid","Invalid")</f>
        <v>Valid</v>
      </c>
      <c r="K727" s="3" t="str">
        <f>IF(Finance_Data!N723&gt;=0,"Valid","Invalid")</f>
        <v>Valid</v>
      </c>
      <c r="L727" s="3" t="str">
        <f>IF(TEXT(Finance_Data!G723,"mmmm")=Finance_Data!P723,"Valid","Invalid")</f>
        <v>Valid</v>
      </c>
      <c r="M727" s="3" t="str">
        <f>IF("Q"&amp;ROUNDUP(MONTH(Finance_Data!G723)/3,0)=Finance_Data!Q723,"Valid","Invalid")</f>
        <v>Valid</v>
      </c>
      <c r="N727" s="7" t="str">
        <f t="shared" si="11"/>
        <v>Pass</v>
      </c>
    </row>
    <row r="728" spans="1:14" x14ac:dyDescent="0.35">
      <c r="A728" s="17" t="s">
        <v>50</v>
      </c>
      <c r="B728" s="3" t="str">
        <f>IF(ISBLANK(Table3[[#This Row],[Campaign_ID]]),"Invalid","Valid")</f>
        <v>Valid</v>
      </c>
      <c r="C728" s="3" t="str">
        <f>IF(COUNTA(Finance_Data!A724:R724)=18,"Valid","Missing")</f>
        <v>Valid</v>
      </c>
      <c r="D728" s="3" t="str">
        <f>IF(COUNTIF(Finance_Data!$T$2:$T$1001,Finance_Data!T724)&gt;1,"Duplicate","Valid")</f>
        <v>Valid</v>
      </c>
      <c r="E728" s="3" t="str">
        <f>IF(Finance_Data!H724&gt;Finance_Data!G724,"Valid","Invalid")</f>
        <v>Valid</v>
      </c>
      <c r="F728" s="3" t="str" cm="1">
        <f t="array" ref="F728">_xlfn.IFS(Finance_Data!S724&lt;7,"Short",Finance_Data!S724&lt;=30,"Normal",Finance_Data!S724&lt;=60,"Long",Finance_Data!S724&gt;60,"Very Long")</f>
        <v>Normal</v>
      </c>
      <c r="G728" s="3" t="str">
        <f>IF(ABS(Finance_Data!I724*Finance_Data!J724)-Finance_Data!K724&lt;1,"Valid","Invalid")</f>
        <v>Valid</v>
      </c>
      <c r="H728" s="3" t="str">
        <f>IF(Finance_Data!L724&gt;0,"Valid","Invalid")</f>
        <v>Valid</v>
      </c>
      <c r="I728" s="3" t="str">
        <f>IF(Finance_Data!L724&gt;=Finance_Data!M724,"Valid","Invalid")</f>
        <v>Valid</v>
      </c>
      <c r="J728" s="3" t="str">
        <f>IF(AND(Finance_Data!I724&gt;=0,Finance_Data!K724&gt;=0),"Valid","Invalid")</f>
        <v>Valid</v>
      </c>
      <c r="K728" s="3" t="str">
        <f>IF(Finance_Data!N724&gt;=0,"Valid","Invalid")</f>
        <v>Valid</v>
      </c>
      <c r="L728" s="3" t="str">
        <f>IF(TEXT(Finance_Data!G724,"mmmm")=Finance_Data!P724,"Valid","Invalid")</f>
        <v>Valid</v>
      </c>
      <c r="M728" s="3" t="str">
        <f>IF("Q"&amp;ROUNDUP(MONTH(Finance_Data!G724)/3,0)=Finance_Data!Q724,"Valid","Invalid")</f>
        <v>Valid</v>
      </c>
      <c r="N728" s="7" t="str">
        <f t="shared" si="11"/>
        <v>Pass</v>
      </c>
    </row>
    <row r="729" spans="1:14" x14ac:dyDescent="0.35">
      <c r="A729" s="17" t="s">
        <v>99</v>
      </c>
      <c r="B729" s="3" t="str">
        <f>IF(ISBLANK(Table3[[#This Row],[Campaign_ID]]),"Invalid","Valid")</f>
        <v>Valid</v>
      </c>
      <c r="C729" s="3" t="str">
        <f>IF(COUNTA(Finance_Data!A725:R725)=18,"Valid","Missing")</f>
        <v>Valid</v>
      </c>
      <c r="D729" s="3" t="str">
        <f>IF(COUNTIF(Finance_Data!$T$2:$T$1001,Finance_Data!T725)&gt;1,"Duplicate","Valid")</f>
        <v>Valid</v>
      </c>
      <c r="E729" s="3" t="str">
        <f>IF(Finance_Data!H725&gt;Finance_Data!G725,"Valid","Invalid")</f>
        <v>Valid</v>
      </c>
      <c r="F729" s="3" t="str" cm="1">
        <f t="array" ref="F729">_xlfn.IFS(Finance_Data!S725&lt;7,"Short",Finance_Data!S725&lt;=30,"Normal",Finance_Data!S725&lt;=60,"Long",Finance_Data!S725&gt;60,"Very Long")</f>
        <v>Long</v>
      </c>
      <c r="G729" s="3" t="str">
        <f>IF(ABS(Finance_Data!I725*Finance_Data!J725)-Finance_Data!K725&lt;1,"Valid","Invalid")</f>
        <v>Valid</v>
      </c>
      <c r="H729" s="3" t="str">
        <f>IF(Finance_Data!L725&gt;0,"Valid","Invalid")</f>
        <v>Valid</v>
      </c>
      <c r="I729" s="3" t="str">
        <f>IF(Finance_Data!L725&gt;=Finance_Data!M725,"Valid","Invalid")</f>
        <v>Valid</v>
      </c>
      <c r="J729" s="3" t="str">
        <f>IF(AND(Finance_Data!I725&gt;=0,Finance_Data!K725&gt;=0),"Valid","Invalid")</f>
        <v>Valid</v>
      </c>
      <c r="K729" s="3" t="str">
        <f>IF(Finance_Data!N725&gt;=0,"Valid","Invalid")</f>
        <v>Valid</v>
      </c>
      <c r="L729" s="3" t="str">
        <f>IF(TEXT(Finance_Data!G725,"mmmm")=Finance_Data!P725,"Valid","Invalid")</f>
        <v>Valid</v>
      </c>
      <c r="M729" s="3" t="str">
        <f>IF("Q"&amp;ROUNDUP(MONTH(Finance_Data!G725)/3,0)=Finance_Data!Q725,"Valid","Invalid")</f>
        <v>Valid</v>
      </c>
      <c r="N729" s="7" t="str">
        <f t="shared" si="11"/>
        <v>Pass</v>
      </c>
    </row>
    <row r="730" spans="1:14" x14ac:dyDescent="0.35">
      <c r="A730" s="17" t="s">
        <v>100</v>
      </c>
      <c r="B730" s="3" t="str">
        <f>IF(ISBLANK(Table3[[#This Row],[Campaign_ID]]),"Invalid","Valid")</f>
        <v>Valid</v>
      </c>
      <c r="C730" s="3" t="str">
        <f>IF(COUNTA(Finance_Data!A726:R726)=18,"Valid","Missing")</f>
        <v>Valid</v>
      </c>
      <c r="D730" s="3" t="str">
        <f>IF(COUNTIF(Finance_Data!$T$2:$T$1001,Finance_Data!T726)&gt;1,"Duplicate","Valid")</f>
        <v>Valid</v>
      </c>
      <c r="E730" s="3" t="str">
        <f>IF(Finance_Data!H726&gt;Finance_Data!G726,"Valid","Invalid")</f>
        <v>Valid</v>
      </c>
      <c r="F730" s="3" t="str" cm="1">
        <f t="array" ref="F730">_xlfn.IFS(Finance_Data!S726&lt;7,"Short",Finance_Data!S726&lt;=30,"Normal",Finance_Data!S726&lt;=60,"Long",Finance_Data!S726&gt;60,"Very Long")</f>
        <v>Long</v>
      </c>
      <c r="G730" s="3" t="str">
        <f>IF(ABS(Finance_Data!I726*Finance_Data!J726)-Finance_Data!K726&lt;1,"Valid","Invalid")</f>
        <v>Valid</v>
      </c>
      <c r="H730" s="3" t="str">
        <f>IF(Finance_Data!L726&gt;0,"Valid","Invalid")</f>
        <v>Valid</v>
      </c>
      <c r="I730" s="3" t="str">
        <f>IF(Finance_Data!L726&gt;=Finance_Data!M726,"Valid","Invalid")</f>
        <v>Valid</v>
      </c>
      <c r="J730" s="3" t="str">
        <f>IF(AND(Finance_Data!I726&gt;=0,Finance_Data!K726&gt;=0),"Valid","Invalid")</f>
        <v>Valid</v>
      </c>
      <c r="K730" s="3" t="str">
        <f>IF(Finance_Data!N726&gt;=0,"Valid","Invalid")</f>
        <v>Valid</v>
      </c>
      <c r="L730" s="3" t="str">
        <f>IF(TEXT(Finance_Data!G726,"mmmm")=Finance_Data!P726,"Valid","Invalid")</f>
        <v>Valid</v>
      </c>
      <c r="M730" s="3" t="str">
        <f>IF("Q"&amp;ROUNDUP(MONTH(Finance_Data!G726)/3,0)=Finance_Data!Q726,"Valid","Invalid")</f>
        <v>Valid</v>
      </c>
      <c r="N730" s="7" t="str">
        <f t="shared" si="11"/>
        <v>Pass</v>
      </c>
    </row>
    <row r="731" spans="1:14" x14ac:dyDescent="0.35">
      <c r="A731" s="17" t="s">
        <v>79</v>
      </c>
      <c r="B731" s="3" t="str">
        <f>IF(ISBLANK(Table3[[#This Row],[Campaign_ID]]),"Invalid","Valid")</f>
        <v>Valid</v>
      </c>
      <c r="C731" s="3" t="str">
        <f>IF(COUNTA(Finance_Data!A727:R727)=18,"Valid","Missing")</f>
        <v>Valid</v>
      </c>
      <c r="D731" s="3" t="str">
        <f>IF(COUNTIF(Finance_Data!$T$2:$T$1001,Finance_Data!T727)&gt;1,"Duplicate","Valid")</f>
        <v>Valid</v>
      </c>
      <c r="E731" s="3" t="str">
        <f>IF(Finance_Data!H727&gt;Finance_Data!G727,"Valid","Invalid")</f>
        <v>Valid</v>
      </c>
      <c r="F731" s="3" t="str" cm="1">
        <f t="array" ref="F731">_xlfn.IFS(Finance_Data!S727&lt;7,"Short",Finance_Data!S727&lt;=30,"Normal",Finance_Data!S727&lt;=60,"Long",Finance_Data!S727&gt;60,"Very Long")</f>
        <v>Short</v>
      </c>
      <c r="G731" s="3" t="str">
        <f>IF(ABS(Finance_Data!I727*Finance_Data!J727)-Finance_Data!K727&lt;1,"Valid","Invalid")</f>
        <v>Valid</v>
      </c>
      <c r="H731" s="3" t="str">
        <f>IF(Finance_Data!L727&gt;0,"Valid","Invalid")</f>
        <v>Valid</v>
      </c>
      <c r="I731" s="3" t="str">
        <f>IF(Finance_Data!L727&gt;=Finance_Data!M727,"Valid","Invalid")</f>
        <v>Valid</v>
      </c>
      <c r="J731" s="3" t="str">
        <f>IF(AND(Finance_Data!I727&gt;=0,Finance_Data!K727&gt;=0),"Valid","Invalid")</f>
        <v>Valid</v>
      </c>
      <c r="K731" s="3" t="str">
        <f>IF(Finance_Data!N727&gt;=0,"Valid","Invalid")</f>
        <v>Valid</v>
      </c>
      <c r="L731" s="3" t="str">
        <f>IF(TEXT(Finance_Data!G727,"mmmm")=Finance_Data!P727,"Valid","Invalid")</f>
        <v>Valid</v>
      </c>
      <c r="M731" s="3" t="str">
        <f>IF("Q"&amp;ROUNDUP(MONTH(Finance_Data!G727)/3,0)=Finance_Data!Q727,"Valid","Invalid")</f>
        <v>Valid</v>
      </c>
      <c r="N731" s="7" t="str">
        <f t="shared" si="11"/>
        <v>Pass</v>
      </c>
    </row>
    <row r="732" spans="1:14" x14ac:dyDescent="0.35">
      <c r="A732" s="17" t="s">
        <v>119</v>
      </c>
      <c r="B732" s="3" t="str">
        <f>IF(ISBLANK(Table3[[#This Row],[Campaign_ID]]),"Invalid","Valid")</f>
        <v>Valid</v>
      </c>
      <c r="C732" s="3" t="str">
        <f>IF(COUNTA(Finance_Data!A728:R728)=18,"Valid","Missing")</f>
        <v>Valid</v>
      </c>
      <c r="D732" s="3" t="str">
        <f>IF(COUNTIF(Finance_Data!$T$2:$T$1001,Finance_Data!T728)&gt;1,"Duplicate","Valid")</f>
        <v>Valid</v>
      </c>
      <c r="E732" s="3" t="str">
        <f>IF(Finance_Data!H728&gt;Finance_Data!G728,"Valid","Invalid")</f>
        <v>Valid</v>
      </c>
      <c r="F732" s="3" t="str" cm="1">
        <f t="array" ref="F732">_xlfn.IFS(Finance_Data!S728&lt;7,"Short",Finance_Data!S728&lt;=30,"Normal",Finance_Data!S728&lt;=60,"Long",Finance_Data!S728&gt;60,"Very Long")</f>
        <v>Normal</v>
      </c>
      <c r="G732" s="3" t="str">
        <f>IF(ABS(Finance_Data!I728*Finance_Data!J728)-Finance_Data!K728&lt;1,"Valid","Invalid")</f>
        <v>Valid</v>
      </c>
      <c r="H732" s="3" t="str">
        <f>IF(Finance_Data!L728&gt;0,"Valid","Invalid")</f>
        <v>Valid</v>
      </c>
      <c r="I732" s="3" t="str">
        <f>IF(Finance_Data!L728&gt;=Finance_Data!M728,"Valid","Invalid")</f>
        <v>Valid</v>
      </c>
      <c r="J732" s="3" t="str">
        <f>IF(AND(Finance_Data!I728&gt;=0,Finance_Data!K728&gt;=0),"Valid","Invalid")</f>
        <v>Valid</v>
      </c>
      <c r="K732" s="3" t="str">
        <f>IF(Finance_Data!N728&gt;=0,"Valid","Invalid")</f>
        <v>Valid</v>
      </c>
      <c r="L732" s="3" t="str">
        <f>IF(TEXT(Finance_Data!G728,"mmmm")=Finance_Data!P728,"Valid","Invalid")</f>
        <v>Valid</v>
      </c>
      <c r="M732" s="3" t="str">
        <f>IF("Q"&amp;ROUNDUP(MONTH(Finance_Data!G728)/3,0)=Finance_Data!Q728,"Valid","Invalid")</f>
        <v>Valid</v>
      </c>
      <c r="N732" s="7" t="str">
        <f t="shared" si="11"/>
        <v>Pass</v>
      </c>
    </row>
    <row r="733" spans="1:14" x14ac:dyDescent="0.35">
      <c r="A733" s="17" t="s">
        <v>94</v>
      </c>
      <c r="B733" s="3" t="str">
        <f>IF(ISBLANK(Table3[[#This Row],[Campaign_ID]]),"Invalid","Valid")</f>
        <v>Valid</v>
      </c>
      <c r="C733" s="3" t="str">
        <f>IF(COUNTA(Finance_Data!A729:R729)=18,"Valid","Missing")</f>
        <v>Valid</v>
      </c>
      <c r="D733" s="3" t="str">
        <f>IF(COUNTIF(Finance_Data!$T$2:$T$1001,Finance_Data!T729)&gt;1,"Duplicate","Valid")</f>
        <v>Valid</v>
      </c>
      <c r="E733" s="3" t="str">
        <f>IF(Finance_Data!H729&gt;Finance_Data!G729,"Valid","Invalid")</f>
        <v>Valid</v>
      </c>
      <c r="F733" s="3" t="str" cm="1">
        <f t="array" ref="F733">_xlfn.IFS(Finance_Data!S729&lt;7,"Short",Finance_Data!S729&lt;=30,"Normal",Finance_Data!S729&lt;=60,"Long",Finance_Data!S729&gt;60,"Very Long")</f>
        <v>Long</v>
      </c>
      <c r="G733" s="3" t="str">
        <f>IF(ABS(Finance_Data!I729*Finance_Data!J729)-Finance_Data!K729&lt;1,"Valid","Invalid")</f>
        <v>Valid</v>
      </c>
      <c r="H733" s="3" t="str">
        <f>IF(Finance_Data!L729&gt;0,"Valid","Invalid")</f>
        <v>Valid</v>
      </c>
      <c r="I733" s="3" t="str">
        <f>IF(Finance_Data!L729&gt;=Finance_Data!M729,"Valid","Invalid")</f>
        <v>Valid</v>
      </c>
      <c r="J733" s="3" t="str">
        <f>IF(AND(Finance_Data!I729&gt;=0,Finance_Data!K729&gt;=0),"Valid","Invalid")</f>
        <v>Valid</v>
      </c>
      <c r="K733" s="3" t="str">
        <f>IF(Finance_Data!N729&gt;=0,"Valid","Invalid")</f>
        <v>Valid</v>
      </c>
      <c r="L733" s="3" t="str">
        <f>IF(TEXT(Finance_Data!G729,"mmmm")=Finance_Data!P729,"Valid","Invalid")</f>
        <v>Valid</v>
      </c>
      <c r="M733" s="3" t="str">
        <f>IF("Q"&amp;ROUNDUP(MONTH(Finance_Data!G729)/3,0)=Finance_Data!Q729,"Valid","Invalid")</f>
        <v>Valid</v>
      </c>
      <c r="N733" s="7" t="str">
        <f t="shared" si="11"/>
        <v>Pass</v>
      </c>
    </row>
    <row r="734" spans="1:14" x14ac:dyDescent="0.35">
      <c r="A734" s="17" t="s">
        <v>72</v>
      </c>
      <c r="B734" s="3" t="str">
        <f>IF(ISBLANK(Table3[[#This Row],[Campaign_ID]]),"Invalid","Valid")</f>
        <v>Valid</v>
      </c>
      <c r="C734" s="3" t="str">
        <f>IF(COUNTA(Finance_Data!A730:R730)=18,"Valid","Missing")</f>
        <v>Valid</v>
      </c>
      <c r="D734" s="3" t="str">
        <f>IF(COUNTIF(Finance_Data!$T$2:$T$1001,Finance_Data!T730)&gt;1,"Duplicate","Valid")</f>
        <v>Valid</v>
      </c>
      <c r="E734" s="3" t="str">
        <f>IF(Finance_Data!H730&gt;Finance_Data!G730,"Valid","Invalid")</f>
        <v>Valid</v>
      </c>
      <c r="F734" s="3" t="str" cm="1">
        <f t="array" ref="F734">_xlfn.IFS(Finance_Data!S730&lt;7,"Short",Finance_Data!S730&lt;=30,"Normal",Finance_Data!S730&lt;=60,"Long",Finance_Data!S730&gt;60,"Very Long")</f>
        <v>Long</v>
      </c>
      <c r="G734" s="3" t="str">
        <f>IF(ABS(Finance_Data!I730*Finance_Data!J730)-Finance_Data!K730&lt;1,"Valid","Invalid")</f>
        <v>Valid</v>
      </c>
      <c r="H734" s="3" t="str">
        <f>IF(Finance_Data!L730&gt;0,"Valid","Invalid")</f>
        <v>Valid</v>
      </c>
      <c r="I734" s="3" t="str">
        <f>IF(Finance_Data!L730&gt;=Finance_Data!M730,"Valid","Invalid")</f>
        <v>Valid</v>
      </c>
      <c r="J734" s="3" t="str">
        <f>IF(AND(Finance_Data!I730&gt;=0,Finance_Data!K730&gt;=0),"Valid","Invalid")</f>
        <v>Valid</v>
      </c>
      <c r="K734" s="3" t="str">
        <f>IF(Finance_Data!N730&gt;=0,"Valid","Invalid")</f>
        <v>Valid</v>
      </c>
      <c r="L734" s="3" t="str">
        <f>IF(TEXT(Finance_Data!G730,"mmmm")=Finance_Data!P730,"Valid","Invalid")</f>
        <v>Valid</v>
      </c>
      <c r="M734" s="3" t="str">
        <f>IF("Q"&amp;ROUNDUP(MONTH(Finance_Data!G730)/3,0)=Finance_Data!Q730,"Valid","Invalid")</f>
        <v>Valid</v>
      </c>
      <c r="N734" s="7" t="str">
        <f t="shared" si="11"/>
        <v>Pass</v>
      </c>
    </row>
    <row r="735" spans="1:14" x14ac:dyDescent="0.35">
      <c r="A735" s="17" t="s">
        <v>112</v>
      </c>
      <c r="B735" s="3" t="str">
        <f>IF(ISBLANK(Table3[[#This Row],[Campaign_ID]]),"Invalid","Valid")</f>
        <v>Valid</v>
      </c>
      <c r="C735" s="3" t="str">
        <f>IF(COUNTA(Finance_Data!A731:R731)=18,"Valid","Missing")</f>
        <v>Valid</v>
      </c>
      <c r="D735" s="3" t="str">
        <f>IF(COUNTIF(Finance_Data!$T$2:$T$1001,Finance_Data!T731)&gt;1,"Duplicate","Valid")</f>
        <v>Valid</v>
      </c>
      <c r="E735" s="3" t="str">
        <f>IF(Finance_Data!H731&gt;Finance_Data!G731,"Valid","Invalid")</f>
        <v>Valid</v>
      </c>
      <c r="F735" s="3" t="str" cm="1">
        <f t="array" ref="F735">_xlfn.IFS(Finance_Data!S731&lt;7,"Short",Finance_Data!S731&lt;=30,"Normal",Finance_Data!S731&lt;=60,"Long",Finance_Data!S731&gt;60,"Very Long")</f>
        <v>Long</v>
      </c>
      <c r="G735" s="3" t="str">
        <f>IF(ABS(Finance_Data!I731*Finance_Data!J731)-Finance_Data!K731&lt;1,"Valid","Invalid")</f>
        <v>Valid</v>
      </c>
      <c r="H735" s="3" t="str">
        <f>IF(Finance_Data!L731&gt;0,"Valid","Invalid")</f>
        <v>Valid</v>
      </c>
      <c r="I735" s="3" t="str">
        <f>IF(Finance_Data!L731&gt;=Finance_Data!M731,"Valid","Invalid")</f>
        <v>Valid</v>
      </c>
      <c r="J735" s="3" t="str">
        <f>IF(AND(Finance_Data!I731&gt;=0,Finance_Data!K731&gt;=0),"Valid","Invalid")</f>
        <v>Valid</v>
      </c>
      <c r="K735" s="3" t="str">
        <f>IF(Finance_Data!N731&gt;=0,"Valid","Invalid")</f>
        <v>Valid</v>
      </c>
      <c r="L735" s="3" t="str">
        <f>IF(TEXT(Finance_Data!G731,"mmmm")=Finance_Data!P731,"Valid","Invalid")</f>
        <v>Valid</v>
      </c>
      <c r="M735" s="3" t="str">
        <f>IF("Q"&amp;ROUNDUP(MONTH(Finance_Data!G731)/3,0)=Finance_Data!Q731,"Valid","Invalid")</f>
        <v>Valid</v>
      </c>
      <c r="N735" s="7" t="str">
        <f t="shared" si="11"/>
        <v>Pass</v>
      </c>
    </row>
    <row r="736" spans="1:14" x14ac:dyDescent="0.35">
      <c r="A736" s="17" t="s">
        <v>62</v>
      </c>
      <c r="B736" s="3" t="str">
        <f>IF(ISBLANK(Table3[[#This Row],[Campaign_ID]]),"Invalid","Valid")</f>
        <v>Valid</v>
      </c>
      <c r="C736" s="3" t="str">
        <f>IF(COUNTA(Finance_Data!A732:R732)=18,"Valid","Missing")</f>
        <v>Valid</v>
      </c>
      <c r="D736" s="3" t="str">
        <f>IF(COUNTIF(Finance_Data!$T$2:$T$1001,Finance_Data!T732)&gt;1,"Duplicate","Valid")</f>
        <v>Valid</v>
      </c>
      <c r="E736" s="3" t="str">
        <f>IF(Finance_Data!H732&gt;Finance_Data!G732,"Valid","Invalid")</f>
        <v>Valid</v>
      </c>
      <c r="F736" s="3" t="str" cm="1">
        <f t="array" ref="F736">_xlfn.IFS(Finance_Data!S732&lt;7,"Short",Finance_Data!S732&lt;=30,"Normal",Finance_Data!S732&lt;=60,"Long",Finance_Data!S732&gt;60,"Very Long")</f>
        <v>Normal</v>
      </c>
      <c r="G736" s="3" t="str">
        <f>IF(ABS(Finance_Data!I732*Finance_Data!J732)-Finance_Data!K732&lt;1,"Valid","Invalid")</f>
        <v>Valid</v>
      </c>
      <c r="H736" s="3" t="str">
        <f>IF(Finance_Data!L732&gt;0,"Valid","Invalid")</f>
        <v>Valid</v>
      </c>
      <c r="I736" s="3" t="str">
        <f>IF(Finance_Data!L732&gt;=Finance_Data!M732,"Valid","Invalid")</f>
        <v>Valid</v>
      </c>
      <c r="J736" s="3" t="str">
        <f>IF(AND(Finance_Data!I732&gt;=0,Finance_Data!K732&gt;=0),"Valid","Invalid")</f>
        <v>Valid</v>
      </c>
      <c r="K736" s="3" t="str">
        <f>IF(Finance_Data!N732&gt;=0,"Valid","Invalid")</f>
        <v>Valid</v>
      </c>
      <c r="L736" s="3" t="str">
        <f>IF(TEXT(Finance_Data!G732,"mmmm")=Finance_Data!P732,"Valid","Invalid")</f>
        <v>Valid</v>
      </c>
      <c r="M736" s="3" t="str">
        <f>IF("Q"&amp;ROUNDUP(MONTH(Finance_Data!G732)/3,0)=Finance_Data!Q732,"Valid","Invalid")</f>
        <v>Valid</v>
      </c>
      <c r="N736" s="7" t="str">
        <f t="shared" si="11"/>
        <v>Pass</v>
      </c>
    </row>
    <row r="737" spans="1:14" x14ac:dyDescent="0.35">
      <c r="A737" s="17" t="s">
        <v>101</v>
      </c>
      <c r="B737" s="3" t="str">
        <f>IF(ISBLANK(Table3[[#This Row],[Campaign_ID]]),"Invalid","Valid")</f>
        <v>Valid</v>
      </c>
      <c r="C737" s="3" t="str">
        <f>IF(COUNTA(Finance_Data!A733:R733)=18,"Valid","Missing")</f>
        <v>Valid</v>
      </c>
      <c r="D737" s="3" t="str">
        <f>IF(COUNTIF(Finance_Data!$T$2:$T$1001,Finance_Data!T733)&gt;1,"Duplicate","Valid")</f>
        <v>Valid</v>
      </c>
      <c r="E737" s="3" t="str">
        <f>IF(Finance_Data!H733&gt;Finance_Data!G733,"Valid","Invalid")</f>
        <v>Valid</v>
      </c>
      <c r="F737" s="3" t="str" cm="1">
        <f t="array" ref="F737">_xlfn.IFS(Finance_Data!S733&lt;7,"Short",Finance_Data!S733&lt;=30,"Normal",Finance_Data!S733&lt;=60,"Long",Finance_Data!S733&gt;60,"Very Long")</f>
        <v>Long</v>
      </c>
      <c r="G737" s="3" t="str">
        <f>IF(ABS(Finance_Data!I733*Finance_Data!J733)-Finance_Data!K733&lt;1,"Valid","Invalid")</f>
        <v>Valid</v>
      </c>
      <c r="H737" s="3" t="str">
        <f>IF(Finance_Data!L733&gt;0,"Valid","Invalid")</f>
        <v>Valid</v>
      </c>
      <c r="I737" s="3" t="str">
        <f>IF(Finance_Data!L733&gt;=Finance_Data!M733,"Valid","Invalid")</f>
        <v>Valid</v>
      </c>
      <c r="J737" s="3" t="str">
        <f>IF(AND(Finance_Data!I733&gt;=0,Finance_Data!K733&gt;=0),"Valid","Invalid")</f>
        <v>Valid</v>
      </c>
      <c r="K737" s="3" t="str">
        <f>IF(Finance_Data!N733&gt;=0,"Valid","Invalid")</f>
        <v>Valid</v>
      </c>
      <c r="L737" s="3" t="str">
        <f>IF(TEXT(Finance_Data!G733,"mmmm")=Finance_Data!P733,"Valid","Invalid")</f>
        <v>Valid</v>
      </c>
      <c r="M737" s="3" t="str">
        <f>IF("Q"&amp;ROUNDUP(MONTH(Finance_Data!G733)/3,0)=Finance_Data!Q733,"Valid","Invalid")</f>
        <v>Valid</v>
      </c>
      <c r="N737" s="7" t="str">
        <f t="shared" si="11"/>
        <v>Pass</v>
      </c>
    </row>
    <row r="738" spans="1:14" x14ac:dyDescent="0.35">
      <c r="A738" s="17" t="s">
        <v>27</v>
      </c>
      <c r="B738" s="3" t="str">
        <f>IF(ISBLANK(Table3[[#This Row],[Campaign_ID]]),"Invalid","Valid")</f>
        <v>Valid</v>
      </c>
      <c r="C738" s="3" t="str">
        <f>IF(COUNTA(Finance_Data!A734:R734)=18,"Valid","Missing")</f>
        <v>Valid</v>
      </c>
      <c r="D738" s="3" t="str">
        <f>IF(COUNTIF(Finance_Data!$T$2:$T$1001,Finance_Data!T734)&gt;1,"Duplicate","Valid")</f>
        <v>Valid</v>
      </c>
      <c r="E738" s="3" t="str">
        <f>IF(Finance_Data!H734&gt;Finance_Data!G734,"Valid","Invalid")</f>
        <v>Valid</v>
      </c>
      <c r="F738" s="3" t="str" cm="1">
        <f t="array" ref="F738">_xlfn.IFS(Finance_Data!S734&lt;7,"Short",Finance_Data!S734&lt;=30,"Normal",Finance_Data!S734&lt;=60,"Long",Finance_Data!S734&gt;60,"Very Long")</f>
        <v>Long</v>
      </c>
      <c r="G738" s="3" t="str">
        <f>IF(ABS(Finance_Data!I734*Finance_Data!J734)-Finance_Data!K734&lt;1,"Valid","Invalid")</f>
        <v>Valid</v>
      </c>
      <c r="H738" s="3" t="str">
        <f>IF(Finance_Data!L734&gt;0,"Valid","Invalid")</f>
        <v>Valid</v>
      </c>
      <c r="I738" s="3" t="str">
        <f>IF(Finance_Data!L734&gt;=Finance_Data!M734,"Valid","Invalid")</f>
        <v>Valid</v>
      </c>
      <c r="J738" s="3" t="str">
        <f>IF(AND(Finance_Data!I734&gt;=0,Finance_Data!K734&gt;=0),"Valid","Invalid")</f>
        <v>Valid</v>
      </c>
      <c r="K738" s="3" t="str">
        <f>IF(Finance_Data!N734&gt;=0,"Valid","Invalid")</f>
        <v>Valid</v>
      </c>
      <c r="L738" s="3" t="str">
        <f>IF(TEXT(Finance_Data!G734,"mmmm")=Finance_Data!P734,"Valid","Invalid")</f>
        <v>Valid</v>
      </c>
      <c r="M738" s="3" t="str">
        <f>IF("Q"&amp;ROUNDUP(MONTH(Finance_Data!G734)/3,0)=Finance_Data!Q734,"Valid","Invalid")</f>
        <v>Valid</v>
      </c>
      <c r="N738" s="7" t="str">
        <f t="shared" si="11"/>
        <v>Pass</v>
      </c>
    </row>
    <row r="739" spans="1:14" x14ac:dyDescent="0.35">
      <c r="A739" s="17" t="s">
        <v>68</v>
      </c>
      <c r="B739" s="3" t="str">
        <f>IF(ISBLANK(Table3[[#This Row],[Campaign_ID]]),"Invalid","Valid")</f>
        <v>Valid</v>
      </c>
      <c r="C739" s="3" t="str">
        <f>IF(COUNTA(Finance_Data!A735:R735)=18,"Valid","Missing")</f>
        <v>Valid</v>
      </c>
      <c r="D739" s="3" t="str">
        <f>IF(COUNTIF(Finance_Data!$T$2:$T$1001,Finance_Data!T735)&gt;1,"Duplicate","Valid")</f>
        <v>Valid</v>
      </c>
      <c r="E739" s="3" t="str">
        <f>IF(Finance_Data!H735&gt;Finance_Data!G735,"Valid","Invalid")</f>
        <v>Valid</v>
      </c>
      <c r="F739" s="3" t="str" cm="1">
        <f t="array" ref="F739">_xlfn.IFS(Finance_Data!S735&lt;7,"Short",Finance_Data!S735&lt;=30,"Normal",Finance_Data!S735&lt;=60,"Long",Finance_Data!S735&gt;60,"Very Long")</f>
        <v>Long</v>
      </c>
      <c r="G739" s="3" t="str">
        <f>IF(ABS(Finance_Data!I735*Finance_Data!J735)-Finance_Data!K735&lt;1,"Valid","Invalid")</f>
        <v>Valid</v>
      </c>
      <c r="H739" s="3" t="str">
        <f>IF(Finance_Data!L735&gt;0,"Valid","Invalid")</f>
        <v>Valid</v>
      </c>
      <c r="I739" s="3" t="str">
        <f>IF(Finance_Data!L735&gt;=Finance_Data!M735,"Valid","Invalid")</f>
        <v>Valid</v>
      </c>
      <c r="J739" s="3" t="str">
        <f>IF(AND(Finance_Data!I735&gt;=0,Finance_Data!K735&gt;=0),"Valid","Invalid")</f>
        <v>Valid</v>
      </c>
      <c r="K739" s="3" t="str">
        <f>IF(Finance_Data!N735&gt;=0,"Valid","Invalid")</f>
        <v>Valid</v>
      </c>
      <c r="L739" s="3" t="str">
        <f>IF(TEXT(Finance_Data!G735,"mmmm")=Finance_Data!P735,"Valid","Invalid")</f>
        <v>Valid</v>
      </c>
      <c r="M739" s="3" t="str">
        <f>IF("Q"&amp;ROUNDUP(MONTH(Finance_Data!G735)/3,0)=Finance_Data!Q735,"Valid","Invalid")</f>
        <v>Valid</v>
      </c>
      <c r="N739" s="7" t="str">
        <f t="shared" si="11"/>
        <v>Pass</v>
      </c>
    </row>
    <row r="740" spans="1:14" x14ac:dyDescent="0.35">
      <c r="A740" s="17" t="s">
        <v>95</v>
      </c>
      <c r="B740" s="3" t="str">
        <f>IF(ISBLANK(Table3[[#This Row],[Campaign_ID]]),"Invalid","Valid")</f>
        <v>Valid</v>
      </c>
      <c r="C740" s="3" t="str">
        <f>IF(COUNTA(Finance_Data!A736:R736)=18,"Valid","Missing")</f>
        <v>Valid</v>
      </c>
      <c r="D740" s="3" t="str">
        <f>IF(COUNTIF(Finance_Data!$T$2:$T$1001,Finance_Data!T736)&gt;1,"Duplicate","Valid")</f>
        <v>Valid</v>
      </c>
      <c r="E740" s="3" t="str">
        <f>IF(Finance_Data!H736&gt;Finance_Data!G736,"Valid","Invalid")</f>
        <v>Valid</v>
      </c>
      <c r="F740" s="3" t="str" cm="1">
        <f t="array" ref="F740">_xlfn.IFS(Finance_Data!S736&lt;7,"Short",Finance_Data!S736&lt;=30,"Normal",Finance_Data!S736&lt;=60,"Long",Finance_Data!S736&gt;60,"Very Long")</f>
        <v>Normal</v>
      </c>
      <c r="G740" s="3" t="str">
        <f>IF(ABS(Finance_Data!I736*Finance_Data!J736)-Finance_Data!K736&lt;1,"Valid","Invalid")</f>
        <v>Valid</v>
      </c>
      <c r="H740" s="3" t="str">
        <f>IF(Finance_Data!L736&gt;0,"Valid","Invalid")</f>
        <v>Valid</v>
      </c>
      <c r="I740" s="3" t="str">
        <f>IF(Finance_Data!L736&gt;=Finance_Data!M736,"Valid","Invalid")</f>
        <v>Valid</v>
      </c>
      <c r="J740" s="3" t="str">
        <f>IF(AND(Finance_Data!I736&gt;=0,Finance_Data!K736&gt;=0),"Valid","Invalid")</f>
        <v>Valid</v>
      </c>
      <c r="K740" s="3" t="str">
        <f>IF(Finance_Data!N736&gt;=0,"Valid","Invalid")</f>
        <v>Valid</v>
      </c>
      <c r="L740" s="3" t="str">
        <f>IF(TEXT(Finance_Data!G736,"mmmm")=Finance_Data!P736,"Valid","Invalid")</f>
        <v>Valid</v>
      </c>
      <c r="M740" s="3" t="str">
        <f>IF("Q"&amp;ROUNDUP(MONTH(Finance_Data!G736)/3,0)=Finance_Data!Q736,"Valid","Invalid")</f>
        <v>Valid</v>
      </c>
      <c r="N740" s="7" t="str">
        <f t="shared" si="11"/>
        <v>Pass</v>
      </c>
    </row>
    <row r="741" spans="1:14" x14ac:dyDescent="0.35">
      <c r="A741" s="17" t="s">
        <v>106</v>
      </c>
      <c r="B741" s="3" t="str">
        <f>IF(ISBLANK(Table3[[#This Row],[Campaign_ID]]),"Invalid","Valid")</f>
        <v>Valid</v>
      </c>
      <c r="C741" s="3" t="str">
        <f>IF(COUNTA(Finance_Data!A737:R737)=18,"Valid","Missing")</f>
        <v>Valid</v>
      </c>
      <c r="D741" s="3" t="str">
        <f>IF(COUNTIF(Finance_Data!$T$2:$T$1001,Finance_Data!T737)&gt;1,"Duplicate","Valid")</f>
        <v>Valid</v>
      </c>
      <c r="E741" s="3" t="str">
        <f>IF(Finance_Data!H737&gt;Finance_Data!G737,"Valid","Invalid")</f>
        <v>Valid</v>
      </c>
      <c r="F741" s="3" t="str" cm="1">
        <f t="array" ref="F741">_xlfn.IFS(Finance_Data!S737&lt;7,"Short",Finance_Data!S737&lt;=30,"Normal",Finance_Data!S737&lt;=60,"Long",Finance_Data!S737&gt;60,"Very Long")</f>
        <v>Normal</v>
      </c>
      <c r="G741" s="3" t="str">
        <f>IF(ABS(Finance_Data!I737*Finance_Data!J737)-Finance_Data!K737&lt;1,"Valid","Invalid")</f>
        <v>Valid</v>
      </c>
      <c r="H741" s="3" t="str">
        <f>IF(Finance_Data!L737&gt;0,"Valid","Invalid")</f>
        <v>Valid</v>
      </c>
      <c r="I741" s="3" t="str">
        <f>IF(Finance_Data!L737&gt;=Finance_Data!M737,"Valid","Invalid")</f>
        <v>Valid</v>
      </c>
      <c r="J741" s="3" t="str">
        <f>IF(AND(Finance_Data!I737&gt;=0,Finance_Data!K737&gt;=0),"Valid","Invalid")</f>
        <v>Valid</v>
      </c>
      <c r="K741" s="3" t="str">
        <f>IF(Finance_Data!N737&gt;=0,"Valid","Invalid")</f>
        <v>Valid</v>
      </c>
      <c r="L741" s="3" t="str">
        <f>IF(TEXT(Finance_Data!G737,"mmmm")=Finance_Data!P737,"Valid","Invalid")</f>
        <v>Valid</v>
      </c>
      <c r="M741" s="3" t="str">
        <f>IF("Q"&amp;ROUNDUP(MONTH(Finance_Data!G737)/3,0)=Finance_Data!Q737,"Valid","Invalid")</f>
        <v>Valid</v>
      </c>
      <c r="N741" s="7" t="str">
        <f t="shared" si="11"/>
        <v>Pass</v>
      </c>
    </row>
    <row r="742" spans="1:14" x14ac:dyDescent="0.35">
      <c r="A742" s="17" t="s">
        <v>107</v>
      </c>
      <c r="B742" s="3" t="str">
        <f>IF(ISBLANK(Table3[[#This Row],[Campaign_ID]]),"Invalid","Valid")</f>
        <v>Valid</v>
      </c>
      <c r="C742" s="3" t="str">
        <f>IF(COUNTA(Finance_Data!A738:R738)=18,"Valid","Missing")</f>
        <v>Valid</v>
      </c>
      <c r="D742" s="3" t="str">
        <f>IF(COUNTIF(Finance_Data!$T$2:$T$1001,Finance_Data!T738)&gt;1,"Duplicate","Valid")</f>
        <v>Valid</v>
      </c>
      <c r="E742" s="3" t="str">
        <f>IF(Finance_Data!H738&gt;Finance_Data!G738,"Valid","Invalid")</f>
        <v>Valid</v>
      </c>
      <c r="F742" s="3" t="str" cm="1">
        <f t="array" ref="F742">_xlfn.IFS(Finance_Data!S738&lt;7,"Short",Finance_Data!S738&lt;=30,"Normal",Finance_Data!S738&lt;=60,"Long",Finance_Data!S738&gt;60,"Very Long")</f>
        <v>Long</v>
      </c>
      <c r="G742" s="3" t="str">
        <f>IF(ABS(Finance_Data!I738*Finance_Data!J738)-Finance_Data!K738&lt;1,"Valid","Invalid")</f>
        <v>Valid</v>
      </c>
      <c r="H742" s="3" t="str">
        <f>IF(Finance_Data!L738&gt;0,"Valid","Invalid")</f>
        <v>Valid</v>
      </c>
      <c r="I742" s="3" t="str">
        <f>IF(Finance_Data!L738&gt;=Finance_Data!M738,"Valid","Invalid")</f>
        <v>Valid</v>
      </c>
      <c r="J742" s="3" t="str">
        <f>IF(AND(Finance_Data!I738&gt;=0,Finance_Data!K738&gt;=0),"Valid","Invalid")</f>
        <v>Valid</v>
      </c>
      <c r="K742" s="3" t="str">
        <f>IF(Finance_Data!N738&gt;=0,"Valid","Invalid")</f>
        <v>Valid</v>
      </c>
      <c r="L742" s="3" t="str">
        <f>IF(TEXT(Finance_Data!G738,"mmmm")=Finance_Data!P738,"Valid","Invalid")</f>
        <v>Valid</v>
      </c>
      <c r="M742" s="3" t="str">
        <f>IF("Q"&amp;ROUNDUP(MONTH(Finance_Data!G738)/3,0)=Finance_Data!Q738,"Valid","Invalid")</f>
        <v>Valid</v>
      </c>
      <c r="N742" s="7" t="str">
        <f t="shared" si="11"/>
        <v>Pass</v>
      </c>
    </row>
    <row r="743" spans="1:14" x14ac:dyDescent="0.35">
      <c r="A743" s="17" t="s">
        <v>81</v>
      </c>
      <c r="B743" s="3" t="str">
        <f>IF(ISBLANK(Table3[[#This Row],[Campaign_ID]]),"Invalid","Valid")</f>
        <v>Valid</v>
      </c>
      <c r="C743" s="3" t="str">
        <f>IF(COUNTA(Finance_Data!A739:R739)=18,"Valid","Missing")</f>
        <v>Valid</v>
      </c>
      <c r="D743" s="3" t="str">
        <f>IF(COUNTIF(Finance_Data!$T$2:$T$1001,Finance_Data!T739)&gt;1,"Duplicate","Valid")</f>
        <v>Valid</v>
      </c>
      <c r="E743" s="3" t="str">
        <f>IF(Finance_Data!H739&gt;Finance_Data!G739,"Valid","Invalid")</f>
        <v>Valid</v>
      </c>
      <c r="F743" s="3" t="str" cm="1">
        <f t="array" ref="F743">_xlfn.IFS(Finance_Data!S739&lt;7,"Short",Finance_Data!S739&lt;=30,"Normal",Finance_Data!S739&lt;=60,"Long",Finance_Data!S739&gt;60,"Very Long")</f>
        <v>Normal</v>
      </c>
      <c r="G743" s="3" t="str">
        <f>IF(ABS(Finance_Data!I739*Finance_Data!J739)-Finance_Data!K739&lt;1,"Valid","Invalid")</f>
        <v>Valid</v>
      </c>
      <c r="H743" s="3" t="str">
        <f>IF(Finance_Data!L739&gt;0,"Valid","Invalid")</f>
        <v>Valid</v>
      </c>
      <c r="I743" s="3" t="str">
        <f>IF(Finance_Data!L739&gt;=Finance_Data!M739,"Valid","Invalid")</f>
        <v>Valid</v>
      </c>
      <c r="J743" s="3" t="str">
        <f>IF(AND(Finance_Data!I739&gt;=0,Finance_Data!K739&gt;=0),"Valid","Invalid")</f>
        <v>Valid</v>
      </c>
      <c r="K743" s="3" t="str">
        <f>IF(Finance_Data!N739&gt;=0,"Valid","Invalid")</f>
        <v>Valid</v>
      </c>
      <c r="L743" s="3" t="str">
        <f>IF(TEXT(Finance_Data!G739,"mmmm")=Finance_Data!P739,"Valid","Invalid")</f>
        <v>Valid</v>
      </c>
      <c r="M743" s="3" t="str">
        <f>IF("Q"&amp;ROUNDUP(MONTH(Finance_Data!G739)/3,0)=Finance_Data!Q739,"Valid","Invalid")</f>
        <v>Valid</v>
      </c>
      <c r="N743" s="7" t="str">
        <f t="shared" si="11"/>
        <v>Pass</v>
      </c>
    </row>
    <row r="744" spans="1:14" x14ac:dyDescent="0.35">
      <c r="A744" s="17" t="s">
        <v>114</v>
      </c>
      <c r="B744" s="3" t="str">
        <f>IF(ISBLANK(Table3[[#This Row],[Campaign_ID]]),"Invalid","Valid")</f>
        <v>Valid</v>
      </c>
      <c r="C744" s="3" t="str">
        <f>IF(COUNTA(Finance_Data!A740:R740)=18,"Valid","Missing")</f>
        <v>Valid</v>
      </c>
      <c r="D744" s="3" t="str">
        <f>IF(COUNTIF(Finance_Data!$T$2:$T$1001,Finance_Data!T740)&gt;1,"Duplicate","Valid")</f>
        <v>Valid</v>
      </c>
      <c r="E744" s="3" t="str">
        <f>IF(Finance_Data!H740&gt;Finance_Data!G740,"Valid","Invalid")</f>
        <v>Valid</v>
      </c>
      <c r="F744" s="3" t="str" cm="1">
        <f t="array" ref="F744">_xlfn.IFS(Finance_Data!S740&lt;7,"Short",Finance_Data!S740&lt;=30,"Normal",Finance_Data!S740&lt;=60,"Long",Finance_Data!S740&gt;60,"Very Long")</f>
        <v>Long</v>
      </c>
      <c r="G744" s="3" t="str">
        <f>IF(ABS(Finance_Data!I740*Finance_Data!J740)-Finance_Data!K740&lt;1,"Valid","Invalid")</f>
        <v>Valid</v>
      </c>
      <c r="H744" s="3" t="str">
        <f>IF(Finance_Data!L740&gt;0,"Valid","Invalid")</f>
        <v>Valid</v>
      </c>
      <c r="I744" s="3" t="str">
        <f>IF(Finance_Data!L740&gt;=Finance_Data!M740,"Valid","Invalid")</f>
        <v>Valid</v>
      </c>
      <c r="J744" s="3" t="str">
        <f>IF(AND(Finance_Data!I740&gt;=0,Finance_Data!K740&gt;=0),"Valid","Invalid")</f>
        <v>Valid</v>
      </c>
      <c r="K744" s="3" t="str">
        <f>IF(Finance_Data!N740&gt;=0,"Valid","Invalid")</f>
        <v>Valid</v>
      </c>
      <c r="L744" s="3" t="str">
        <f>IF(TEXT(Finance_Data!G740,"mmmm")=Finance_Data!P740,"Valid","Invalid")</f>
        <v>Valid</v>
      </c>
      <c r="M744" s="3" t="str">
        <f>IF("Q"&amp;ROUNDUP(MONTH(Finance_Data!G740)/3,0)=Finance_Data!Q740,"Valid","Invalid")</f>
        <v>Valid</v>
      </c>
      <c r="N744" s="7" t="str">
        <f t="shared" si="11"/>
        <v>Pass</v>
      </c>
    </row>
    <row r="745" spans="1:14" x14ac:dyDescent="0.35">
      <c r="A745" s="17" t="s">
        <v>18</v>
      </c>
      <c r="B745" s="3" t="str">
        <f>IF(ISBLANK(Table3[[#This Row],[Campaign_ID]]),"Invalid","Valid")</f>
        <v>Valid</v>
      </c>
      <c r="C745" s="3" t="str">
        <f>IF(COUNTA(Finance_Data!A741:R741)=18,"Valid","Missing")</f>
        <v>Valid</v>
      </c>
      <c r="D745" s="3" t="str">
        <f>IF(COUNTIF(Finance_Data!$T$2:$T$1001,Finance_Data!T741)&gt;1,"Duplicate","Valid")</f>
        <v>Valid</v>
      </c>
      <c r="E745" s="3" t="str">
        <f>IF(Finance_Data!H741&gt;Finance_Data!G741,"Valid","Invalid")</f>
        <v>Valid</v>
      </c>
      <c r="F745" s="3" t="str" cm="1">
        <f t="array" ref="F745">_xlfn.IFS(Finance_Data!S741&lt;7,"Short",Finance_Data!S741&lt;=30,"Normal",Finance_Data!S741&lt;=60,"Long",Finance_Data!S741&gt;60,"Very Long")</f>
        <v>Normal</v>
      </c>
      <c r="G745" s="3" t="str">
        <f>IF(ABS(Finance_Data!I741*Finance_Data!J741)-Finance_Data!K741&lt;1,"Valid","Invalid")</f>
        <v>Valid</v>
      </c>
      <c r="H745" s="3" t="str">
        <f>IF(Finance_Data!L741&gt;0,"Valid","Invalid")</f>
        <v>Valid</v>
      </c>
      <c r="I745" s="3" t="str">
        <f>IF(Finance_Data!L741&gt;=Finance_Data!M741,"Valid","Invalid")</f>
        <v>Valid</v>
      </c>
      <c r="J745" s="3" t="str">
        <f>IF(AND(Finance_Data!I741&gt;=0,Finance_Data!K741&gt;=0),"Valid","Invalid")</f>
        <v>Valid</v>
      </c>
      <c r="K745" s="3" t="str">
        <f>IF(Finance_Data!N741&gt;=0,"Valid","Invalid")</f>
        <v>Valid</v>
      </c>
      <c r="L745" s="3" t="str">
        <f>IF(TEXT(Finance_Data!G741,"mmmm")=Finance_Data!P741,"Valid","Invalid")</f>
        <v>Valid</v>
      </c>
      <c r="M745" s="3" t="str">
        <f>IF("Q"&amp;ROUNDUP(MONTH(Finance_Data!G741)/3,0)=Finance_Data!Q741,"Valid","Invalid")</f>
        <v>Valid</v>
      </c>
      <c r="N745" s="7" t="str">
        <f t="shared" si="11"/>
        <v>Pass</v>
      </c>
    </row>
    <row r="746" spans="1:14" x14ac:dyDescent="0.35">
      <c r="A746" s="17" t="s">
        <v>57</v>
      </c>
      <c r="B746" s="3" t="str">
        <f>IF(ISBLANK(Table3[[#This Row],[Campaign_ID]]),"Invalid","Valid")</f>
        <v>Valid</v>
      </c>
      <c r="C746" s="3" t="str">
        <f>IF(COUNTA(Finance_Data!A742:R742)=18,"Valid","Missing")</f>
        <v>Valid</v>
      </c>
      <c r="D746" s="3" t="str">
        <f>IF(COUNTIF(Finance_Data!$T$2:$T$1001,Finance_Data!T742)&gt;1,"Duplicate","Valid")</f>
        <v>Valid</v>
      </c>
      <c r="E746" s="3" t="str">
        <f>IF(Finance_Data!H742&gt;Finance_Data!G742,"Valid","Invalid")</f>
        <v>Valid</v>
      </c>
      <c r="F746" s="3" t="str" cm="1">
        <f t="array" ref="F746">_xlfn.IFS(Finance_Data!S742&lt;7,"Short",Finance_Data!S742&lt;=30,"Normal",Finance_Data!S742&lt;=60,"Long",Finance_Data!S742&gt;60,"Very Long")</f>
        <v>Long</v>
      </c>
      <c r="G746" s="3" t="str">
        <f>IF(ABS(Finance_Data!I742*Finance_Data!J742)-Finance_Data!K742&lt;1,"Valid","Invalid")</f>
        <v>Valid</v>
      </c>
      <c r="H746" s="3" t="str">
        <f>IF(Finance_Data!L742&gt;0,"Valid","Invalid")</f>
        <v>Valid</v>
      </c>
      <c r="I746" s="3" t="str">
        <f>IF(Finance_Data!L742&gt;=Finance_Data!M742,"Valid","Invalid")</f>
        <v>Valid</v>
      </c>
      <c r="J746" s="3" t="str">
        <f>IF(AND(Finance_Data!I742&gt;=0,Finance_Data!K742&gt;=0),"Valid","Invalid")</f>
        <v>Valid</v>
      </c>
      <c r="K746" s="3" t="str">
        <f>IF(Finance_Data!N742&gt;=0,"Valid","Invalid")</f>
        <v>Valid</v>
      </c>
      <c r="L746" s="3" t="str">
        <f>IF(TEXT(Finance_Data!G742,"mmmm")=Finance_Data!P742,"Valid","Invalid")</f>
        <v>Valid</v>
      </c>
      <c r="M746" s="3" t="str">
        <f>IF("Q"&amp;ROUNDUP(MONTH(Finance_Data!G742)/3,0)=Finance_Data!Q742,"Valid","Invalid")</f>
        <v>Valid</v>
      </c>
      <c r="N746" s="7" t="str">
        <f t="shared" si="11"/>
        <v>Pass</v>
      </c>
    </row>
    <row r="747" spans="1:14" x14ac:dyDescent="0.35">
      <c r="A747" s="17" t="s">
        <v>103</v>
      </c>
      <c r="B747" s="3" t="str">
        <f>IF(ISBLANK(Table3[[#This Row],[Campaign_ID]]),"Invalid","Valid")</f>
        <v>Valid</v>
      </c>
      <c r="C747" s="3" t="str">
        <f>IF(COUNTA(Finance_Data!A743:R743)=18,"Valid","Missing")</f>
        <v>Valid</v>
      </c>
      <c r="D747" s="3" t="str">
        <f>IF(COUNTIF(Finance_Data!$T$2:$T$1001,Finance_Data!T743)&gt;1,"Duplicate","Valid")</f>
        <v>Valid</v>
      </c>
      <c r="E747" s="3" t="str">
        <f>IF(Finance_Data!H743&gt;Finance_Data!G743,"Valid","Invalid")</f>
        <v>Valid</v>
      </c>
      <c r="F747" s="3" t="str" cm="1">
        <f t="array" ref="F747">_xlfn.IFS(Finance_Data!S743&lt;7,"Short",Finance_Data!S743&lt;=30,"Normal",Finance_Data!S743&lt;=60,"Long",Finance_Data!S743&gt;60,"Very Long")</f>
        <v>Long</v>
      </c>
      <c r="G747" s="3" t="str">
        <f>IF(ABS(Finance_Data!I743*Finance_Data!J743)-Finance_Data!K743&lt;1,"Valid","Invalid")</f>
        <v>Valid</v>
      </c>
      <c r="H747" s="3" t="str">
        <f>IF(Finance_Data!L743&gt;0,"Valid","Invalid")</f>
        <v>Valid</v>
      </c>
      <c r="I747" s="3" t="str">
        <f>IF(Finance_Data!L743&gt;=Finance_Data!M743,"Valid","Invalid")</f>
        <v>Valid</v>
      </c>
      <c r="J747" s="3" t="str">
        <f>IF(AND(Finance_Data!I743&gt;=0,Finance_Data!K743&gt;=0),"Valid","Invalid")</f>
        <v>Valid</v>
      </c>
      <c r="K747" s="3" t="str">
        <f>IF(Finance_Data!N743&gt;=0,"Valid","Invalid")</f>
        <v>Valid</v>
      </c>
      <c r="L747" s="3" t="str">
        <f>IF(TEXT(Finance_Data!G743,"mmmm")=Finance_Data!P743,"Valid","Invalid")</f>
        <v>Valid</v>
      </c>
      <c r="M747" s="3" t="str">
        <f>IF("Q"&amp;ROUNDUP(MONTH(Finance_Data!G743)/3,0)=Finance_Data!Q743,"Valid","Invalid")</f>
        <v>Valid</v>
      </c>
      <c r="N747" s="7" t="str">
        <f t="shared" si="11"/>
        <v>Pass</v>
      </c>
    </row>
    <row r="748" spans="1:14" x14ac:dyDescent="0.35">
      <c r="A748" s="17" t="s">
        <v>102</v>
      </c>
      <c r="B748" s="3" t="str">
        <f>IF(ISBLANK(Table3[[#This Row],[Campaign_ID]]),"Invalid","Valid")</f>
        <v>Valid</v>
      </c>
      <c r="C748" s="3" t="str">
        <f>IF(COUNTA(Finance_Data!A744:R744)=18,"Valid","Missing")</f>
        <v>Valid</v>
      </c>
      <c r="D748" s="3" t="str">
        <f>IF(COUNTIF(Finance_Data!$T$2:$T$1001,Finance_Data!T744)&gt;1,"Duplicate","Valid")</f>
        <v>Valid</v>
      </c>
      <c r="E748" s="3" t="str">
        <f>IF(Finance_Data!H744&gt;Finance_Data!G744,"Valid","Invalid")</f>
        <v>Valid</v>
      </c>
      <c r="F748" s="3" t="str" cm="1">
        <f t="array" ref="F748">_xlfn.IFS(Finance_Data!S744&lt;7,"Short",Finance_Data!S744&lt;=30,"Normal",Finance_Data!S744&lt;=60,"Long",Finance_Data!S744&gt;60,"Very Long")</f>
        <v>Long</v>
      </c>
      <c r="G748" s="3" t="str">
        <f>IF(ABS(Finance_Data!I744*Finance_Data!J744)-Finance_Data!K744&lt;1,"Valid","Invalid")</f>
        <v>Valid</v>
      </c>
      <c r="H748" s="3" t="str">
        <f>IF(Finance_Data!L744&gt;0,"Valid","Invalid")</f>
        <v>Valid</v>
      </c>
      <c r="I748" s="3" t="str">
        <f>IF(Finance_Data!L744&gt;=Finance_Data!M744,"Valid","Invalid")</f>
        <v>Valid</v>
      </c>
      <c r="J748" s="3" t="str">
        <f>IF(AND(Finance_Data!I744&gt;=0,Finance_Data!K744&gt;=0),"Valid","Invalid")</f>
        <v>Valid</v>
      </c>
      <c r="K748" s="3" t="str">
        <f>IF(Finance_Data!N744&gt;=0,"Valid","Invalid")</f>
        <v>Valid</v>
      </c>
      <c r="L748" s="3" t="str">
        <f>IF(TEXT(Finance_Data!G744,"mmmm")=Finance_Data!P744,"Valid","Invalid")</f>
        <v>Valid</v>
      </c>
      <c r="M748" s="3" t="str">
        <f>IF("Q"&amp;ROUNDUP(MONTH(Finance_Data!G744)/3,0)=Finance_Data!Q744,"Valid","Invalid")</f>
        <v>Valid</v>
      </c>
      <c r="N748" s="7" t="str">
        <f t="shared" si="11"/>
        <v>Pass</v>
      </c>
    </row>
    <row r="749" spans="1:14" x14ac:dyDescent="0.35">
      <c r="A749" s="17" t="s">
        <v>108</v>
      </c>
      <c r="B749" s="3" t="str">
        <f>IF(ISBLANK(Table3[[#This Row],[Campaign_ID]]),"Invalid","Valid")</f>
        <v>Valid</v>
      </c>
      <c r="C749" s="3" t="str">
        <f>IF(COUNTA(Finance_Data!A745:R745)=18,"Valid","Missing")</f>
        <v>Valid</v>
      </c>
      <c r="D749" s="3" t="str">
        <f>IF(COUNTIF(Finance_Data!$T$2:$T$1001,Finance_Data!T745)&gt;1,"Duplicate","Valid")</f>
        <v>Valid</v>
      </c>
      <c r="E749" s="3" t="str">
        <f>IF(Finance_Data!H745&gt;Finance_Data!G745,"Valid","Invalid")</f>
        <v>Valid</v>
      </c>
      <c r="F749" s="3" t="str" cm="1">
        <f t="array" ref="F749">_xlfn.IFS(Finance_Data!S745&lt;7,"Short",Finance_Data!S745&lt;=30,"Normal",Finance_Data!S745&lt;=60,"Long",Finance_Data!S745&gt;60,"Very Long")</f>
        <v>Long</v>
      </c>
      <c r="G749" s="3" t="str">
        <f>IF(ABS(Finance_Data!I745*Finance_Data!J745)-Finance_Data!K745&lt;1,"Valid","Invalid")</f>
        <v>Valid</v>
      </c>
      <c r="H749" s="3" t="str">
        <f>IF(Finance_Data!L745&gt;0,"Valid","Invalid")</f>
        <v>Valid</v>
      </c>
      <c r="I749" s="3" t="str">
        <f>IF(Finance_Data!L745&gt;=Finance_Data!M745,"Valid","Invalid")</f>
        <v>Valid</v>
      </c>
      <c r="J749" s="3" t="str">
        <f>IF(AND(Finance_Data!I745&gt;=0,Finance_Data!K745&gt;=0),"Valid","Invalid")</f>
        <v>Valid</v>
      </c>
      <c r="K749" s="3" t="str">
        <f>IF(Finance_Data!N745&gt;=0,"Valid","Invalid")</f>
        <v>Valid</v>
      </c>
      <c r="L749" s="3" t="str">
        <f>IF(TEXT(Finance_Data!G745,"mmmm")=Finance_Data!P745,"Valid","Invalid")</f>
        <v>Valid</v>
      </c>
      <c r="M749" s="3" t="str">
        <f>IF("Q"&amp;ROUNDUP(MONTH(Finance_Data!G745)/3,0)=Finance_Data!Q745,"Valid","Invalid")</f>
        <v>Valid</v>
      </c>
      <c r="N749" s="7" t="str">
        <f t="shared" si="11"/>
        <v>Pass</v>
      </c>
    </row>
    <row r="750" spans="1:14" x14ac:dyDescent="0.35">
      <c r="A750" s="17" t="s">
        <v>72</v>
      </c>
      <c r="B750" s="3" t="str">
        <f>IF(ISBLANK(Table3[[#This Row],[Campaign_ID]]),"Invalid","Valid")</f>
        <v>Valid</v>
      </c>
      <c r="C750" s="3" t="str">
        <f>IF(COUNTA(Finance_Data!A746:R746)=18,"Valid","Missing")</f>
        <v>Valid</v>
      </c>
      <c r="D750" s="3" t="str">
        <f>IF(COUNTIF(Finance_Data!$T$2:$T$1001,Finance_Data!T746)&gt;1,"Duplicate","Valid")</f>
        <v>Valid</v>
      </c>
      <c r="E750" s="3" t="str">
        <f>IF(Finance_Data!H746&gt;Finance_Data!G746,"Valid","Invalid")</f>
        <v>Valid</v>
      </c>
      <c r="F750" s="3" t="str" cm="1">
        <f t="array" ref="F750">_xlfn.IFS(Finance_Data!S746&lt;7,"Short",Finance_Data!S746&lt;=30,"Normal",Finance_Data!S746&lt;=60,"Long",Finance_Data!S746&gt;60,"Very Long")</f>
        <v>Normal</v>
      </c>
      <c r="G750" s="3" t="str">
        <f>IF(ABS(Finance_Data!I746*Finance_Data!J746)-Finance_Data!K746&lt;1,"Valid","Invalid")</f>
        <v>Valid</v>
      </c>
      <c r="H750" s="3" t="str">
        <f>IF(Finance_Data!L746&gt;0,"Valid","Invalid")</f>
        <v>Valid</v>
      </c>
      <c r="I750" s="3" t="str">
        <f>IF(Finance_Data!L746&gt;=Finance_Data!M746,"Valid","Invalid")</f>
        <v>Valid</v>
      </c>
      <c r="J750" s="3" t="str">
        <f>IF(AND(Finance_Data!I746&gt;=0,Finance_Data!K746&gt;=0),"Valid","Invalid")</f>
        <v>Valid</v>
      </c>
      <c r="K750" s="3" t="str">
        <f>IF(Finance_Data!N746&gt;=0,"Valid","Invalid")</f>
        <v>Valid</v>
      </c>
      <c r="L750" s="3" t="str">
        <f>IF(TEXT(Finance_Data!G746,"mmmm")=Finance_Data!P746,"Valid","Invalid")</f>
        <v>Valid</v>
      </c>
      <c r="M750" s="3" t="str">
        <f>IF("Q"&amp;ROUNDUP(MONTH(Finance_Data!G746)/3,0)=Finance_Data!Q746,"Valid","Invalid")</f>
        <v>Valid</v>
      </c>
      <c r="N750" s="7" t="str">
        <f t="shared" si="11"/>
        <v>Pass</v>
      </c>
    </row>
    <row r="751" spans="1:14" x14ac:dyDescent="0.35">
      <c r="A751" s="17" t="s">
        <v>102</v>
      </c>
      <c r="B751" s="3" t="str">
        <f>IF(ISBLANK(Table3[[#This Row],[Campaign_ID]]),"Invalid","Valid")</f>
        <v>Valid</v>
      </c>
      <c r="C751" s="3" t="str">
        <f>IF(COUNTA(Finance_Data!A747:R747)=18,"Valid","Missing")</f>
        <v>Valid</v>
      </c>
      <c r="D751" s="3" t="str">
        <f>IF(COUNTIF(Finance_Data!$T$2:$T$1001,Finance_Data!T747)&gt;1,"Duplicate","Valid")</f>
        <v>Valid</v>
      </c>
      <c r="E751" s="3" t="str">
        <f>IF(Finance_Data!H747&gt;Finance_Data!G747,"Valid","Invalid")</f>
        <v>Valid</v>
      </c>
      <c r="F751" s="3" t="str" cm="1">
        <f t="array" ref="F751">_xlfn.IFS(Finance_Data!S747&lt;7,"Short",Finance_Data!S747&lt;=30,"Normal",Finance_Data!S747&lt;=60,"Long",Finance_Data!S747&gt;60,"Very Long")</f>
        <v>Long</v>
      </c>
      <c r="G751" s="3" t="str">
        <f>IF(ABS(Finance_Data!I747*Finance_Data!J747)-Finance_Data!K747&lt;1,"Valid","Invalid")</f>
        <v>Valid</v>
      </c>
      <c r="H751" s="3" t="str">
        <f>IF(Finance_Data!L747&gt;0,"Valid","Invalid")</f>
        <v>Valid</v>
      </c>
      <c r="I751" s="3" t="str">
        <f>IF(Finance_Data!L747&gt;=Finance_Data!M747,"Valid","Invalid")</f>
        <v>Valid</v>
      </c>
      <c r="J751" s="3" t="str">
        <f>IF(AND(Finance_Data!I747&gt;=0,Finance_Data!K747&gt;=0),"Valid","Invalid")</f>
        <v>Valid</v>
      </c>
      <c r="K751" s="3" t="str">
        <f>IF(Finance_Data!N747&gt;=0,"Valid","Invalid")</f>
        <v>Valid</v>
      </c>
      <c r="L751" s="3" t="str">
        <f>IF(TEXT(Finance_Data!G747,"mmmm")=Finance_Data!P747,"Valid","Invalid")</f>
        <v>Valid</v>
      </c>
      <c r="M751" s="3" t="str">
        <f>IF("Q"&amp;ROUNDUP(MONTH(Finance_Data!G747)/3,0)=Finance_Data!Q747,"Valid","Invalid")</f>
        <v>Valid</v>
      </c>
      <c r="N751" s="7" t="str">
        <f t="shared" si="11"/>
        <v>Pass</v>
      </c>
    </row>
    <row r="752" spans="1:14" x14ac:dyDescent="0.35">
      <c r="A752" s="17" t="s">
        <v>34</v>
      </c>
      <c r="B752" s="3" t="str">
        <f>IF(ISBLANK(Table3[[#This Row],[Campaign_ID]]),"Invalid","Valid")</f>
        <v>Valid</v>
      </c>
      <c r="C752" s="3" t="str">
        <f>IF(COUNTA(Finance_Data!A748:R748)=18,"Valid","Missing")</f>
        <v>Valid</v>
      </c>
      <c r="D752" s="3" t="str">
        <f>IF(COUNTIF(Finance_Data!$T$2:$T$1001,Finance_Data!T748)&gt;1,"Duplicate","Valid")</f>
        <v>Valid</v>
      </c>
      <c r="E752" s="3" t="str">
        <f>IF(Finance_Data!H748&gt;Finance_Data!G748,"Valid","Invalid")</f>
        <v>Valid</v>
      </c>
      <c r="F752" s="3" t="str" cm="1">
        <f t="array" ref="F752">_xlfn.IFS(Finance_Data!S748&lt;7,"Short",Finance_Data!S748&lt;=30,"Normal",Finance_Data!S748&lt;=60,"Long",Finance_Data!S748&gt;60,"Very Long")</f>
        <v>Long</v>
      </c>
      <c r="G752" s="3" t="str">
        <f>IF(ABS(Finance_Data!I748*Finance_Data!J748)-Finance_Data!K748&lt;1,"Valid","Invalid")</f>
        <v>Valid</v>
      </c>
      <c r="H752" s="3" t="str">
        <f>IF(Finance_Data!L748&gt;0,"Valid","Invalid")</f>
        <v>Valid</v>
      </c>
      <c r="I752" s="3" t="str">
        <f>IF(Finance_Data!L748&gt;=Finance_Data!M748,"Valid","Invalid")</f>
        <v>Valid</v>
      </c>
      <c r="J752" s="3" t="str">
        <f>IF(AND(Finance_Data!I748&gt;=0,Finance_Data!K748&gt;=0),"Valid","Invalid")</f>
        <v>Valid</v>
      </c>
      <c r="K752" s="3" t="str">
        <f>IF(Finance_Data!N748&gt;=0,"Valid","Invalid")</f>
        <v>Valid</v>
      </c>
      <c r="L752" s="3" t="str">
        <f>IF(TEXT(Finance_Data!G748,"mmmm")=Finance_Data!P748,"Valid","Invalid")</f>
        <v>Valid</v>
      </c>
      <c r="M752" s="3" t="str">
        <f>IF("Q"&amp;ROUNDUP(MONTH(Finance_Data!G748)/3,0)=Finance_Data!Q748,"Valid","Invalid")</f>
        <v>Valid</v>
      </c>
      <c r="N752" s="7" t="str">
        <f t="shared" si="11"/>
        <v>Pass</v>
      </c>
    </row>
    <row r="753" spans="1:14" x14ac:dyDescent="0.35">
      <c r="A753" s="17" t="s">
        <v>84</v>
      </c>
      <c r="B753" s="3" t="str">
        <f>IF(ISBLANK(Table3[[#This Row],[Campaign_ID]]),"Invalid","Valid")</f>
        <v>Valid</v>
      </c>
      <c r="C753" s="3" t="str">
        <f>IF(COUNTA(Finance_Data!A749:R749)=18,"Valid","Missing")</f>
        <v>Valid</v>
      </c>
      <c r="D753" s="3" t="str">
        <f>IF(COUNTIF(Finance_Data!$T$2:$T$1001,Finance_Data!T749)&gt;1,"Duplicate","Valid")</f>
        <v>Valid</v>
      </c>
      <c r="E753" s="3" t="str">
        <f>IF(Finance_Data!H749&gt;Finance_Data!G749,"Valid","Invalid")</f>
        <v>Valid</v>
      </c>
      <c r="F753" s="3" t="str" cm="1">
        <f t="array" ref="F753">_xlfn.IFS(Finance_Data!S749&lt;7,"Short",Finance_Data!S749&lt;=30,"Normal",Finance_Data!S749&lt;=60,"Long",Finance_Data!S749&gt;60,"Very Long")</f>
        <v>Normal</v>
      </c>
      <c r="G753" s="3" t="str">
        <f>IF(ABS(Finance_Data!I749*Finance_Data!J749)-Finance_Data!K749&lt;1,"Valid","Invalid")</f>
        <v>Valid</v>
      </c>
      <c r="H753" s="3" t="str">
        <f>IF(Finance_Data!L749&gt;0,"Valid","Invalid")</f>
        <v>Valid</v>
      </c>
      <c r="I753" s="3" t="str">
        <f>IF(Finance_Data!L749&gt;=Finance_Data!M749,"Valid","Invalid")</f>
        <v>Valid</v>
      </c>
      <c r="J753" s="3" t="str">
        <f>IF(AND(Finance_Data!I749&gt;=0,Finance_Data!K749&gt;=0),"Valid","Invalid")</f>
        <v>Valid</v>
      </c>
      <c r="K753" s="3" t="str">
        <f>IF(Finance_Data!N749&gt;=0,"Valid","Invalid")</f>
        <v>Valid</v>
      </c>
      <c r="L753" s="3" t="str">
        <f>IF(TEXT(Finance_Data!G749,"mmmm")=Finance_Data!P749,"Valid","Invalid")</f>
        <v>Valid</v>
      </c>
      <c r="M753" s="3" t="str">
        <f>IF("Q"&amp;ROUNDUP(MONTH(Finance_Data!G749)/3,0)=Finance_Data!Q749,"Valid","Invalid")</f>
        <v>Valid</v>
      </c>
      <c r="N753" s="7" t="str">
        <f t="shared" si="11"/>
        <v>Pass</v>
      </c>
    </row>
    <row r="754" spans="1:14" x14ac:dyDescent="0.35">
      <c r="A754" s="17" t="s">
        <v>88</v>
      </c>
      <c r="B754" s="3" t="str">
        <f>IF(ISBLANK(Table3[[#This Row],[Campaign_ID]]),"Invalid","Valid")</f>
        <v>Valid</v>
      </c>
      <c r="C754" s="3" t="str">
        <f>IF(COUNTA(Finance_Data!A750:R750)=18,"Valid","Missing")</f>
        <v>Valid</v>
      </c>
      <c r="D754" s="3" t="str">
        <f>IF(COUNTIF(Finance_Data!$T$2:$T$1001,Finance_Data!T750)&gt;1,"Duplicate","Valid")</f>
        <v>Valid</v>
      </c>
      <c r="E754" s="3" t="str">
        <f>IF(Finance_Data!H750&gt;Finance_Data!G750,"Valid","Invalid")</f>
        <v>Valid</v>
      </c>
      <c r="F754" s="3" t="str" cm="1">
        <f t="array" ref="F754">_xlfn.IFS(Finance_Data!S750&lt;7,"Short",Finance_Data!S750&lt;=30,"Normal",Finance_Data!S750&lt;=60,"Long",Finance_Data!S750&gt;60,"Very Long")</f>
        <v>Normal</v>
      </c>
      <c r="G754" s="3" t="str">
        <f>IF(ABS(Finance_Data!I750*Finance_Data!J750)-Finance_Data!K750&lt;1,"Valid","Invalid")</f>
        <v>Valid</v>
      </c>
      <c r="H754" s="3" t="str">
        <f>IF(Finance_Data!L750&gt;0,"Valid","Invalid")</f>
        <v>Valid</v>
      </c>
      <c r="I754" s="3" t="str">
        <f>IF(Finance_Data!L750&gt;=Finance_Data!M750,"Valid","Invalid")</f>
        <v>Valid</v>
      </c>
      <c r="J754" s="3" t="str">
        <f>IF(AND(Finance_Data!I750&gt;=0,Finance_Data!K750&gt;=0),"Valid","Invalid")</f>
        <v>Valid</v>
      </c>
      <c r="K754" s="3" t="str">
        <f>IF(Finance_Data!N750&gt;=0,"Valid","Invalid")</f>
        <v>Valid</v>
      </c>
      <c r="L754" s="3" t="str">
        <f>IF(TEXT(Finance_Data!G750,"mmmm")=Finance_Data!P750,"Valid","Invalid")</f>
        <v>Valid</v>
      </c>
      <c r="M754" s="3" t="str">
        <f>IF("Q"&amp;ROUNDUP(MONTH(Finance_Data!G750)/3,0)=Finance_Data!Q750,"Valid","Invalid")</f>
        <v>Valid</v>
      </c>
      <c r="N754" s="7" t="str">
        <f t="shared" si="11"/>
        <v>Pass</v>
      </c>
    </row>
    <row r="755" spans="1:14" x14ac:dyDescent="0.35">
      <c r="A755" s="17" t="s">
        <v>99</v>
      </c>
      <c r="B755" s="3" t="str">
        <f>IF(ISBLANK(Table3[[#This Row],[Campaign_ID]]),"Invalid","Valid")</f>
        <v>Valid</v>
      </c>
      <c r="C755" s="3" t="str">
        <f>IF(COUNTA(Finance_Data!A751:R751)=18,"Valid","Missing")</f>
        <v>Valid</v>
      </c>
      <c r="D755" s="3" t="str">
        <f>IF(COUNTIF(Finance_Data!$T$2:$T$1001,Finance_Data!T751)&gt;1,"Duplicate","Valid")</f>
        <v>Valid</v>
      </c>
      <c r="E755" s="3" t="str">
        <f>IF(Finance_Data!H751&gt;Finance_Data!G751,"Valid","Invalid")</f>
        <v>Valid</v>
      </c>
      <c r="F755" s="3" t="str" cm="1">
        <f t="array" ref="F755">_xlfn.IFS(Finance_Data!S751&lt;7,"Short",Finance_Data!S751&lt;=30,"Normal",Finance_Data!S751&lt;=60,"Long",Finance_Data!S751&gt;60,"Very Long")</f>
        <v>Normal</v>
      </c>
      <c r="G755" s="3" t="str">
        <f>IF(ABS(Finance_Data!I751*Finance_Data!J751)-Finance_Data!K751&lt;1,"Valid","Invalid")</f>
        <v>Valid</v>
      </c>
      <c r="H755" s="3" t="str">
        <f>IF(Finance_Data!L751&gt;0,"Valid","Invalid")</f>
        <v>Valid</v>
      </c>
      <c r="I755" s="3" t="str">
        <f>IF(Finance_Data!L751&gt;=Finance_Data!M751,"Valid","Invalid")</f>
        <v>Valid</v>
      </c>
      <c r="J755" s="3" t="str">
        <f>IF(AND(Finance_Data!I751&gt;=0,Finance_Data!K751&gt;=0),"Valid","Invalid")</f>
        <v>Valid</v>
      </c>
      <c r="K755" s="3" t="str">
        <f>IF(Finance_Data!N751&gt;=0,"Valid","Invalid")</f>
        <v>Valid</v>
      </c>
      <c r="L755" s="3" t="str">
        <f>IF(TEXT(Finance_Data!G751,"mmmm")=Finance_Data!P751,"Valid","Invalid")</f>
        <v>Valid</v>
      </c>
      <c r="M755" s="3" t="str">
        <f>IF("Q"&amp;ROUNDUP(MONTH(Finance_Data!G751)/3,0)=Finance_Data!Q751,"Valid","Invalid")</f>
        <v>Valid</v>
      </c>
      <c r="N755" s="7" t="str">
        <f t="shared" si="11"/>
        <v>Pass</v>
      </c>
    </row>
    <row r="756" spans="1:14" x14ac:dyDescent="0.35">
      <c r="A756" s="17" t="s">
        <v>110</v>
      </c>
      <c r="B756" s="3" t="str">
        <f>IF(ISBLANK(Table3[[#This Row],[Campaign_ID]]),"Invalid","Valid")</f>
        <v>Valid</v>
      </c>
      <c r="C756" s="3" t="str">
        <f>IF(COUNTA(Finance_Data!A752:R752)=18,"Valid","Missing")</f>
        <v>Valid</v>
      </c>
      <c r="D756" s="3" t="str">
        <f>IF(COUNTIF(Finance_Data!$T$2:$T$1001,Finance_Data!T752)&gt;1,"Duplicate","Valid")</f>
        <v>Valid</v>
      </c>
      <c r="E756" s="3" t="str">
        <f>IF(Finance_Data!H752&gt;Finance_Data!G752,"Valid","Invalid")</f>
        <v>Valid</v>
      </c>
      <c r="F756" s="3" t="str" cm="1">
        <f t="array" ref="F756">_xlfn.IFS(Finance_Data!S752&lt;7,"Short",Finance_Data!S752&lt;=30,"Normal",Finance_Data!S752&lt;=60,"Long",Finance_Data!S752&gt;60,"Very Long")</f>
        <v>Long</v>
      </c>
      <c r="G756" s="3" t="str">
        <f>IF(ABS(Finance_Data!I752*Finance_Data!J752)-Finance_Data!K752&lt;1,"Valid","Invalid")</f>
        <v>Valid</v>
      </c>
      <c r="H756" s="3" t="str">
        <f>IF(Finance_Data!L752&gt;0,"Valid","Invalid")</f>
        <v>Valid</v>
      </c>
      <c r="I756" s="3" t="str">
        <f>IF(Finance_Data!L752&gt;=Finance_Data!M752,"Valid","Invalid")</f>
        <v>Valid</v>
      </c>
      <c r="J756" s="3" t="str">
        <f>IF(AND(Finance_Data!I752&gt;=0,Finance_Data!K752&gt;=0),"Valid","Invalid")</f>
        <v>Valid</v>
      </c>
      <c r="K756" s="3" t="str">
        <f>IF(Finance_Data!N752&gt;=0,"Valid","Invalid")</f>
        <v>Valid</v>
      </c>
      <c r="L756" s="3" t="str">
        <f>IF(TEXT(Finance_Data!G752,"mmmm")=Finance_Data!P752,"Valid","Invalid")</f>
        <v>Valid</v>
      </c>
      <c r="M756" s="3" t="str">
        <f>IF("Q"&amp;ROUNDUP(MONTH(Finance_Data!G752)/3,0)=Finance_Data!Q752,"Valid","Invalid")</f>
        <v>Valid</v>
      </c>
      <c r="N756" s="7" t="str">
        <f t="shared" si="11"/>
        <v>Pass</v>
      </c>
    </row>
    <row r="757" spans="1:14" x14ac:dyDescent="0.35">
      <c r="A757" s="17" t="s">
        <v>34</v>
      </c>
      <c r="B757" s="3" t="str">
        <f>IF(ISBLANK(Table3[[#This Row],[Campaign_ID]]),"Invalid","Valid")</f>
        <v>Valid</v>
      </c>
      <c r="C757" s="3" t="str">
        <f>IF(COUNTA(Finance_Data!A753:R753)=18,"Valid","Missing")</f>
        <v>Valid</v>
      </c>
      <c r="D757" s="3" t="str">
        <f>IF(COUNTIF(Finance_Data!$T$2:$T$1001,Finance_Data!T753)&gt;1,"Duplicate","Valid")</f>
        <v>Valid</v>
      </c>
      <c r="E757" s="3" t="str">
        <f>IF(Finance_Data!H753&gt;Finance_Data!G753,"Valid","Invalid")</f>
        <v>Valid</v>
      </c>
      <c r="F757" s="3" t="str" cm="1">
        <f t="array" ref="F757">_xlfn.IFS(Finance_Data!S753&lt;7,"Short",Finance_Data!S753&lt;=30,"Normal",Finance_Data!S753&lt;=60,"Long",Finance_Data!S753&gt;60,"Very Long")</f>
        <v>Long</v>
      </c>
      <c r="G757" s="3" t="str">
        <f>IF(ABS(Finance_Data!I753*Finance_Data!J753)-Finance_Data!K753&lt;1,"Valid","Invalid")</f>
        <v>Valid</v>
      </c>
      <c r="H757" s="3" t="str">
        <f>IF(Finance_Data!L753&gt;0,"Valid","Invalid")</f>
        <v>Valid</v>
      </c>
      <c r="I757" s="3" t="str">
        <f>IF(Finance_Data!L753&gt;=Finance_Data!M753,"Valid","Invalid")</f>
        <v>Valid</v>
      </c>
      <c r="J757" s="3" t="str">
        <f>IF(AND(Finance_Data!I753&gt;=0,Finance_Data!K753&gt;=0),"Valid","Invalid")</f>
        <v>Valid</v>
      </c>
      <c r="K757" s="3" t="str">
        <f>IF(Finance_Data!N753&gt;=0,"Valid","Invalid")</f>
        <v>Valid</v>
      </c>
      <c r="L757" s="3" t="str">
        <f>IF(TEXT(Finance_Data!G753,"mmmm")=Finance_Data!P753,"Valid","Invalid")</f>
        <v>Valid</v>
      </c>
      <c r="M757" s="3" t="str">
        <f>IF("Q"&amp;ROUNDUP(MONTH(Finance_Data!G753)/3,0)=Finance_Data!Q753,"Valid","Invalid")</f>
        <v>Valid</v>
      </c>
      <c r="N757" s="7" t="str">
        <f t="shared" si="11"/>
        <v>Pass</v>
      </c>
    </row>
    <row r="758" spans="1:14" x14ac:dyDescent="0.35">
      <c r="A758" s="17" t="s">
        <v>84</v>
      </c>
      <c r="B758" s="3" t="str">
        <f>IF(ISBLANK(Table3[[#This Row],[Campaign_ID]]),"Invalid","Valid")</f>
        <v>Valid</v>
      </c>
      <c r="C758" s="3" t="str">
        <f>IF(COUNTA(Finance_Data!A754:R754)=18,"Valid","Missing")</f>
        <v>Valid</v>
      </c>
      <c r="D758" s="3" t="str">
        <f>IF(COUNTIF(Finance_Data!$T$2:$T$1001,Finance_Data!T754)&gt;1,"Duplicate","Valid")</f>
        <v>Valid</v>
      </c>
      <c r="E758" s="3" t="str">
        <f>IF(Finance_Data!H754&gt;Finance_Data!G754,"Valid","Invalid")</f>
        <v>Valid</v>
      </c>
      <c r="F758" s="3" t="str" cm="1">
        <f t="array" ref="F758">_xlfn.IFS(Finance_Data!S754&lt;7,"Short",Finance_Data!S754&lt;=30,"Normal",Finance_Data!S754&lt;=60,"Long",Finance_Data!S754&gt;60,"Very Long")</f>
        <v>Long</v>
      </c>
      <c r="G758" s="3" t="str">
        <f>IF(ABS(Finance_Data!I754*Finance_Data!J754)-Finance_Data!K754&lt;1,"Valid","Invalid")</f>
        <v>Valid</v>
      </c>
      <c r="H758" s="3" t="str">
        <f>IF(Finance_Data!L754&gt;0,"Valid","Invalid")</f>
        <v>Valid</v>
      </c>
      <c r="I758" s="3" t="str">
        <f>IF(Finance_Data!L754&gt;=Finance_Data!M754,"Valid","Invalid")</f>
        <v>Valid</v>
      </c>
      <c r="J758" s="3" t="str">
        <f>IF(AND(Finance_Data!I754&gt;=0,Finance_Data!K754&gt;=0),"Valid","Invalid")</f>
        <v>Valid</v>
      </c>
      <c r="K758" s="3" t="str">
        <f>IF(Finance_Data!N754&gt;=0,"Valid","Invalid")</f>
        <v>Valid</v>
      </c>
      <c r="L758" s="3" t="str">
        <f>IF(TEXT(Finance_Data!G754,"mmmm")=Finance_Data!P754,"Valid","Invalid")</f>
        <v>Valid</v>
      </c>
      <c r="M758" s="3" t="str">
        <f>IF("Q"&amp;ROUNDUP(MONTH(Finance_Data!G754)/3,0)=Finance_Data!Q754,"Valid","Invalid")</f>
        <v>Valid</v>
      </c>
      <c r="N758" s="7" t="str">
        <f t="shared" si="11"/>
        <v>Pass</v>
      </c>
    </row>
    <row r="759" spans="1:14" x14ac:dyDescent="0.35">
      <c r="A759" s="17" t="s">
        <v>77</v>
      </c>
      <c r="B759" s="3" t="str">
        <f>IF(ISBLANK(Table3[[#This Row],[Campaign_ID]]),"Invalid","Valid")</f>
        <v>Valid</v>
      </c>
      <c r="C759" s="3" t="str">
        <f>IF(COUNTA(Finance_Data!A755:R755)=18,"Valid","Missing")</f>
        <v>Valid</v>
      </c>
      <c r="D759" s="3" t="str">
        <f>IF(COUNTIF(Finance_Data!$T$2:$T$1001,Finance_Data!T755)&gt;1,"Duplicate","Valid")</f>
        <v>Valid</v>
      </c>
      <c r="E759" s="3" t="str">
        <f>IF(Finance_Data!H755&gt;Finance_Data!G755,"Valid","Invalid")</f>
        <v>Valid</v>
      </c>
      <c r="F759" s="3" t="str" cm="1">
        <f t="array" ref="F759">_xlfn.IFS(Finance_Data!S755&lt;7,"Short",Finance_Data!S755&lt;=30,"Normal",Finance_Data!S755&lt;=60,"Long",Finance_Data!S755&gt;60,"Very Long")</f>
        <v>Long</v>
      </c>
      <c r="G759" s="3" t="str">
        <f>IF(ABS(Finance_Data!I755*Finance_Data!J755)-Finance_Data!K755&lt;1,"Valid","Invalid")</f>
        <v>Valid</v>
      </c>
      <c r="H759" s="3" t="str">
        <f>IF(Finance_Data!L755&gt;0,"Valid","Invalid")</f>
        <v>Valid</v>
      </c>
      <c r="I759" s="3" t="str">
        <f>IF(Finance_Data!L755&gt;=Finance_Data!M755,"Valid","Invalid")</f>
        <v>Valid</v>
      </c>
      <c r="J759" s="3" t="str">
        <f>IF(AND(Finance_Data!I755&gt;=0,Finance_Data!K755&gt;=0),"Valid","Invalid")</f>
        <v>Valid</v>
      </c>
      <c r="K759" s="3" t="str">
        <f>IF(Finance_Data!N755&gt;=0,"Valid","Invalid")</f>
        <v>Valid</v>
      </c>
      <c r="L759" s="3" t="str">
        <f>IF(TEXT(Finance_Data!G755,"mmmm")=Finance_Data!P755,"Valid","Invalid")</f>
        <v>Valid</v>
      </c>
      <c r="M759" s="3" t="str">
        <f>IF("Q"&amp;ROUNDUP(MONTH(Finance_Data!G755)/3,0)=Finance_Data!Q755,"Valid","Invalid")</f>
        <v>Valid</v>
      </c>
      <c r="N759" s="7" t="str">
        <f t="shared" si="11"/>
        <v>Pass</v>
      </c>
    </row>
    <row r="760" spans="1:14" x14ac:dyDescent="0.35">
      <c r="A760" s="17" t="s">
        <v>34</v>
      </c>
      <c r="B760" s="3" t="str">
        <f>IF(ISBLANK(Table3[[#This Row],[Campaign_ID]]),"Invalid","Valid")</f>
        <v>Valid</v>
      </c>
      <c r="C760" s="3" t="str">
        <f>IF(COUNTA(Finance_Data!A756:R756)=18,"Valid","Missing")</f>
        <v>Valid</v>
      </c>
      <c r="D760" s="3" t="str">
        <f>IF(COUNTIF(Finance_Data!$T$2:$T$1001,Finance_Data!T756)&gt;1,"Duplicate","Valid")</f>
        <v>Valid</v>
      </c>
      <c r="E760" s="3" t="str">
        <f>IF(Finance_Data!H756&gt;Finance_Data!G756,"Valid","Invalid")</f>
        <v>Valid</v>
      </c>
      <c r="F760" s="3" t="str" cm="1">
        <f t="array" ref="F760">_xlfn.IFS(Finance_Data!S756&lt;7,"Short",Finance_Data!S756&lt;=30,"Normal",Finance_Data!S756&lt;=60,"Long",Finance_Data!S756&gt;60,"Very Long")</f>
        <v>Very Long</v>
      </c>
      <c r="G760" s="3" t="str">
        <f>IF(ABS(Finance_Data!I756*Finance_Data!J756)-Finance_Data!K756&lt;1,"Valid","Invalid")</f>
        <v>Valid</v>
      </c>
      <c r="H760" s="3" t="str">
        <f>IF(Finance_Data!L756&gt;0,"Valid","Invalid")</f>
        <v>Valid</v>
      </c>
      <c r="I760" s="3" t="str">
        <f>IF(Finance_Data!L756&gt;=Finance_Data!M756,"Valid","Invalid")</f>
        <v>Valid</v>
      </c>
      <c r="J760" s="3" t="str">
        <f>IF(AND(Finance_Data!I756&gt;=0,Finance_Data!K756&gt;=0),"Valid","Invalid")</f>
        <v>Valid</v>
      </c>
      <c r="K760" s="3" t="str">
        <f>IF(Finance_Data!N756&gt;=0,"Valid","Invalid")</f>
        <v>Valid</v>
      </c>
      <c r="L760" s="3" t="str">
        <f>IF(TEXT(Finance_Data!G756,"mmmm")=Finance_Data!P756,"Valid","Invalid")</f>
        <v>Valid</v>
      </c>
      <c r="M760" s="3" t="str">
        <f>IF("Q"&amp;ROUNDUP(MONTH(Finance_Data!G756)/3,0)=Finance_Data!Q756,"Valid","Invalid")</f>
        <v>Valid</v>
      </c>
      <c r="N760" s="7" t="str">
        <f t="shared" si="11"/>
        <v>Pass</v>
      </c>
    </row>
    <row r="761" spans="1:14" x14ac:dyDescent="0.35">
      <c r="A761" s="17" t="s">
        <v>84</v>
      </c>
      <c r="B761" s="3" t="str">
        <f>IF(ISBLANK(Table3[[#This Row],[Campaign_ID]]),"Invalid","Valid")</f>
        <v>Valid</v>
      </c>
      <c r="C761" s="3" t="str">
        <f>IF(COUNTA(Finance_Data!A757:R757)=18,"Valid","Missing")</f>
        <v>Valid</v>
      </c>
      <c r="D761" s="3" t="str">
        <f>IF(COUNTIF(Finance_Data!$T$2:$T$1001,Finance_Data!T757)&gt;1,"Duplicate","Valid")</f>
        <v>Valid</v>
      </c>
      <c r="E761" s="3" t="str">
        <f>IF(Finance_Data!H757&gt;Finance_Data!G757,"Valid","Invalid")</f>
        <v>Valid</v>
      </c>
      <c r="F761" s="3" t="str" cm="1">
        <f t="array" ref="F761">_xlfn.IFS(Finance_Data!S757&lt;7,"Short",Finance_Data!S757&lt;=30,"Normal",Finance_Data!S757&lt;=60,"Long",Finance_Data!S757&gt;60,"Very Long")</f>
        <v>Normal</v>
      </c>
      <c r="G761" s="3" t="str">
        <f>IF(ABS(Finance_Data!I757*Finance_Data!J757)-Finance_Data!K757&lt;1,"Valid","Invalid")</f>
        <v>Valid</v>
      </c>
      <c r="H761" s="3" t="str">
        <f>IF(Finance_Data!L757&gt;0,"Valid","Invalid")</f>
        <v>Valid</v>
      </c>
      <c r="I761" s="3" t="str">
        <f>IF(Finance_Data!L757&gt;=Finance_Data!M757,"Valid","Invalid")</f>
        <v>Valid</v>
      </c>
      <c r="J761" s="3" t="str">
        <f>IF(AND(Finance_Data!I757&gt;=0,Finance_Data!K757&gt;=0),"Valid","Invalid")</f>
        <v>Valid</v>
      </c>
      <c r="K761" s="3" t="str">
        <f>IF(Finance_Data!N757&gt;=0,"Valid","Invalid")</f>
        <v>Valid</v>
      </c>
      <c r="L761" s="3" t="str">
        <f>IF(TEXT(Finance_Data!G757,"mmmm")=Finance_Data!P757,"Valid","Invalid")</f>
        <v>Valid</v>
      </c>
      <c r="M761" s="3" t="str">
        <f>IF("Q"&amp;ROUNDUP(MONTH(Finance_Data!G757)/3,0)=Finance_Data!Q757,"Valid","Invalid")</f>
        <v>Valid</v>
      </c>
      <c r="N761" s="7" t="str">
        <f t="shared" si="11"/>
        <v>Pass</v>
      </c>
    </row>
    <row r="762" spans="1:14" x14ac:dyDescent="0.35">
      <c r="A762" s="17" t="s">
        <v>109</v>
      </c>
      <c r="B762" s="3" t="str">
        <f>IF(ISBLANK(Table3[[#This Row],[Campaign_ID]]),"Invalid","Valid")</f>
        <v>Valid</v>
      </c>
      <c r="C762" s="3" t="str">
        <f>IF(COUNTA(Finance_Data!A758:R758)=18,"Valid","Missing")</f>
        <v>Valid</v>
      </c>
      <c r="D762" s="3" t="str">
        <f>IF(COUNTIF(Finance_Data!$T$2:$T$1001,Finance_Data!T758)&gt;1,"Duplicate","Valid")</f>
        <v>Valid</v>
      </c>
      <c r="E762" s="3" t="str">
        <f>IF(Finance_Data!H758&gt;Finance_Data!G758,"Valid","Invalid")</f>
        <v>Valid</v>
      </c>
      <c r="F762" s="3" t="str" cm="1">
        <f t="array" ref="F762">_xlfn.IFS(Finance_Data!S758&lt;7,"Short",Finance_Data!S758&lt;=30,"Normal",Finance_Data!S758&lt;=60,"Long",Finance_Data!S758&gt;60,"Very Long")</f>
        <v>Normal</v>
      </c>
      <c r="G762" s="3" t="str">
        <f>IF(ABS(Finance_Data!I758*Finance_Data!J758)-Finance_Data!K758&lt;1,"Valid","Invalid")</f>
        <v>Valid</v>
      </c>
      <c r="H762" s="3" t="str">
        <f>IF(Finance_Data!L758&gt;0,"Valid","Invalid")</f>
        <v>Valid</v>
      </c>
      <c r="I762" s="3" t="str">
        <f>IF(Finance_Data!L758&gt;=Finance_Data!M758,"Valid","Invalid")</f>
        <v>Valid</v>
      </c>
      <c r="J762" s="3" t="str">
        <f>IF(AND(Finance_Data!I758&gt;=0,Finance_Data!K758&gt;=0),"Valid","Invalid")</f>
        <v>Valid</v>
      </c>
      <c r="K762" s="3" t="str">
        <f>IF(Finance_Data!N758&gt;=0,"Valid","Invalid")</f>
        <v>Valid</v>
      </c>
      <c r="L762" s="3" t="str">
        <f>IF(TEXT(Finance_Data!G758,"mmmm")=Finance_Data!P758,"Valid","Invalid")</f>
        <v>Valid</v>
      </c>
      <c r="M762" s="3" t="str">
        <f>IF("Q"&amp;ROUNDUP(MONTH(Finance_Data!G758)/3,0)=Finance_Data!Q758,"Valid","Invalid")</f>
        <v>Valid</v>
      </c>
      <c r="N762" s="7" t="str">
        <f t="shared" si="11"/>
        <v>Pass</v>
      </c>
    </row>
    <row r="763" spans="1:14" x14ac:dyDescent="0.35">
      <c r="A763" s="17" t="s">
        <v>115</v>
      </c>
      <c r="B763" s="3" t="str">
        <f>IF(ISBLANK(Table3[[#This Row],[Campaign_ID]]),"Invalid","Valid")</f>
        <v>Valid</v>
      </c>
      <c r="C763" s="3" t="str">
        <f>IF(COUNTA(Finance_Data!A759:R759)=18,"Valid","Missing")</f>
        <v>Valid</v>
      </c>
      <c r="D763" s="3" t="str">
        <f>IF(COUNTIF(Finance_Data!$T$2:$T$1001,Finance_Data!T759)&gt;1,"Duplicate","Valid")</f>
        <v>Valid</v>
      </c>
      <c r="E763" s="3" t="str">
        <f>IF(Finance_Data!H759&gt;Finance_Data!G759,"Valid","Invalid")</f>
        <v>Valid</v>
      </c>
      <c r="F763" s="3" t="str" cm="1">
        <f t="array" ref="F763">_xlfn.IFS(Finance_Data!S759&lt;7,"Short",Finance_Data!S759&lt;=30,"Normal",Finance_Data!S759&lt;=60,"Long",Finance_Data!S759&gt;60,"Very Long")</f>
        <v>Long</v>
      </c>
      <c r="G763" s="3" t="str">
        <f>IF(ABS(Finance_Data!I759*Finance_Data!J759)-Finance_Data!K759&lt;1,"Valid","Invalid")</f>
        <v>Valid</v>
      </c>
      <c r="H763" s="3" t="str">
        <f>IF(Finance_Data!L759&gt;0,"Valid","Invalid")</f>
        <v>Valid</v>
      </c>
      <c r="I763" s="3" t="str">
        <f>IF(Finance_Data!L759&gt;=Finance_Data!M759,"Valid","Invalid")</f>
        <v>Valid</v>
      </c>
      <c r="J763" s="3" t="str">
        <f>IF(AND(Finance_Data!I759&gt;=0,Finance_Data!K759&gt;=0),"Valid","Invalid")</f>
        <v>Valid</v>
      </c>
      <c r="K763" s="3" t="str">
        <f>IF(Finance_Data!N759&gt;=0,"Valid","Invalid")</f>
        <v>Valid</v>
      </c>
      <c r="L763" s="3" t="str">
        <f>IF(TEXT(Finance_Data!G759,"mmmm")=Finance_Data!P759,"Valid","Invalid")</f>
        <v>Valid</v>
      </c>
      <c r="M763" s="3" t="str">
        <f>IF("Q"&amp;ROUNDUP(MONTH(Finance_Data!G759)/3,0)=Finance_Data!Q759,"Valid","Invalid")</f>
        <v>Valid</v>
      </c>
      <c r="N763" s="7" t="str">
        <f t="shared" si="11"/>
        <v>Pass</v>
      </c>
    </row>
    <row r="764" spans="1:14" x14ac:dyDescent="0.35">
      <c r="A764" s="17" t="s">
        <v>34</v>
      </c>
      <c r="B764" s="3" t="str">
        <f>IF(ISBLANK(Table3[[#This Row],[Campaign_ID]]),"Invalid","Valid")</f>
        <v>Valid</v>
      </c>
      <c r="C764" s="3" t="str">
        <f>IF(COUNTA(Finance_Data!A760:R760)=18,"Valid","Missing")</f>
        <v>Valid</v>
      </c>
      <c r="D764" s="3" t="str">
        <f>IF(COUNTIF(Finance_Data!$T$2:$T$1001,Finance_Data!T760)&gt;1,"Duplicate","Valid")</f>
        <v>Valid</v>
      </c>
      <c r="E764" s="3" t="str">
        <f>IF(Finance_Data!H760&gt;Finance_Data!G760,"Valid","Invalid")</f>
        <v>Valid</v>
      </c>
      <c r="F764" s="3" t="str" cm="1">
        <f t="array" ref="F764">_xlfn.IFS(Finance_Data!S760&lt;7,"Short",Finance_Data!S760&lt;=30,"Normal",Finance_Data!S760&lt;=60,"Long",Finance_Data!S760&gt;60,"Very Long")</f>
        <v>Normal</v>
      </c>
      <c r="G764" s="3" t="str">
        <f>IF(ABS(Finance_Data!I760*Finance_Data!J760)-Finance_Data!K760&lt;1,"Valid","Invalid")</f>
        <v>Valid</v>
      </c>
      <c r="H764" s="3" t="str">
        <f>IF(Finance_Data!L760&gt;0,"Valid","Invalid")</f>
        <v>Valid</v>
      </c>
      <c r="I764" s="3" t="str">
        <f>IF(Finance_Data!L760&gt;=Finance_Data!M760,"Valid","Invalid")</f>
        <v>Valid</v>
      </c>
      <c r="J764" s="3" t="str">
        <f>IF(AND(Finance_Data!I760&gt;=0,Finance_Data!K760&gt;=0),"Valid","Invalid")</f>
        <v>Valid</v>
      </c>
      <c r="K764" s="3" t="str">
        <f>IF(Finance_Data!N760&gt;=0,"Valid","Invalid")</f>
        <v>Valid</v>
      </c>
      <c r="L764" s="3" t="str">
        <f>IF(TEXT(Finance_Data!G760,"mmmm")=Finance_Data!P760,"Valid","Invalid")</f>
        <v>Valid</v>
      </c>
      <c r="M764" s="3" t="str">
        <f>IF("Q"&amp;ROUNDUP(MONTH(Finance_Data!G760)/3,0)=Finance_Data!Q760,"Valid","Invalid")</f>
        <v>Valid</v>
      </c>
      <c r="N764" s="7" t="str">
        <f t="shared" si="11"/>
        <v>Pass</v>
      </c>
    </row>
    <row r="765" spans="1:14" x14ac:dyDescent="0.35">
      <c r="A765" s="17" t="s">
        <v>110</v>
      </c>
      <c r="B765" s="3" t="str">
        <f>IF(ISBLANK(Table3[[#This Row],[Campaign_ID]]),"Invalid","Valid")</f>
        <v>Valid</v>
      </c>
      <c r="C765" s="3" t="str">
        <f>IF(COUNTA(Finance_Data!A761:R761)=18,"Valid","Missing")</f>
        <v>Valid</v>
      </c>
      <c r="D765" s="3" t="str">
        <f>IF(COUNTIF(Finance_Data!$T$2:$T$1001,Finance_Data!T761)&gt;1,"Duplicate","Valid")</f>
        <v>Valid</v>
      </c>
      <c r="E765" s="3" t="str">
        <f>IF(Finance_Data!H761&gt;Finance_Data!G761,"Valid","Invalid")</f>
        <v>Valid</v>
      </c>
      <c r="F765" s="3" t="str" cm="1">
        <f t="array" ref="F765">_xlfn.IFS(Finance_Data!S761&lt;7,"Short",Finance_Data!S761&lt;=30,"Normal",Finance_Data!S761&lt;=60,"Long",Finance_Data!S761&gt;60,"Very Long")</f>
        <v>Normal</v>
      </c>
      <c r="G765" s="3" t="str">
        <f>IF(ABS(Finance_Data!I761*Finance_Data!J761)-Finance_Data!K761&lt;1,"Valid","Invalid")</f>
        <v>Valid</v>
      </c>
      <c r="H765" s="3" t="str">
        <f>IF(Finance_Data!L761&gt;0,"Valid","Invalid")</f>
        <v>Valid</v>
      </c>
      <c r="I765" s="3" t="str">
        <f>IF(Finance_Data!L761&gt;=Finance_Data!M761,"Valid","Invalid")</f>
        <v>Valid</v>
      </c>
      <c r="J765" s="3" t="str">
        <f>IF(AND(Finance_Data!I761&gt;=0,Finance_Data!K761&gt;=0),"Valid","Invalid")</f>
        <v>Valid</v>
      </c>
      <c r="K765" s="3" t="str">
        <f>IF(Finance_Data!N761&gt;=0,"Valid","Invalid")</f>
        <v>Valid</v>
      </c>
      <c r="L765" s="3" t="str">
        <f>IF(TEXT(Finance_Data!G761,"mmmm")=Finance_Data!P761,"Valid","Invalid")</f>
        <v>Valid</v>
      </c>
      <c r="M765" s="3" t="str">
        <f>IF("Q"&amp;ROUNDUP(MONTH(Finance_Data!G761)/3,0)=Finance_Data!Q761,"Valid","Invalid")</f>
        <v>Valid</v>
      </c>
      <c r="N765" s="7" t="str">
        <f t="shared" si="11"/>
        <v>Pass</v>
      </c>
    </row>
    <row r="766" spans="1:14" x14ac:dyDescent="0.35">
      <c r="A766" s="17" t="s">
        <v>98</v>
      </c>
      <c r="B766" s="3" t="str">
        <f>IF(ISBLANK(Table3[[#This Row],[Campaign_ID]]),"Invalid","Valid")</f>
        <v>Valid</v>
      </c>
      <c r="C766" s="3" t="str">
        <f>IF(COUNTA(Finance_Data!A762:R762)=18,"Valid","Missing")</f>
        <v>Valid</v>
      </c>
      <c r="D766" s="3" t="str">
        <f>IF(COUNTIF(Finance_Data!$T$2:$T$1001,Finance_Data!T762)&gt;1,"Duplicate","Valid")</f>
        <v>Valid</v>
      </c>
      <c r="E766" s="3" t="str">
        <f>IF(Finance_Data!H762&gt;Finance_Data!G762,"Valid","Invalid")</f>
        <v>Valid</v>
      </c>
      <c r="F766" s="3" t="str" cm="1">
        <f t="array" ref="F766">_xlfn.IFS(Finance_Data!S762&lt;7,"Short",Finance_Data!S762&lt;=30,"Normal",Finance_Data!S762&lt;=60,"Long",Finance_Data!S762&gt;60,"Very Long")</f>
        <v>Normal</v>
      </c>
      <c r="G766" s="3" t="str">
        <f>IF(ABS(Finance_Data!I762*Finance_Data!J762)-Finance_Data!K762&lt;1,"Valid","Invalid")</f>
        <v>Valid</v>
      </c>
      <c r="H766" s="3" t="str">
        <f>IF(Finance_Data!L762&gt;0,"Valid","Invalid")</f>
        <v>Valid</v>
      </c>
      <c r="I766" s="3" t="str">
        <f>IF(Finance_Data!L762&gt;=Finance_Data!M762,"Valid","Invalid")</f>
        <v>Valid</v>
      </c>
      <c r="J766" s="3" t="str">
        <f>IF(AND(Finance_Data!I762&gt;=0,Finance_Data!K762&gt;=0),"Valid","Invalid")</f>
        <v>Valid</v>
      </c>
      <c r="K766" s="3" t="str">
        <f>IF(Finance_Data!N762&gt;=0,"Valid","Invalid")</f>
        <v>Valid</v>
      </c>
      <c r="L766" s="3" t="str">
        <f>IF(TEXT(Finance_Data!G762,"mmmm")=Finance_Data!P762,"Valid","Invalid")</f>
        <v>Valid</v>
      </c>
      <c r="M766" s="3" t="str">
        <f>IF("Q"&amp;ROUNDUP(MONTH(Finance_Data!G762)/3,0)=Finance_Data!Q762,"Valid","Invalid")</f>
        <v>Valid</v>
      </c>
      <c r="N766" s="7" t="str">
        <f t="shared" si="11"/>
        <v>Pass</v>
      </c>
    </row>
    <row r="767" spans="1:14" x14ac:dyDescent="0.35">
      <c r="A767" s="17" t="s">
        <v>66</v>
      </c>
      <c r="B767" s="3" t="str">
        <f>IF(ISBLANK(Table3[[#This Row],[Campaign_ID]]),"Invalid","Valid")</f>
        <v>Valid</v>
      </c>
      <c r="C767" s="3" t="str">
        <f>IF(COUNTA(Finance_Data!A763:R763)=18,"Valid","Missing")</f>
        <v>Valid</v>
      </c>
      <c r="D767" s="3" t="str">
        <f>IF(COUNTIF(Finance_Data!$T$2:$T$1001,Finance_Data!T763)&gt;1,"Duplicate","Valid")</f>
        <v>Valid</v>
      </c>
      <c r="E767" s="3" t="str">
        <f>IF(Finance_Data!H763&gt;Finance_Data!G763,"Valid","Invalid")</f>
        <v>Valid</v>
      </c>
      <c r="F767" s="3" t="str" cm="1">
        <f t="array" ref="F767">_xlfn.IFS(Finance_Data!S763&lt;7,"Short",Finance_Data!S763&lt;=30,"Normal",Finance_Data!S763&lt;=60,"Long",Finance_Data!S763&gt;60,"Very Long")</f>
        <v>Normal</v>
      </c>
      <c r="G767" s="3" t="str">
        <f>IF(ABS(Finance_Data!I763*Finance_Data!J763)-Finance_Data!K763&lt;1,"Valid","Invalid")</f>
        <v>Valid</v>
      </c>
      <c r="H767" s="3" t="str">
        <f>IF(Finance_Data!L763&gt;0,"Valid","Invalid")</f>
        <v>Valid</v>
      </c>
      <c r="I767" s="3" t="str">
        <f>IF(Finance_Data!L763&gt;=Finance_Data!M763,"Valid","Invalid")</f>
        <v>Valid</v>
      </c>
      <c r="J767" s="3" t="str">
        <f>IF(AND(Finance_Data!I763&gt;=0,Finance_Data!K763&gt;=0),"Valid","Invalid")</f>
        <v>Valid</v>
      </c>
      <c r="K767" s="3" t="str">
        <f>IF(Finance_Data!N763&gt;=0,"Valid","Invalid")</f>
        <v>Valid</v>
      </c>
      <c r="L767" s="3" t="str">
        <f>IF(TEXT(Finance_Data!G763,"mmmm")=Finance_Data!P763,"Valid","Invalid")</f>
        <v>Valid</v>
      </c>
      <c r="M767" s="3" t="str">
        <f>IF("Q"&amp;ROUNDUP(MONTH(Finance_Data!G763)/3,0)=Finance_Data!Q763,"Valid","Invalid")</f>
        <v>Valid</v>
      </c>
      <c r="N767" s="7" t="str">
        <f t="shared" si="11"/>
        <v>Pass</v>
      </c>
    </row>
    <row r="768" spans="1:14" x14ac:dyDescent="0.35">
      <c r="A768" s="17" t="s">
        <v>88</v>
      </c>
      <c r="B768" s="3" t="str">
        <f>IF(ISBLANK(Table3[[#This Row],[Campaign_ID]]),"Invalid","Valid")</f>
        <v>Valid</v>
      </c>
      <c r="C768" s="3" t="str">
        <f>IF(COUNTA(Finance_Data!A764:R764)=18,"Valid","Missing")</f>
        <v>Valid</v>
      </c>
      <c r="D768" s="3" t="str">
        <f>IF(COUNTIF(Finance_Data!$T$2:$T$1001,Finance_Data!T764)&gt;1,"Duplicate","Valid")</f>
        <v>Valid</v>
      </c>
      <c r="E768" s="3" t="str">
        <f>IF(Finance_Data!H764&gt;Finance_Data!G764,"Valid","Invalid")</f>
        <v>Valid</v>
      </c>
      <c r="F768" s="3" t="str" cm="1">
        <f t="array" ref="F768">_xlfn.IFS(Finance_Data!S764&lt;7,"Short",Finance_Data!S764&lt;=30,"Normal",Finance_Data!S764&lt;=60,"Long",Finance_Data!S764&gt;60,"Very Long")</f>
        <v>Long</v>
      </c>
      <c r="G768" s="3" t="str">
        <f>IF(ABS(Finance_Data!I764*Finance_Data!J764)-Finance_Data!K764&lt;1,"Valid","Invalid")</f>
        <v>Valid</v>
      </c>
      <c r="H768" s="3" t="str">
        <f>IF(Finance_Data!L764&gt;0,"Valid","Invalid")</f>
        <v>Valid</v>
      </c>
      <c r="I768" s="3" t="str">
        <f>IF(Finance_Data!L764&gt;=Finance_Data!M764,"Valid","Invalid")</f>
        <v>Valid</v>
      </c>
      <c r="J768" s="3" t="str">
        <f>IF(AND(Finance_Data!I764&gt;=0,Finance_Data!K764&gt;=0),"Valid","Invalid")</f>
        <v>Valid</v>
      </c>
      <c r="K768" s="3" t="str">
        <f>IF(Finance_Data!N764&gt;=0,"Valid","Invalid")</f>
        <v>Valid</v>
      </c>
      <c r="L768" s="3" t="str">
        <f>IF(TEXT(Finance_Data!G764,"mmmm")=Finance_Data!P764,"Valid","Invalid")</f>
        <v>Valid</v>
      </c>
      <c r="M768" s="3" t="str">
        <f>IF("Q"&amp;ROUNDUP(MONTH(Finance_Data!G764)/3,0)=Finance_Data!Q764,"Valid","Invalid")</f>
        <v>Valid</v>
      </c>
      <c r="N768" s="7" t="str">
        <f t="shared" si="11"/>
        <v>Pass</v>
      </c>
    </row>
    <row r="769" spans="1:14" x14ac:dyDescent="0.35">
      <c r="A769" s="17" t="s">
        <v>84</v>
      </c>
      <c r="B769" s="3" t="str">
        <f>IF(ISBLANK(Table3[[#This Row],[Campaign_ID]]),"Invalid","Valid")</f>
        <v>Valid</v>
      </c>
      <c r="C769" s="3" t="str">
        <f>IF(COUNTA(Finance_Data!A765:R765)=18,"Valid","Missing")</f>
        <v>Valid</v>
      </c>
      <c r="D769" s="3" t="str">
        <f>IF(COUNTIF(Finance_Data!$T$2:$T$1001,Finance_Data!T765)&gt;1,"Duplicate","Valid")</f>
        <v>Valid</v>
      </c>
      <c r="E769" s="3" t="str">
        <f>IF(Finance_Data!H765&gt;Finance_Data!G765,"Valid","Invalid")</f>
        <v>Valid</v>
      </c>
      <c r="F769" s="3" t="str" cm="1">
        <f t="array" ref="F769">_xlfn.IFS(Finance_Data!S765&lt;7,"Short",Finance_Data!S765&lt;=30,"Normal",Finance_Data!S765&lt;=60,"Long",Finance_Data!S765&gt;60,"Very Long")</f>
        <v>Normal</v>
      </c>
      <c r="G769" s="3" t="str">
        <f>IF(ABS(Finance_Data!I765*Finance_Data!J765)-Finance_Data!K765&lt;1,"Valid","Invalid")</f>
        <v>Valid</v>
      </c>
      <c r="H769" s="3" t="str">
        <f>IF(Finance_Data!L765&gt;0,"Valid","Invalid")</f>
        <v>Valid</v>
      </c>
      <c r="I769" s="3" t="str">
        <f>IF(Finance_Data!L765&gt;=Finance_Data!M765,"Valid","Invalid")</f>
        <v>Valid</v>
      </c>
      <c r="J769" s="3" t="str">
        <f>IF(AND(Finance_Data!I765&gt;=0,Finance_Data!K765&gt;=0),"Valid","Invalid")</f>
        <v>Valid</v>
      </c>
      <c r="K769" s="3" t="str">
        <f>IF(Finance_Data!N765&gt;=0,"Valid","Invalid")</f>
        <v>Valid</v>
      </c>
      <c r="L769" s="3" t="str">
        <f>IF(TEXT(Finance_Data!G765,"mmmm")=Finance_Data!P765,"Valid","Invalid")</f>
        <v>Valid</v>
      </c>
      <c r="M769" s="3" t="str">
        <f>IF("Q"&amp;ROUNDUP(MONTH(Finance_Data!G765)/3,0)=Finance_Data!Q765,"Valid","Invalid")</f>
        <v>Valid</v>
      </c>
      <c r="N769" s="7" t="str">
        <f t="shared" si="11"/>
        <v>Pass</v>
      </c>
    </row>
    <row r="770" spans="1:14" x14ac:dyDescent="0.35">
      <c r="A770" s="17" t="s">
        <v>77</v>
      </c>
      <c r="B770" s="3" t="str">
        <f>IF(ISBLANK(Table3[[#This Row],[Campaign_ID]]),"Invalid","Valid")</f>
        <v>Valid</v>
      </c>
      <c r="C770" s="3" t="str">
        <f>IF(COUNTA(Finance_Data!A766:R766)=18,"Valid","Missing")</f>
        <v>Valid</v>
      </c>
      <c r="D770" s="3" t="str">
        <f>IF(COUNTIF(Finance_Data!$T$2:$T$1001,Finance_Data!T766)&gt;1,"Duplicate","Valid")</f>
        <v>Valid</v>
      </c>
      <c r="E770" s="3" t="str">
        <f>IF(Finance_Data!H766&gt;Finance_Data!G766,"Valid","Invalid")</f>
        <v>Valid</v>
      </c>
      <c r="F770" s="3" t="str" cm="1">
        <f t="array" ref="F770">_xlfn.IFS(Finance_Data!S766&lt;7,"Short",Finance_Data!S766&lt;=30,"Normal",Finance_Data!S766&lt;=60,"Long",Finance_Data!S766&gt;60,"Very Long")</f>
        <v>Long</v>
      </c>
      <c r="G770" s="3" t="str">
        <f>IF(ABS(Finance_Data!I766*Finance_Data!J766)-Finance_Data!K766&lt;1,"Valid","Invalid")</f>
        <v>Valid</v>
      </c>
      <c r="H770" s="3" t="str">
        <f>IF(Finance_Data!L766&gt;0,"Valid","Invalid")</f>
        <v>Valid</v>
      </c>
      <c r="I770" s="3" t="str">
        <f>IF(Finance_Data!L766&gt;=Finance_Data!M766,"Valid","Invalid")</f>
        <v>Valid</v>
      </c>
      <c r="J770" s="3" t="str">
        <f>IF(AND(Finance_Data!I766&gt;=0,Finance_Data!K766&gt;=0),"Valid","Invalid")</f>
        <v>Valid</v>
      </c>
      <c r="K770" s="3" t="str">
        <f>IF(Finance_Data!N766&gt;=0,"Valid","Invalid")</f>
        <v>Valid</v>
      </c>
      <c r="L770" s="3" t="str">
        <f>IF(TEXT(Finance_Data!G766,"mmmm")=Finance_Data!P766,"Valid","Invalid")</f>
        <v>Valid</v>
      </c>
      <c r="M770" s="3" t="str">
        <f>IF("Q"&amp;ROUNDUP(MONTH(Finance_Data!G766)/3,0)=Finance_Data!Q766,"Valid","Invalid")</f>
        <v>Valid</v>
      </c>
      <c r="N770" s="7" t="str">
        <f t="shared" si="11"/>
        <v>Pass</v>
      </c>
    </row>
    <row r="771" spans="1:14" x14ac:dyDescent="0.35">
      <c r="A771" s="17" t="s">
        <v>86</v>
      </c>
      <c r="B771" s="3" t="str">
        <f>IF(ISBLANK(Table3[[#This Row],[Campaign_ID]]),"Invalid","Valid")</f>
        <v>Valid</v>
      </c>
      <c r="C771" s="3" t="str">
        <f>IF(COUNTA(Finance_Data!A767:R767)=18,"Valid","Missing")</f>
        <v>Valid</v>
      </c>
      <c r="D771" s="3" t="str">
        <f>IF(COUNTIF(Finance_Data!$T$2:$T$1001,Finance_Data!T767)&gt;1,"Duplicate","Valid")</f>
        <v>Valid</v>
      </c>
      <c r="E771" s="3" t="str">
        <f>IF(Finance_Data!H767&gt;Finance_Data!G767,"Valid","Invalid")</f>
        <v>Valid</v>
      </c>
      <c r="F771" s="3" t="str" cm="1">
        <f t="array" ref="F771">_xlfn.IFS(Finance_Data!S767&lt;7,"Short",Finance_Data!S767&lt;=30,"Normal",Finance_Data!S767&lt;=60,"Long",Finance_Data!S767&gt;60,"Very Long")</f>
        <v>Normal</v>
      </c>
      <c r="G771" s="3" t="str">
        <f>IF(ABS(Finance_Data!I767*Finance_Data!J767)-Finance_Data!K767&lt;1,"Valid","Invalid")</f>
        <v>Valid</v>
      </c>
      <c r="H771" s="3" t="str">
        <f>IF(Finance_Data!L767&gt;0,"Valid","Invalid")</f>
        <v>Valid</v>
      </c>
      <c r="I771" s="3" t="str">
        <f>IF(Finance_Data!L767&gt;=Finance_Data!M767,"Valid","Invalid")</f>
        <v>Valid</v>
      </c>
      <c r="J771" s="3" t="str">
        <f>IF(AND(Finance_Data!I767&gt;=0,Finance_Data!K767&gt;=0),"Valid","Invalid")</f>
        <v>Valid</v>
      </c>
      <c r="K771" s="3" t="str">
        <f>IF(Finance_Data!N767&gt;=0,"Valid","Invalid")</f>
        <v>Valid</v>
      </c>
      <c r="L771" s="3" t="str">
        <f>IF(TEXT(Finance_Data!G767,"mmmm")=Finance_Data!P767,"Valid","Invalid")</f>
        <v>Valid</v>
      </c>
      <c r="M771" s="3" t="str">
        <f>IF("Q"&amp;ROUNDUP(MONTH(Finance_Data!G767)/3,0)=Finance_Data!Q767,"Valid","Invalid")</f>
        <v>Valid</v>
      </c>
      <c r="N771" s="7" t="str">
        <f t="shared" si="11"/>
        <v>Pass</v>
      </c>
    </row>
    <row r="772" spans="1:14" x14ac:dyDescent="0.35">
      <c r="A772" s="17" t="s">
        <v>84</v>
      </c>
      <c r="B772" s="3" t="str">
        <f>IF(ISBLANK(Table3[[#This Row],[Campaign_ID]]),"Invalid","Valid")</f>
        <v>Valid</v>
      </c>
      <c r="C772" s="3" t="str">
        <f>IF(COUNTA(Finance_Data!A768:R768)=18,"Valid","Missing")</f>
        <v>Valid</v>
      </c>
      <c r="D772" s="3" t="str">
        <f>IF(COUNTIF(Finance_Data!$T$2:$T$1001,Finance_Data!T768)&gt;1,"Duplicate","Valid")</f>
        <v>Valid</v>
      </c>
      <c r="E772" s="3" t="str">
        <f>IF(Finance_Data!H768&gt;Finance_Data!G768,"Valid","Invalid")</f>
        <v>Valid</v>
      </c>
      <c r="F772" s="3" t="str" cm="1">
        <f t="array" ref="F772">_xlfn.IFS(Finance_Data!S768&lt;7,"Short",Finance_Data!S768&lt;=30,"Normal",Finance_Data!S768&lt;=60,"Long",Finance_Data!S768&gt;60,"Very Long")</f>
        <v>Normal</v>
      </c>
      <c r="G772" s="3" t="str">
        <f>IF(ABS(Finance_Data!I768*Finance_Data!J768)-Finance_Data!K768&lt;1,"Valid","Invalid")</f>
        <v>Valid</v>
      </c>
      <c r="H772" s="3" t="str">
        <f>IF(Finance_Data!L768&gt;0,"Valid","Invalid")</f>
        <v>Valid</v>
      </c>
      <c r="I772" s="3" t="str">
        <f>IF(Finance_Data!L768&gt;=Finance_Data!M768,"Valid","Invalid")</f>
        <v>Valid</v>
      </c>
      <c r="J772" s="3" t="str">
        <f>IF(AND(Finance_Data!I768&gt;=0,Finance_Data!K768&gt;=0),"Valid","Invalid")</f>
        <v>Valid</v>
      </c>
      <c r="K772" s="3" t="str">
        <f>IF(Finance_Data!N768&gt;=0,"Valid","Invalid")</f>
        <v>Valid</v>
      </c>
      <c r="L772" s="3" t="str">
        <f>IF(TEXT(Finance_Data!G768,"mmmm")=Finance_Data!P768,"Valid","Invalid")</f>
        <v>Valid</v>
      </c>
      <c r="M772" s="3" t="str">
        <f>IF("Q"&amp;ROUNDUP(MONTH(Finance_Data!G768)/3,0)=Finance_Data!Q768,"Valid","Invalid")</f>
        <v>Valid</v>
      </c>
      <c r="N772" s="7" t="str">
        <f t="shared" si="11"/>
        <v>Pass</v>
      </c>
    </row>
    <row r="773" spans="1:14" x14ac:dyDescent="0.35">
      <c r="A773" s="17" t="s">
        <v>98</v>
      </c>
      <c r="B773" s="3" t="str">
        <f>IF(ISBLANK(Table3[[#This Row],[Campaign_ID]]),"Invalid","Valid")</f>
        <v>Valid</v>
      </c>
      <c r="C773" s="3" t="str">
        <f>IF(COUNTA(Finance_Data!A769:R769)=18,"Valid","Missing")</f>
        <v>Valid</v>
      </c>
      <c r="D773" s="3" t="str">
        <f>IF(COUNTIF(Finance_Data!$T$2:$T$1001,Finance_Data!T769)&gt;1,"Duplicate","Valid")</f>
        <v>Valid</v>
      </c>
      <c r="E773" s="3" t="str">
        <f>IF(Finance_Data!H769&gt;Finance_Data!G769,"Valid","Invalid")</f>
        <v>Valid</v>
      </c>
      <c r="F773" s="3" t="str" cm="1">
        <f t="array" ref="F773">_xlfn.IFS(Finance_Data!S769&lt;7,"Short",Finance_Data!S769&lt;=30,"Normal",Finance_Data!S769&lt;=60,"Long",Finance_Data!S769&gt;60,"Very Long")</f>
        <v>Short</v>
      </c>
      <c r="G773" s="3" t="str">
        <f>IF(ABS(Finance_Data!I769*Finance_Data!J769)-Finance_Data!K769&lt;1,"Valid","Invalid")</f>
        <v>Valid</v>
      </c>
      <c r="H773" s="3" t="str">
        <f>IF(Finance_Data!L769&gt;0,"Valid","Invalid")</f>
        <v>Valid</v>
      </c>
      <c r="I773" s="3" t="str">
        <f>IF(Finance_Data!L769&gt;=Finance_Data!M769,"Valid","Invalid")</f>
        <v>Valid</v>
      </c>
      <c r="J773" s="3" t="str">
        <f>IF(AND(Finance_Data!I769&gt;=0,Finance_Data!K769&gt;=0),"Valid","Invalid")</f>
        <v>Valid</v>
      </c>
      <c r="K773" s="3" t="str">
        <f>IF(Finance_Data!N769&gt;=0,"Valid","Invalid")</f>
        <v>Valid</v>
      </c>
      <c r="L773" s="3" t="str">
        <f>IF(TEXT(Finance_Data!G769,"mmmm")=Finance_Data!P769,"Valid","Invalid")</f>
        <v>Valid</v>
      </c>
      <c r="M773" s="3" t="str">
        <f>IF("Q"&amp;ROUNDUP(MONTH(Finance_Data!G769)/3,0)=Finance_Data!Q769,"Valid","Invalid")</f>
        <v>Valid</v>
      </c>
      <c r="N773" s="7" t="str">
        <f t="shared" si="11"/>
        <v>Pass</v>
      </c>
    </row>
    <row r="774" spans="1:14" x14ac:dyDescent="0.35">
      <c r="A774" s="17" t="s">
        <v>96</v>
      </c>
      <c r="B774" s="3" t="str">
        <f>IF(ISBLANK(Table3[[#This Row],[Campaign_ID]]),"Invalid","Valid")</f>
        <v>Valid</v>
      </c>
      <c r="C774" s="3" t="str">
        <f>IF(COUNTA(Finance_Data!A770:R770)=18,"Valid","Missing")</f>
        <v>Valid</v>
      </c>
      <c r="D774" s="3" t="str">
        <f>IF(COUNTIF(Finance_Data!$T$2:$T$1001,Finance_Data!T770)&gt;1,"Duplicate","Valid")</f>
        <v>Valid</v>
      </c>
      <c r="E774" s="3" t="str">
        <f>IF(Finance_Data!H770&gt;Finance_Data!G770,"Valid","Invalid")</f>
        <v>Valid</v>
      </c>
      <c r="F774" s="3" t="str" cm="1">
        <f t="array" ref="F774">_xlfn.IFS(Finance_Data!S770&lt;7,"Short",Finance_Data!S770&lt;=30,"Normal",Finance_Data!S770&lt;=60,"Long",Finance_Data!S770&gt;60,"Very Long")</f>
        <v>Long</v>
      </c>
      <c r="G774" s="3" t="str">
        <f>IF(ABS(Finance_Data!I770*Finance_Data!J770)-Finance_Data!K770&lt;1,"Valid","Invalid")</f>
        <v>Valid</v>
      </c>
      <c r="H774" s="3" t="str">
        <f>IF(Finance_Data!L770&gt;0,"Valid","Invalid")</f>
        <v>Valid</v>
      </c>
      <c r="I774" s="3" t="str">
        <f>IF(Finance_Data!L770&gt;=Finance_Data!M770,"Valid","Invalid")</f>
        <v>Valid</v>
      </c>
      <c r="J774" s="3" t="str">
        <f>IF(AND(Finance_Data!I770&gt;=0,Finance_Data!K770&gt;=0),"Valid","Invalid")</f>
        <v>Valid</v>
      </c>
      <c r="K774" s="3" t="str">
        <f>IF(Finance_Data!N770&gt;=0,"Valid","Invalid")</f>
        <v>Valid</v>
      </c>
      <c r="L774" s="3" t="str">
        <f>IF(TEXT(Finance_Data!G770,"mmmm")=Finance_Data!P770,"Valid","Invalid")</f>
        <v>Valid</v>
      </c>
      <c r="M774" s="3" t="str">
        <f>IF("Q"&amp;ROUNDUP(MONTH(Finance_Data!G770)/3,0)=Finance_Data!Q770,"Valid","Invalid")</f>
        <v>Valid</v>
      </c>
      <c r="N774" s="7" t="str">
        <f t="shared" ref="N774:N837" si="12">IF(AND(B774="Valid",E774="Valid",G774="Valid",H774="Valid",I774="Valid",J774="Valid",K774="Valid",L774="Valid",M774="Valid"),"Pass","Fail")</f>
        <v>Pass</v>
      </c>
    </row>
    <row r="775" spans="1:14" x14ac:dyDescent="0.35">
      <c r="A775" s="17" t="s">
        <v>105</v>
      </c>
      <c r="B775" s="3" t="str">
        <f>IF(ISBLANK(Table3[[#This Row],[Campaign_ID]]),"Invalid","Valid")</f>
        <v>Valid</v>
      </c>
      <c r="C775" s="3" t="str">
        <f>IF(COUNTA(Finance_Data!A771:R771)=18,"Valid","Missing")</f>
        <v>Valid</v>
      </c>
      <c r="D775" s="3" t="str">
        <f>IF(COUNTIF(Finance_Data!$T$2:$T$1001,Finance_Data!T771)&gt;1,"Duplicate","Valid")</f>
        <v>Valid</v>
      </c>
      <c r="E775" s="3" t="str">
        <f>IF(Finance_Data!H771&gt;Finance_Data!G771,"Valid","Invalid")</f>
        <v>Valid</v>
      </c>
      <c r="F775" s="3" t="str" cm="1">
        <f t="array" ref="F775">_xlfn.IFS(Finance_Data!S771&lt;7,"Short",Finance_Data!S771&lt;=30,"Normal",Finance_Data!S771&lt;=60,"Long",Finance_Data!S771&gt;60,"Very Long")</f>
        <v>Normal</v>
      </c>
      <c r="G775" s="3" t="str">
        <f>IF(ABS(Finance_Data!I771*Finance_Data!J771)-Finance_Data!K771&lt;1,"Valid","Invalid")</f>
        <v>Valid</v>
      </c>
      <c r="H775" s="3" t="str">
        <f>IF(Finance_Data!L771&gt;0,"Valid","Invalid")</f>
        <v>Valid</v>
      </c>
      <c r="I775" s="3" t="str">
        <f>IF(Finance_Data!L771&gt;=Finance_Data!M771,"Valid","Invalid")</f>
        <v>Valid</v>
      </c>
      <c r="J775" s="3" t="str">
        <f>IF(AND(Finance_Data!I771&gt;=0,Finance_Data!K771&gt;=0),"Valid","Invalid")</f>
        <v>Valid</v>
      </c>
      <c r="K775" s="3" t="str">
        <f>IF(Finance_Data!N771&gt;=0,"Valid","Invalid")</f>
        <v>Valid</v>
      </c>
      <c r="L775" s="3" t="str">
        <f>IF(TEXT(Finance_Data!G771,"mmmm")=Finance_Data!P771,"Valid","Invalid")</f>
        <v>Valid</v>
      </c>
      <c r="M775" s="3" t="str">
        <f>IF("Q"&amp;ROUNDUP(MONTH(Finance_Data!G771)/3,0)=Finance_Data!Q771,"Valid","Invalid")</f>
        <v>Valid</v>
      </c>
      <c r="N775" s="7" t="str">
        <f t="shared" si="12"/>
        <v>Pass</v>
      </c>
    </row>
    <row r="776" spans="1:14" x14ac:dyDescent="0.35">
      <c r="A776" s="17" t="s">
        <v>82</v>
      </c>
      <c r="B776" s="3" t="str">
        <f>IF(ISBLANK(Table3[[#This Row],[Campaign_ID]]),"Invalid","Valid")</f>
        <v>Valid</v>
      </c>
      <c r="C776" s="3" t="str">
        <f>IF(COUNTA(Finance_Data!A772:R772)=18,"Valid","Missing")</f>
        <v>Valid</v>
      </c>
      <c r="D776" s="3" t="str">
        <f>IF(COUNTIF(Finance_Data!$T$2:$T$1001,Finance_Data!T772)&gt;1,"Duplicate","Valid")</f>
        <v>Valid</v>
      </c>
      <c r="E776" s="3" t="str">
        <f>IF(Finance_Data!H772&gt;Finance_Data!G772,"Valid","Invalid")</f>
        <v>Valid</v>
      </c>
      <c r="F776" s="3" t="str" cm="1">
        <f t="array" ref="F776">_xlfn.IFS(Finance_Data!S772&lt;7,"Short",Finance_Data!S772&lt;=30,"Normal",Finance_Data!S772&lt;=60,"Long",Finance_Data!S772&gt;60,"Very Long")</f>
        <v>Long</v>
      </c>
      <c r="G776" s="3" t="str">
        <f>IF(ABS(Finance_Data!I772*Finance_Data!J772)-Finance_Data!K772&lt;1,"Valid","Invalid")</f>
        <v>Valid</v>
      </c>
      <c r="H776" s="3" t="str">
        <f>IF(Finance_Data!L772&gt;0,"Valid","Invalid")</f>
        <v>Valid</v>
      </c>
      <c r="I776" s="3" t="str">
        <f>IF(Finance_Data!L772&gt;=Finance_Data!M772,"Valid","Invalid")</f>
        <v>Valid</v>
      </c>
      <c r="J776" s="3" t="str">
        <f>IF(AND(Finance_Data!I772&gt;=0,Finance_Data!K772&gt;=0),"Valid","Invalid")</f>
        <v>Valid</v>
      </c>
      <c r="K776" s="3" t="str">
        <f>IF(Finance_Data!N772&gt;=0,"Valid","Invalid")</f>
        <v>Valid</v>
      </c>
      <c r="L776" s="3" t="str">
        <f>IF(TEXT(Finance_Data!G772,"mmmm")=Finance_Data!P772,"Valid","Invalid")</f>
        <v>Valid</v>
      </c>
      <c r="M776" s="3" t="str">
        <f>IF("Q"&amp;ROUNDUP(MONTH(Finance_Data!G772)/3,0)=Finance_Data!Q772,"Valid","Invalid")</f>
        <v>Valid</v>
      </c>
      <c r="N776" s="7" t="str">
        <f t="shared" si="12"/>
        <v>Pass</v>
      </c>
    </row>
    <row r="777" spans="1:14" x14ac:dyDescent="0.35">
      <c r="A777" s="17" t="s">
        <v>100</v>
      </c>
      <c r="B777" s="3" t="str">
        <f>IF(ISBLANK(Table3[[#This Row],[Campaign_ID]]),"Invalid","Valid")</f>
        <v>Valid</v>
      </c>
      <c r="C777" s="3" t="str">
        <f>IF(COUNTA(Finance_Data!A773:R773)=18,"Valid","Missing")</f>
        <v>Valid</v>
      </c>
      <c r="D777" s="3" t="str">
        <f>IF(COUNTIF(Finance_Data!$T$2:$T$1001,Finance_Data!T773)&gt;1,"Duplicate","Valid")</f>
        <v>Valid</v>
      </c>
      <c r="E777" s="3" t="str">
        <f>IF(Finance_Data!H773&gt;Finance_Data!G773,"Valid","Invalid")</f>
        <v>Valid</v>
      </c>
      <c r="F777" s="3" t="str" cm="1">
        <f t="array" ref="F777">_xlfn.IFS(Finance_Data!S773&lt;7,"Short",Finance_Data!S773&lt;=30,"Normal",Finance_Data!S773&lt;=60,"Long",Finance_Data!S773&gt;60,"Very Long")</f>
        <v>Normal</v>
      </c>
      <c r="G777" s="3" t="str">
        <f>IF(ABS(Finance_Data!I773*Finance_Data!J773)-Finance_Data!K773&lt;1,"Valid","Invalid")</f>
        <v>Valid</v>
      </c>
      <c r="H777" s="3" t="str">
        <f>IF(Finance_Data!L773&gt;0,"Valid","Invalid")</f>
        <v>Valid</v>
      </c>
      <c r="I777" s="3" t="str">
        <f>IF(Finance_Data!L773&gt;=Finance_Data!M773,"Valid","Invalid")</f>
        <v>Valid</v>
      </c>
      <c r="J777" s="3" t="str">
        <f>IF(AND(Finance_Data!I773&gt;=0,Finance_Data!K773&gt;=0),"Valid","Invalid")</f>
        <v>Valid</v>
      </c>
      <c r="K777" s="3" t="str">
        <f>IF(Finance_Data!N773&gt;=0,"Valid","Invalid")</f>
        <v>Valid</v>
      </c>
      <c r="L777" s="3" t="str">
        <f>IF(TEXT(Finance_Data!G773,"mmmm")=Finance_Data!P773,"Valid","Invalid")</f>
        <v>Valid</v>
      </c>
      <c r="M777" s="3" t="str">
        <f>IF("Q"&amp;ROUNDUP(MONTH(Finance_Data!G773)/3,0)=Finance_Data!Q773,"Valid","Invalid")</f>
        <v>Valid</v>
      </c>
      <c r="N777" s="7" t="str">
        <f t="shared" si="12"/>
        <v>Pass</v>
      </c>
    </row>
    <row r="778" spans="1:14" x14ac:dyDescent="0.35">
      <c r="A778" s="17" t="s">
        <v>110</v>
      </c>
      <c r="B778" s="3" t="str">
        <f>IF(ISBLANK(Table3[[#This Row],[Campaign_ID]]),"Invalid","Valid")</f>
        <v>Valid</v>
      </c>
      <c r="C778" s="3" t="str">
        <f>IF(COUNTA(Finance_Data!A774:R774)=18,"Valid","Missing")</f>
        <v>Valid</v>
      </c>
      <c r="D778" s="3" t="str">
        <f>IF(COUNTIF(Finance_Data!$T$2:$T$1001,Finance_Data!T774)&gt;1,"Duplicate","Valid")</f>
        <v>Valid</v>
      </c>
      <c r="E778" s="3" t="str">
        <f>IF(Finance_Data!H774&gt;Finance_Data!G774,"Valid","Invalid")</f>
        <v>Valid</v>
      </c>
      <c r="F778" s="3" t="str" cm="1">
        <f t="array" ref="F778">_xlfn.IFS(Finance_Data!S774&lt;7,"Short",Finance_Data!S774&lt;=30,"Normal",Finance_Data!S774&lt;=60,"Long",Finance_Data!S774&gt;60,"Very Long")</f>
        <v>Normal</v>
      </c>
      <c r="G778" s="3" t="str">
        <f>IF(ABS(Finance_Data!I774*Finance_Data!J774)-Finance_Data!K774&lt;1,"Valid","Invalid")</f>
        <v>Valid</v>
      </c>
      <c r="H778" s="3" t="str">
        <f>IF(Finance_Data!L774&gt;0,"Valid","Invalid")</f>
        <v>Valid</v>
      </c>
      <c r="I778" s="3" t="str">
        <f>IF(Finance_Data!L774&gt;=Finance_Data!M774,"Valid","Invalid")</f>
        <v>Valid</v>
      </c>
      <c r="J778" s="3" t="str">
        <f>IF(AND(Finance_Data!I774&gt;=0,Finance_Data!K774&gt;=0),"Valid","Invalid")</f>
        <v>Valid</v>
      </c>
      <c r="K778" s="3" t="str">
        <f>IF(Finance_Data!N774&gt;=0,"Valid","Invalid")</f>
        <v>Valid</v>
      </c>
      <c r="L778" s="3" t="str">
        <f>IF(TEXT(Finance_Data!G774,"mmmm")=Finance_Data!P774,"Valid","Invalid")</f>
        <v>Valid</v>
      </c>
      <c r="M778" s="3" t="str">
        <f>IF("Q"&amp;ROUNDUP(MONTH(Finance_Data!G774)/3,0)=Finance_Data!Q774,"Valid","Invalid")</f>
        <v>Valid</v>
      </c>
      <c r="N778" s="7" t="str">
        <f t="shared" si="12"/>
        <v>Pass</v>
      </c>
    </row>
    <row r="779" spans="1:14" x14ac:dyDescent="0.35">
      <c r="A779" s="17" t="s">
        <v>27</v>
      </c>
      <c r="B779" s="3" t="str">
        <f>IF(ISBLANK(Table3[[#This Row],[Campaign_ID]]),"Invalid","Valid")</f>
        <v>Valid</v>
      </c>
      <c r="C779" s="3" t="str">
        <f>IF(COUNTA(Finance_Data!A775:R775)=18,"Valid","Missing")</f>
        <v>Valid</v>
      </c>
      <c r="D779" s="3" t="str">
        <f>IF(COUNTIF(Finance_Data!$T$2:$T$1001,Finance_Data!T775)&gt;1,"Duplicate","Valid")</f>
        <v>Valid</v>
      </c>
      <c r="E779" s="3" t="str">
        <f>IF(Finance_Data!H775&gt;Finance_Data!G775,"Valid","Invalid")</f>
        <v>Valid</v>
      </c>
      <c r="F779" s="3" t="str" cm="1">
        <f t="array" ref="F779">_xlfn.IFS(Finance_Data!S775&lt;7,"Short",Finance_Data!S775&lt;=30,"Normal",Finance_Data!S775&lt;=60,"Long",Finance_Data!S775&gt;60,"Very Long")</f>
        <v>Normal</v>
      </c>
      <c r="G779" s="3" t="str">
        <f>IF(ABS(Finance_Data!I775*Finance_Data!J775)-Finance_Data!K775&lt;1,"Valid","Invalid")</f>
        <v>Valid</v>
      </c>
      <c r="H779" s="3" t="str">
        <f>IF(Finance_Data!L775&gt;0,"Valid","Invalid")</f>
        <v>Valid</v>
      </c>
      <c r="I779" s="3" t="str">
        <f>IF(Finance_Data!L775&gt;=Finance_Data!M775,"Valid","Invalid")</f>
        <v>Valid</v>
      </c>
      <c r="J779" s="3" t="str">
        <f>IF(AND(Finance_Data!I775&gt;=0,Finance_Data!K775&gt;=0),"Valid","Invalid")</f>
        <v>Valid</v>
      </c>
      <c r="K779" s="3" t="str">
        <f>IF(Finance_Data!N775&gt;=0,"Valid","Invalid")</f>
        <v>Valid</v>
      </c>
      <c r="L779" s="3" t="str">
        <f>IF(TEXT(Finance_Data!G775,"mmmm")=Finance_Data!P775,"Valid","Invalid")</f>
        <v>Valid</v>
      </c>
      <c r="M779" s="3" t="str">
        <f>IF("Q"&amp;ROUNDUP(MONTH(Finance_Data!G775)/3,0)=Finance_Data!Q775,"Valid","Invalid")</f>
        <v>Valid</v>
      </c>
      <c r="N779" s="7" t="str">
        <f t="shared" si="12"/>
        <v>Pass</v>
      </c>
    </row>
    <row r="780" spans="1:14" x14ac:dyDescent="0.35">
      <c r="A780" s="17" t="s">
        <v>68</v>
      </c>
      <c r="B780" s="3" t="str">
        <f>IF(ISBLANK(Table3[[#This Row],[Campaign_ID]]),"Invalid","Valid")</f>
        <v>Valid</v>
      </c>
      <c r="C780" s="3" t="str">
        <f>IF(COUNTA(Finance_Data!A776:R776)=18,"Valid","Missing")</f>
        <v>Valid</v>
      </c>
      <c r="D780" s="3" t="str">
        <f>IF(COUNTIF(Finance_Data!$T$2:$T$1001,Finance_Data!T776)&gt;1,"Duplicate","Valid")</f>
        <v>Valid</v>
      </c>
      <c r="E780" s="3" t="str">
        <f>IF(Finance_Data!H776&gt;Finance_Data!G776,"Valid","Invalid")</f>
        <v>Valid</v>
      </c>
      <c r="F780" s="3" t="str" cm="1">
        <f t="array" ref="F780">_xlfn.IFS(Finance_Data!S776&lt;7,"Short",Finance_Data!S776&lt;=30,"Normal",Finance_Data!S776&lt;=60,"Long",Finance_Data!S776&gt;60,"Very Long")</f>
        <v>Long</v>
      </c>
      <c r="G780" s="3" t="str">
        <f>IF(ABS(Finance_Data!I776*Finance_Data!J776)-Finance_Data!K776&lt;1,"Valid","Invalid")</f>
        <v>Valid</v>
      </c>
      <c r="H780" s="3" t="str">
        <f>IF(Finance_Data!L776&gt;0,"Valid","Invalid")</f>
        <v>Valid</v>
      </c>
      <c r="I780" s="3" t="str">
        <f>IF(Finance_Data!L776&gt;=Finance_Data!M776,"Valid","Invalid")</f>
        <v>Valid</v>
      </c>
      <c r="J780" s="3" t="str">
        <f>IF(AND(Finance_Data!I776&gt;=0,Finance_Data!K776&gt;=0),"Valid","Invalid")</f>
        <v>Valid</v>
      </c>
      <c r="K780" s="3" t="str">
        <f>IF(Finance_Data!N776&gt;=0,"Valid","Invalid")</f>
        <v>Valid</v>
      </c>
      <c r="L780" s="3" t="str">
        <f>IF(TEXT(Finance_Data!G776,"mmmm")=Finance_Data!P776,"Valid","Invalid")</f>
        <v>Valid</v>
      </c>
      <c r="M780" s="3" t="str">
        <f>IF("Q"&amp;ROUNDUP(MONTH(Finance_Data!G776)/3,0)=Finance_Data!Q776,"Valid","Invalid")</f>
        <v>Valid</v>
      </c>
      <c r="N780" s="7" t="str">
        <f t="shared" si="12"/>
        <v>Pass</v>
      </c>
    </row>
    <row r="781" spans="1:14" x14ac:dyDescent="0.35">
      <c r="A781" s="17" t="s">
        <v>97</v>
      </c>
      <c r="B781" s="3" t="str">
        <f>IF(ISBLANK(Table3[[#This Row],[Campaign_ID]]),"Invalid","Valid")</f>
        <v>Valid</v>
      </c>
      <c r="C781" s="3" t="str">
        <f>IF(COUNTA(Finance_Data!A777:R777)=18,"Valid","Missing")</f>
        <v>Valid</v>
      </c>
      <c r="D781" s="3" t="str">
        <f>IF(COUNTIF(Finance_Data!$T$2:$T$1001,Finance_Data!T777)&gt;1,"Duplicate","Valid")</f>
        <v>Valid</v>
      </c>
      <c r="E781" s="3" t="str">
        <f>IF(Finance_Data!H777&gt;Finance_Data!G777,"Valid","Invalid")</f>
        <v>Valid</v>
      </c>
      <c r="F781" s="3" t="str" cm="1">
        <f t="array" ref="F781">_xlfn.IFS(Finance_Data!S777&lt;7,"Short",Finance_Data!S777&lt;=30,"Normal",Finance_Data!S777&lt;=60,"Long",Finance_Data!S777&gt;60,"Very Long")</f>
        <v>Normal</v>
      </c>
      <c r="G781" s="3" t="str">
        <f>IF(ABS(Finance_Data!I777*Finance_Data!J777)-Finance_Data!K777&lt;1,"Valid","Invalid")</f>
        <v>Valid</v>
      </c>
      <c r="H781" s="3" t="str">
        <f>IF(Finance_Data!L777&gt;0,"Valid","Invalid")</f>
        <v>Valid</v>
      </c>
      <c r="I781" s="3" t="str">
        <f>IF(Finance_Data!L777&gt;=Finance_Data!M777,"Valid","Invalid")</f>
        <v>Valid</v>
      </c>
      <c r="J781" s="3" t="str">
        <f>IF(AND(Finance_Data!I777&gt;=0,Finance_Data!K777&gt;=0),"Valid","Invalid")</f>
        <v>Valid</v>
      </c>
      <c r="K781" s="3" t="str">
        <f>IF(Finance_Data!N777&gt;=0,"Valid","Invalid")</f>
        <v>Valid</v>
      </c>
      <c r="L781" s="3" t="str">
        <f>IF(TEXT(Finance_Data!G777,"mmmm")=Finance_Data!P777,"Valid","Invalid")</f>
        <v>Valid</v>
      </c>
      <c r="M781" s="3" t="str">
        <f>IF("Q"&amp;ROUNDUP(MONTH(Finance_Data!G777)/3,0)=Finance_Data!Q777,"Valid","Invalid")</f>
        <v>Valid</v>
      </c>
      <c r="N781" s="7" t="str">
        <f t="shared" si="12"/>
        <v>Pass</v>
      </c>
    </row>
    <row r="782" spans="1:14" x14ac:dyDescent="0.35">
      <c r="A782" s="17" t="s">
        <v>101</v>
      </c>
      <c r="B782" s="3" t="str">
        <f>IF(ISBLANK(Table3[[#This Row],[Campaign_ID]]),"Invalid","Valid")</f>
        <v>Valid</v>
      </c>
      <c r="C782" s="3" t="str">
        <f>IF(COUNTA(Finance_Data!A778:R778)=18,"Valid","Missing")</f>
        <v>Valid</v>
      </c>
      <c r="D782" s="3" t="str">
        <f>IF(COUNTIF(Finance_Data!$T$2:$T$1001,Finance_Data!T778)&gt;1,"Duplicate","Valid")</f>
        <v>Valid</v>
      </c>
      <c r="E782" s="3" t="str">
        <f>IF(Finance_Data!H778&gt;Finance_Data!G778,"Valid","Invalid")</f>
        <v>Valid</v>
      </c>
      <c r="F782" s="3" t="str" cm="1">
        <f t="array" ref="F782">_xlfn.IFS(Finance_Data!S778&lt;7,"Short",Finance_Data!S778&lt;=30,"Normal",Finance_Data!S778&lt;=60,"Long",Finance_Data!S778&gt;60,"Very Long")</f>
        <v>Long</v>
      </c>
      <c r="G782" s="3" t="str">
        <f>IF(ABS(Finance_Data!I778*Finance_Data!J778)-Finance_Data!K778&lt;1,"Valid","Invalid")</f>
        <v>Valid</v>
      </c>
      <c r="H782" s="3" t="str">
        <f>IF(Finance_Data!L778&gt;0,"Valid","Invalid")</f>
        <v>Valid</v>
      </c>
      <c r="I782" s="3" t="str">
        <f>IF(Finance_Data!L778&gt;=Finance_Data!M778,"Valid","Invalid")</f>
        <v>Invalid</v>
      </c>
      <c r="J782" s="3" t="str">
        <f>IF(AND(Finance_Data!I778&gt;=0,Finance_Data!K778&gt;=0),"Valid","Invalid")</f>
        <v>Valid</v>
      </c>
      <c r="K782" s="3" t="str">
        <f>IF(Finance_Data!N778&gt;=0,"Valid","Invalid")</f>
        <v>Valid</v>
      </c>
      <c r="L782" s="3" t="str">
        <f>IF(TEXT(Finance_Data!G778,"mmmm")=Finance_Data!P778,"Valid","Invalid")</f>
        <v>Valid</v>
      </c>
      <c r="M782" s="3" t="str">
        <f>IF("Q"&amp;ROUNDUP(MONTH(Finance_Data!G778)/3,0)=Finance_Data!Q778,"Valid","Invalid")</f>
        <v>Valid</v>
      </c>
      <c r="N782" s="7" t="str">
        <f t="shared" si="12"/>
        <v>Fail</v>
      </c>
    </row>
    <row r="783" spans="1:14" x14ac:dyDescent="0.35">
      <c r="A783" s="17" t="s">
        <v>107</v>
      </c>
      <c r="B783" s="3" t="str">
        <f>IF(ISBLANK(Table3[[#This Row],[Campaign_ID]]),"Invalid","Valid")</f>
        <v>Valid</v>
      </c>
      <c r="C783" s="3" t="str">
        <f>IF(COUNTA(Finance_Data!A779:R779)=18,"Valid","Missing")</f>
        <v>Valid</v>
      </c>
      <c r="D783" s="3" t="str">
        <f>IF(COUNTIF(Finance_Data!$T$2:$T$1001,Finance_Data!T779)&gt;1,"Duplicate","Valid")</f>
        <v>Valid</v>
      </c>
      <c r="E783" s="3" t="str">
        <f>IF(Finance_Data!H779&gt;Finance_Data!G779,"Valid","Invalid")</f>
        <v>Valid</v>
      </c>
      <c r="F783" s="3" t="str" cm="1">
        <f t="array" ref="F783">_xlfn.IFS(Finance_Data!S779&lt;7,"Short",Finance_Data!S779&lt;=30,"Normal",Finance_Data!S779&lt;=60,"Long",Finance_Data!S779&gt;60,"Very Long")</f>
        <v>Normal</v>
      </c>
      <c r="G783" s="3" t="str">
        <f>IF(ABS(Finance_Data!I779*Finance_Data!J779)-Finance_Data!K779&lt;1,"Valid","Invalid")</f>
        <v>Valid</v>
      </c>
      <c r="H783" s="3" t="str">
        <f>IF(Finance_Data!L779&gt;0,"Valid","Invalid")</f>
        <v>Valid</v>
      </c>
      <c r="I783" s="3" t="str">
        <f>IF(Finance_Data!L779&gt;=Finance_Data!M779,"Valid","Invalid")</f>
        <v>Valid</v>
      </c>
      <c r="J783" s="3" t="str">
        <f>IF(AND(Finance_Data!I779&gt;=0,Finance_Data!K779&gt;=0),"Valid","Invalid")</f>
        <v>Valid</v>
      </c>
      <c r="K783" s="3" t="str">
        <f>IF(Finance_Data!N779&gt;=0,"Valid","Invalid")</f>
        <v>Valid</v>
      </c>
      <c r="L783" s="3" t="str">
        <f>IF(TEXT(Finance_Data!G779,"mmmm")=Finance_Data!P779,"Valid","Invalid")</f>
        <v>Valid</v>
      </c>
      <c r="M783" s="3" t="str">
        <f>IF("Q"&amp;ROUNDUP(MONTH(Finance_Data!G779)/3,0)=Finance_Data!Q779,"Valid","Invalid")</f>
        <v>Valid</v>
      </c>
      <c r="N783" s="7" t="str">
        <f t="shared" si="12"/>
        <v>Pass</v>
      </c>
    </row>
    <row r="784" spans="1:14" x14ac:dyDescent="0.35">
      <c r="A784" s="17" t="s">
        <v>70</v>
      </c>
      <c r="B784" s="3" t="str">
        <f>IF(ISBLANK(Table3[[#This Row],[Campaign_ID]]),"Invalid","Valid")</f>
        <v>Valid</v>
      </c>
      <c r="C784" s="3" t="str">
        <f>IF(COUNTA(Finance_Data!A780:R780)=18,"Valid","Missing")</f>
        <v>Valid</v>
      </c>
      <c r="D784" s="3" t="str">
        <f>IF(COUNTIF(Finance_Data!$T$2:$T$1001,Finance_Data!T780)&gt;1,"Duplicate","Valid")</f>
        <v>Valid</v>
      </c>
      <c r="E784" s="3" t="str">
        <f>IF(Finance_Data!H780&gt;Finance_Data!G780,"Valid","Invalid")</f>
        <v>Valid</v>
      </c>
      <c r="F784" s="3" t="str" cm="1">
        <f t="array" ref="F784">_xlfn.IFS(Finance_Data!S780&lt;7,"Short",Finance_Data!S780&lt;=30,"Normal",Finance_Data!S780&lt;=60,"Long",Finance_Data!S780&gt;60,"Very Long")</f>
        <v>Very Long</v>
      </c>
      <c r="G784" s="3" t="str">
        <f>IF(ABS(Finance_Data!I780*Finance_Data!J780)-Finance_Data!K780&lt;1,"Valid","Invalid")</f>
        <v>Valid</v>
      </c>
      <c r="H784" s="3" t="str">
        <f>IF(Finance_Data!L780&gt;0,"Valid","Invalid")</f>
        <v>Valid</v>
      </c>
      <c r="I784" s="3" t="str">
        <f>IF(Finance_Data!L780&gt;=Finance_Data!M780,"Valid","Invalid")</f>
        <v>Valid</v>
      </c>
      <c r="J784" s="3" t="str">
        <f>IF(AND(Finance_Data!I780&gt;=0,Finance_Data!K780&gt;=0),"Valid","Invalid")</f>
        <v>Valid</v>
      </c>
      <c r="K784" s="3" t="str">
        <f>IF(Finance_Data!N780&gt;=0,"Valid","Invalid")</f>
        <v>Valid</v>
      </c>
      <c r="L784" s="3" t="str">
        <f>IF(TEXT(Finance_Data!G780,"mmmm")=Finance_Data!P780,"Valid","Invalid")</f>
        <v>Valid</v>
      </c>
      <c r="M784" s="3" t="str">
        <f>IF("Q"&amp;ROUNDUP(MONTH(Finance_Data!G780)/3,0)=Finance_Data!Q780,"Valid","Invalid")</f>
        <v>Valid</v>
      </c>
      <c r="N784" s="7" t="str">
        <f t="shared" si="12"/>
        <v>Pass</v>
      </c>
    </row>
    <row r="785" spans="1:14" x14ac:dyDescent="0.35">
      <c r="A785" s="17" t="s">
        <v>47</v>
      </c>
      <c r="B785" s="3" t="str">
        <f>IF(ISBLANK(Table3[[#This Row],[Campaign_ID]]),"Invalid","Valid")</f>
        <v>Valid</v>
      </c>
      <c r="C785" s="3" t="str">
        <f>IF(COUNTA(Finance_Data!A781:R781)=18,"Valid","Missing")</f>
        <v>Valid</v>
      </c>
      <c r="D785" s="3" t="str">
        <f>IF(COUNTIF(Finance_Data!$T$2:$T$1001,Finance_Data!T781)&gt;1,"Duplicate","Valid")</f>
        <v>Valid</v>
      </c>
      <c r="E785" s="3" t="str">
        <f>IF(Finance_Data!H781&gt;Finance_Data!G781,"Valid","Invalid")</f>
        <v>Valid</v>
      </c>
      <c r="F785" s="3" t="str" cm="1">
        <f t="array" ref="F785">_xlfn.IFS(Finance_Data!S781&lt;7,"Short",Finance_Data!S781&lt;=30,"Normal",Finance_Data!S781&lt;=60,"Long",Finance_Data!S781&gt;60,"Very Long")</f>
        <v>Long</v>
      </c>
      <c r="G785" s="3" t="str">
        <f>IF(ABS(Finance_Data!I781*Finance_Data!J781)-Finance_Data!K781&lt;1,"Valid","Invalid")</f>
        <v>Valid</v>
      </c>
      <c r="H785" s="3" t="str">
        <f>IF(Finance_Data!L781&gt;0,"Valid","Invalid")</f>
        <v>Valid</v>
      </c>
      <c r="I785" s="3" t="str">
        <f>IF(Finance_Data!L781&gt;=Finance_Data!M781,"Valid","Invalid")</f>
        <v>Valid</v>
      </c>
      <c r="J785" s="3" t="str">
        <f>IF(AND(Finance_Data!I781&gt;=0,Finance_Data!K781&gt;=0),"Valid","Invalid")</f>
        <v>Valid</v>
      </c>
      <c r="K785" s="3" t="str">
        <f>IF(Finance_Data!N781&gt;=0,"Valid","Invalid")</f>
        <v>Valid</v>
      </c>
      <c r="L785" s="3" t="str">
        <f>IF(TEXT(Finance_Data!G781,"mmmm")=Finance_Data!P781,"Valid","Invalid")</f>
        <v>Valid</v>
      </c>
      <c r="M785" s="3" t="str">
        <f>IF("Q"&amp;ROUNDUP(MONTH(Finance_Data!G781)/3,0)=Finance_Data!Q781,"Valid","Invalid")</f>
        <v>Valid</v>
      </c>
      <c r="N785" s="7" t="str">
        <f t="shared" si="12"/>
        <v>Pass</v>
      </c>
    </row>
    <row r="786" spans="1:14" x14ac:dyDescent="0.35">
      <c r="A786" s="17" t="s">
        <v>104</v>
      </c>
      <c r="B786" s="3" t="str">
        <f>IF(ISBLANK(Table3[[#This Row],[Campaign_ID]]),"Invalid","Valid")</f>
        <v>Valid</v>
      </c>
      <c r="C786" s="3" t="str">
        <f>IF(COUNTA(Finance_Data!A782:R782)=18,"Valid","Missing")</f>
        <v>Valid</v>
      </c>
      <c r="D786" s="3" t="str">
        <f>IF(COUNTIF(Finance_Data!$T$2:$T$1001,Finance_Data!T782)&gt;1,"Duplicate","Valid")</f>
        <v>Valid</v>
      </c>
      <c r="E786" s="3" t="str">
        <f>IF(Finance_Data!H782&gt;Finance_Data!G782,"Valid","Invalid")</f>
        <v>Valid</v>
      </c>
      <c r="F786" s="3" t="str" cm="1">
        <f t="array" ref="F786">_xlfn.IFS(Finance_Data!S782&lt;7,"Short",Finance_Data!S782&lt;=30,"Normal",Finance_Data!S782&lt;=60,"Long",Finance_Data!S782&gt;60,"Very Long")</f>
        <v>Long</v>
      </c>
      <c r="G786" s="3" t="str">
        <f>IF(ABS(Finance_Data!I782*Finance_Data!J782)-Finance_Data!K782&lt;1,"Valid","Invalid")</f>
        <v>Valid</v>
      </c>
      <c r="H786" s="3" t="str">
        <f>IF(Finance_Data!L782&gt;0,"Valid","Invalid")</f>
        <v>Valid</v>
      </c>
      <c r="I786" s="3" t="str">
        <f>IF(Finance_Data!L782&gt;=Finance_Data!M782,"Valid","Invalid")</f>
        <v>Valid</v>
      </c>
      <c r="J786" s="3" t="str">
        <f>IF(AND(Finance_Data!I782&gt;=0,Finance_Data!K782&gt;=0),"Valid","Invalid")</f>
        <v>Valid</v>
      </c>
      <c r="K786" s="3" t="str">
        <f>IF(Finance_Data!N782&gt;=0,"Valid","Invalid")</f>
        <v>Valid</v>
      </c>
      <c r="L786" s="3" t="str">
        <f>IF(TEXT(Finance_Data!G782,"mmmm")=Finance_Data!P782,"Valid","Invalid")</f>
        <v>Valid</v>
      </c>
      <c r="M786" s="3" t="str">
        <f>IF("Q"&amp;ROUNDUP(MONTH(Finance_Data!G782)/3,0)=Finance_Data!Q782,"Valid","Invalid")</f>
        <v>Valid</v>
      </c>
      <c r="N786" s="7" t="str">
        <f t="shared" si="12"/>
        <v>Pass</v>
      </c>
    </row>
    <row r="787" spans="1:14" x14ac:dyDescent="0.35">
      <c r="A787" s="17" t="s">
        <v>109</v>
      </c>
      <c r="B787" s="3" t="str">
        <f>IF(ISBLANK(Table3[[#This Row],[Campaign_ID]]),"Invalid","Valid")</f>
        <v>Valid</v>
      </c>
      <c r="C787" s="3" t="str">
        <f>IF(COUNTA(Finance_Data!A783:R783)=18,"Valid","Missing")</f>
        <v>Valid</v>
      </c>
      <c r="D787" s="3" t="str">
        <f>IF(COUNTIF(Finance_Data!$T$2:$T$1001,Finance_Data!T783)&gt;1,"Duplicate","Valid")</f>
        <v>Valid</v>
      </c>
      <c r="E787" s="3" t="str">
        <f>IF(Finance_Data!H783&gt;Finance_Data!G783,"Valid","Invalid")</f>
        <v>Valid</v>
      </c>
      <c r="F787" s="3" t="str" cm="1">
        <f t="array" ref="F787">_xlfn.IFS(Finance_Data!S783&lt;7,"Short",Finance_Data!S783&lt;=30,"Normal",Finance_Data!S783&lt;=60,"Long",Finance_Data!S783&gt;60,"Very Long")</f>
        <v>Long</v>
      </c>
      <c r="G787" s="3" t="str">
        <f>IF(ABS(Finance_Data!I783*Finance_Data!J783)-Finance_Data!K783&lt;1,"Valid","Invalid")</f>
        <v>Valid</v>
      </c>
      <c r="H787" s="3" t="str">
        <f>IF(Finance_Data!L783&gt;0,"Valid","Invalid")</f>
        <v>Valid</v>
      </c>
      <c r="I787" s="3" t="str">
        <f>IF(Finance_Data!L783&gt;=Finance_Data!M783,"Valid","Invalid")</f>
        <v>Valid</v>
      </c>
      <c r="J787" s="3" t="str">
        <f>IF(AND(Finance_Data!I783&gt;=0,Finance_Data!K783&gt;=0),"Valid","Invalid")</f>
        <v>Valid</v>
      </c>
      <c r="K787" s="3" t="str">
        <f>IF(Finance_Data!N783&gt;=0,"Valid","Invalid")</f>
        <v>Valid</v>
      </c>
      <c r="L787" s="3" t="str">
        <f>IF(TEXT(Finance_Data!G783,"mmmm")=Finance_Data!P783,"Valid","Invalid")</f>
        <v>Valid</v>
      </c>
      <c r="M787" s="3" t="str">
        <f>IF("Q"&amp;ROUNDUP(MONTH(Finance_Data!G783)/3,0)=Finance_Data!Q783,"Valid","Invalid")</f>
        <v>Valid</v>
      </c>
      <c r="N787" s="7" t="str">
        <f t="shared" si="12"/>
        <v>Pass</v>
      </c>
    </row>
    <row r="788" spans="1:14" x14ac:dyDescent="0.35">
      <c r="A788" s="17" t="s">
        <v>64</v>
      </c>
      <c r="B788" s="3" t="str">
        <f>IF(ISBLANK(Table3[[#This Row],[Campaign_ID]]),"Invalid","Valid")</f>
        <v>Valid</v>
      </c>
      <c r="C788" s="3" t="str">
        <f>IF(COUNTA(Finance_Data!A784:R784)=18,"Valid","Missing")</f>
        <v>Valid</v>
      </c>
      <c r="D788" s="3" t="str">
        <f>IF(COUNTIF(Finance_Data!$T$2:$T$1001,Finance_Data!T784)&gt;1,"Duplicate","Valid")</f>
        <v>Valid</v>
      </c>
      <c r="E788" s="3" t="str">
        <f>IF(Finance_Data!H784&gt;Finance_Data!G784,"Valid","Invalid")</f>
        <v>Valid</v>
      </c>
      <c r="F788" s="3" t="str" cm="1">
        <f t="array" ref="F788">_xlfn.IFS(Finance_Data!S784&lt;7,"Short",Finance_Data!S784&lt;=30,"Normal",Finance_Data!S784&lt;=60,"Long",Finance_Data!S784&gt;60,"Very Long")</f>
        <v>Long</v>
      </c>
      <c r="G788" s="3" t="str">
        <f>IF(ABS(Finance_Data!I784*Finance_Data!J784)-Finance_Data!K784&lt;1,"Valid","Invalid")</f>
        <v>Valid</v>
      </c>
      <c r="H788" s="3" t="str">
        <f>IF(Finance_Data!L784&gt;0,"Valid","Invalid")</f>
        <v>Valid</v>
      </c>
      <c r="I788" s="3" t="str">
        <f>IF(Finance_Data!L784&gt;=Finance_Data!M784,"Valid","Invalid")</f>
        <v>Valid</v>
      </c>
      <c r="J788" s="3" t="str">
        <f>IF(AND(Finance_Data!I784&gt;=0,Finance_Data!K784&gt;=0),"Valid","Invalid")</f>
        <v>Valid</v>
      </c>
      <c r="K788" s="3" t="str">
        <f>IF(Finance_Data!N784&gt;=0,"Valid","Invalid")</f>
        <v>Valid</v>
      </c>
      <c r="L788" s="3" t="str">
        <f>IF(TEXT(Finance_Data!G784,"mmmm")=Finance_Data!P784,"Valid","Invalid")</f>
        <v>Valid</v>
      </c>
      <c r="M788" s="3" t="str">
        <f>IF("Q"&amp;ROUNDUP(MONTH(Finance_Data!G784)/3,0)=Finance_Data!Q784,"Valid","Invalid")</f>
        <v>Valid</v>
      </c>
      <c r="N788" s="7" t="str">
        <f t="shared" si="12"/>
        <v>Pass</v>
      </c>
    </row>
    <row r="789" spans="1:14" x14ac:dyDescent="0.35">
      <c r="A789" s="17" t="s">
        <v>109</v>
      </c>
      <c r="B789" s="3" t="str">
        <f>IF(ISBLANK(Table3[[#This Row],[Campaign_ID]]),"Invalid","Valid")</f>
        <v>Valid</v>
      </c>
      <c r="C789" s="3" t="str">
        <f>IF(COUNTA(Finance_Data!A785:R785)=18,"Valid","Missing")</f>
        <v>Valid</v>
      </c>
      <c r="D789" s="3" t="str">
        <f>IF(COUNTIF(Finance_Data!$T$2:$T$1001,Finance_Data!T785)&gt;1,"Duplicate","Valid")</f>
        <v>Valid</v>
      </c>
      <c r="E789" s="3" t="str">
        <f>IF(Finance_Data!H785&gt;Finance_Data!G785,"Valid","Invalid")</f>
        <v>Valid</v>
      </c>
      <c r="F789" s="3" t="str" cm="1">
        <f t="array" ref="F789">_xlfn.IFS(Finance_Data!S785&lt;7,"Short",Finance_Data!S785&lt;=30,"Normal",Finance_Data!S785&lt;=60,"Long",Finance_Data!S785&gt;60,"Very Long")</f>
        <v>Normal</v>
      </c>
      <c r="G789" s="3" t="str">
        <f>IF(ABS(Finance_Data!I785*Finance_Data!J785)-Finance_Data!K785&lt;1,"Valid","Invalid")</f>
        <v>Valid</v>
      </c>
      <c r="H789" s="3" t="str">
        <f>IF(Finance_Data!L785&gt;0,"Valid","Invalid")</f>
        <v>Valid</v>
      </c>
      <c r="I789" s="3" t="str">
        <f>IF(Finance_Data!L785&gt;=Finance_Data!M785,"Valid","Invalid")</f>
        <v>Valid</v>
      </c>
      <c r="J789" s="3" t="str">
        <f>IF(AND(Finance_Data!I785&gt;=0,Finance_Data!K785&gt;=0),"Valid","Invalid")</f>
        <v>Valid</v>
      </c>
      <c r="K789" s="3" t="str">
        <f>IF(Finance_Data!N785&gt;=0,"Valid","Invalid")</f>
        <v>Valid</v>
      </c>
      <c r="L789" s="3" t="str">
        <f>IF(TEXT(Finance_Data!G785,"mmmm")=Finance_Data!P785,"Valid","Invalid")</f>
        <v>Valid</v>
      </c>
      <c r="M789" s="3" t="str">
        <f>IF("Q"&amp;ROUNDUP(MONTH(Finance_Data!G785)/3,0)=Finance_Data!Q785,"Valid","Invalid")</f>
        <v>Valid</v>
      </c>
      <c r="N789" s="7" t="str">
        <f t="shared" si="12"/>
        <v>Pass</v>
      </c>
    </row>
    <row r="790" spans="1:14" x14ac:dyDescent="0.35">
      <c r="A790" s="17" t="s">
        <v>92</v>
      </c>
      <c r="B790" s="3" t="str">
        <f>IF(ISBLANK(Table3[[#This Row],[Campaign_ID]]),"Invalid","Valid")</f>
        <v>Valid</v>
      </c>
      <c r="C790" s="3" t="str">
        <f>IF(COUNTA(Finance_Data!A786:R786)=18,"Valid","Missing")</f>
        <v>Valid</v>
      </c>
      <c r="D790" s="3" t="str">
        <f>IF(COUNTIF(Finance_Data!$T$2:$T$1001,Finance_Data!T786)&gt;1,"Duplicate","Valid")</f>
        <v>Valid</v>
      </c>
      <c r="E790" s="3" t="str">
        <f>IF(Finance_Data!H786&gt;Finance_Data!G786,"Valid","Invalid")</f>
        <v>Valid</v>
      </c>
      <c r="F790" s="3" t="str" cm="1">
        <f t="array" ref="F790">_xlfn.IFS(Finance_Data!S786&lt;7,"Short",Finance_Data!S786&lt;=30,"Normal",Finance_Data!S786&lt;=60,"Long",Finance_Data!S786&gt;60,"Very Long")</f>
        <v>Long</v>
      </c>
      <c r="G790" s="3" t="str">
        <f>IF(ABS(Finance_Data!I786*Finance_Data!J786)-Finance_Data!K786&lt;1,"Valid","Invalid")</f>
        <v>Valid</v>
      </c>
      <c r="H790" s="3" t="str">
        <f>IF(Finance_Data!L786&gt;0,"Valid","Invalid")</f>
        <v>Valid</v>
      </c>
      <c r="I790" s="3" t="str">
        <f>IF(Finance_Data!L786&gt;=Finance_Data!M786,"Valid","Invalid")</f>
        <v>Valid</v>
      </c>
      <c r="J790" s="3" t="str">
        <f>IF(AND(Finance_Data!I786&gt;=0,Finance_Data!K786&gt;=0),"Valid","Invalid")</f>
        <v>Valid</v>
      </c>
      <c r="K790" s="3" t="str">
        <f>IF(Finance_Data!N786&gt;=0,"Valid","Invalid")</f>
        <v>Valid</v>
      </c>
      <c r="L790" s="3" t="str">
        <f>IF(TEXT(Finance_Data!G786,"mmmm")=Finance_Data!P786,"Valid","Invalid")</f>
        <v>Valid</v>
      </c>
      <c r="M790" s="3" t="str">
        <f>IF("Q"&amp;ROUNDUP(MONTH(Finance_Data!G786)/3,0)=Finance_Data!Q786,"Valid","Invalid")</f>
        <v>Valid</v>
      </c>
      <c r="N790" s="7" t="str">
        <f t="shared" si="12"/>
        <v>Pass</v>
      </c>
    </row>
    <row r="791" spans="1:14" x14ac:dyDescent="0.35">
      <c r="A791" s="17" t="s">
        <v>88</v>
      </c>
      <c r="B791" s="3" t="str">
        <f>IF(ISBLANK(Table3[[#This Row],[Campaign_ID]]),"Invalid","Valid")</f>
        <v>Valid</v>
      </c>
      <c r="C791" s="3" t="str">
        <f>IF(COUNTA(Finance_Data!A787:R787)=18,"Valid","Missing")</f>
        <v>Valid</v>
      </c>
      <c r="D791" s="3" t="str">
        <f>IF(COUNTIF(Finance_Data!$T$2:$T$1001,Finance_Data!T787)&gt;1,"Duplicate","Valid")</f>
        <v>Valid</v>
      </c>
      <c r="E791" s="3" t="str">
        <f>IF(Finance_Data!H787&gt;Finance_Data!G787,"Valid","Invalid")</f>
        <v>Valid</v>
      </c>
      <c r="F791" s="3" t="str" cm="1">
        <f t="array" ref="F791">_xlfn.IFS(Finance_Data!S787&lt;7,"Short",Finance_Data!S787&lt;=30,"Normal",Finance_Data!S787&lt;=60,"Long",Finance_Data!S787&gt;60,"Very Long")</f>
        <v>Long</v>
      </c>
      <c r="G791" s="3" t="str">
        <f>IF(ABS(Finance_Data!I787*Finance_Data!J787)-Finance_Data!K787&lt;1,"Valid","Invalid")</f>
        <v>Valid</v>
      </c>
      <c r="H791" s="3" t="str">
        <f>IF(Finance_Data!L787&gt;0,"Valid","Invalid")</f>
        <v>Valid</v>
      </c>
      <c r="I791" s="3" t="str">
        <f>IF(Finance_Data!L787&gt;=Finance_Data!M787,"Valid","Invalid")</f>
        <v>Valid</v>
      </c>
      <c r="J791" s="3" t="str">
        <f>IF(AND(Finance_Data!I787&gt;=0,Finance_Data!K787&gt;=0),"Valid","Invalid")</f>
        <v>Valid</v>
      </c>
      <c r="K791" s="3" t="str">
        <f>IF(Finance_Data!N787&gt;=0,"Valid","Invalid")</f>
        <v>Valid</v>
      </c>
      <c r="L791" s="3" t="str">
        <f>IF(TEXT(Finance_Data!G787,"mmmm")=Finance_Data!P787,"Valid","Invalid")</f>
        <v>Valid</v>
      </c>
      <c r="M791" s="3" t="str">
        <f>IF("Q"&amp;ROUNDUP(MONTH(Finance_Data!G787)/3,0)=Finance_Data!Q787,"Valid","Invalid")</f>
        <v>Valid</v>
      </c>
      <c r="N791" s="7" t="str">
        <f t="shared" si="12"/>
        <v>Pass</v>
      </c>
    </row>
    <row r="792" spans="1:14" x14ac:dyDescent="0.35">
      <c r="A792" s="17" t="s">
        <v>107</v>
      </c>
      <c r="B792" s="3" t="str">
        <f>IF(ISBLANK(Table3[[#This Row],[Campaign_ID]]),"Invalid","Valid")</f>
        <v>Valid</v>
      </c>
      <c r="C792" s="3" t="str">
        <f>IF(COUNTA(Finance_Data!A788:R788)=18,"Valid","Missing")</f>
        <v>Valid</v>
      </c>
      <c r="D792" s="3" t="str">
        <f>IF(COUNTIF(Finance_Data!$T$2:$T$1001,Finance_Data!T788)&gt;1,"Duplicate","Valid")</f>
        <v>Valid</v>
      </c>
      <c r="E792" s="3" t="str">
        <f>IF(Finance_Data!H788&gt;Finance_Data!G788,"Valid","Invalid")</f>
        <v>Valid</v>
      </c>
      <c r="F792" s="3" t="str" cm="1">
        <f t="array" ref="F792">_xlfn.IFS(Finance_Data!S788&lt;7,"Short",Finance_Data!S788&lt;=30,"Normal",Finance_Data!S788&lt;=60,"Long",Finance_Data!S788&gt;60,"Very Long")</f>
        <v>Long</v>
      </c>
      <c r="G792" s="3" t="str">
        <f>IF(ABS(Finance_Data!I788*Finance_Data!J788)-Finance_Data!K788&lt;1,"Valid","Invalid")</f>
        <v>Valid</v>
      </c>
      <c r="H792" s="3" t="str">
        <f>IF(Finance_Data!L788&gt;0,"Valid","Invalid")</f>
        <v>Valid</v>
      </c>
      <c r="I792" s="3" t="str">
        <f>IF(Finance_Data!L788&gt;=Finance_Data!M788,"Valid","Invalid")</f>
        <v>Valid</v>
      </c>
      <c r="J792" s="3" t="str">
        <f>IF(AND(Finance_Data!I788&gt;=0,Finance_Data!K788&gt;=0),"Valid","Invalid")</f>
        <v>Valid</v>
      </c>
      <c r="K792" s="3" t="str">
        <f>IF(Finance_Data!N788&gt;=0,"Valid","Invalid")</f>
        <v>Valid</v>
      </c>
      <c r="L792" s="3" t="str">
        <f>IF(TEXT(Finance_Data!G788,"mmmm")=Finance_Data!P788,"Valid","Invalid")</f>
        <v>Valid</v>
      </c>
      <c r="M792" s="3" t="str">
        <f>IF("Q"&amp;ROUNDUP(MONTH(Finance_Data!G788)/3,0)=Finance_Data!Q788,"Valid","Invalid")</f>
        <v>Valid</v>
      </c>
      <c r="N792" s="7" t="str">
        <f t="shared" si="12"/>
        <v>Pass</v>
      </c>
    </row>
    <row r="793" spans="1:14" x14ac:dyDescent="0.35">
      <c r="A793" s="17" t="s">
        <v>64</v>
      </c>
      <c r="B793" s="3" t="str">
        <f>IF(ISBLANK(Table3[[#This Row],[Campaign_ID]]),"Invalid","Valid")</f>
        <v>Valid</v>
      </c>
      <c r="C793" s="3" t="str">
        <f>IF(COUNTA(Finance_Data!A789:R789)=18,"Valid","Missing")</f>
        <v>Valid</v>
      </c>
      <c r="D793" s="3" t="str">
        <f>IF(COUNTIF(Finance_Data!$T$2:$T$1001,Finance_Data!T789)&gt;1,"Duplicate","Valid")</f>
        <v>Valid</v>
      </c>
      <c r="E793" s="3" t="str">
        <f>IF(Finance_Data!H789&gt;Finance_Data!G789,"Valid","Invalid")</f>
        <v>Valid</v>
      </c>
      <c r="F793" s="3" t="str" cm="1">
        <f t="array" ref="F793">_xlfn.IFS(Finance_Data!S789&lt;7,"Short",Finance_Data!S789&lt;=30,"Normal",Finance_Data!S789&lt;=60,"Long",Finance_Data!S789&gt;60,"Very Long")</f>
        <v>Normal</v>
      </c>
      <c r="G793" s="3" t="str">
        <f>IF(ABS(Finance_Data!I789*Finance_Data!J789)-Finance_Data!K789&lt;1,"Valid","Invalid")</f>
        <v>Valid</v>
      </c>
      <c r="H793" s="3" t="str">
        <f>IF(Finance_Data!L789&gt;0,"Valid","Invalid")</f>
        <v>Valid</v>
      </c>
      <c r="I793" s="3" t="str">
        <f>IF(Finance_Data!L789&gt;=Finance_Data!M789,"Valid","Invalid")</f>
        <v>Valid</v>
      </c>
      <c r="J793" s="3" t="str">
        <f>IF(AND(Finance_Data!I789&gt;=0,Finance_Data!K789&gt;=0),"Valid","Invalid")</f>
        <v>Valid</v>
      </c>
      <c r="K793" s="3" t="str">
        <f>IF(Finance_Data!N789&gt;=0,"Valid","Invalid")</f>
        <v>Valid</v>
      </c>
      <c r="L793" s="3" t="str">
        <f>IF(TEXT(Finance_Data!G789,"mmmm")=Finance_Data!P789,"Valid","Invalid")</f>
        <v>Valid</v>
      </c>
      <c r="M793" s="3" t="str">
        <f>IF("Q"&amp;ROUNDUP(MONTH(Finance_Data!G789)/3,0)=Finance_Data!Q789,"Valid","Invalid")</f>
        <v>Valid</v>
      </c>
      <c r="N793" s="7" t="str">
        <f t="shared" si="12"/>
        <v>Pass</v>
      </c>
    </row>
    <row r="794" spans="1:14" x14ac:dyDescent="0.35">
      <c r="A794" s="17" t="s">
        <v>94</v>
      </c>
      <c r="B794" s="3" t="str">
        <f>IF(ISBLANK(Table3[[#This Row],[Campaign_ID]]),"Invalid","Valid")</f>
        <v>Valid</v>
      </c>
      <c r="C794" s="3" t="str">
        <f>IF(COUNTA(Finance_Data!A790:R790)=18,"Valid","Missing")</f>
        <v>Valid</v>
      </c>
      <c r="D794" s="3" t="str">
        <f>IF(COUNTIF(Finance_Data!$T$2:$T$1001,Finance_Data!T790)&gt;1,"Duplicate","Valid")</f>
        <v>Valid</v>
      </c>
      <c r="E794" s="3" t="str">
        <f>IF(Finance_Data!H790&gt;Finance_Data!G790,"Valid","Invalid")</f>
        <v>Valid</v>
      </c>
      <c r="F794" s="3" t="str" cm="1">
        <f t="array" ref="F794">_xlfn.IFS(Finance_Data!S790&lt;7,"Short",Finance_Data!S790&lt;=30,"Normal",Finance_Data!S790&lt;=60,"Long",Finance_Data!S790&gt;60,"Very Long")</f>
        <v>Normal</v>
      </c>
      <c r="G794" s="3" t="str">
        <f>IF(ABS(Finance_Data!I790*Finance_Data!J790)-Finance_Data!K790&lt;1,"Valid","Invalid")</f>
        <v>Valid</v>
      </c>
      <c r="H794" s="3" t="str">
        <f>IF(Finance_Data!L790&gt;0,"Valid","Invalid")</f>
        <v>Valid</v>
      </c>
      <c r="I794" s="3" t="str">
        <f>IF(Finance_Data!L790&gt;=Finance_Data!M790,"Valid","Invalid")</f>
        <v>Valid</v>
      </c>
      <c r="J794" s="3" t="str">
        <f>IF(AND(Finance_Data!I790&gt;=0,Finance_Data!K790&gt;=0),"Valid","Invalid")</f>
        <v>Valid</v>
      </c>
      <c r="K794" s="3" t="str">
        <f>IF(Finance_Data!N790&gt;=0,"Valid","Invalid")</f>
        <v>Valid</v>
      </c>
      <c r="L794" s="3" t="str">
        <f>IF(TEXT(Finance_Data!G790,"mmmm")=Finance_Data!P790,"Valid","Invalid")</f>
        <v>Valid</v>
      </c>
      <c r="M794" s="3" t="str">
        <f>IF("Q"&amp;ROUNDUP(MONTH(Finance_Data!G790)/3,0)=Finance_Data!Q790,"Valid","Invalid")</f>
        <v>Valid</v>
      </c>
      <c r="N794" s="7" t="str">
        <f t="shared" si="12"/>
        <v>Pass</v>
      </c>
    </row>
    <row r="795" spans="1:14" x14ac:dyDescent="0.35">
      <c r="A795" s="17" t="s">
        <v>85</v>
      </c>
      <c r="B795" s="3" t="str">
        <f>IF(ISBLANK(Table3[[#This Row],[Campaign_ID]]),"Invalid","Valid")</f>
        <v>Valid</v>
      </c>
      <c r="C795" s="3" t="str">
        <f>IF(COUNTA(Finance_Data!A791:R791)=18,"Valid","Missing")</f>
        <v>Valid</v>
      </c>
      <c r="D795" s="3" t="str">
        <f>IF(COUNTIF(Finance_Data!$T$2:$T$1001,Finance_Data!T791)&gt;1,"Duplicate","Valid")</f>
        <v>Valid</v>
      </c>
      <c r="E795" s="3" t="str">
        <f>IF(Finance_Data!H791&gt;Finance_Data!G791,"Valid","Invalid")</f>
        <v>Valid</v>
      </c>
      <c r="F795" s="3" t="str" cm="1">
        <f t="array" ref="F795">_xlfn.IFS(Finance_Data!S791&lt;7,"Short",Finance_Data!S791&lt;=30,"Normal",Finance_Data!S791&lt;=60,"Long",Finance_Data!S791&gt;60,"Very Long")</f>
        <v>Long</v>
      </c>
      <c r="G795" s="3" t="str">
        <f>IF(ABS(Finance_Data!I791*Finance_Data!J791)-Finance_Data!K791&lt;1,"Valid","Invalid")</f>
        <v>Valid</v>
      </c>
      <c r="H795" s="3" t="str">
        <f>IF(Finance_Data!L791&gt;0,"Valid","Invalid")</f>
        <v>Valid</v>
      </c>
      <c r="I795" s="3" t="str">
        <f>IF(Finance_Data!L791&gt;=Finance_Data!M791,"Valid","Invalid")</f>
        <v>Valid</v>
      </c>
      <c r="J795" s="3" t="str">
        <f>IF(AND(Finance_Data!I791&gt;=0,Finance_Data!K791&gt;=0),"Valid","Invalid")</f>
        <v>Valid</v>
      </c>
      <c r="K795" s="3" t="str">
        <f>IF(Finance_Data!N791&gt;=0,"Valid","Invalid")</f>
        <v>Valid</v>
      </c>
      <c r="L795" s="3" t="str">
        <f>IF(TEXT(Finance_Data!G791,"mmmm")=Finance_Data!P791,"Valid","Invalid")</f>
        <v>Valid</v>
      </c>
      <c r="M795" s="3" t="str">
        <f>IF("Q"&amp;ROUNDUP(MONTH(Finance_Data!G791)/3,0)=Finance_Data!Q791,"Valid","Invalid")</f>
        <v>Valid</v>
      </c>
      <c r="N795" s="7" t="str">
        <f t="shared" si="12"/>
        <v>Pass</v>
      </c>
    </row>
    <row r="796" spans="1:14" x14ac:dyDescent="0.35">
      <c r="A796" s="17" t="s">
        <v>110</v>
      </c>
      <c r="B796" s="3" t="str">
        <f>IF(ISBLANK(Table3[[#This Row],[Campaign_ID]]),"Invalid","Valid")</f>
        <v>Valid</v>
      </c>
      <c r="C796" s="3" t="str">
        <f>IF(COUNTA(Finance_Data!A792:R792)=18,"Valid","Missing")</f>
        <v>Valid</v>
      </c>
      <c r="D796" s="3" t="str">
        <f>IF(COUNTIF(Finance_Data!$T$2:$T$1001,Finance_Data!T792)&gt;1,"Duplicate","Valid")</f>
        <v>Valid</v>
      </c>
      <c r="E796" s="3" t="str">
        <f>IF(Finance_Data!H792&gt;Finance_Data!G792,"Valid","Invalid")</f>
        <v>Valid</v>
      </c>
      <c r="F796" s="3" t="str" cm="1">
        <f t="array" ref="F796">_xlfn.IFS(Finance_Data!S792&lt;7,"Short",Finance_Data!S792&lt;=30,"Normal",Finance_Data!S792&lt;=60,"Long",Finance_Data!S792&gt;60,"Very Long")</f>
        <v>Long</v>
      </c>
      <c r="G796" s="3" t="str">
        <f>IF(ABS(Finance_Data!I792*Finance_Data!J792)-Finance_Data!K792&lt;1,"Valid","Invalid")</f>
        <v>Valid</v>
      </c>
      <c r="H796" s="3" t="str">
        <f>IF(Finance_Data!L792&gt;0,"Valid","Invalid")</f>
        <v>Valid</v>
      </c>
      <c r="I796" s="3" t="str">
        <f>IF(Finance_Data!L792&gt;=Finance_Data!M792,"Valid","Invalid")</f>
        <v>Valid</v>
      </c>
      <c r="J796" s="3" t="str">
        <f>IF(AND(Finance_Data!I792&gt;=0,Finance_Data!K792&gt;=0),"Valid","Invalid")</f>
        <v>Valid</v>
      </c>
      <c r="K796" s="3" t="str">
        <f>IF(Finance_Data!N792&gt;=0,"Valid","Invalid")</f>
        <v>Valid</v>
      </c>
      <c r="L796" s="3" t="str">
        <f>IF(TEXT(Finance_Data!G792,"mmmm")=Finance_Data!P792,"Valid","Invalid")</f>
        <v>Valid</v>
      </c>
      <c r="M796" s="3" t="str">
        <f>IF("Q"&amp;ROUNDUP(MONTH(Finance_Data!G792)/3,0)=Finance_Data!Q792,"Valid","Invalid")</f>
        <v>Valid</v>
      </c>
      <c r="N796" s="7" t="str">
        <f t="shared" si="12"/>
        <v>Pass</v>
      </c>
    </row>
    <row r="797" spans="1:14" x14ac:dyDescent="0.35">
      <c r="A797" s="17" t="s">
        <v>79</v>
      </c>
      <c r="B797" s="3" t="str">
        <f>IF(ISBLANK(Table3[[#This Row],[Campaign_ID]]),"Invalid","Valid")</f>
        <v>Valid</v>
      </c>
      <c r="C797" s="3" t="str">
        <f>IF(COUNTA(Finance_Data!A793:R793)=18,"Valid","Missing")</f>
        <v>Valid</v>
      </c>
      <c r="D797" s="3" t="str">
        <f>IF(COUNTIF(Finance_Data!$T$2:$T$1001,Finance_Data!T793)&gt;1,"Duplicate","Valid")</f>
        <v>Valid</v>
      </c>
      <c r="E797" s="3" t="str">
        <f>IF(Finance_Data!H793&gt;Finance_Data!G793,"Valid","Invalid")</f>
        <v>Valid</v>
      </c>
      <c r="F797" s="3" t="str" cm="1">
        <f t="array" ref="F797">_xlfn.IFS(Finance_Data!S793&lt;7,"Short",Finance_Data!S793&lt;=30,"Normal",Finance_Data!S793&lt;=60,"Long",Finance_Data!S793&gt;60,"Very Long")</f>
        <v>Very Long</v>
      </c>
      <c r="G797" s="3" t="str">
        <f>IF(ABS(Finance_Data!I793*Finance_Data!J793)-Finance_Data!K793&lt;1,"Valid","Invalid")</f>
        <v>Valid</v>
      </c>
      <c r="H797" s="3" t="str">
        <f>IF(Finance_Data!L793&gt;0,"Valid","Invalid")</f>
        <v>Valid</v>
      </c>
      <c r="I797" s="3" t="str">
        <f>IF(Finance_Data!L793&gt;=Finance_Data!M793,"Valid","Invalid")</f>
        <v>Valid</v>
      </c>
      <c r="J797" s="3" t="str">
        <f>IF(AND(Finance_Data!I793&gt;=0,Finance_Data!K793&gt;=0),"Valid","Invalid")</f>
        <v>Valid</v>
      </c>
      <c r="K797" s="3" t="str">
        <f>IF(Finance_Data!N793&gt;=0,"Valid","Invalid")</f>
        <v>Valid</v>
      </c>
      <c r="L797" s="3" t="str">
        <f>IF(TEXT(Finance_Data!G793,"mmmm")=Finance_Data!P793,"Valid","Invalid")</f>
        <v>Valid</v>
      </c>
      <c r="M797" s="3" t="str">
        <f>IF("Q"&amp;ROUNDUP(MONTH(Finance_Data!G793)/3,0)=Finance_Data!Q793,"Valid","Invalid")</f>
        <v>Valid</v>
      </c>
      <c r="N797" s="7" t="str">
        <f t="shared" si="12"/>
        <v>Pass</v>
      </c>
    </row>
    <row r="798" spans="1:14" x14ac:dyDescent="0.35">
      <c r="A798" s="17" t="s">
        <v>50</v>
      </c>
      <c r="B798" s="3" t="str">
        <f>IF(ISBLANK(Table3[[#This Row],[Campaign_ID]]),"Invalid","Valid")</f>
        <v>Valid</v>
      </c>
      <c r="C798" s="3" t="str">
        <f>IF(COUNTA(Finance_Data!A794:R794)=18,"Valid","Missing")</f>
        <v>Valid</v>
      </c>
      <c r="D798" s="3" t="str">
        <f>IF(COUNTIF(Finance_Data!$T$2:$T$1001,Finance_Data!T794)&gt;1,"Duplicate","Valid")</f>
        <v>Valid</v>
      </c>
      <c r="E798" s="3" t="str">
        <f>IF(Finance_Data!H794&gt;Finance_Data!G794,"Valid","Invalid")</f>
        <v>Valid</v>
      </c>
      <c r="F798" s="3" t="str" cm="1">
        <f t="array" ref="F798">_xlfn.IFS(Finance_Data!S794&lt;7,"Short",Finance_Data!S794&lt;=30,"Normal",Finance_Data!S794&lt;=60,"Long",Finance_Data!S794&gt;60,"Very Long")</f>
        <v>Normal</v>
      </c>
      <c r="G798" s="3" t="str">
        <f>IF(ABS(Finance_Data!I794*Finance_Data!J794)-Finance_Data!K794&lt;1,"Valid","Invalid")</f>
        <v>Valid</v>
      </c>
      <c r="H798" s="3" t="str">
        <f>IF(Finance_Data!L794&gt;0,"Valid","Invalid")</f>
        <v>Valid</v>
      </c>
      <c r="I798" s="3" t="str">
        <f>IF(Finance_Data!L794&gt;=Finance_Data!M794,"Valid","Invalid")</f>
        <v>Valid</v>
      </c>
      <c r="J798" s="3" t="str">
        <f>IF(AND(Finance_Data!I794&gt;=0,Finance_Data!K794&gt;=0),"Valid","Invalid")</f>
        <v>Valid</v>
      </c>
      <c r="K798" s="3" t="str">
        <f>IF(Finance_Data!N794&gt;=0,"Valid","Invalid")</f>
        <v>Valid</v>
      </c>
      <c r="L798" s="3" t="str">
        <f>IF(TEXT(Finance_Data!G794,"mmmm")=Finance_Data!P794,"Valid","Invalid")</f>
        <v>Valid</v>
      </c>
      <c r="M798" s="3" t="str">
        <f>IF("Q"&amp;ROUNDUP(MONTH(Finance_Data!G794)/3,0)=Finance_Data!Q794,"Valid","Invalid")</f>
        <v>Valid</v>
      </c>
      <c r="N798" s="7" t="str">
        <f t="shared" si="12"/>
        <v>Pass</v>
      </c>
    </row>
    <row r="799" spans="1:14" x14ac:dyDescent="0.35">
      <c r="A799" s="17" t="s">
        <v>42</v>
      </c>
      <c r="B799" s="3" t="str">
        <f>IF(ISBLANK(Table3[[#This Row],[Campaign_ID]]),"Invalid","Valid")</f>
        <v>Valid</v>
      </c>
      <c r="C799" s="3" t="str">
        <f>IF(COUNTA(Finance_Data!A795:R795)=18,"Valid","Missing")</f>
        <v>Valid</v>
      </c>
      <c r="D799" s="3" t="str">
        <f>IF(COUNTIF(Finance_Data!$T$2:$T$1001,Finance_Data!T795)&gt;1,"Duplicate","Valid")</f>
        <v>Valid</v>
      </c>
      <c r="E799" s="3" t="str">
        <f>IF(Finance_Data!H795&gt;Finance_Data!G795,"Valid","Invalid")</f>
        <v>Valid</v>
      </c>
      <c r="F799" s="3" t="str" cm="1">
        <f t="array" ref="F799">_xlfn.IFS(Finance_Data!S795&lt;7,"Short",Finance_Data!S795&lt;=30,"Normal",Finance_Data!S795&lt;=60,"Long",Finance_Data!S795&gt;60,"Very Long")</f>
        <v>Normal</v>
      </c>
      <c r="G799" s="3" t="str">
        <f>IF(ABS(Finance_Data!I795*Finance_Data!J795)-Finance_Data!K795&lt;1,"Valid","Invalid")</f>
        <v>Valid</v>
      </c>
      <c r="H799" s="3" t="str">
        <f>IF(Finance_Data!L795&gt;0,"Valid","Invalid")</f>
        <v>Valid</v>
      </c>
      <c r="I799" s="3" t="str">
        <f>IF(Finance_Data!L795&gt;=Finance_Data!M795,"Valid","Invalid")</f>
        <v>Valid</v>
      </c>
      <c r="J799" s="3" t="str">
        <f>IF(AND(Finance_Data!I795&gt;=0,Finance_Data!K795&gt;=0),"Valid","Invalid")</f>
        <v>Valid</v>
      </c>
      <c r="K799" s="3" t="str">
        <f>IF(Finance_Data!N795&gt;=0,"Valid","Invalid")</f>
        <v>Valid</v>
      </c>
      <c r="L799" s="3" t="str">
        <f>IF(TEXT(Finance_Data!G795,"mmmm")=Finance_Data!P795,"Valid","Invalid")</f>
        <v>Valid</v>
      </c>
      <c r="M799" s="3" t="str">
        <f>IF("Q"&amp;ROUNDUP(MONTH(Finance_Data!G795)/3,0)=Finance_Data!Q795,"Valid","Invalid")</f>
        <v>Valid</v>
      </c>
      <c r="N799" s="7" t="str">
        <f t="shared" si="12"/>
        <v>Pass</v>
      </c>
    </row>
    <row r="800" spans="1:14" x14ac:dyDescent="0.35">
      <c r="A800" s="17" t="s">
        <v>109</v>
      </c>
      <c r="B800" s="3" t="str">
        <f>IF(ISBLANK(Table3[[#This Row],[Campaign_ID]]),"Invalid","Valid")</f>
        <v>Valid</v>
      </c>
      <c r="C800" s="3" t="str">
        <f>IF(COUNTA(Finance_Data!A796:R796)=18,"Valid","Missing")</f>
        <v>Valid</v>
      </c>
      <c r="D800" s="3" t="str">
        <f>IF(COUNTIF(Finance_Data!$T$2:$T$1001,Finance_Data!T796)&gt;1,"Duplicate","Valid")</f>
        <v>Valid</v>
      </c>
      <c r="E800" s="3" t="str">
        <f>IF(Finance_Data!H796&gt;Finance_Data!G796,"Valid","Invalid")</f>
        <v>Valid</v>
      </c>
      <c r="F800" s="3" t="str" cm="1">
        <f t="array" ref="F800">_xlfn.IFS(Finance_Data!S796&lt;7,"Short",Finance_Data!S796&lt;=30,"Normal",Finance_Data!S796&lt;=60,"Long",Finance_Data!S796&gt;60,"Very Long")</f>
        <v>Normal</v>
      </c>
      <c r="G800" s="3" t="str">
        <f>IF(ABS(Finance_Data!I796*Finance_Data!J796)-Finance_Data!K796&lt;1,"Valid","Invalid")</f>
        <v>Valid</v>
      </c>
      <c r="H800" s="3" t="str">
        <f>IF(Finance_Data!L796&gt;0,"Valid","Invalid")</f>
        <v>Valid</v>
      </c>
      <c r="I800" s="3" t="str">
        <f>IF(Finance_Data!L796&gt;=Finance_Data!M796,"Valid","Invalid")</f>
        <v>Valid</v>
      </c>
      <c r="J800" s="3" t="str">
        <f>IF(AND(Finance_Data!I796&gt;=0,Finance_Data!K796&gt;=0),"Valid","Invalid")</f>
        <v>Valid</v>
      </c>
      <c r="K800" s="3" t="str">
        <f>IF(Finance_Data!N796&gt;=0,"Valid","Invalid")</f>
        <v>Valid</v>
      </c>
      <c r="L800" s="3" t="str">
        <f>IF(TEXT(Finance_Data!G796,"mmmm")=Finance_Data!P796,"Valid","Invalid")</f>
        <v>Valid</v>
      </c>
      <c r="M800" s="3" t="str">
        <f>IF("Q"&amp;ROUNDUP(MONTH(Finance_Data!G796)/3,0)=Finance_Data!Q796,"Valid","Invalid")</f>
        <v>Valid</v>
      </c>
      <c r="N800" s="7" t="str">
        <f t="shared" si="12"/>
        <v>Pass</v>
      </c>
    </row>
    <row r="801" spans="1:14" x14ac:dyDescent="0.35">
      <c r="A801" s="17" t="s">
        <v>84</v>
      </c>
      <c r="B801" s="3" t="str">
        <f>IF(ISBLANK(Table3[[#This Row],[Campaign_ID]]),"Invalid","Valid")</f>
        <v>Valid</v>
      </c>
      <c r="C801" s="3" t="str">
        <f>IF(COUNTA(Finance_Data!A797:R797)=18,"Valid","Missing")</f>
        <v>Valid</v>
      </c>
      <c r="D801" s="3" t="str">
        <f>IF(COUNTIF(Finance_Data!$T$2:$T$1001,Finance_Data!T797)&gt;1,"Duplicate","Valid")</f>
        <v>Valid</v>
      </c>
      <c r="E801" s="3" t="str">
        <f>IF(Finance_Data!H797&gt;Finance_Data!G797,"Valid","Invalid")</f>
        <v>Valid</v>
      </c>
      <c r="F801" s="3" t="str" cm="1">
        <f t="array" ref="F801">_xlfn.IFS(Finance_Data!S797&lt;7,"Short",Finance_Data!S797&lt;=30,"Normal",Finance_Data!S797&lt;=60,"Long",Finance_Data!S797&gt;60,"Very Long")</f>
        <v>Long</v>
      </c>
      <c r="G801" s="3" t="str">
        <f>IF(ABS(Finance_Data!I797*Finance_Data!J797)-Finance_Data!K797&lt;1,"Valid","Invalid")</f>
        <v>Valid</v>
      </c>
      <c r="H801" s="3" t="str">
        <f>IF(Finance_Data!L797&gt;0,"Valid","Invalid")</f>
        <v>Valid</v>
      </c>
      <c r="I801" s="3" t="str">
        <f>IF(Finance_Data!L797&gt;=Finance_Data!M797,"Valid","Invalid")</f>
        <v>Valid</v>
      </c>
      <c r="J801" s="3" t="str">
        <f>IF(AND(Finance_Data!I797&gt;=0,Finance_Data!K797&gt;=0),"Valid","Invalid")</f>
        <v>Valid</v>
      </c>
      <c r="K801" s="3" t="str">
        <f>IF(Finance_Data!N797&gt;=0,"Valid","Invalid")</f>
        <v>Valid</v>
      </c>
      <c r="L801" s="3" t="str">
        <f>IF(TEXT(Finance_Data!G797,"mmmm")=Finance_Data!P797,"Valid","Invalid")</f>
        <v>Valid</v>
      </c>
      <c r="M801" s="3" t="str">
        <f>IF("Q"&amp;ROUNDUP(MONTH(Finance_Data!G797)/3,0)=Finance_Data!Q797,"Valid","Invalid")</f>
        <v>Valid</v>
      </c>
      <c r="N801" s="7" t="str">
        <f t="shared" si="12"/>
        <v>Pass</v>
      </c>
    </row>
    <row r="802" spans="1:14" x14ac:dyDescent="0.35">
      <c r="A802" s="17" t="s">
        <v>100</v>
      </c>
      <c r="B802" s="3" t="str">
        <f>IF(ISBLANK(Table3[[#This Row],[Campaign_ID]]),"Invalid","Valid")</f>
        <v>Valid</v>
      </c>
      <c r="C802" s="3" t="str">
        <f>IF(COUNTA(Finance_Data!A798:R798)=18,"Valid","Missing")</f>
        <v>Valid</v>
      </c>
      <c r="D802" s="3" t="str">
        <f>IF(COUNTIF(Finance_Data!$T$2:$T$1001,Finance_Data!T798)&gt;1,"Duplicate","Valid")</f>
        <v>Valid</v>
      </c>
      <c r="E802" s="3" t="str">
        <f>IF(Finance_Data!H798&gt;Finance_Data!G798,"Valid","Invalid")</f>
        <v>Valid</v>
      </c>
      <c r="F802" s="3" t="str" cm="1">
        <f t="array" ref="F802">_xlfn.IFS(Finance_Data!S798&lt;7,"Short",Finance_Data!S798&lt;=30,"Normal",Finance_Data!S798&lt;=60,"Long",Finance_Data!S798&gt;60,"Very Long")</f>
        <v>Normal</v>
      </c>
      <c r="G802" s="3" t="str">
        <f>IF(ABS(Finance_Data!I798*Finance_Data!J798)-Finance_Data!K798&lt;1,"Valid","Invalid")</f>
        <v>Valid</v>
      </c>
      <c r="H802" s="3" t="str">
        <f>IF(Finance_Data!L798&gt;0,"Valid","Invalid")</f>
        <v>Valid</v>
      </c>
      <c r="I802" s="3" t="str">
        <f>IF(Finance_Data!L798&gt;=Finance_Data!M798,"Valid","Invalid")</f>
        <v>Valid</v>
      </c>
      <c r="J802" s="3" t="str">
        <f>IF(AND(Finance_Data!I798&gt;=0,Finance_Data!K798&gt;=0),"Valid","Invalid")</f>
        <v>Valid</v>
      </c>
      <c r="K802" s="3" t="str">
        <f>IF(Finance_Data!N798&gt;=0,"Valid","Invalid")</f>
        <v>Valid</v>
      </c>
      <c r="L802" s="3" t="str">
        <f>IF(TEXT(Finance_Data!G798,"mmmm")=Finance_Data!P798,"Valid","Invalid")</f>
        <v>Valid</v>
      </c>
      <c r="M802" s="3" t="str">
        <f>IF("Q"&amp;ROUNDUP(MONTH(Finance_Data!G798)/3,0)=Finance_Data!Q798,"Valid","Invalid")</f>
        <v>Valid</v>
      </c>
      <c r="N802" s="7" t="str">
        <f t="shared" si="12"/>
        <v>Pass</v>
      </c>
    </row>
    <row r="803" spans="1:14" x14ac:dyDescent="0.35">
      <c r="A803" s="17" t="s">
        <v>98</v>
      </c>
      <c r="B803" s="3" t="str">
        <f>IF(ISBLANK(Table3[[#This Row],[Campaign_ID]]),"Invalid","Valid")</f>
        <v>Valid</v>
      </c>
      <c r="C803" s="3" t="str">
        <f>IF(COUNTA(Finance_Data!A799:R799)=18,"Valid","Missing")</f>
        <v>Valid</v>
      </c>
      <c r="D803" s="3" t="str">
        <f>IF(COUNTIF(Finance_Data!$T$2:$T$1001,Finance_Data!T799)&gt;1,"Duplicate","Valid")</f>
        <v>Valid</v>
      </c>
      <c r="E803" s="3" t="str">
        <f>IF(Finance_Data!H799&gt;Finance_Data!G799,"Valid","Invalid")</f>
        <v>Valid</v>
      </c>
      <c r="F803" s="3" t="str" cm="1">
        <f t="array" ref="F803">_xlfn.IFS(Finance_Data!S799&lt;7,"Short",Finance_Data!S799&lt;=30,"Normal",Finance_Data!S799&lt;=60,"Long",Finance_Data!S799&gt;60,"Very Long")</f>
        <v>Normal</v>
      </c>
      <c r="G803" s="3" t="str">
        <f>IF(ABS(Finance_Data!I799*Finance_Data!J799)-Finance_Data!K799&lt;1,"Valid","Invalid")</f>
        <v>Valid</v>
      </c>
      <c r="H803" s="3" t="str">
        <f>IF(Finance_Data!L799&gt;0,"Valid","Invalid")</f>
        <v>Valid</v>
      </c>
      <c r="I803" s="3" t="str">
        <f>IF(Finance_Data!L799&gt;=Finance_Data!M799,"Valid","Invalid")</f>
        <v>Valid</v>
      </c>
      <c r="J803" s="3" t="str">
        <f>IF(AND(Finance_Data!I799&gt;=0,Finance_Data!K799&gt;=0),"Valid","Invalid")</f>
        <v>Valid</v>
      </c>
      <c r="K803" s="3" t="str">
        <f>IF(Finance_Data!N799&gt;=0,"Valid","Invalid")</f>
        <v>Valid</v>
      </c>
      <c r="L803" s="3" t="str">
        <f>IF(TEXT(Finance_Data!G799,"mmmm")=Finance_Data!P799,"Valid","Invalid")</f>
        <v>Valid</v>
      </c>
      <c r="M803" s="3" t="str">
        <f>IF("Q"&amp;ROUNDUP(MONTH(Finance_Data!G799)/3,0)=Finance_Data!Q799,"Valid","Invalid")</f>
        <v>Valid</v>
      </c>
      <c r="N803" s="7" t="str">
        <f t="shared" si="12"/>
        <v>Pass</v>
      </c>
    </row>
    <row r="804" spans="1:14" x14ac:dyDescent="0.35">
      <c r="A804" s="17" t="s">
        <v>64</v>
      </c>
      <c r="B804" s="3" t="str">
        <f>IF(ISBLANK(Table3[[#This Row],[Campaign_ID]]),"Invalid","Valid")</f>
        <v>Valid</v>
      </c>
      <c r="C804" s="3" t="str">
        <f>IF(COUNTA(Finance_Data!A800:R800)=18,"Valid","Missing")</f>
        <v>Valid</v>
      </c>
      <c r="D804" s="3" t="str">
        <f>IF(COUNTIF(Finance_Data!$T$2:$T$1001,Finance_Data!T800)&gt;1,"Duplicate","Valid")</f>
        <v>Valid</v>
      </c>
      <c r="E804" s="3" t="str">
        <f>IF(Finance_Data!H800&gt;Finance_Data!G800,"Valid","Invalid")</f>
        <v>Valid</v>
      </c>
      <c r="F804" s="3" t="str" cm="1">
        <f t="array" ref="F804">_xlfn.IFS(Finance_Data!S800&lt;7,"Short",Finance_Data!S800&lt;=30,"Normal",Finance_Data!S800&lt;=60,"Long",Finance_Data!S800&gt;60,"Very Long")</f>
        <v>Normal</v>
      </c>
      <c r="G804" s="3" t="str">
        <f>IF(ABS(Finance_Data!I800*Finance_Data!J800)-Finance_Data!K800&lt;1,"Valid","Invalid")</f>
        <v>Valid</v>
      </c>
      <c r="H804" s="3" t="str">
        <f>IF(Finance_Data!L800&gt;0,"Valid","Invalid")</f>
        <v>Valid</v>
      </c>
      <c r="I804" s="3" t="str">
        <f>IF(Finance_Data!L800&gt;=Finance_Data!M800,"Valid","Invalid")</f>
        <v>Valid</v>
      </c>
      <c r="J804" s="3" t="str">
        <f>IF(AND(Finance_Data!I800&gt;=0,Finance_Data!K800&gt;=0),"Valid","Invalid")</f>
        <v>Valid</v>
      </c>
      <c r="K804" s="3" t="str">
        <f>IF(Finance_Data!N800&gt;=0,"Valid","Invalid")</f>
        <v>Valid</v>
      </c>
      <c r="L804" s="3" t="str">
        <f>IF(TEXT(Finance_Data!G800,"mmmm")=Finance_Data!P800,"Valid","Invalid")</f>
        <v>Valid</v>
      </c>
      <c r="M804" s="3" t="str">
        <f>IF("Q"&amp;ROUNDUP(MONTH(Finance_Data!G800)/3,0)=Finance_Data!Q800,"Valid","Invalid")</f>
        <v>Valid</v>
      </c>
      <c r="N804" s="7" t="str">
        <f t="shared" si="12"/>
        <v>Pass</v>
      </c>
    </row>
    <row r="805" spans="1:14" x14ac:dyDescent="0.35">
      <c r="A805" s="17" t="s">
        <v>78</v>
      </c>
      <c r="B805" s="3" t="str">
        <f>IF(ISBLANK(Table3[[#This Row],[Campaign_ID]]),"Invalid","Valid")</f>
        <v>Valid</v>
      </c>
      <c r="C805" s="3" t="str">
        <f>IF(COUNTA(Finance_Data!A801:R801)=18,"Valid","Missing")</f>
        <v>Valid</v>
      </c>
      <c r="D805" s="3" t="str">
        <f>IF(COUNTIF(Finance_Data!$T$2:$T$1001,Finance_Data!T801)&gt;1,"Duplicate","Valid")</f>
        <v>Valid</v>
      </c>
      <c r="E805" s="3" t="str">
        <f>IF(Finance_Data!H801&gt;Finance_Data!G801,"Valid","Invalid")</f>
        <v>Valid</v>
      </c>
      <c r="F805" s="3" t="str" cm="1">
        <f t="array" ref="F805">_xlfn.IFS(Finance_Data!S801&lt;7,"Short",Finance_Data!S801&lt;=30,"Normal",Finance_Data!S801&lt;=60,"Long",Finance_Data!S801&gt;60,"Very Long")</f>
        <v>Long</v>
      </c>
      <c r="G805" s="3" t="str">
        <f>IF(ABS(Finance_Data!I801*Finance_Data!J801)-Finance_Data!K801&lt;1,"Valid","Invalid")</f>
        <v>Valid</v>
      </c>
      <c r="H805" s="3" t="str">
        <f>IF(Finance_Data!L801&gt;0,"Valid","Invalid")</f>
        <v>Valid</v>
      </c>
      <c r="I805" s="3" t="str">
        <f>IF(Finance_Data!L801&gt;=Finance_Data!M801,"Valid","Invalid")</f>
        <v>Valid</v>
      </c>
      <c r="J805" s="3" t="str">
        <f>IF(AND(Finance_Data!I801&gt;=0,Finance_Data!K801&gt;=0),"Valid","Invalid")</f>
        <v>Valid</v>
      </c>
      <c r="K805" s="3" t="str">
        <f>IF(Finance_Data!N801&gt;=0,"Valid","Invalid")</f>
        <v>Valid</v>
      </c>
      <c r="L805" s="3" t="str">
        <f>IF(TEXT(Finance_Data!G801,"mmmm")=Finance_Data!P801,"Valid","Invalid")</f>
        <v>Valid</v>
      </c>
      <c r="M805" s="3" t="str">
        <f>IF("Q"&amp;ROUNDUP(MONTH(Finance_Data!G801)/3,0)=Finance_Data!Q801,"Valid","Invalid")</f>
        <v>Valid</v>
      </c>
      <c r="N805" s="7" t="str">
        <f t="shared" si="12"/>
        <v>Pass</v>
      </c>
    </row>
    <row r="806" spans="1:14" x14ac:dyDescent="0.35">
      <c r="A806" s="17" t="s">
        <v>108</v>
      </c>
      <c r="B806" s="3" t="str">
        <f>IF(ISBLANK(Table3[[#This Row],[Campaign_ID]]),"Invalid","Valid")</f>
        <v>Valid</v>
      </c>
      <c r="C806" s="3" t="str">
        <f>IF(COUNTA(Finance_Data!A802:R802)=18,"Valid","Missing")</f>
        <v>Valid</v>
      </c>
      <c r="D806" s="3" t="str">
        <f>IF(COUNTIF(Finance_Data!$T$2:$T$1001,Finance_Data!T802)&gt;1,"Duplicate","Valid")</f>
        <v>Valid</v>
      </c>
      <c r="E806" s="3" t="str">
        <f>IF(Finance_Data!H802&gt;Finance_Data!G802,"Valid","Invalid")</f>
        <v>Valid</v>
      </c>
      <c r="F806" s="3" t="str" cm="1">
        <f t="array" ref="F806">_xlfn.IFS(Finance_Data!S802&lt;7,"Short",Finance_Data!S802&lt;=30,"Normal",Finance_Data!S802&lt;=60,"Long",Finance_Data!S802&gt;60,"Very Long")</f>
        <v>Normal</v>
      </c>
      <c r="G806" s="3" t="str">
        <f>IF(ABS(Finance_Data!I802*Finance_Data!J802)-Finance_Data!K802&lt;1,"Valid","Invalid")</f>
        <v>Valid</v>
      </c>
      <c r="H806" s="3" t="str">
        <f>IF(Finance_Data!L802&gt;0,"Valid","Invalid")</f>
        <v>Valid</v>
      </c>
      <c r="I806" s="3" t="str">
        <f>IF(Finance_Data!L802&gt;=Finance_Data!M802,"Valid","Invalid")</f>
        <v>Valid</v>
      </c>
      <c r="J806" s="3" t="str">
        <f>IF(AND(Finance_Data!I802&gt;=0,Finance_Data!K802&gt;=0),"Valid","Invalid")</f>
        <v>Valid</v>
      </c>
      <c r="K806" s="3" t="str">
        <f>IF(Finance_Data!N802&gt;=0,"Valid","Invalid")</f>
        <v>Valid</v>
      </c>
      <c r="L806" s="3" t="str">
        <f>IF(TEXT(Finance_Data!G802,"mmmm")=Finance_Data!P802,"Valid","Invalid")</f>
        <v>Valid</v>
      </c>
      <c r="M806" s="3" t="str">
        <f>IF("Q"&amp;ROUNDUP(MONTH(Finance_Data!G802)/3,0)=Finance_Data!Q802,"Valid","Invalid")</f>
        <v>Valid</v>
      </c>
      <c r="N806" s="7" t="str">
        <f t="shared" si="12"/>
        <v>Pass</v>
      </c>
    </row>
    <row r="807" spans="1:14" x14ac:dyDescent="0.35">
      <c r="A807" s="17" t="s">
        <v>105</v>
      </c>
      <c r="B807" s="3" t="str">
        <f>IF(ISBLANK(Table3[[#This Row],[Campaign_ID]]),"Invalid","Valid")</f>
        <v>Valid</v>
      </c>
      <c r="C807" s="3" t="str">
        <f>IF(COUNTA(Finance_Data!A803:R803)=18,"Valid","Missing")</f>
        <v>Valid</v>
      </c>
      <c r="D807" s="3" t="str">
        <f>IF(COUNTIF(Finance_Data!$T$2:$T$1001,Finance_Data!T803)&gt;1,"Duplicate","Valid")</f>
        <v>Valid</v>
      </c>
      <c r="E807" s="3" t="str">
        <f>IF(Finance_Data!H803&gt;Finance_Data!G803,"Valid","Invalid")</f>
        <v>Valid</v>
      </c>
      <c r="F807" s="3" t="str" cm="1">
        <f t="array" ref="F807">_xlfn.IFS(Finance_Data!S803&lt;7,"Short",Finance_Data!S803&lt;=30,"Normal",Finance_Data!S803&lt;=60,"Long",Finance_Data!S803&gt;60,"Very Long")</f>
        <v>Long</v>
      </c>
      <c r="G807" s="3" t="str">
        <f>IF(ABS(Finance_Data!I803*Finance_Data!J803)-Finance_Data!K803&lt;1,"Valid","Invalid")</f>
        <v>Valid</v>
      </c>
      <c r="H807" s="3" t="str">
        <f>IF(Finance_Data!L803&gt;0,"Valid","Invalid")</f>
        <v>Valid</v>
      </c>
      <c r="I807" s="3" t="str">
        <f>IF(Finance_Data!L803&gt;=Finance_Data!M803,"Valid","Invalid")</f>
        <v>Valid</v>
      </c>
      <c r="J807" s="3" t="str">
        <f>IF(AND(Finance_Data!I803&gt;=0,Finance_Data!K803&gt;=0),"Valid","Invalid")</f>
        <v>Valid</v>
      </c>
      <c r="K807" s="3" t="str">
        <f>IF(Finance_Data!N803&gt;=0,"Valid","Invalid")</f>
        <v>Valid</v>
      </c>
      <c r="L807" s="3" t="str">
        <f>IF(TEXT(Finance_Data!G803,"mmmm")=Finance_Data!P803,"Valid","Invalid")</f>
        <v>Valid</v>
      </c>
      <c r="M807" s="3" t="str">
        <f>IF("Q"&amp;ROUNDUP(MONTH(Finance_Data!G803)/3,0)=Finance_Data!Q803,"Valid","Invalid")</f>
        <v>Valid</v>
      </c>
      <c r="N807" s="7" t="str">
        <f t="shared" si="12"/>
        <v>Pass</v>
      </c>
    </row>
    <row r="808" spans="1:14" x14ac:dyDescent="0.35">
      <c r="A808" s="17" t="s">
        <v>117</v>
      </c>
      <c r="B808" s="3" t="str">
        <f>IF(ISBLANK(Table3[[#This Row],[Campaign_ID]]),"Invalid","Valid")</f>
        <v>Valid</v>
      </c>
      <c r="C808" s="3" t="str">
        <f>IF(COUNTA(Finance_Data!A804:R804)=18,"Valid","Missing")</f>
        <v>Valid</v>
      </c>
      <c r="D808" s="3" t="str">
        <f>IF(COUNTIF(Finance_Data!$T$2:$T$1001,Finance_Data!T804)&gt;1,"Duplicate","Valid")</f>
        <v>Valid</v>
      </c>
      <c r="E808" s="3" t="str">
        <f>IF(Finance_Data!H804&gt;Finance_Data!G804,"Valid","Invalid")</f>
        <v>Valid</v>
      </c>
      <c r="F808" s="3" t="str" cm="1">
        <f t="array" ref="F808">_xlfn.IFS(Finance_Data!S804&lt;7,"Short",Finance_Data!S804&lt;=30,"Normal",Finance_Data!S804&lt;=60,"Long",Finance_Data!S804&gt;60,"Very Long")</f>
        <v>Long</v>
      </c>
      <c r="G808" s="3" t="str">
        <f>IF(ABS(Finance_Data!I804*Finance_Data!J804)-Finance_Data!K804&lt;1,"Valid","Invalid")</f>
        <v>Valid</v>
      </c>
      <c r="H808" s="3" t="str">
        <f>IF(Finance_Data!L804&gt;0,"Valid","Invalid")</f>
        <v>Valid</v>
      </c>
      <c r="I808" s="3" t="str">
        <f>IF(Finance_Data!L804&gt;=Finance_Data!M804,"Valid","Invalid")</f>
        <v>Valid</v>
      </c>
      <c r="J808" s="3" t="str">
        <f>IF(AND(Finance_Data!I804&gt;=0,Finance_Data!K804&gt;=0),"Valid","Invalid")</f>
        <v>Valid</v>
      </c>
      <c r="K808" s="3" t="str">
        <f>IF(Finance_Data!N804&gt;=0,"Valid","Invalid")</f>
        <v>Valid</v>
      </c>
      <c r="L808" s="3" t="str">
        <f>IF(TEXT(Finance_Data!G804,"mmmm")=Finance_Data!P804,"Valid","Invalid")</f>
        <v>Valid</v>
      </c>
      <c r="M808" s="3" t="str">
        <f>IF("Q"&amp;ROUNDUP(MONTH(Finance_Data!G804)/3,0)=Finance_Data!Q804,"Valid","Invalid")</f>
        <v>Valid</v>
      </c>
      <c r="N808" s="7" t="str">
        <f t="shared" si="12"/>
        <v>Pass</v>
      </c>
    </row>
    <row r="809" spans="1:14" x14ac:dyDescent="0.35">
      <c r="A809" s="17" t="s">
        <v>98</v>
      </c>
      <c r="B809" s="3" t="str">
        <f>IF(ISBLANK(Table3[[#This Row],[Campaign_ID]]),"Invalid","Valid")</f>
        <v>Valid</v>
      </c>
      <c r="C809" s="3" t="str">
        <f>IF(COUNTA(Finance_Data!A805:R805)=18,"Valid","Missing")</f>
        <v>Valid</v>
      </c>
      <c r="D809" s="3" t="str">
        <f>IF(COUNTIF(Finance_Data!$T$2:$T$1001,Finance_Data!T805)&gt;1,"Duplicate","Valid")</f>
        <v>Valid</v>
      </c>
      <c r="E809" s="3" t="str">
        <f>IF(Finance_Data!H805&gt;Finance_Data!G805,"Valid","Invalid")</f>
        <v>Valid</v>
      </c>
      <c r="F809" s="3" t="str" cm="1">
        <f t="array" ref="F809">_xlfn.IFS(Finance_Data!S805&lt;7,"Short",Finance_Data!S805&lt;=30,"Normal",Finance_Data!S805&lt;=60,"Long",Finance_Data!S805&gt;60,"Very Long")</f>
        <v>Long</v>
      </c>
      <c r="G809" s="3" t="str">
        <f>IF(ABS(Finance_Data!I805*Finance_Data!J805)-Finance_Data!K805&lt;1,"Valid","Invalid")</f>
        <v>Valid</v>
      </c>
      <c r="H809" s="3" t="str">
        <f>IF(Finance_Data!L805&gt;0,"Valid","Invalid")</f>
        <v>Valid</v>
      </c>
      <c r="I809" s="3" t="str">
        <f>IF(Finance_Data!L805&gt;=Finance_Data!M805,"Valid","Invalid")</f>
        <v>Valid</v>
      </c>
      <c r="J809" s="3" t="str">
        <f>IF(AND(Finance_Data!I805&gt;=0,Finance_Data!K805&gt;=0),"Valid","Invalid")</f>
        <v>Valid</v>
      </c>
      <c r="K809" s="3" t="str">
        <f>IF(Finance_Data!N805&gt;=0,"Valid","Invalid")</f>
        <v>Valid</v>
      </c>
      <c r="L809" s="3" t="str">
        <f>IF(TEXT(Finance_Data!G805,"mmmm")=Finance_Data!P805,"Valid","Invalid")</f>
        <v>Valid</v>
      </c>
      <c r="M809" s="3" t="str">
        <f>IF("Q"&amp;ROUNDUP(MONTH(Finance_Data!G805)/3,0)=Finance_Data!Q805,"Valid","Invalid")</f>
        <v>Valid</v>
      </c>
      <c r="N809" s="7" t="str">
        <f t="shared" si="12"/>
        <v>Pass</v>
      </c>
    </row>
    <row r="810" spans="1:14" x14ac:dyDescent="0.35">
      <c r="A810" s="17" t="s">
        <v>68</v>
      </c>
      <c r="B810" s="3" t="str">
        <f>IF(ISBLANK(Table3[[#This Row],[Campaign_ID]]),"Invalid","Valid")</f>
        <v>Valid</v>
      </c>
      <c r="C810" s="3" t="str">
        <f>IF(COUNTA(Finance_Data!A806:R806)=18,"Valid","Missing")</f>
        <v>Valid</v>
      </c>
      <c r="D810" s="3" t="str">
        <f>IF(COUNTIF(Finance_Data!$T$2:$T$1001,Finance_Data!T806)&gt;1,"Duplicate","Valid")</f>
        <v>Valid</v>
      </c>
      <c r="E810" s="3" t="str">
        <f>IF(Finance_Data!H806&gt;Finance_Data!G806,"Valid","Invalid")</f>
        <v>Valid</v>
      </c>
      <c r="F810" s="3" t="str" cm="1">
        <f t="array" ref="F810">_xlfn.IFS(Finance_Data!S806&lt;7,"Short",Finance_Data!S806&lt;=30,"Normal",Finance_Data!S806&lt;=60,"Long",Finance_Data!S806&gt;60,"Very Long")</f>
        <v>Long</v>
      </c>
      <c r="G810" s="3" t="str">
        <f>IF(ABS(Finance_Data!I806*Finance_Data!J806)-Finance_Data!K806&lt;1,"Valid","Invalid")</f>
        <v>Valid</v>
      </c>
      <c r="H810" s="3" t="str">
        <f>IF(Finance_Data!L806&gt;0,"Valid","Invalid")</f>
        <v>Valid</v>
      </c>
      <c r="I810" s="3" t="str">
        <f>IF(Finance_Data!L806&gt;=Finance_Data!M806,"Valid","Invalid")</f>
        <v>Valid</v>
      </c>
      <c r="J810" s="3" t="str">
        <f>IF(AND(Finance_Data!I806&gt;=0,Finance_Data!K806&gt;=0),"Valid","Invalid")</f>
        <v>Valid</v>
      </c>
      <c r="K810" s="3" t="str">
        <f>IF(Finance_Data!N806&gt;=0,"Valid","Invalid")</f>
        <v>Valid</v>
      </c>
      <c r="L810" s="3" t="str">
        <f>IF(TEXT(Finance_Data!G806,"mmmm")=Finance_Data!P806,"Valid","Invalid")</f>
        <v>Valid</v>
      </c>
      <c r="M810" s="3" t="str">
        <f>IF("Q"&amp;ROUNDUP(MONTH(Finance_Data!G806)/3,0)=Finance_Data!Q806,"Valid","Invalid")</f>
        <v>Valid</v>
      </c>
      <c r="N810" s="7" t="str">
        <f t="shared" si="12"/>
        <v>Pass</v>
      </c>
    </row>
    <row r="811" spans="1:14" x14ac:dyDescent="0.35">
      <c r="A811" s="17" t="s">
        <v>27</v>
      </c>
      <c r="B811" s="3" t="str">
        <f>IF(ISBLANK(Table3[[#This Row],[Campaign_ID]]),"Invalid","Valid")</f>
        <v>Valid</v>
      </c>
      <c r="C811" s="3" t="str">
        <f>IF(COUNTA(Finance_Data!A807:R807)=18,"Valid","Missing")</f>
        <v>Valid</v>
      </c>
      <c r="D811" s="3" t="str">
        <f>IF(COUNTIF(Finance_Data!$T$2:$T$1001,Finance_Data!T807)&gt;1,"Duplicate","Valid")</f>
        <v>Valid</v>
      </c>
      <c r="E811" s="3" t="str">
        <f>IF(Finance_Data!H807&gt;Finance_Data!G807,"Valid","Invalid")</f>
        <v>Valid</v>
      </c>
      <c r="F811" s="3" t="str" cm="1">
        <f t="array" ref="F811">_xlfn.IFS(Finance_Data!S807&lt;7,"Short",Finance_Data!S807&lt;=30,"Normal",Finance_Data!S807&lt;=60,"Long",Finance_Data!S807&gt;60,"Very Long")</f>
        <v>Long</v>
      </c>
      <c r="G811" s="3" t="str">
        <f>IF(ABS(Finance_Data!I807*Finance_Data!J807)-Finance_Data!K807&lt;1,"Valid","Invalid")</f>
        <v>Valid</v>
      </c>
      <c r="H811" s="3" t="str">
        <f>IF(Finance_Data!L807&gt;0,"Valid","Invalid")</f>
        <v>Valid</v>
      </c>
      <c r="I811" s="3" t="str">
        <f>IF(Finance_Data!L807&gt;=Finance_Data!M807,"Valid","Invalid")</f>
        <v>Valid</v>
      </c>
      <c r="J811" s="3" t="str">
        <f>IF(AND(Finance_Data!I807&gt;=0,Finance_Data!K807&gt;=0),"Valid","Invalid")</f>
        <v>Valid</v>
      </c>
      <c r="K811" s="3" t="str">
        <f>IF(Finance_Data!N807&gt;=0,"Valid","Invalid")</f>
        <v>Valid</v>
      </c>
      <c r="L811" s="3" t="str">
        <f>IF(TEXT(Finance_Data!G807,"mmmm")=Finance_Data!P807,"Valid","Invalid")</f>
        <v>Valid</v>
      </c>
      <c r="M811" s="3" t="str">
        <f>IF("Q"&amp;ROUNDUP(MONTH(Finance_Data!G807)/3,0)=Finance_Data!Q807,"Valid","Invalid")</f>
        <v>Valid</v>
      </c>
      <c r="N811" s="7" t="str">
        <f t="shared" si="12"/>
        <v>Pass</v>
      </c>
    </row>
    <row r="812" spans="1:14" x14ac:dyDescent="0.35">
      <c r="A812" s="17" t="s">
        <v>72</v>
      </c>
      <c r="B812" s="3" t="str">
        <f>IF(ISBLANK(Table3[[#This Row],[Campaign_ID]]),"Invalid","Valid")</f>
        <v>Valid</v>
      </c>
      <c r="C812" s="3" t="str">
        <f>IF(COUNTA(Finance_Data!A808:R808)=18,"Valid","Missing")</f>
        <v>Valid</v>
      </c>
      <c r="D812" s="3" t="str">
        <f>IF(COUNTIF(Finance_Data!$T$2:$T$1001,Finance_Data!T808)&gt;1,"Duplicate","Valid")</f>
        <v>Valid</v>
      </c>
      <c r="E812" s="3" t="str">
        <f>IF(Finance_Data!H808&gt;Finance_Data!G808,"Valid","Invalid")</f>
        <v>Valid</v>
      </c>
      <c r="F812" s="3" t="str" cm="1">
        <f t="array" ref="F812">_xlfn.IFS(Finance_Data!S808&lt;7,"Short",Finance_Data!S808&lt;=30,"Normal",Finance_Data!S808&lt;=60,"Long",Finance_Data!S808&gt;60,"Very Long")</f>
        <v>Long</v>
      </c>
      <c r="G812" s="3" t="str">
        <f>IF(ABS(Finance_Data!I808*Finance_Data!J808)-Finance_Data!K808&lt;1,"Valid","Invalid")</f>
        <v>Valid</v>
      </c>
      <c r="H812" s="3" t="str">
        <f>IF(Finance_Data!L808&gt;0,"Valid","Invalid")</f>
        <v>Valid</v>
      </c>
      <c r="I812" s="3" t="str">
        <f>IF(Finance_Data!L808&gt;=Finance_Data!M808,"Valid","Invalid")</f>
        <v>Valid</v>
      </c>
      <c r="J812" s="3" t="str">
        <f>IF(AND(Finance_Data!I808&gt;=0,Finance_Data!K808&gt;=0),"Valid","Invalid")</f>
        <v>Valid</v>
      </c>
      <c r="K812" s="3" t="str">
        <f>IF(Finance_Data!N808&gt;=0,"Valid","Invalid")</f>
        <v>Valid</v>
      </c>
      <c r="L812" s="3" t="str">
        <f>IF(TEXT(Finance_Data!G808,"mmmm")=Finance_Data!P808,"Valid","Invalid")</f>
        <v>Valid</v>
      </c>
      <c r="M812" s="3" t="str">
        <f>IF("Q"&amp;ROUNDUP(MONTH(Finance_Data!G808)/3,0)=Finance_Data!Q808,"Valid","Invalid")</f>
        <v>Valid</v>
      </c>
      <c r="N812" s="7" t="str">
        <f t="shared" si="12"/>
        <v>Pass</v>
      </c>
    </row>
    <row r="813" spans="1:14" x14ac:dyDescent="0.35">
      <c r="A813" s="17" t="s">
        <v>94</v>
      </c>
      <c r="B813" s="3" t="str">
        <f>IF(ISBLANK(Table3[[#This Row],[Campaign_ID]]),"Invalid","Valid")</f>
        <v>Valid</v>
      </c>
      <c r="C813" s="3" t="str">
        <f>IF(COUNTA(Finance_Data!A809:R809)=18,"Valid","Missing")</f>
        <v>Valid</v>
      </c>
      <c r="D813" s="3" t="str">
        <f>IF(COUNTIF(Finance_Data!$T$2:$T$1001,Finance_Data!T809)&gt;1,"Duplicate","Valid")</f>
        <v>Valid</v>
      </c>
      <c r="E813" s="3" t="str">
        <f>IF(Finance_Data!H809&gt;Finance_Data!G809,"Valid","Invalid")</f>
        <v>Valid</v>
      </c>
      <c r="F813" s="3" t="str" cm="1">
        <f t="array" ref="F813">_xlfn.IFS(Finance_Data!S809&lt;7,"Short",Finance_Data!S809&lt;=30,"Normal",Finance_Data!S809&lt;=60,"Long",Finance_Data!S809&gt;60,"Very Long")</f>
        <v>Normal</v>
      </c>
      <c r="G813" s="3" t="str">
        <f>IF(ABS(Finance_Data!I809*Finance_Data!J809)-Finance_Data!K809&lt;1,"Valid","Invalid")</f>
        <v>Valid</v>
      </c>
      <c r="H813" s="3" t="str">
        <f>IF(Finance_Data!L809&gt;0,"Valid","Invalid")</f>
        <v>Valid</v>
      </c>
      <c r="I813" s="3" t="str">
        <f>IF(Finance_Data!L809&gt;=Finance_Data!M809,"Valid","Invalid")</f>
        <v>Invalid</v>
      </c>
      <c r="J813" s="3" t="str">
        <f>IF(AND(Finance_Data!I809&gt;=0,Finance_Data!K809&gt;=0),"Valid","Invalid")</f>
        <v>Valid</v>
      </c>
      <c r="K813" s="3" t="str">
        <f>IF(Finance_Data!N809&gt;=0,"Valid","Invalid")</f>
        <v>Valid</v>
      </c>
      <c r="L813" s="3" t="str">
        <f>IF(TEXT(Finance_Data!G809,"mmmm")=Finance_Data!P809,"Valid","Invalid")</f>
        <v>Valid</v>
      </c>
      <c r="M813" s="3" t="str">
        <f>IF("Q"&amp;ROUNDUP(MONTH(Finance_Data!G809)/3,0)=Finance_Data!Q809,"Valid","Invalid")</f>
        <v>Valid</v>
      </c>
      <c r="N813" s="7" t="str">
        <f t="shared" si="12"/>
        <v>Fail</v>
      </c>
    </row>
    <row r="814" spans="1:14" x14ac:dyDescent="0.35">
      <c r="A814" s="17" t="s">
        <v>99</v>
      </c>
      <c r="B814" s="3" t="str">
        <f>IF(ISBLANK(Table3[[#This Row],[Campaign_ID]]),"Invalid","Valid")</f>
        <v>Valid</v>
      </c>
      <c r="C814" s="3" t="str">
        <f>IF(COUNTA(Finance_Data!A810:R810)=18,"Valid","Missing")</f>
        <v>Valid</v>
      </c>
      <c r="D814" s="3" t="str">
        <f>IF(COUNTIF(Finance_Data!$T$2:$T$1001,Finance_Data!T810)&gt;1,"Duplicate","Valid")</f>
        <v>Valid</v>
      </c>
      <c r="E814" s="3" t="str">
        <f>IF(Finance_Data!H810&gt;Finance_Data!G810,"Valid","Invalid")</f>
        <v>Valid</v>
      </c>
      <c r="F814" s="3" t="str" cm="1">
        <f t="array" ref="F814">_xlfn.IFS(Finance_Data!S810&lt;7,"Short",Finance_Data!S810&lt;=30,"Normal",Finance_Data!S810&lt;=60,"Long",Finance_Data!S810&gt;60,"Very Long")</f>
        <v>Very Long</v>
      </c>
      <c r="G814" s="3" t="str">
        <f>IF(ABS(Finance_Data!I810*Finance_Data!J810)-Finance_Data!K810&lt;1,"Valid","Invalid")</f>
        <v>Valid</v>
      </c>
      <c r="H814" s="3" t="str">
        <f>IF(Finance_Data!L810&gt;0,"Valid","Invalid")</f>
        <v>Valid</v>
      </c>
      <c r="I814" s="3" t="str">
        <f>IF(Finance_Data!L810&gt;=Finance_Data!M810,"Valid","Invalid")</f>
        <v>Valid</v>
      </c>
      <c r="J814" s="3" t="str">
        <f>IF(AND(Finance_Data!I810&gt;=0,Finance_Data!K810&gt;=0),"Valid","Invalid")</f>
        <v>Valid</v>
      </c>
      <c r="K814" s="3" t="str">
        <f>IF(Finance_Data!N810&gt;=0,"Valid","Invalid")</f>
        <v>Valid</v>
      </c>
      <c r="L814" s="3" t="str">
        <f>IF(TEXT(Finance_Data!G810,"mmmm")=Finance_Data!P810,"Valid","Invalid")</f>
        <v>Valid</v>
      </c>
      <c r="M814" s="3" t="str">
        <f>IF("Q"&amp;ROUNDUP(MONTH(Finance_Data!G810)/3,0)=Finance_Data!Q810,"Valid","Invalid")</f>
        <v>Valid</v>
      </c>
      <c r="N814" s="7" t="str">
        <f t="shared" si="12"/>
        <v>Pass</v>
      </c>
    </row>
    <row r="815" spans="1:14" x14ac:dyDescent="0.35">
      <c r="A815" s="17" t="s">
        <v>118</v>
      </c>
      <c r="B815" s="3" t="str">
        <f>IF(ISBLANK(Table3[[#This Row],[Campaign_ID]]),"Invalid","Valid")</f>
        <v>Valid</v>
      </c>
      <c r="C815" s="3" t="str">
        <f>IF(COUNTA(Finance_Data!A811:R811)=18,"Valid","Missing")</f>
        <v>Valid</v>
      </c>
      <c r="D815" s="3" t="str">
        <f>IF(COUNTIF(Finance_Data!$T$2:$T$1001,Finance_Data!T811)&gt;1,"Duplicate","Valid")</f>
        <v>Valid</v>
      </c>
      <c r="E815" s="3" t="str">
        <f>IF(Finance_Data!H811&gt;Finance_Data!G811,"Valid","Invalid")</f>
        <v>Valid</v>
      </c>
      <c r="F815" s="3" t="str" cm="1">
        <f t="array" ref="F815">_xlfn.IFS(Finance_Data!S811&lt;7,"Short",Finance_Data!S811&lt;=30,"Normal",Finance_Data!S811&lt;=60,"Long",Finance_Data!S811&gt;60,"Very Long")</f>
        <v>Normal</v>
      </c>
      <c r="G815" s="3" t="str">
        <f>IF(ABS(Finance_Data!I811*Finance_Data!J811)-Finance_Data!K811&lt;1,"Valid","Invalid")</f>
        <v>Valid</v>
      </c>
      <c r="H815" s="3" t="str">
        <f>IF(Finance_Data!L811&gt;0,"Valid","Invalid")</f>
        <v>Valid</v>
      </c>
      <c r="I815" s="3" t="str">
        <f>IF(Finance_Data!L811&gt;=Finance_Data!M811,"Valid","Invalid")</f>
        <v>Valid</v>
      </c>
      <c r="J815" s="3" t="str">
        <f>IF(AND(Finance_Data!I811&gt;=0,Finance_Data!K811&gt;=0),"Valid","Invalid")</f>
        <v>Valid</v>
      </c>
      <c r="K815" s="3" t="str">
        <f>IF(Finance_Data!N811&gt;=0,"Valid","Invalid")</f>
        <v>Valid</v>
      </c>
      <c r="L815" s="3" t="str">
        <f>IF(TEXT(Finance_Data!G811,"mmmm")=Finance_Data!P811,"Valid","Invalid")</f>
        <v>Valid</v>
      </c>
      <c r="M815" s="3" t="str">
        <f>IF("Q"&amp;ROUNDUP(MONTH(Finance_Data!G811)/3,0)=Finance_Data!Q811,"Valid","Invalid")</f>
        <v>Valid</v>
      </c>
      <c r="N815" s="7" t="str">
        <f t="shared" si="12"/>
        <v>Pass</v>
      </c>
    </row>
    <row r="816" spans="1:14" x14ac:dyDescent="0.35">
      <c r="A816" s="17" t="s">
        <v>57</v>
      </c>
      <c r="B816" s="3" t="str">
        <f>IF(ISBLANK(Table3[[#This Row],[Campaign_ID]]),"Invalid","Valid")</f>
        <v>Valid</v>
      </c>
      <c r="C816" s="3" t="str">
        <f>IF(COUNTA(Finance_Data!A812:R812)=18,"Valid","Missing")</f>
        <v>Valid</v>
      </c>
      <c r="D816" s="3" t="str">
        <f>IF(COUNTIF(Finance_Data!$T$2:$T$1001,Finance_Data!T812)&gt;1,"Duplicate","Valid")</f>
        <v>Valid</v>
      </c>
      <c r="E816" s="3" t="str">
        <f>IF(Finance_Data!H812&gt;Finance_Data!G812,"Valid","Invalid")</f>
        <v>Valid</v>
      </c>
      <c r="F816" s="3" t="str" cm="1">
        <f t="array" ref="F816">_xlfn.IFS(Finance_Data!S812&lt;7,"Short",Finance_Data!S812&lt;=30,"Normal",Finance_Data!S812&lt;=60,"Long",Finance_Data!S812&gt;60,"Very Long")</f>
        <v>Long</v>
      </c>
      <c r="G816" s="3" t="str">
        <f>IF(ABS(Finance_Data!I812*Finance_Data!J812)-Finance_Data!K812&lt;1,"Valid","Invalid")</f>
        <v>Valid</v>
      </c>
      <c r="H816" s="3" t="str">
        <f>IF(Finance_Data!L812&gt;0,"Valid","Invalid")</f>
        <v>Valid</v>
      </c>
      <c r="I816" s="3" t="str">
        <f>IF(Finance_Data!L812&gt;=Finance_Data!M812,"Valid","Invalid")</f>
        <v>Valid</v>
      </c>
      <c r="J816" s="3" t="str">
        <f>IF(AND(Finance_Data!I812&gt;=0,Finance_Data!K812&gt;=0),"Valid","Invalid")</f>
        <v>Valid</v>
      </c>
      <c r="K816" s="3" t="str">
        <f>IF(Finance_Data!N812&gt;=0,"Valid","Invalid")</f>
        <v>Valid</v>
      </c>
      <c r="L816" s="3" t="str">
        <f>IF(TEXT(Finance_Data!G812,"mmmm")=Finance_Data!P812,"Valid","Invalid")</f>
        <v>Valid</v>
      </c>
      <c r="M816" s="3" t="str">
        <f>IF("Q"&amp;ROUNDUP(MONTH(Finance_Data!G812)/3,0)=Finance_Data!Q812,"Valid","Invalid")</f>
        <v>Valid</v>
      </c>
      <c r="N816" s="7" t="str">
        <f t="shared" si="12"/>
        <v>Pass</v>
      </c>
    </row>
    <row r="817" spans="1:14" x14ac:dyDescent="0.35">
      <c r="A817" s="17" t="s">
        <v>85</v>
      </c>
      <c r="B817" s="3" t="str">
        <f>IF(ISBLANK(Table3[[#This Row],[Campaign_ID]]),"Invalid","Valid")</f>
        <v>Valid</v>
      </c>
      <c r="C817" s="3" t="str">
        <f>IF(COUNTA(Finance_Data!A813:R813)=18,"Valid","Missing")</f>
        <v>Valid</v>
      </c>
      <c r="D817" s="3" t="str">
        <f>IF(COUNTIF(Finance_Data!$T$2:$T$1001,Finance_Data!T813)&gt;1,"Duplicate","Valid")</f>
        <v>Valid</v>
      </c>
      <c r="E817" s="3" t="str">
        <f>IF(Finance_Data!H813&gt;Finance_Data!G813,"Valid","Invalid")</f>
        <v>Valid</v>
      </c>
      <c r="F817" s="3" t="str" cm="1">
        <f t="array" ref="F817">_xlfn.IFS(Finance_Data!S813&lt;7,"Short",Finance_Data!S813&lt;=30,"Normal",Finance_Data!S813&lt;=60,"Long",Finance_Data!S813&gt;60,"Very Long")</f>
        <v>Long</v>
      </c>
      <c r="G817" s="3" t="str">
        <f>IF(ABS(Finance_Data!I813*Finance_Data!J813)-Finance_Data!K813&lt;1,"Valid","Invalid")</f>
        <v>Valid</v>
      </c>
      <c r="H817" s="3" t="str">
        <f>IF(Finance_Data!L813&gt;0,"Valid","Invalid")</f>
        <v>Valid</v>
      </c>
      <c r="I817" s="3" t="str">
        <f>IF(Finance_Data!L813&gt;=Finance_Data!M813,"Valid","Invalid")</f>
        <v>Valid</v>
      </c>
      <c r="J817" s="3" t="str">
        <f>IF(AND(Finance_Data!I813&gt;=0,Finance_Data!K813&gt;=0),"Valid","Invalid")</f>
        <v>Valid</v>
      </c>
      <c r="K817" s="3" t="str">
        <f>IF(Finance_Data!N813&gt;=0,"Valid","Invalid")</f>
        <v>Valid</v>
      </c>
      <c r="L817" s="3" t="str">
        <f>IF(TEXT(Finance_Data!G813,"mmmm")=Finance_Data!P813,"Valid","Invalid")</f>
        <v>Valid</v>
      </c>
      <c r="M817" s="3" t="str">
        <f>IF("Q"&amp;ROUNDUP(MONTH(Finance_Data!G813)/3,0)=Finance_Data!Q813,"Valid","Invalid")</f>
        <v>Valid</v>
      </c>
      <c r="N817" s="7" t="str">
        <f t="shared" si="12"/>
        <v>Pass</v>
      </c>
    </row>
    <row r="818" spans="1:14" x14ac:dyDescent="0.35">
      <c r="A818" s="17" t="s">
        <v>94</v>
      </c>
      <c r="B818" s="3" t="str">
        <f>IF(ISBLANK(Table3[[#This Row],[Campaign_ID]]),"Invalid","Valid")</f>
        <v>Valid</v>
      </c>
      <c r="C818" s="3" t="str">
        <f>IF(COUNTA(Finance_Data!A814:R814)=18,"Valid","Missing")</f>
        <v>Valid</v>
      </c>
      <c r="D818" s="3" t="str">
        <f>IF(COUNTIF(Finance_Data!$T$2:$T$1001,Finance_Data!T814)&gt;1,"Duplicate","Valid")</f>
        <v>Valid</v>
      </c>
      <c r="E818" s="3" t="str">
        <f>IF(Finance_Data!H814&gt;Finance_Data!G814,"Valid","Invalid")</f>
        <v>Valid</v>
      </c>
      <c r="F818" s="3" t="str" cm="1">
        <f t="array" ref="F818">_xlfn.IFS(Finance_Data!S814&lt;7,"Short",Finance_Data!S814&lt;=30,"Normal",Finance_Data!S814&lt;=60,"Long",Finance_Data!S814&gt;60,"Very Long")</f>
        <v>Normal</v>
      </c>
      <c r="G818" s="3" t="str">
        <f>IF(ABS(Finance_Data!I814*Finance_Data!J814)-Finance_Data!K814&lt;1,"Valid","Invalid")</f>
        <v>Valid</v>
      </c>
      <c r="H818" s="3" t="str">
        <f>IF(Finance_Data!L814&gt;0,"Valid","Invalid")</f>
        <v>Valid</v>
      </c>
      <c r="I818" s="3" t="str">
        <f>IF(Finance_Data!L814&gt;=Finance_Data!M814,"Valid","Invalid")</f>
        <v>Valid</v>
      </c>
      <c r="J818" s="3" t="str">
        <f>IF(AND(Finance_Data!I814&gt;=0,Finance_Data!K814&gt;=0),"Valid","Invalid")</f>
        <v>Valid</v>
      </c>
      <c r="K818" s="3" t="str">
        <f>IF(Finance_Data!N814&gt;=0,"Valid","Invalid")</f>
        <v>Valid</v>
      </c>
      <c r="L818" s="3" t="str">
        <f>IF(TEXT(Finance_Data!G814,"mmmm")=Finance_Data!P814,"Valid","Invalid")</f>
        <v>Valid</v>
      </c>
      <c r="M818" s="3" t="str">
        <f>IF("Q"&amp;ROUNDUP(MONTH(Finance_Data!G814)/3,0)=Finance_Data!Q814,"Valid","Invalid")</f>
        <v>Valid</v>
      </c>
      <c r="N818" s="7" t="str">
        <f t="shared" si="12"/>
        <v>Pass</v>
      </c>
    </row>
    <row r="819" spans="1:14" x14ac:dyDescent="0.35">
      <c r="A819" s="17" t="s">
        <v>87</v>
      </c>
      <c r="B819" s="3" t="str">
        <f>IF(ISBLANK(Table3[[#This Row],[Campaign_ID]]),"Invalid","Valid")</f>
        <v>Valid</v>
      </c>
      <c r="C819" s="3" t="str">
        <f>IF(COUNTA(Finance_Data!A815:R815)=18,"Valid","Missing")</f>
        <v>Valid</v>
      </c>
      <c r="D819" s="3" t="str">
        <f>IF(COUNTIF(Finance_Data!$T$2:$T$1001,Finance_Data!T815)&gt;1,"Duplicate","Valid")</f>
        <v>Valid</v>
      </c>
      <c r="E819" s="3" t="str">
        <f>IF(Finance_Data!H815&gt;Finance_Data!G815,"Valid","Invalid")</f>
        <v>Valid</v>
      </c>
      <c r="F819" s="3" t="str" cm="1">
        <f t="array" ref="F819">_xlfn.IFS(Finance_Data!S815&lt;7,"Short",Finance_Data!S815&lt;=30,"Normal",Finance_Data!S815&lt;=60,"Long",Finance_Data!S815&gt;60,"Very Long")</f>
        <v>Long</v>
      </c>
      <c r="G819" s="3" t="str">
        <f>IF(ABS(Finance_Data!I815*Finance_Data!J815)-Finance_Data!K815&lt;1,"Valid","Invalid")</f>
        <v>Valid</v>
      </c>
      <c r="H819" s="3" t="str">
        <f>IF(Finance_Data!L815&gt;0,"Valid","Invalid")</f>
        <v>Valid</v>
      </c>
      <c r="I819" s="3" t="str">
        <f>IF(Finance_Data!L815&gt;=Finance_Data!M815,"Valid","Invalid")</f>
        <v>Valid</v>
      </c>
      <c r="J819" s="3" t="str">
        <f>IF(AND(Finance_Data!I815&gt;=0,Finance_Data!K815&gt;=0),"Valid","Invalid")</f>
        <v>Valid</v>
      </c>
      <c r="K819" s="3" t="str">
        <f>IF(Finance_Data!N815&gt;=0,"Valid","Invalid")</f>
        <v>Valid</v>
      </c>
      <c r="L819" s="3" t="str">
        <f>IF(TEXT(Finance_Data!G815,"mmmm")=Finance_Data!P815,"Valid","Invalid")</f>
        <v>Valid</v>
      </c>
      <c r="M819" s="3" t="str">
        <f>IF("Q"&amp;ROUNDUP(MONTH(Finance_Data!G815)/3,0)=Finance_Data!Q815,"Valid","Invalid")</f>
        <v>Valid</v>
      </c>
      <c r="N819" s="7" t="str">
        <f t="shared" si="12"/>
        <v>Pass</v>
      </c>
    </row>
    <row r="820" spans="1:14" x14ac:dyDescent="0.35">
      <c r="A820" s="17" t="s">
        <v>72</v>
      </c>
      <c r="B820" s="3" t="str">
        <f>IF(ISBLANK(Table3[[#This Row],[Campaign_ID]]),"Invalid","Valid")</f>
        <v>Valid</v>
      </c>
      <c r="C820" s="3" t="str">
        <f>IF(COUNTA(Finance_Data!A816:R816)=18,"Valid","Missing")</f>
        <v>Valid</v>
      </c>
      <c r="D820" s="3" t="str">
        <f>IF(COUNTIF(Finance_Data!$T$2:$T$1001,Finance_Data!T816)&gt;1,"Duplicate","Valid")</f>
        <v>Valid</v>
      </c>
      <c r="E820" s="3" t="str">
        <f>IF(Finance_Data!H816&gt;Finance_Data!G816,"Valid","Invalid")</f>
        <v>Valid</v>
      </c>
      <c r="F820" s="3" t="str" cm="1">
        <f t="array" ref="F820">_xlfn.IFS(Finance_Data!S816&lt;7,"Short",Finance_Data!S816&lt;=30,"Normal",Finance_Data!S816&lt;=60,"Long",Finance_Data!S816&gt;60,"Very Long")</f>
        <v>Normal</v>
      </c>
      <c r="G820" s="3" t="str">
        <f>IF(ABS(Finance_Data!I816*Finance_Data!J816)-Finance_Data!K816&lt;1,"Valid","Invalid")</f>
        <v>Valid</v>
      </c>
      <c r="H820" s="3" t="str">
        <f>IF(Finance_Data!L816&gt;0,"Valid","Invalid")</f>
        <v>Valid</v>
      </c>
      <c r="I820" s="3" t="str">
        <f>IF(Finance_Data!L816&gt;=Finance_Data!M816,"Valid","Invalid")</f>
        <v>Valid</v>
      </c>
      <c r="J820" s="3" t="str">
        <f>IF(AND(Finance_Data!I816&gt;=0,Finance_Data!K816&gt;=0),"Valid","Invalid")</f>
        <v>Valid</v>
      </c>
      <c r="K820" s="3" t="str">
        <f>IF(Finance_Data!N816&gt;=0,"Valid","Invalid")</f>
        <v>Valid</v>
      </c>
      <c r="L820" s="3" t="str">
        <f>IF(TEXT(Finance_Data!G816,"mmmm")=Finance_Data!P816,"Valid","Invalid")</f>
        <v>Valid</v>
      </c>
      <c r="M820" s="3" t="str">
        <f>IF("Q"&amp;ROUNDUP(MONTH(Finance_Data!G816)/3,0)=Finance_Data!Q816,"Valid","Invalid")</f>
        <v>Valid</v>
      </c>
      <c r="N820" s="7" t="str">
        <f t="shared" si="12"/>
        <v>Pass</v>
      </c>
    </row>
    <row r="821" spans="1:14" x14ac:dyDescent="0.35">
      <c r="A821" s="17" t="s">
        <v>66</v>
      </c>
      <c r="B821" s="3" t="str">
        <f>IF(ISBLANK(Table3[[#This Row],[Campaign_ID]]),"Invalid","Valid")</f>
        <v>Valid</v>
      </c>
      <c r="C821" s="3" t="str">
        <f>IF(COUNTA(Finance_Data!A817:R817)=18,"Valid","Missing")</f>
        <v>Valid</v>
      </c>
      <c r="D821" s="3" t="str">
        <f>IF(COUNTIF(Finance_Data!$T$2:$T$1001,Finance_Data!T817)&gt;1,"Duplicate","Valid")</f>
        <v>Valid</v>
      </c>
      <c r="E821" s="3" t="str">
        <f>IF(Finance_Data!H817&gt;Finance_Data!G817,"Valid","Invalid")</f>
        <v>Valid</v>
      </c>
      <c r="F821" s="3" t="str" cm="1">
        <f t="array" ref="F821">_xlfn.IFS(Finance_Data!S817&lt;7,"Short",Finance_Data!S817&lt;=30,"Normal",Finance_Data!S817&lt;=60,"Long",Finance_Data!S817&gt;60,"Very Long")</f>
        <v>Long</v>
      </c>
      <c r="G821" s="3" t="str">
        <f>IF(ABS(Finance_Data!I817*Finance_Data!J817)-Finance_Data!K817&lt;1,"Valid","Invalid")</f>
        <v>Valid</v>
      </c>
      <c r="H821" s="3" t="str">
        <f>IF(Finance_Data!L817&gt;0,"Valid","Invalid")</f>
        <v>Valid</v>
      </c>
      <c r="I821" s="3" t="str">
        <f>IF(Finance_Data!L817&gt;=Finance_Data!M817,"Valid","Invalid")</f>
        <v>Valid</v>
      </c>
      <c r="J821" s="3" t="str">
        <f>IF(AND(Finance_Data!I817&gt;=0,Finance_Data!K817&gt;=0),"Valid","Invalid")</f>
        <v>Valid</v>
      </c>
      <c r="K821" s="3" t="str">
        <f>IF(Finance_Data!N817&gt;=0,"Valid","Invalid")</f>
        <v>Valid</v>
      </c>
      <c r="L821" s="3" t="str">
        <f>IF(TEXT(Finance_Data!G817,"mmmm")=Finance_Data!P817,"Valid","Invalid")</f>
        <v>Valid</v>
      </c>
      <c r="M821" s="3" t="str">
        <f>IF("Q"&amp;ROUNDUP(MONTH(Finance_Data!G817)/3,0)=Finance_Data!Q817,"Valid","Invalid")</f>
        <v>Valid</v>
      </c>
      <c r="N821" s="7" t="str">
        <f t="shared" si="12"/>
        <v>Pass</v>
      </c>
    </row>
    <row r="822" spans="1:14" x14ac:dyDescent="0.35">
      <c r="A822" s="17" t="s">
        <v>57</v>
      </c>
      <c r="B822" s="3" t="str">
        <f>IF(ISBLANK(Table3[[#This Row],[Campaign_ID]]),"Invalid","Valid")</f>
        <v>Valid</v>
      </c>
      <c r="C822" s="3" t="str">
        <f>IF(COUNTA(Finance_Data!A818:R818)=18,"Valid","Missing")</f>
        <v>Valid</v>
      </c>
      <c r="D822" s="3" t="str">
        <f>IF(COUNTIF(Finance_Data!$T$2:$T$1001,Finance_Data!T818)&gt;1,"Duplicate","Valid")</f>
        <v>Valid</v>
      </c>
      <c r="E822" s="3" t="str">
        <f>IF(Finance_Data!H818&gt;Finance_Data!G818,"Valid","Invalid")</f>
        <v>Valid</v>
      </c>
      <c r="F822" s="3" t="str" cm="1">
        <f t="array" ref="F822">_xlfn.IFS(Finance_Data!S818&lt;7,"Short",Finance_Data!S818&lt;=30,"Normal",Finance_Data!S818&lt;=60,"Long",Finance_Data!S818&gt;60,"Very Long")</f>
        <v>Normal</v>
      </c>
      <c r="G822" s="3" t="str">
        <f>IF(ABS(Finance_Data!I818*Finance_Data!J818)-Finance_Data!K818&lt;1,"Valid","Invalid")</f>
        <v>Valid</v>
      </c>
      <c r="H822" s="3" t="str">
        <f>IF(Finance_Data!L818&gt;0,"Valid","Invalid")</f>
        <v>Valid</v>
      </c>
      <c r="I822" s="3" t="str">
        <f>IF(Finance_Data!L818&gt;=Finance_Data!M818,"Valid","Invalid")</f>
        <v>Valid</v>
      </c>
      <c r="J822" s="3" t="str">
        <f>IF(AND(Finance_Data!I818&gt;=0,Finance_Data!K818&gt;=0),"Valid","Invalid")</f>
        <v>Valid</v>
      </c>
      <c r="K822" s="3" t="str">
        <f>IF(Finance_Data!N818&gt;=0,"Valid","Invalid")</f>
        <v>Valid</v>
      </c>
      <c r="L822" s="3" t="str">
        <f>IF(TEXT(Finance_Data!G818,"mmmm")=Finance_Data!P818,"Valid","Invalid")</f>
        <v>Valid</v>
      </c>
      <c r="M822" s="3" t="str">
        <f>IF("Q"&amp;ROUNDUP(MONTH(Finance_Data!G818)/3,0)=Finance_Data!Q818,"Valid","Invalid")</f>
        <v>Valid</v>
      </c>
      <c r="N822" s="7" t="str">
        <f t="shared" si="12"/>
        <v>Pass</v>
      </c>
    </row>
    <row r="823" spans="1:14" x14ac:dyDescent="0.35">
      <c r="A823" s="17" t="s">
        <v>83</v>
      </c>
      <c r="B823" s="3" t="str">
        <f>IF(ISBLANK(Table3[[#This Row],[Campaign_ID]]),"Invalid","Valid")</f>
        <v>Valid</v>
      </c>
      <c r="C823" s="3" t="str">
        <f>IF(COUNTA(Finance_Data!A819:R819)=18,"Valid","Missing")</f>
        <v>Valid</v>
      </c>
      <c r="D823" s="3" t="str">
        <f>IF(COUNTIF(Finance_Data!$T$2:$T$1001,Finance_Data!T819)&gt;1,"Duplicate","Valid")</f>
        <v>Valid</v>
      </c>
      <c r="E823" s="3" t="str">
        <f>IF(Finance_Data!H819&gt;Finance_Data!G819,"Valid","Invalid")</f>
        <v>Valid</v>
      </c>
      <c r="F823" s="3" t="str" cm="1">
        <f t="array" ref="F823">_xlfn.IFS(Finance_Data!S819&lt;7,"Short",Finance_Data!S819&lt;=30,"Normal",Finance_Data!S819&lt;=60,"Long",Finance_Data!S819&gt;60,"Very Long")</f>
        <v>Normal</v>
      </c>
      <c r="G823" s="3" t="str">
        <f>IF(ABS(Finance_Data!I819*Finance_Data!J819)-Finance_Data!K819&lt;1,"Valid","Invalid")</f>
        <v>Valid</v>
      </c>
      <c r="H823" s="3" t="str">
        <f>IF(Finance_Data!L819&gt;0,"Valid","Invalid")</f>
        <v>Valid</v>
      </c>
      <c r="I823" s="3" t="str">
        <f>IF(Finance_Data!L819&gt;=Finance_Data!M819,"Valid","Invalid")</f>
        <v>Valid</v>
      </c>
      <c r="J823" s="3" t="str">
        <f>IF(AND(Finance_Data!I819&gt;=0,Finance_Data!K819&gt;=0),"Valid","Invalid")</f>
        <v>Valid</v>
      </c>
      <c r="K823" s="3" t="str">
        <f>IF(Finance_Data!N819&gt;=0,"Valid","Invalid")</f>
        <v>Valid</v>
      </c>
      <c r="L823" s="3" t="str">
        <f>IF(TEXT(Finance_Data!G819,"mmmm")=Finance_Data!P819,"Valid","Invalid")</f>
        <v>Valid</v>
      </c>
      <c r="M823" s="3" t="str">
        <f>IF("Q"&amp;ROUNDUP(MONTH(Finance_Data!G819)/3,0)=Finance_Data!Q819,"Valid","Invalid")</f>
        <v>Valid</v>
      </c>
      <c r="N823" s="7" t="str">
        <f t="shared" si="12"/>
        <v>Pass</v>
      </c>
    </row>
    <row r="824" spans="1:14" x14ac:dyDescent="0.35">
      <c r="A824" s="17" t="s">
        <v>100</v>
      </c>
      <c r="B824" s="3" t="str">
        <f>IF(ISBLANK(Table3[[#This Row],[Campaign_ID]]),"Invalid","Valid")</f>
        <v>Valid</v>
      </c>
      <c r="C824" s="3" t="str">
        <f>IF(COUNTA(Finance_Data!A820:R820)=18,"Valid","Missing")</f>
        <v>Valid</v>
      </c>
      <c r="D824" s="3" t="str">
        <f>IF(COUNTIF(Finance_Data!$T$2:$T$1001,Finance_Data!T820)&gt;1,"Duplicate","Valid")</f>
        <v>Valid</v>
      </c>
      <c r="E824" s="3" t="str">
        <f>IF(Finance_Data!H820&gt;Finance_Data!G820,"Valid","Invalid")</f>
        <v>Valid</v>
      </c>
      <c r="F824" s="3" t="str" cm="1">
        <f t="array" ref="F824">_xlfn.IFS(Finance_Data!S820&lt;7,"Short",Finance_Data!S820&lt;=30,"Normal",Finance_Data!S820&lt;=60,"Long",Finance_Data!S820&gt;60,"Very Long")</f>
        <v>Normal</v>
      </c>
      <c r="G824" s="3" t="str">
        <f>IF(ABS(Finance_Data!I820*Finance_Data!J820)-Finance_Data!K820&lt;1,"Valid","Invalid")</f>
        <v>Valid</v>
      </c>
      <c r="H824" s="3" t="str">
        <f>IF(Finance_Data!L820&gt;0,"Valid","Invalid")</f>
        <v>Valid</v>
      </c>
      <c r="I824" s="3" t="str">
        <f>IF(Finance_Data!L820&gt;=Finance_Data!M820,"Valid","Invalid")</f>
        <v>Valid</v>
      </c>
      <c r="J824" s="3" t="str">
        <f>IF(AND(Finance_Data!I820&gt;=0,Finance_Data!K820&gt;=0),"Valid","Invalid")</f>
        <v>Valid</v>
      </c>
      <c r="K824" s="3" t="str">
        <f>IF(Finance_Data!N820&gt;=0,"Valid","Invalid")</f>
        <v>Valid</v>
      </c>
      <c r="L824" s="3" t="str">
        <f>IF(TEXT(Finance_Data!G820,"mmmm")=Finance_Data!P820,"Valid","Invalid")</f>
        <v>Valid</v>
      </c>
      <c r="M824" s="3" t="str">
        <f>IF("Q"&amp;ROUNDUP(MONTH(Finance_Data!G820)/3,0)=Finance_Data!Q820,"Valid","Invalid")</f>
        <v>Valid</v>
      </c>
      <c r="N824" s="7" t="str">
        <f t="shared" si="12"/>
        <v>Pass</v>
      </c>
    </row>
    <row r="825" spans="1:14" x14ac:dyDescent="0.35">
      <c r="A825" s="17" t="s">
        <v>18</v>
      </c>
      <c r="B825" s="3" t="str">
        <f>IF(ISBLANK(Table3[[#This Row],[Campaign_ID]]),"Invalid","Valid")</f>
        <v>Valid</v>
      </c>
      <c r="C825" s="3" t="str">
        <f>IF(COUNTA(Finance_Data!A821:R821)=18,"Valid","Missing")</f>
        <v>Valid</v>
      </c>
      <c r="D825" s="3" t="str">
        <f>IF(COUNTIF(Finance_Data!$T$2:$T$1001,Finance_Data!T821)&gt;1,"Duplicate","Valid")</f>
        <v>Valid</v>
      </c>
      <c r="E825" s="3" t="str">
        <f>IF(Finance_Data!H821&gt;Finance_Data!G821,"Valid","Invalid")</f>
        <v>Valid</v>
      </c>
      <c r="F825" s="3" t="str" cm="1">
        <f t="array" ref="F825">_xlfn.IFS(Finance_Data!S821&lt;7,"Short",Finance_Data!S821&lt;=30,"Normal",Finance_Data!S821&lt;=60,"Long",Finance_Data!S821&gt;60,"Very Long")</f>
        <v>Normal</v>
      </c>
      <c r="G825" s="3" t="str">
        <f>IF(ABS(Finance_Data!I821*Finance_Data!J821)-Finance_Data!K821&lt;1,"Valid","Invalid")</f>
        <v>Valid</v>
      </c>
      <c r="H825" s="3" t="str">
        <f>IF(Finance_Data!L821&gt;0,"Valid","Invalid")</f>
        <v>Valid</v>
      </c>
      <c r="I825" s="3" t="str">
        <f>IF(Finance_Data!L821&gt;=Finance_Data!M821,"Valid","Invalid")</f>
        <v>Valid</v>
      </c>
      <c r="J825" s="3" t="str">
        <f>IF(AND(Finance_Data!I821&gt;=0,Finance_Data!K821&gt;=0),"Valid","Invalid")</f>
        <v>Valid</v>
      </c>
      <c r="K825" s="3" t="str">
        <f>IF(Finance_Data!N821&gt;=0,"Valid","Invalid")</f>
        <v>Valid</v>
      </c>
      <c r="L825" s="3" t="str">
        <f>IF(TEXT(Finance_Data!G821,"mmmm")=Finance_Data!P821,"Valid","Invalid")</f>
        <v>Valid</v>
      </c>
      <c r="M825" s="3" t="str">
        <f>IF("Q"&amp;ROUNDUP(MONTH(Finance_Data!G821)/3,0)=Finance_Data!Q821,"Valid","Invalid")</f>
        <v>Valid</v>
      </c>
      <c r="N825" s="7" t="str">
        <f t="shared" si="12"/>
        <v>Pass</v>
      </c>
    </row>
    <row r="826" spans="1:14" x14ac:dyDescent="0.35">
      <c r="A826" s="17" t="s">
        <v>95</v>
      </c>
      <c r="B826" s="3" t="str">
        <f>IF(ISBLANK(Table3[[#This Row],[Campaign_ID]]),"Invalid","Valid")</f>
        <v>Valid</v>
      </c>
      <c r="C826" s="3" t="str">
        <f>IF(COUNTA(Finance_Data!A822:R822)=18,"Valid","Missing")</f>
        <v>Valid</v>
      </c>
      <c r="D826" s="3" t="str">
        <f>IF(COUNTIF(Finance_Data!$T$2:$T$1001,Finance_Data!T822)&gt;1,"Duplicate","Valid")</f>
        <v>Valid</v>
      </c>
      <c r="E826" s="3" t="str">
        <f>IF(Finance_Data!H822&gt;Finance_Data!G822,"Valid","Invalid")</f>
        <v>Valid</v>
      </c>
      <c r="F826" s="3" t="str" cm="1">
        <f t="array" ref="F826">_xlfn.IFS(Finance_Data!S822&lt;7,"Short",Finance_Data!S822&lt;=30,"Normal",Finance_Data!S822&lt;=60,"Long",Finance_Data!S822&gt;60,"Very Long")</f>
        <v>Normal</v>
      </c>
      <c r="G826" s="3" t="str">
        <f>IF(ABS(Finance_Data!I822*Finance_Data!J822)-Finance_Data!K822&lt;1,"Valid","Invalid")</f>
        <v>Valid</v>
      </c>
      <c r="H826" s="3" t="str">
        <f>IF(Finance_Data!L822&gt;0,"Valid","Invalid")</f>
        <v>Valid</v>
      </c>
      <c r="I826" s="3" t="str">
        <f>IF(Finance_Data!L822&gt;=Finance_Data!M822,"Valid","Invalid")</f>
        <v>Valid</v>
      </c>
      <c r="J826" s="3" t="str">
        <f>IF(AND(Finance_Data!I822&gt;=0,Finance_Data!K822&gt;=0),"Valid","Invalid")</f>
        <v>Valid</v>
      </c>
      <c r="K826" s="3" t="str">
        <f>IF(Finance_Data!N822&gt;=0,"Valid","Invalid")</f>
        <v>Valid</v>
      </c>
      <c r="L826" s="3" t="str">
        <f>IF(TEXT(Finance_Data!G822,"mmmm")=Finance_Data!P822,"Valid","Invalid")</f>
        <v>Valid</v>
      </c>
      <c r="M826" s="3" t="str">
        <f>IF("Q"&amp;ROUNDUP(MONTH(Finance_Data!G822)/3,0)=Finance_Data!Q822,"Valid","Invalid")</f>
        <v>Valid</v>
      </c>
      <c r="N826" s="7" t="str">
        <f t="shared" si="12"/>
        <v>Pass</v>
      </c>
    </row>
    <row r="827" spans="1:14" x14ac:dyDescent="0.35">
      <c r="A827" s="17" t="s">
        <v>72</v>
      </c>
      <c r="B827" s="3" t="str">
        <f>IF(ISBLANK(Table3[[#This Row],[Campaign_ID]]),"Invalid","Valid")</f>
        <v>Valid</v>
      </c>
      <c r="C827" s="3" t="str">
        <f>IF(COUNTA(Finance_Data!A823:R823)=18,"Valid","Missing")</f>
        <v>Valid</v>
      </c>
      <c r="D827" s="3" t="str">
        <f>IF(COUNTIF(Finance_Data!$T$2:$T$1001,Finance_Data!T823)&gt;1,"Duplicate","Valid")</f>
        <v>Valid</v>
      </c>
      <c r="E827" s="3" t="str">
        <f>IF(Finance_Data!H823&gt;Finance_Data!G823,"Valid","Invalid")</f>
        <v>Valid</v>
      </c>
      <c r="F827" s="3" t="str" cm="1">
        <f t="array" ref="F827">_xlfn.IFS(Finance_Data!S823&lt;7,"Short",Finance_Data!S823&lt;=30,"Normal",Finance_Data!S823&lt;=60,"Long",Finance_Data!S823&gt;60,"Very Long")</f>
        <v>Long</v>
      </c>
      <c r="G827" s="3" t="str">
        <f>IF(ABS(Finance_Data!I823*Finance_Data!J823)-Finance_Data!K823&lt;1,"Valid","Invalid")</f>
        <v>Valid</v>
      </c>
      <c r="H827" s="3" t="str">
        <f>IF(Finance_Data!L823&gt;0,"Valid","Invalid")</f>
        <v>Valid</v>
      </c>
      <c r="I827" s="3" t="str">
        <f>IF(Finance_Data!L823&gt;=Finance_Data!M823,"Valid","Invalid")</f>
        <v>Valid</v>
      </c>
      <c r="J827" s="3" t="str">
        <f>IF(AND(Finance_Data!I823&gt;=0,Finance_Data!K823&gt;=0),"Valid","Invalid")</f>
        <v>Valid</v>
      </c>
      <c r="K827" s="3" t="str">
        <f>IF(Finance_Data!N823&gt;=0,"Valid","Invalid")</f>
        <v>Valid</v>
      </c>
      <c r="L827" s="3" t="str">
        <f>IF(TEXT(Finance_Data!G823,"mmmm")=Finance_Data!P823,"Valid","Invalid")</f>
        <v>Valid</v>
      </c>
      <c r="M827" s="3" t="str">
        <f>IF("Q"&amp;ROUNDUP(MONTH(Finance_Data!G823)/3,0)=Finance_Data!Q823,"Valid","Invalid")</f>
        <v>Valid</v>
      </c>
      <c r="N827" s="7" t="str">
        <f t="shared" si="12"/>
        <v>Pass</v>
      </c>
    </row>
    <row r="828" spans="1:14" x14ac:dyDescent="0.35">
      <c r="A828" s="17" t="s">
        <v>104</v>
      </c>
      <c r="B828" s="3" t="str">
        <f>IF(ISBLANK(Table3[[#This Row],[Campaign_ID]]),"Invalid","Valid")</f>
        <v>Valid</v>
      </c>
      <c r="C828" s="3" t="str">
        <f>IF(COUNTA(Finance_Data!A824:R824)=18,"Valid","Missing")</f>
        <v>Valid</v>
      </c>
      <c r="D828" s="3" t="str">
        <f>IF(COUNTIF(Finance_Data!$T$2:$T$1001,Finance_Data!T824)&gt;1,"Duplicate","Valid")</f>
        <v>Valid</v>
      </c>
      <c r="E828" s="3" t="str">
        <f>IF(Finance_Data!H824&gt;Finance_Data!G824,"Valid","Invalid")</f>
        <v>Valid</v>
      </c>
      <c r="F828" s="3" t="str" cm="1">
        <f t="array" ref="F828">_xlfn.IFS(Finance_Data!S824&lt;7,"Short",Finance_Data!S824&lt;=30,"Normal",Finance_Data!S824&lt;=60,"Long",Finance_Data!S824&gt;60,"Very Long")</f>
        <v>Long</v>
      </c>
      <c r="G828" s="3" t="str">
        <f>IF(ABS(Finance_Data!I824*Finance_Data!J824)-Finance_Data!K824&lt;1,"Valid","Invalid")</f>
        <v>Valid</v>
      </c>
      <c r="H828" s="3" t="str">
        <f>IF(Finance_Data!L824&gt;0,"Valid","Invalid")</f>
        <v>Valid</v>
      </c>
      <c r="I828" s="3" t="str">
        <f>IF(Finance_Data!L824&gt;=Finance_Data!M824,"Valid","Invalid")</f>
        <v>Valid</v>
      </c>
      <c r="J828" s="3" t="str">
        <f>IF(AND(Finance_Data!I824&gt;=0,Finance_Data!K824&gt;=0),"Valid","Invalid")</f>
        <v>Valid</v>
      </c>
      <c r="K828" s="3" t="str">
        <f>IF(Finance_Data!N824&gt;=0,"Valid","Invalid")</f>
        <v>Valid</v>
      </c>
      <c r="L828" s="3" t="str">
        <f>IF(TEXT(Finance_Data!G824,"mmmm")=Finance_Data!P824,"Valid","Invalid")</f>
        <v>Valid</v>
      </c>
      <c r="M828" s="3" t="str">
        <f>IF("Q"&amp;ROUNDUP(MONTH(Finance_Data!G824)/3,0)=Finance_Data!Q824,"Valid","Invalid")</f>
        <v>Valid</v>
      </c>
      <c r="N828" s="7" t="str">
        <f t="shared" si="12"/>
        <v>Pass</v>
      </c>
    </row>
    <row r="829" spans="1:14" x14ac:dyDescent="0.35">
      <c r="A829" s="17" t="s">
        <v>77</v>
      </c>
      <c r="B829" s="3" t="str">
        <f>IF(ISBLANK(Table3[[#This Row],[Campaign_ID]]),"Invalid","Valid")</f>
        <v>Valid</v>
      </c>
      <c r="C829" s="3" t="str">
        <f>IF(COUNTA(Finance_Data!A825:R825)=18,"Valid","Missing")</f>
        <v>Valid</v>
      </c>
      <c r="D829" s="3" t="str">
        <f>IF(COUNTIF(Finance_Data!$T$2:$T$1001,Finance_Data!T825)&gt;1,"Duplicate","Valid")</f>
        <v>Valid</v>
      </c>
      <c r="E829" s="3" t="str">
        <f>IF(Finance_Data!H825&gt;Finance_Data!G825,"Valid","Invalid")</f>
        <v>Valid</v>
      </c>
      <c r="F829" s="3" t="str" cm="1">
        <f t="array" ref="F829">_xlfn.IFS(Finance_Data!S825&lt;7,"Short",Finance_Data!S825&lt;=30,"Normal",Finance_Data!S825&lt;=60,"Long",Finance_Data!S825&gt;60,"Very Long")</f>
        <v>Long</v>
      </c>
      <c r="G829" s="3" t="str">
        <f>IF(ABS(Finance_Data!I825*Finance_Data!J825)-Finance_Data!K825&lt;1,"Valid","Invalid")</f>
        <v>Valid</v>
      </c>
      <c r="H829" s="3" t="str">
        <f>IF(Finance_Data!L825&gt;0,"Valid","Invalid")</f>
        <v>Valid</v>
      </c>
      <c r="I829" s="3" t="str">
        <f>IF(Finance_Data!L825&gt;=Finance_Data!M825,"Valid","Invalid")</f>
        <v>Valid</v>
      </c>
      <c r="J829" s="3" t="str">
        <f>IF(AND(Finance_Data!I825&gt;=0,Finance_Data!K825&gt;=0),"Valid","Invalid")</f>
        <v>Valid</v>
      </c>
      <c r="K829" s="3" t="str">
        <f>IF(Finance_Data!N825&gt;=0,"Valid","Invalid")</f>
        <v>Valid</v>
      </c>
      <c r="L829" s="3" t="str">
        <f>IF(TEXT(Finance_Data!G825,"mmmm")=Finance_Data!P825,"Valid","Invalid")</f>
        <v>Valid</v>
      </c>
      <c r="M829" s="3" t="str">
        <f>IF("Q"&amp;ROUNDUP(MONTH(Finance_Data!G825)/3,0)=Finance_Data!Q825,"Valid","Invalid")</f>
        <v>Valid</v>
      </c>
      <c r="N829" s="7" t="str">
        <f t="shared" si="12"/>
        <v>Pass</v>
      </c>
    </row>
    <row r="830" spans="1:14" x14ac:dyDescent="0.35">
      <c r="A830" s="17" t="s">
        <v>42</v>
      </c>
      <c r="B830" s="3" t="str">
        <f>IF(ISBLANK(Table3[[#This Row],[Campaign_ID]]),"Invalid","Valid")</f>
        <v>Valid</v>
      </c>
      <c r="C830" s="3" t="str">
        <f>IF(COUNTA(Finance_Data!A826:R826)=18,"Valid","Missing")</f>
        <v>Valid</v>
      </c>
      <c r="D830" s="3" t="str">
        <f>IF(COUNTIF(Finance_Data!$T$2:$T$1001,Finance_Data!T826)&gt;1,"Duplicate","Valid")</f>
        <v>Valid</v>
      </c>
      <c r="E830" s="3" t="str">
        <f>IF(Finance_Data!H826&gt;Finance_Data!G826,"Valid","Invalid")</f>
        <v>Valid</v>
      </c>
      <c r="F830" s="3" t="str" cm="1">
        <f t="array" ref="F830">_xlfn.IFS(Finance_Data!S826&lt;7,"Short",Finance_Data!S826&lt;=30,"Normal",Finance_Data!S826&lt;=60,"Long",Finance_Data!S826&gt;60,"Very Long")</f>
        <v>Normal</v>
      </c>
      <c r="G830" s="3" t="str">
        <f>IF(ABS(Finance_Data!I826*Finance_Data!J826)-Finance_Data!K826&lt;1,"Valid","Invalid")</f>
        <v>Valid</v>
      </c>
      <c r="H830" s="3" t="str">
        <f>IF(Finance_Data!L826&gt;0,"Valid","Invalid")</f>
        <v>Valid</v>
      </c>
      <c r="I830" s="3" t="str">
        <f>IF(Finance_Data!L826&gt;=Finance_Data!M826,"Valid","Invalid")</f>
        <v>Valid</v>
      </c>
      <c r="J830" s="3" t="str">
        <f>IF(AND(Finance_Data!I826&gt;=0,Finance_Data!K826&gt;=0),"Valid","Invalid")</f>
        <v>Valid</v>
      </c>
      <c r="K830" s="3" t="str">
        <f>IF(Finance_Data!N826&gt;=0,"Valid","Invalid")</f>
        <v>Valid</v>
      </c>
      <c r="L830" s="3" t="str">
        <f>IF(TEXT(Finance_Data!G826,"mmmm")=Finance_Data!P826,"Valid","Invalid")</f>
        <v>Valid</v>
      </c>
      <c r="M830" s="3" t="str">
        <f>IF("Q"&amp;ROUNDUP(MONTH(Finance_Data!G826)/3,0)=Finance_Data!Q826,"Valid","Invalid")</f>
        <v>Valid</v>
      </c>
      <c r="N830" s="7" t="str">
        <f t="shared" si="12"/>
        <v>Pass</v>
      </c>
    </row>
    <row r="831" spans="1:14" x14ac:dyDescent="0.35">
      <c r="A831" s="17" t="s">
        <v>34</v>
      </c>
      <c r="B831" s="3" t="str">
        <f>IF(ISBLANK(Table3[[#This Row],[Campaign_ID]]),"Invalid","Valid")</f>
        <v>Valid</v>
      </c>
      <c r="C831" s="3" t="str">
        <f>IF(COUNTA(Finance_Data!A827:R827)=18,"Valid","Missing")</f>
        <v>Valid</v>
      </c>
      <c r="D831" s="3" t="str">
        <f>IF(COUNTIF(Finance_Data!$T$2:$T$1001,Finance_Data!T827)&gt;1,"Duplicate","Valid")</f>
        <v>Valid</v>
      </c>
      <c r="E831" s="3" t="str">
        <f>IF(Finance_Data!H827&gt;Finance_Data!G827,"Valid","Invalid")</f>
        <v>Valid</v>
      </c>
      <c r="F831" s="3" t="str" cm="1">
        <f t="array" ref="F831">_xlfn.IFS(Finance_Data!S827&lt;7,"Short",Finance_Data!S827&lt;=30,"Normal",Finance_Data!S827&lt;=60,"Long",Finance_Data!S827&gt;60,"Very Long")</f>
        <v>Normal</v>
      </c>
      <c r="G831" s="3" t="str">
        <f>IF(ABS(Finance_Data!I827*Finance_Data!J827)-Finance_Data!K827&lt;1,"Valid","Invalid")</f>
        <v>Valid</v>
      </c>
      <c r="H831" s="3" t="str">
        <f>IF(Finance_Data!L827&gt;0,"Valid","Invalid")</f>
        <v>Valid</v>
      </c>
      <c r="I831" s="3" t="str">
        <f>IF(Finance_Data!L827&gt;=Finance_Data!M827,"Valid","Invalid")</f>
        <v>Valid</v>
      </c>
      <c r="J831" s="3" t="str">
        <f>IF(AND(Finance_Data!I827&gt;=0,Finance_Data!K827&gt;=0),"Valid","Invalid")</f>
        <v>Valid</v>
      </c>
      <c r="K831" s="3" t="str">
        <f>IF(Finance_Data!N827&gt;=0,"Valid","Invalid")</f>
        <v>Valid</v>
      </c>
      <c r="L831" s="3" t="str">
        <f>IF(TEXT(Finance_Data!G827,"mmmm")=Finance_Data!P827,"Valid","Invalid")</f>
        <v>Valid</v>
      </c>
      <c r="M831" s="3" t="str">
        <f>IF("Q"&amp;ROUNDUP(MONTH(Finance_Data!G827)/3,0)=Finance_Data!Q827,"Valid","Invalid")</f>
        <v>Valid</v>
      </c>
      <c r="N831" s="7" t="str">
        <f t="shared" si="12"/>
        <v>Pass</v>
      </c>
    </row>
    <row r="832" spans="1:14" x14ac:dyDescent="0.35">
      <c r="A832" s="17" t="s">
        <v>55</v>
      </c>
      <c r="B832" s="3" t="str">
        <f>IF(ISBLANK(Table3[[#This Row],[Campaign_ID]]),"Invalid","Valid")</f>
        <v>Valid</v>
      </c>
      <c r="C832" s="3" t="str">
        <f>IF(COUNTA(Finance_Data!A828:R828)=18,"Valid","Missing")</f>
        <v>Valid</v>
      </c>
      <c r="D832" s="3" t="str">
        <f>IF(COUNTIF(Finance_Data!$T$2:$T$1001,Finance_Data!T828)&gt;1,"Duplicate","Valid")</f>
        <v>Valid</v>
      </c>
      <c r="E832" s="3" t="str">
        <f>IF(Finance_Data!H828&gt;Finance_Data!G828,"Valid","Invalid")</f>
        <v>Valid</v>
      </c>
      <c r="F832" s="3" t="str" cm="1">
        <f t="array" ref="F832">_xlfn.IFS(Finance_Data!S828&lt;7,"Short",Finance_Data!S828&lt;=30,"Normal",Finance_Data!S828&lt;=60,"Long",Finance_Data!S828&gt;60,"Very Long")</f>
        <v>Normal</v>
      </c>
      <c r="G832" s="3" t="str">
        <f>IF(ABS(Finance_Data!I828*Finance_Data!J828)-Finance_Data!K828&lt;1,"Valid","Invalid")</f>
        <v>Valid</v>
      </c>
      <c r="H832" s="3" t="str">
        <f>IF(Finance_Data!L828&gt;0,"Valid","Invalid")</f>
        <v>Valid</v>
      </c>
      <c r="I832" s="3" t="str">
        <f>IF(Finance_Data!L828&gt;=Finance_Data!M828,"Valid","Invalid")</f>
        <v>Valid</v>
      </c>
      <c r="J832" s="3" t="str">
        <f>IF(AND(Finance_Data!I828&gt;=0,Finance_Data!K828&gt;=0),"Valid","Invalid")</f>
        <v>Valid</v>
      </c>
      <c r="K832" s="3" t="str">
        <f>IF(Finance_Data!N828&gt;=0,"Valid","Invalid")</f>
        <v>Valid</v>
      </c>
      <c r="L832" s="3" t="str">
        <f>IF(TEXT(Finance_Data!G828,"mmmm")=Finance_Data!P828,"Valid","Invalid")</f>
        <v>Valid</v>
      </c>
      <c r="M832" s="3" t="str">
        <f>IF("Q"&amp;ROUNDUP(MONTH(Finance_Data!G828)/3,0)=Finance_Data!Q828,"Valid","Invalid")</f>
        <v>Valid</v>
      </c>
      <c r="N832" s="7" t="str">
        <f t="shared" si="12"/>
        <v>Pass</v>
      </c>
    </row>
    <row r="833" spans="1:14" x14ac:dyDescent="0.35">
      <c r="A833" s="17" t="s">
        <v>120</v>
      </c>
      <c r="B833" s="3" t="str">
        <f>IF(ISBLANK(Table3[[#This Row],[Campaign_ID]]),"Invalid","Valid")</f>
        <v>Valid</v>
      </c>
      <c r="C833" s="3" t="str">
        <f>IF(COUNTA(Finance_Data!A829:R829)=18,"Valid","Missing")</f>
        <v>Valid</v>
      </c>
      <c r="D833" s="3" t="str">
        <f>IF(COUNTIF(Finance_Data!$T$2:$T$1001,Finance_Data!T829)&gt;1,"Duplicate","Valid")</f>
        <v>Valid</v>
      </c>
      <c r="E833" s="3" t="str">
        <f>IF(Finance_Data!H829&gt;Finance_Data!G829,"Valid","Invalid")</f>
        <v>Valid</v>
      </c>
      <c r="F833" s="3" t="str" cm="1">
        <f t="array" ref="F833">_xlfn.IFS(Finance_Data!S829&lt;7,"Short",Finance_Data!S829&lt;=30,"Normal",Finance_Data!S829&lt;=60,"Long",Finance_Data!S829&gt;60,"Very Long")</f>
        <v>Normal</v>
      </c>
      <c r="G833" s="3" t="str">
        <f>IF(ABS(Finance_Data!I829*Finance_Data!J829)-Finance_Data!K829&lt;1,"Valid","Invalid")</f>
        <v>Valid</v>
      </c>
      <c r="H833" s="3" t="str">
        <f>IF(Finance_Data!L829&gt;0,"Valid","Invalid")</f>
        <v>Valid</v>
      </c>
      <c r="I833" s="3" t="str">
        <f>IF(Finance_Data!L829&gt;=Finance_Data!M829,"Valid","Invalid")</f>
        <v>Valid</v>
      </c>
      <c r="J833" s="3" t="str">
        <f>IF(AND(Finance_Data!I829&gt;=0,Finance_Data!K829&gt;=0),"Valid","Invalid")</f>
        <v>Valid</v>
      </c>
      <c r="K833" s="3" t="str">
        <f>IF(Finance_Data!N829&gt;=0,"Valid","Invalid")</f>
        <v>Valid</v>
      </c>
      <c r="L833" s="3" t="str">
        <f>IF(TEXT(Finance_Data!G829,"mmmm")=Finance_Data!P829,"Valid","Invalid")</f>
        <v>Valid</v>
      </c>
      <c r="M833" s="3" t="str">
        <f>IF("Q"&amp;ROUNDUP(MONTH(Finance_Data!G829)/3,0)=Finance_Data!Q829,"Valid","Invalid")</f>
        <v>Valid</v>
      </c>
      <c r="N833" s="7" t="str">
        <f t="shared" si="12"/>
        <v>Pass</v>
      </c>
    </row>
    <row r="834" spans="1:14" x14ac:dyDescent="0.35">
      <c r="A834" s="17" t="s">
        <v>120</v>
      </c>
      <c r="B834" s="3" t="str">
        <f>IF(ISBLANK(Table3[[#This Row],[Campaign_ID]]),"Invalid","Valid")</f>
        <v>Valid</v>
      </c>
      <c r="C834" s="3" t="str">
        <f>IF(COUNTA(Finance_Data!A830:R830)=18,"Valid","Missing")</f>
        <v>Valid</v>
      </c>
      <c r="D834" s="3" t="str">
        <f>IF(COUNTIF(Finance_Data!$T$2:$T$1001,Finance_Data!T830)&gt;1,"Duplicate","Valid")</f>
        <v>Valid</v>
      </c>
      <c r="E834" s="3" t="str">
        <f>IF(Finance_Data!H830&gt;Finance_Data!G830,"Valid","Invalid")</f>
        <v>Valid</v>
      </c>
      <c r="F834" s="3" t="str" cm="1">
        <f t="array" ref="F834">_xlfn.IFS(Finance_Data!S830&lt;7,"Short",Finance_Data!S830&lt;=30,"Normal",Finance_Data!S830&lt;=60,"Long",Finance_Data!S830&gt;60,"Very Long")</f>
        <v>Long</v>
      </c>
      <c r="G834" s="3" t="str">
        <f>IF(ABS(Finance_Data!I830*Finance_Data!J830)-Finance_Data!K830&lt;1,"Valid","Invalid")</f>
        <v>Valid</v>
      </c>
      <c r="H834" s="3" t="str">
        <f>IF(Finance_Data!L830&gt;0,"Valid","Invalid")</f>
        <v>Valid</v>
      </c>
      <c r="I834" s="3" t="str">
        <f>IF(Finance_Data!L830&gt;=Finance_Data!M830,"Valid","Invalid")</f>
        <v>Valid</v>
      </c>
      <c r="J834" s="3" t="str">
        <f>IF(AND(Finance_Data!I830&gt;=0,Finance_Data!K830&gt;=0),"Valid","Invalid")</f>
        <v>Valid</v>
      </c>
      <c r="K834" s="3" t="str">
        <f>IF(Finance_Data!N830&gt;=0,"Valid","Invalid")</f>
        <v>Valid</v>
      </c>
      <c r="L834" s="3" t="str">
        <f>IF(TEXT(Finance_Data!G830,"mmmm")=Finance_Data!P830,"Valid","Invalid")</f>
        <v>Valid</v>
      </c>
      <c r="M834" s="3" t="str">
        <f>IF("Q"&amp;ROUNDUP(MONTH(Finance_Data!G830)/3,0)=Finance_Data!Q830,"Valid","Invalid")</f>
        <v>Valid</v>
      </c>
      <c r="N834" s="7" t="str">
        <f t="shared" si="12"/>
        <v>Pass</v>
      </c>
    </row>
    <row r="835" spans="1:14" x14ac:dyDescent="0.35">
      <c r="A835" s="17" t="s">
        <v>105</v>
      </c>
      <c r="B835" s="3" t="str">
        <f>IF(ISBLANK(Table3[[#This Row],[Campaign_ID]]),"Invalid","Valid")</f>
        <v>Valid</v>
      </c>
      <c r="C835" s="3" t="str">
        <f>IF(COUNTA(Finance_Data!A831:R831)=18,"Valid","Missing")</f>
        <v>Valid</v>
      </c>
      <c r="D835" s="3" t="str">
        <f>IF(COUNTIF(Finance_Data!$T$2:$T$1001,Finance_Data!T831)&gt;1,"Duplicate","Valid")</f>
        <v>Valid</v>
      </c>
      <c r="E835" s="3" t="str">
        <f>IF(Finance_Data!H831&gt;Finance_Data!G831,"Valid","Invalid")</f>
        <v>Valid</v>
      </c>
      <c r="F835" s="3" t="str" cm="1">
        <f t="array" ref="F835">_xlfn.IFS(Finance_Data!S831&lt;7,"Short",Finance_Data!S831&lt;=30,"Normal",Finance_Data!S831&lt;=60,"Long",Finance_Data!S831&gt;60,"Very Long")</f>
        <v>Long</v>
      </c>
      <c r="G835" s="3" t="str">
        <f>IF(ABS(Finance_Data!I831*Finance_Data!J831)-Finance_Data!K831&lt;1,"Valid","Invalid")</f>
        <v>Valid</v>
      </c>
      <c r="H835" s="3" t="str">
        <f>IF(Finance_Data!L831&gt;0,"Valid","Invalid")</f>
        <v>Valid</v>
      </c>
      <c r="I835" s="3" t="str">
        <f>IF(Finance_Data!L831&gt;=Finance_Data!M831,"Valid","Invalid")</f>
        <v>Valid</v>
      </c>
      <c r="J835" s="3" t="str">
        <f>IF(AND(Finance_Data!I831&gt;=0,Finance_Data!K831&gt;=0),"Valid","Invalid")</f>
        <v>Valid</v>
      </c>
      <c r="K835" s="3" t="str">
        <f>IF(Finance_Data!N831&gt;=0,"Valid","Invalid")</f>
        <v>Valid</v>
      </c>
      <c r="L835" s="3" t="str">
        <f>IF(TEXT(Finance_Data!G831,"mmmm")=Finance_Data!P831,"Valid","Invalid")</f>
        <v>Valid</v>
      </c>
      <c r="M835" s="3" t="str">
        <f>IF("Q"&amp;ROUNDUP(MONTH(Finance_Data!G831)/3,0)=Finance_Data!Q831,"Valid","Invalid")</f>
        <v>Valid</v>
      </c>
      <c r="N835" s="7" t="str">
        <f t="shared" si="12"/>
        <v>Pass</v>
      </c>
    </row>
    <row r="836" spans="1:14" x14ac:dyDescent="0.35">
      <c r="A836" s="17" t="s">
        <v>97</v>
      </c>
      <c r="B836" s="3" t="str">
        <f>IF(ISBLANK(Table3[[#This Row],[Campaign_ID]]),"Invalid","Valid")</f>
        <v>Valid</v>
      </c>
      <c r="C836" s="3" t="str">
        <f>IF(COUNTA(Finance_Data!A832:R832)=18,"Valid","Missing")</f>
        <v>Valid</v>
      </c>
      <c r="D836" s="3" t="str">
        <f>IF(COUNTIF(Finance_Data!$T$2:$T$1001,Finance_Data!T832)&gt;1,"Duplicate","Valid")</f>
        <v>Valid</v>
      </c>
      <c r="E836" s="3" t="str">
        <f>IF(Finance_Data!H832&gt;Finance_Data!G832,"Valid","Invalid")</f>
        <v>Valid</v>
      </c>
      <c r="F836" s="3" t="str" cm="1">
        <f t="array" ref="F836">_xlfn.IFS(Finance_Data!S832&lt;7,"Short",Finance_Data!S832&lt;=30,"Normal",Finance_Data!S832&lt;=60,"Long",Finance_Data!S832&gt;60,"Very Long")</f>
        <v>Long</v>
      </c>
      <c r="G836" s="3" t="str">
        <f>IF(ABS(Finance_Data!I832*Finance_Data!J832)-Finance_Data!K832&lt;1,"Valid","Invalid")</f>
        <v>Valid</v>
      </c>
      <c r="H836" s="3" t="str">
        <f>IF(Finance_Data!L832&gt;0,"Valid","Invalid")</f>
        <v>Valid</v>
      </c>
      <c r="I836" s="3" t="str">
        <f>IF(Finance_Data!L832&gt;=Finance_Data!M832,"Valid","Invalid")</f>
        <v>Valid</v>
      </c>
      <c r="J836" s="3" t="str">
        <f>IF(AND(Finance_Data!I832&gt;=0,Finance_Data!K832&gt;=0),"Valid","Invalid")</f>
        <v>Valid</v>
      </c>
      <c r="K836" s="3" t="str">
        <f>IF(Finance_Data!N832&gt;=0,"Valid","Invalid")</f>
        <v>Valid</v>
      </c>
      <c r="L836" s="3" t="str">
        <f>IF(TEXT(Finance_Data!G832,"mmmm")=Finance_Data!P832,"Valid","Invalid")</f>
        <v>Valid</v>
      </c>
      <c r="M836" s="3" t="str">
        <f>IF("Q"&amp;ROUNDUP(MONTH(Finance_Data!G832)/3,0)=Finance_Data!Q832,"Valid","Invalid")</f>
        <v>Valid</v>
      </c>
      <c r="N836" s="7" t="str">
        <f t="shared" si="12"/>
        <v>Pass</v>
      </c>
    </row>
    <row r="837" spans="1:14" x14ac:dyDescent="0.35">
      <c r="A837" s="17" t="s">
        <v>118</v>
      </c>
      <c r="B837" s="3" t="str">
        <f>IF(ISBLANK(Table3[[#This Row],[Campaign_ID]]),"Invalid","Valid")</f>
        <v>Valid</v>
      </c>
      <c r="C837" s="3" t="str">
        <f>IF(COUNTA(Finance_Data!A833:R833)=18,"Valid","Missing")</f>
        <v>Valid</v>
      </c>
      <c r="D837" s="3" t="str">
        <f>IF(COUNTIF(Finance_Data!$T$2:$T$1001,Finance_Data!T833)&gt;1,"Duplicate","Valid")</f>
        <v>Valid</v>
      </c>
      <c r="E837" s="3" t="str">
        <f>IF(Finance_Data!H833&gt;Finance_Data!G833,"Valid","Invalid")</f>
        <v>Valid</v>
      </c>
      <c r="F837" s="3" t="str" cm="1">
        <f t="array" ref="F837">_xlfn.IFS(Finance_Data!S833&lt;7,"Short",Finance_Data!S833&lt;=30,"Normal",Finance_Data!S833&lt;=60,"Long",Finance_Data!S833&gt;60,"Very Long")</f>
        <v>Long</v>
      </c>
      <c r="G837" s="3" t="str">
        <f>IF(ABS(Finance_Data!I833*Finance_Data!J833)-Finance_Data!K833&lt;1,"Valid","Invalid")</f>
        <v>Valid</v>
      </c>
      <c r="H837" s="3" t="str">
        <f>IF(Finance_Data!L833&gt;0,"Valid","Invalid")</f>
        <v>Valid</v>
      </c>
      <c r="I837" s="3" t="str">
        <f>IF(Finance_Data!L833&gt;=Finance_Data!M833,"Valid","Invalid")</f>
        <v>Valid</v>
      </c>
      <c r="J837" s="3" t="str">
        <f>IF(AND(Finance_Data!I833&gt;=0,Finance_Data!K833&gt;=0),"Valid","Invalid")</f>
        <v>Valid</v>
      </c>
      <c r="K837" s="3" t="str">
        <f>IF(Finance_Data!N833&gt;=0,"Valid","Invalid")</f>
        <v>Valid</v>
      </c>
      <c r="L837" s="3" t="str">
        <f>IF(TEXT(Finance_Data!G833,"mmmm")=Finance_Data!P833,"Valid","Invalid")</f>
        <v>Valid</v>
      </c>
      <c r="M837" s="3" t="str">
        <f>IF("Q"&amp;ROUNDUP(MONTH(Finance_Data!G833)/3,0)=Finance_Data!Q833,"Valid","Invalid")</f>
        <v>Valid</v>
      </c>
      <c r="N837" s="7" t="str">
        <f t="shared" si="12"/>
        <v>Pass</v>
      </c>
    </row>
    <row r="838" spans="1:14" x14ac:dyDescent="0.35">
      <c r="A838" s="17" t="s">
        <v>114</v>
      </c>
      <c r="B838" s="3" t="str">
        <f>IF(ISBLANK(Table3[[#This Row],[Campaign_ID]]),"Invalid","Valid")</f>
        <v>Valid</v>
      </c>
      <c r="C838" s="3" t="str">
        <f>IF(COUNTA(Finance_Data!A834:R834)=18,"Valid","Missing")</f>
        <v>Valid</v>
      </c>
      <c r="D838" s="3" t="str">
        <f>IF(COUNTIF(Finance_Data!$T$2:$T$1001,Finance_Data!T834)&gt;1,"Duplicate","Valid")</f>
        <v>Valid</v>
      </c>
      <c r="E838" s="3" t="str">
        <f>IF(Finance_Data!H834&gt;Finance_Data!G834,"Valid","Invalid")</f>
        <v>Valid</v>
      </c>
      <c r="F838" s="3" t="str" cm="1">
        <f t="array" ref="F838">_xlfn.IFS(Finance_Data!S834&lt;7,"Short",Finance_Data!S834&lt;=30,"Normal",Finance_Data!S834&lt;=60,"Long",Finance_Data!S834&gt;60,"Very Long")</f>
        <v>Long</v>
      </c>
      <c r="G838" s="3" t="str">
        <f>IF(ABS(Finance_Data!I834*Finance_Data!J834)-Finance_Data!K834&lt;1,"Valid","Invalid")</f>
        <v>Valid</v>
      </c>
      <c r="H838" s="3" t="str">
        <f>IF(Finance_Data!L834&gt;0,"Valid","Invalid")</f>
        <v>Valid</v>
      </c>
      <c r="I838" s="3" t="str">
        <f>IF(Finance_Data!L834&gt;=Finance_Data!M834,"Valid","Invalid")</f>
        <v>Valid</v>
      </c>
      <c r="J838" s="3" t="str">
        <f>IF(AND(Finance_Data!I834&gt;=0,Finance_Data!K834&gt;=0),"Valid","Invalid")</f>
        <v>Valid</v>
      </c>
      <c r="K838" s="3" t="str">
        <f>IF(Finance_Data!N834&gt;=0,"Valid","Invalid")</f>
        <v>Valid</v>
      </c>
      <c r="L838" s="3" t="str">
        <f>IF(TEXT(Finance_Data!G834,"mmmm")=Finance_Data!P834,"Valid","Invalid")</f>
        <v>Valid</v>
      </c>
      <c r="M838" s="3" t="str">
        <f>IF("Q"&amp;ROUNDUP(MONTH(Finance_Data!G834)/3,0)=Finance_Data!Q834,"Valid","Invalid")</f>
        <v>Valid</v>
      </c>
      <c r="N838" s="7" t="str">
        <f t="shared" ref="N838:N901" si="13">IF(AND(B838="Valid",E838="Valid",G838="Valid",H838="Valid",I838="Valid",J838="Valid",K838="Valid",L838="Valid",M838="Valid"),"Pass","Fail")</f>
        <v>Pass</v>
      </c>
    </row>
    <row r="839" spans="1:14" x14ac:dyDescent="0.35">
      <c r="A839" s="17" t="s">
        <v>99</v>
      </c>
      <c r="B839" s="3" t="str">
        <f>IF(ISBLANK(Table3[[#This Row],[Campaign_ID]]),"Invalid","Valid")</f>
        <v>Valid</v>
      </c>
      <c r="C839" s="3" t="str">
        <f>IF(COUNTA(Finance_Data!A835:R835)=18,"Valid","Missing")</f>
        <v>Valid</v>
      </c>
      <c r="D839" s="3" t="str">
        <f>IF(COUNTIF(Finance_Data!$T$2:$T$1001,Finance_Data!T835)&gt;1,"Duplicate","Valid")</f>
        <v>Valid</v>
      </c>
      <c r="E839" s="3" t="str">
        <f>IF(Finance_Data!H835&gt;Finance_Data!G835,"Valid","Invalid")</f>
        <v>Valid</v>
      </c>
      <c r="F839" s="3" t="str" cm="1">
        <f t="array" ref="F839">_xlfn.IFS(Finance_Data!S835&lt;7,"Short",Finance_Data!S835&lt;=30,"Normal",Finance_Data!S835&lt;=60,"Long",Finance_Data!S835&gt;60,"Very Long")</f>
        <v>Normal</v>
      </c>
      <c r="G839" s="3" t="str">
        <f>IF(ABS(Finance_Data!I835*Finance_Data!J835)-Finance_Data!K835&lt;1,"Valid","Invalid")</f>
        <v>Valid</v>
      </c>
      <c r="H839" s="3" t="str">
        <f>IF(Finance_Data!L835&gt;0,"Valid","Invalid")</f>
        <v>Valid</v>
      </c>
      <c r="I839" s="3" t="str">
        <f>IF(Finance_Data!L835&gt;=Finance_Data!M835,"Valid","Invalid")</f>
        <v>Valid</v>
      </c>
      <c r="J839" s="3" t="str">
        <f>IF(AND(Finance_Data!I835&gt;=0,Finance_Data!K835&gt;=0),"Valid","Invalid")</f>
        <v>Valid</v>
      </c>
      <c r="K839" s="3" t="str">
        <f>IF(Finance_Data!N835&gt;=0,"Valid","Invalid")</f>
        <v>Valid</v>
      </c>
      <c r="L839" s="3" t="str">
        <f>IF(TEXT(Finance_Data!G835,"mmmm")=Finance_Data!P835,"Valid","Invalid")</f>
        <v>Valid</v>
      </c>
      <c r="M839" s="3" t="str">
        <f>IF("Q"&amp;ROUNDUP(MONTH(Finance_Data!G835)/3,0)=Finance_Data!Q835,"Valid","Invalid")</f>
        <v>Valid</v>
      </c>
      <c r="N839" s="7" t="str">
        <f t="shared" si="13"/>
        <v>Pass</v>
      </c>
    </row>
    <row r="840" spans="1:14" x14ac:dyDescent="0.35">
      <c r="A840" s="17" t="s">
        <v>34</v>
      </c>
      <c r="B840" s="3" t="str">
        <f>IF(ISBLANK(Table3[[#This Row],[Campaign_ID]]),"Invalid","Valid")</f>
        <v>Valid</v>
      </c>
      <c r="C840" s="3" t="str">
        <f>IF(COUNTA(Finance_Data!A836:R836)=18,"Valid","Missing")</f>
        <v>Valid</v>
      </c>
      <c r="D840" s="3" t="str">
        <f>IF(COUNTIF(Finance_Data!$T$2:$T$1001,Finance_Data!T836)&gt;1,"Duplicate","Valid")</f>
        <v>Valid</v>
      </c>
      <c r="E840" s="3" t="str">
        <f>IF(Finance_Data!H836&gt;Finance_Data!G836,"Valid","Invalid")</f>
        <v>Valid</v>
      </c>
      <c r="F840" s="3" t="str" cm="1">
        <f t="array" ref="F840">_xlfn.IFS(Finance_Data!S836&lt;7,"Short",Finance_Data!S836&lt;=30,"Normal",Finance_Data!S836&lt;=60,"Long",Finance_Data!S836&gt;60,"Very Long")</f>
        <v>Long</v>
      </c>
      <c r="G840" s="3" t="str">
        <f>IF(ABS(Finance_Data!I836*Finance_Data!J836)-Finance_Data!K836&lt;1,"Valid","Invalid")</f>
        <v>Valid</v>
      </c>
      <c r="H840" s="3" t="str">
        <f>IF(Finance_Data!L836&gt;0,"Valid","Invalid")</f>
        <v>Valid</v>
      </c>
      <c r="I840" s="3" t="str">
        <f>IF(Finance_Data!L836&gt;=Finance_Data!M836,"Valid","Invalid")</f>
        <v>Valid</v>
      </c>
      <c r="J840" s="3" t="str">
        <f>IF(AND(Finance_Data!I836&gt;=0,Finance_Data!K836&gt;=0),"Valid","Invalid")</f>
        <v>Valid</v>
      </c>
      <c r="K840" s="3" t="str">
        <f>IF(Finance_Data!N836&gt;=0,"Valid","Invalid")</f>
        <v>Valid</v>
      </c>
      <c r="L840" s="3" t="str">
        <f>IF(TEXT(Finance_Data!G836,"mmmm")=Finance_Data!P836,"Valid","Invalid")</f>
        <v>Valid</v>
      </c>
      <c r="M840" s="3" t="str">
        <f>IF("Q"&amp;ROUNDUP(MONTH(Finance_Data!G836)/3,0)=Finance_Data!Q836,"Valid","Invalid")</f>
        <v>Valid</v>
      </c>
      <c r="N840" s="7" t="str">
        <f t="shared" si="13"/>
        <v>Pass</v>
      </c>
    </row>
    <row r="841" spans="1:14" x14ac:dyDescent="0.35">
      <c r="A841" s="17" t="s">
        <v>83</v>
      </c>
      <c r="B841" s="3" t="str">
        <f>IF(ISBLANK(Table3[[#This Row],[Campaign_ID]]),"Invalid","Valid")</f>
        <v>Valid</v>
      </c>
      <c r="C841" s="3" t="str">
        <f>IF(COUNTA(Finance_Data!A837:R837)=18,"Valid","Missing")</f>
        <v>Valid</v>
      </c>
      <c r="D841" s="3" t="str">
        <f>IF(COUNTIF(Finance_Data!$T$2:$T$1001,Finance_Data!T837)&gt;1,"Duplicate","Valid")</f>
        <v>Valid</v>
      </c>
      <c r="E841" s="3" t="str">
        <f>IF(Finance_Data!H837&gt;Finance_Data!G837,"Valid","Invalid")</f>
        <v>Valid</v>
      </c>
      <c r="F841" s="3" t="str" cm="1">
        <f t="array" ref="F841">_xlfn.IFS(Finance_Data!S837&lt;7,"Short",Finance_Data!S837&lt;=30,"Normal",Finance_Data!S837&lt;=60,"Long",Finance_Data!S837&gt;60,"Very Long")</f>
        <v>Long</v>
      </c>
      <c r="G841" s="3" t="str">
        <f>IF(ABS(Finance_Data!I837*Finance_Data!J837)-Finance_Data!K837&lt;1,"Valid","Invalid")</f>
        <v>Valid</v>
      </c>
      <c r="H841" s="3" t="str">
        <f>IF(Finance_Data!L837&gt;0,"Valid","Invalid")</f>
        <v>Valid</v>
      </c>
      <c r="I841" s="3" t="str">
        <f>IF(Finance_Data!L837&gt;=Finance_Data!M837,"Valid","Invalid")</f>
        <v>Valid</v>
      </c>
      <c r="J841" s="3" t="str">
        <f>IF(AND(Finance_Data!I837&gt;=0,Finance_Data!K837&gt;=0),"Valid","Invalid")</f>
        <v>Valid</v>
      </c>
      <c r="K841" s="3" t="str">
        <f>IF(Finance_Data!N837&gt;=0,"Valid","Invalid")</f>
        <v>Valid</v>
      </c>
      <c r="L841" s="3" t="str">
        <f>IF(TEXT(Finance_Data!G837,"mmmm")=Finance_Data!P837,"Valid","Invalid")</f>
        <v>Valid</v>
      </c>
      <c r="M841" s="3" t="str">
        <f>IF("Q"&amp;ROUNDUP(MONTH(Finance_Data!G837)/3,0)=Finance_Data!Q837,"Valid","Invalid")</f>
        <v>Valid</v>
      </c>
      <c r="N841" s="7" t="str">
        <f t="shared" si="13"/>
        <v>Pass</v>
      </c>
    </row>
    <row r="842" spans="1:14" x14ac:dyDescent="0.35">
      <c r="A842" s="17" t="s">
        <v>87</v>
      </c>
      <c r="B842" s="3" t="str">
        <f>IF(ISBLANK(Table3[[#This Row],[Campaign_ID]]),"Invalid","Valid")</f>
        <v>Valid</v>
      </c>
      <c r="C842" s="3" t="str">
        <f>IF(COUNTA(Finance_Data!A838:R838)=18,"Valid","Missing")</f>
        <v>Valid</v>
      </c>
      <c r="D842" s="3" t="str">
        <f>IF(COUNTIF(Finance_Data!$T$2:$T$1001,Finance_Data!T838)&gt;1,"Duplicate","Valid")</f>
        <v>Valid</v>
      </c>
      <c r="E842" s="3" t="str">
        <f>IF(Finance_Data!H838&gt;Finance_Data!G838,"Valid","Invalid")</f>
        <v>Valid</v>
      </c>
      <c r="F842" s="3" t="str" cm="1">
        <f t="array" ref="F842">_xlfn.IFS(Finance_Data!S838&lt;7,"Short",Finance_Data!S838&lt;=30,"Normal",Finance_Data!S838&lt;=60,"Long",Finance_Data!S838&gt;60,"Very Long")</f>
        <v>Normal</v>
      </c>
      <c r="G842" s="3" t="str">
        <f>IF(ABS(Finance_Data!I838*Finance_Data!J838)-Finance_Data!K838&lt;1,"Valid","Invalid")</f>
        <v>Valid</v>
      </c>
      <c r="H842" s="3" t="str">
        <f>IF(Finance_Data!L838&gt;0,"Valid","Invalid")</f>
        <v>Valid</v>
      </c>
      <c r="I842" s="3" t="str">
        <f>IF(Finance_Data!L838&gt;=Finance_Data!M838,"Valid","Invalid")</f>
        <v>Valid</v>
      </c>
      <c r="J842" s="3" t="str">
        <f>IF(AND(Finance_Data!I838&gt;=0,Finance_Data!K838&gt;=0),"Valid","Invalid")</f>
        <v>Valid</v>
      </c>
      <c r="K842" s="3" t="str">
        <f>IF(Finance_Data!N838&gt;=0,"Valid","Invalid")</f>
        <v>Valid</v>
      </c>
      <c r="L842" s="3" t="str">
        <f>IF(TEXT(Finance_Data!G838,"mmmm")=Finance_Data!P838,"Valid","Invalid")</f>
        <v>Valid</v>
      </c>
      <c r="M842" s="3" t="str">
        <f>IF("Q"&amp;ROUNDUP(MONTH(Finance_Data!G838)/3,0)=Finance_Data!Q838,"Valid","Invalid")</f>
        <v>Valid</v>
      </c>
      <c r="N842" s="7" t="str">
        <f t="shared" si="13"/>
        <v>Pass</v>
      </c>
    </row>
    <row r="843" spans="1:14" x14ac:dyDescent="0.35">
      <c r="A843" s="17" t="s">
        <v>110</v>
      </c>
      <c r="B843" s="3" t="str">
        <f>IF(ISBLANK(Table3[[#This Row],[Campaign_ID]]),"Invalid","Valid")</f>
        <v>Valid</v>
      </c>
      <c r="C843" s="3" t="str">
        <f>IF(COUNTA(Finance_Data!A839:R839)=18,"Valid","Missing")</f>
        <v>Valid</v>
      </c>
      <c r="D843" s="3" t="str">
        <f>IF(COUNTIF(Finance_Data!$T$2:$T$1001,Finance_Data!T839)&gt;1,"Duplicate","Valid")</f>
        <v>Valid</v>
      </c>
      <c r="E843" s="3" t="str">
        <f>IF(Finance_Data!H839&gt;Finance_Data!G839,"Valid","Invalid")</f>
        <v>Valid</v>
      </c>
      <c r="F843" s="3" t="str" cm="1">
        <f t="array" ref="F843">_xlfn.IFS(Finance_Data!S839&lt;7,"Short",Finance_Data!S839&lt;=30,"Normal",Finance_Data!S839&lt;=60,"Long",Finance_Data!S839&gt;60,"Very Long")</f>
        <v>Long</v>
      </c>
      <c r="G843" s="3" t="str">
        <f>IF(ABS(Finance_Data!I839*Finance_Data!J839)-Finance_Data!K839&lt;1,"Valid","Invalid")</f>
        <v>Valid</v>
      </c>
      <c r="H843" s="3" t="str">
        <f>IF(Finance_Data!L839&gt;0,"Valid","Invalid")</f>
        <v>Valid</v>
      </c>
      <c r="I843" s="3" t="str">
        <f>IF(Finance_Data!L839&gt;=Finance_Data!M839,"Valid","Invalid")</f>
        <v>Valid</v>
      </c>
      <c r="J843" s="3" t="str">
        <f>IF(AND(Finance_Data!I839&gt;=0,Finance_Data!K839&gt;=0),"Valid","Invalid")</f>
        <v>Valid</v>
      </c>
      <c r="K843" s="3" t="str">
        <f>IF(Finance_Data!N839&gt;=0,"Valid","Invalid")</f>
        <v>Valid</v>
      </c>
      <c r="L843" s="3" t="str">
        <f>IF(TEXT(Finance_Data!G839,"mmmm")=Finance_Data!P839,"Valid","Invalid")</f>
        <v>Valid</v>
      </c>
      <c r="M843" s="3" t="str">
        <f>IF("Q"&amp;ROUNDUP(MONTH(Finance_Data!G839)/3,0)=Finance_Data!Q839,"Valid","Invalid")</f>
        <v>Valid</v>
      </c>
      <c r="N843" s="7" t="str">
        <f t="shared" si="13"/>
        <v>Pass</v>
      </c>
    </row>
    <row r="844" spans="1:14" x14ac:dyDescent="0.35">
      <c r="A844" s="17" t="s">
        <v>117</v>
      </c>
      <c r="B844" s="3" t="str">
        <f>IF(ISBLANK(Table3[[#This Row],[Campaign_ID]]),"Invalid","Valid")</f>
        <v>Valid</v>
      </c>
      <c r="C844" s="3" t="str">
        <f>IF(COUNTA(Finance_Data!A840:R840)=18,"Valid","Missing")</f>
        <v>Valid</v>
      </c>
      <c r="D844" s="3" t="str">
        <f>IF(COUNTIF(Finance_Data!$T$2:$T$1001,Finance_Data!T840)&gt;1,"Duplicate","Valid")</f>
        <v>Valid</v>
      </c>
      <c r="E844" s="3" t="str">
        <f>IF(Finance_Data!H840&gt;Finance_Data!G840,"Valid","Invalid")</f>
        <v>Valid</v>
      </c>
      <c r="F844" s="3" t="str" cm="1">
        <f t="array" ref="F844">_xlfn.IFS(Finance_Data!S840&lt;7,"Short",Finance_Data!S840&lt;=30,"Normal",Finance_Data!S840&lt;=60,"Long",Finance_Data!S840&gt;60,"Very Long")</f>
        <v>Long</v>
      </c>
      <c r="G844" s="3" t="str">
        <f>IF(ABS(Finance_Data!I840*Finance_Data!J840)-Finance_Data!K840&lt;1,"Valid","Invalid")</f>
        <v>Valid</v>
      </c>
      <c r="H844" s="3" t="str">
        <f>IF(Finance_Data!L840&gt;0,"Valid","Invalid")</f>
        <v>Valid</v>
      </c>
      <c r="I844" s="3" t="str">
        <f>IF(Finance_Data!L840&gt;=Finance_Data!M840,"Valid","Invalid")</f>
        <v>Valid</v>
      </c>
      <c r="J844" s="3" t="str">
        <f>IF(AND(Finance_Data!I840&gt;=0,Finance_Data!K840&gt;=0),"Valid","Invalid")</f>
        <v>Valid</v>
      </c>
      <c r="K844" s="3" t="str">
        <f>IF(Finance_Data!N840&gt;=0,"Valid","Invalid")</f>
        <v>Valid</v>
      </c>
      <c r="L844" s="3" t="str">
        <f>IF(TEXT(Finance_Data!G840,"mmmm")=Finance_Data!P840,"Valid","Invalid")</f>
        <v>Valid</v>
      </c>
      <c r="M844" s="3" t="str">
        <f>IF("Q"&amp;ROUNDUP(MONTH(Finance_Data!G840)/3,0)=Finance_Data!Q840,"Valid","Invalid")</f>
        <v>Valid</v>
      </c>
      <c r="N844" s="7" t="str">
        <f t="shared" si="13"/>
        <v>Pass</v>
      </c>
    </row>
    <row r="845" spans="1:14" x14ac:dyDescent="0.35">
      <c r="A845" s="17" t="s">
        <v>78</v>
      </c>
      <c r="B845" s="3" t="str">
        <f>IF(ISBLANK(Table3[[#This Row],[Campaign_ID]]),"Invalid","Valid")</f>
        <v>Valid</v>
      </c>
      <c r="C845" s="3" t="str">
        <f>IF(COUNTA(Finance_Data!A841:R841)=18,"Valid","Missing")</f>
        <v>Valid</v>
      </c>
      <c r="D845" s="3" t="str">
        <f>IF(COUNTIF(Finance_Data!$T$2:$T$1001,Finance_Data!T841)&gt;1,"Duplicate","Valid")</f>
        <v>Valid</v>
      </c>
      <c r="E845" s="3" t="str">
        <f>IF(Finance_Data!H841&gt;Finance_Data!G841,"Valid","Invalid")</f>
        <v>Valid</v>
      </c>
      <c r="F845" s="3" t="str" cm="1">
        <f t="array" ref="F845">_xlfn.IFS(Finance_Data!S841&lt;7,"Short",Finance_Data!S841&lt;=30,"Normal",Finance_Data!S841&lt;=60,"Long",Finance_Data!S841&gt;60,"Very Long")</f>
        <v>Long</v>
      </c>
      <c r="G845" s="3" t="str">
        <f>IF(ABS(Finance_Data!I841*Finance_Data!J841)-Finance_Data!K841&lt;1,"Valid","Invalid")</f>
        <v>Valid</v>
      </c>
      <c r="H845" s="3" t="str">
        <f>IF(Finance_Data!L841&gt;0,"Valid","Invalid")</f>
        <v>Valid</v>
      </c>
      <c r="I845" s="3" t="str">
        <f>IF(Finance_Data!L841&gt;=Finance_Data!M841,"Valid","Invalid")</f>
        <v>Valid</v>
      </c>
      <c r="J845" s="3" t="str">
        <f>IF(AND(Finance_Data!I841&gt;=0,Finance_Data!K841&gt;=0),"Valid","Invalid")</f>
        <v>Valid</v>
      </c>
      <c r="K845" s="3" t="str">
        <f>IF(Finance_Data!N841&gt;=0,"Valid","Invalid")</f>
        <v>Valid</v>
      </c>
      <c r="L845" s="3" t="str">
        <f>IF(TEXT(Finance_Data!G841,"mmmm")=Finance_Data!P841,"Valid","Invalid")</f>
        <v>Valid</v>
      </c>
      <c r="M845" s="3" t="str">
        <f>IF("Q"&amp;ROUNDUP(MONTH(Finance_Data!G841)/3,0)=Finance_Data!Q841,"Valid","Invalid")</f>
        <v>Valid</v>
      </c>
      <c r="N845" s="7" t="str">
        <f t="shared" si="13"/>
        <v>Pass</v>
      </c>
    </row>
    <row r="846" spans="1:14" x14ac:dyDescent="0.35">
      <c r="A846" s="17" t="s">
        <v>106</v>
      </c>
      <c r="B846" s="3" t="str">
        <f>IF(ISBLANK(Table3[[#This Row],[Campaign_ID]]),"Invalid","Valid")</f>
        <v>Valid</v>
      </c>
      <c r="C846" s="3" t="str">
        <f>IF(COUNTA(Finance_Data!A842:R842)=18,"Valid","Missing")</f>
        <v>Valid</v>
      </c>
      <c r="D846" s="3" t="str">
        <f>IF(COUNTIF(Finance_Data!$T$2:$T$1001,Finance_Data!T842)&gt;1,"Duplicate","Valid")</f>
        <v>Valid</v>
      </c>
      <c r="E846" s="3" t="str">
        <f>IF(Finance_Data!H842&gt;Finance_Data!G842,"Valid","Invalid")</f>
        <v>Valid</v>
      </c>
      <c r="F846" s="3" t="str" cm="1">
        <f t="array" ref="F846">_xlfn.IFS(Finance_Data!S842&lt;7,"Short",Finance_Data!S842&lt;=30,"Normal",Finance_Data!S842&lt;=60,"Long",Finance_Data!S842&gt;60,"Very Long")</f>
        <v>Normal</v>
      </c>
      <c r="G846" s="3" t="str">
        <f>IF(ABS(Finance_Data!I842*Finance_Data!J842)-Finance_Data!K842&lt;1,"Valid","Invalid")</f>
        <v>Valid</v>
      </c>
      <c r="H846" s="3" t="str">
        <f>IF(Finance_Data!L842&gt;0,"Valid","Invalid")</f>
        <v>Valid</v>
      </c>
      <c r="I846" s="3" t="str">
        <f>IF(Finance_Data!L842&gt;=Finance_Data!M842,"Valid","Invalid")</f>
        <v>Valid</v>
      </c>
      <c r="J846" s="3" t="str">
        <f>IF(AND(Finance_Data!I842&gt;=0,Finance_Data!K842&gt;=0),"Valid","Invalid")</f>
        <v>Valid</v>
      </c>
      <c r="K846" s="3" t="str">
        <f>IF(Finance_Data!N842&gt;=0,"Valid","Invalid")</f>
        <v>Valid</v>
      </c>
      <c r="L846" s="3" t="str">
        <f>IF(TEXT(Finance_Data!G842,"mmmm")=Finance_Data!P842,"Valid","Invalid")</f>
        <v>Valid</v>
      </c>
      <c r="M846" s="3" t="str">
        <f>IF("Q"&amp;ROUNDUP(MONTH(Finance_Data!G842)/3,0)=Finance_Data!Q842,"Valid","Invalid")</f>
        <v>Valid</v>
      </c>
      <c r="N846" s="7" t="str">
        <f t="shared" si="13"/>
        <v>Pass</v>
      </c>
    </row>
    <row r="847" spans="1:14" x14ac:dyDescent="0.35">
      <c r="A847" s="17" t="s">
        <v>100</v>
      </c>
      <c r="B847" s="3" t="str">
        <f>IF(ISBLANK(Table3[[#This Row],[Campaign_ID]]),"Invalid","Valid")</f>
        <v>Valid</v>
      </c>
      <c r="C847" s="3" t="str">
        <f>IF(COUNTA(Finance_Data!A843:R843)=18,"Valid","Missing")</f>
        <v>Valid</v>
      </c>
      <c r="D847" s="3" t="str">
        <f>IF(COUNTIF(Finance_Data!$T$2:$T$1001,Finance_Data!T843)&gt;1,"Duplicate","Valid")</f>
        <v>Valid</v>
      </c>
      <c r="E847" s="3" t="str">
        <f>IF(Finance_Data!H843&gt;Finance_Data!G843,"Valid","Invalid")</f>
        <v>Valid</v>
      </c>
      <c r="F847" s="3" t="str" cm="1">
        <f t="array" ref="F847">_xlfn.IFS(Finance_Data!S843&lt;7,"Short",Finance_Data!S843&lt;=30,"Normal",Finance_Data!S843&lt;=60,"Long",Finance_Data!S843&gt;60,"Very Long")</f>
        <v>Long</v>
      </c>
      <c r="G847" s="3" t="str">
        <f>IF(ABS(Finance_Data!I843*Finance_Data!J843)-Finance_Data!K843&lt;1,"Valid","Invalid")</f>
        <v>Valid</v>
      </c>
      <c r="H847" s="3" t="str">
        <f>IF(Finance_Data!L843&gt;0,"Valid","Invalid")</f>
        <v>Valid</v>
      </c>
      <c r="I847" s="3" t="str">
        <f>IF(Finance_Data!L843&gt;=Finance_Data!M843,"Valid","Invalid")</f>
        <v>Invalid</v>
      </c>
      <c r="J847" s="3" t="str">
        <f>IF(AND(Finance_Data!I843&gt;=0,Finance_Data!K843&gt;=0),"Valid","Invalid")</f>
        <v>Valid</v>
      </c>
      <c r="K847" s="3" t="str">
        <f>IF(Finance_Data!N843&gt;=0,"Valid","Invalid")</f>
        <v>Valid</v>
      </c>
      <c r="L847" s="3" t="str">
        <f>IF(TEXT(Finance_Data!G843,"mmmm")=Finance_Data!P843,"Valid","Invalid")</f>
        <v>Valid</v>
      </c>
      <c r="M847" s="3" t="str">
        <f>IF("Q"&amp;ROUNDUP(MONTH(Finance_Data!G843)/3,0)=Finance_Data!Q843,"Valid","Invalid")</f>
        <v>Valid</v>
      </c>
      <c r="N847" s="7" t="str">
        <f t="shared" si="13"/>
        <v>Fail</v>
      </c>
    </row>
    <row r="848" spans="1:14" x14ac:dyDescent="0.35">
      <c r="A848" s="17" t="s">
        <v>94</v>
      </c>
      <c r="B848" s="3" t="str">
        <f>IF(ISBLANK(Table3[[#This Row],[Campaign_ID]]),"Invalid","Valid")</f>
        <v>Valid</v>
      </c>
      <c r="C848" s="3" t="str">
        <f>IF(COUNTA(Finance_Data!A844:R844)=18,"Valid","Missing")</f>
        <v>Valid</v>
      </c>
      <c r="D848" s="3" t="str">
        <f>IF(COUNTIF(Finance_Data!$T$2:$T$1001,Finance_Data!T844)&gt;1,"Duplicate","Valid")</f>
        <v>Valid</v>
      </c>
      <c r="E848" s="3" t="str">
        <f>IF(Finance_Data!H844&gt;Finance_Data!G844,"Valid","Invalid")</f>
        <v>Valid</v>
      </c>
      <c r="F848" s="3" t="str" cm="1">
        <f t="array" ref="F848">_xlfn.IFS(Finance_Data!S844&lt;7,"Short",Finance_Data!S844&lt;=30,"Normal",Finance_Data!S844&lt;=60,"Long",Finance_Data!S844&gt;60,"Very Long")</f>
        <v>Long</v>
      </c>
      <c r="G848" s="3" t="str">
        <f>IF(ABS(Finance_Data!I844*Finance_Data!J844)-Finance_Data!K844&lt;1,"Valid","Invalid")</f>
        <v>Valid</v>
      </c>
      <c r="H848" s="3" t="str">
        <f>IF(Finance_Data!L844&gt;0,"Valid","Invalid")</f>
        <v>Valid</v>
      </c>
      <c r="I848" s="3" t="str">
        <f>IF(Finance_Data!L844&gt;=Finance_Data!M844,"Valid","Invalid")</f>
        <v>Valid</v>
      </c>
      <c r="J848" s="3" t="str">
        <f>IF(AND(Finance_Data!I844&gt;=0,Finance_Data!K844&gt;=0),"Valid","Invalid")</f>
        <v>Valid</v>
      </c>
      <c r="K848" s="3" t="str">
        <f>IF(Finance_Data!N844&gt;=0,"Valid","Invalid")</f>
        <v>Valid</v>
      </c>
      <c r="L848" s="3" t="str">
        <f>IF(TEXT(Finance_Data!G844,"mmmm")=Finance_Data!P844,"Valid","Invalid")</f>
        <v>Valid</v>
      </c>
      <c r="M848" s="3" t="str">
        <f>IF("Q"&amp;ROUNDUP(MONTH(Finance_Data!G844)/3,0)=Finance_Data!Q844,"Valid","Invalid")</f>
        <v>Valid</v>
      </c>
      <c r="N848" s="7" t="str">
        <f t="shared" si="13"/>
        <v>Pass</v>
      </c>
    </row>
    <row r="849" spans="1:14" x14ac:dyDescent="0.35">
      <c r="A849" s="17" t="s">
        <v>83</v>
      </c>
      <c r="B849" s="3" t="str">
        <f>IF(ISBLANK(Table3[[#This Row],[Campaign_ID]]),"Invalid","Valid")</f>
        <v>Valid</v>
      </c>
      <c r="C849" s="3" t="str">
        <f>IF(COUNTA(Finance_Data!A845:R845)=18,"Valid","Missing")</f>
        <v>Valid</v>
      </c>
      <c r="D849" s="3" t="str">
        <f>IF(COUNTIF(Finance_Data!$T$2:$T$1001,Finance_Data!T845)&gt;1,"Duplicate","Valid")</f>
        <v>Valid</v>
      </c>
      <c r="E849" s="3" t="str">
        <f>IF(Finance_Data!H845&gt;Finance_Data!G845,"Valid","Invalid")</f>
        <v>Valid</v>
      </c>
      <c r="F849" s="3" t="str" cm="1">
        <f t="array" ref="F849">_xlfn.IFS(Finance_Data!S845&lt;7,"Short",Finance_Data!S845&lt;=30,"Normal",Finance_Data!S845&lt;=60,"Long",Finance_Data!S845&gt;60,"Very Long")</f>
        <v>Long</v>
      </c>
      <c r="G849" s="3" t="str">
        <f>IF(ABS(Finance_Data!I845*Finance_Data!J845)-Finance_Data!K845&lt;1,"Valid","Invalid")</f>
        <v>Valid</v>
      </c>
      <c r="H849" s="3" t="str">
        <f>IF(Finance_Data!L845&gt;0,"Valid","Invalid")</f>
        <v>Valid</v>
      </c>
      <c r="I849" s="3" t="str">
        <f>IF(Finance_Data!L845&gt;=Finance_Data!M845,"Valid","Invalid")</f>
        <v>Valid</v>
      </c>
      <c r="J849" s="3" t="str">
        <f>IF(AND(Finance_Data!I845&gt;=0,Finance_Data!K845&gt;=0),"Valid","Invalid")</f>
        <v>Valid</v>
      </c>
      <c r="K849" s="3" t="str">
        <f>IF(Finance_Data!N845&gt;=0,"Valid","Invalid")</f>
        <v>Valid</v>
      </c>
      <c r="L849" s="3" t="str">
        <f>IF(TEXT(Finance_Data!G845,"mmmm")=Finance_Data!P845,"Valid","Invalid")</f>
        <v>Valid</v>
      </c>
      <c r="M849" s="3" t="str">
        <f>IF("Q"&amp;ROUNDUP(MONTH(Finance_Data!G845)/3,0)=Finance_Data!Q845,"Valid","Invalid")</f>
        <v>Valid</v>
      </c>
      <c r="N849" s="7" t="str">
        <f t="shared" si="13"/>
        <v>Pass</v>
      </c>
    </row>
    <row r="850" spans="1:14" x14ac:dyDescent="0.35">
      <c r="A850" s="17" t="s">
        <v>85</v>
      </c>
      <c r="B850" s="3" t="str">
        <f>IF(ISBLANK(Table3[[#This Row],[Campaign_ID]]),"Invalid","Valid")</f>
        <v>Valid</v>
      </c>
      <c r="C850" s="3" t="str">
        <f>IF(COUNTA(Finance_Data!A846:R846)=18,"Valid","Missing")</f>
        <v>Valid</v>
      </c>
      <c r="D850" s="3" t="str">
        <f>IF(COUNTIF(Finance_Data!$T$2:$T$1001,Finance_Data!T846)&gt;1,"Duplicate","Valid")</f>
        <v>Valid</v>
      </c>
      <c r="E850" s="3" t="str">
        <f>IF(Finance_Data!H846&gt;Finance_Data!G846,"Valid","Invalid")</f>
        <v>Valid</v>
      </c>
      <c r="F850" s="3" t="str" cm="1">
        <f t="array" ref="F850">_xlfn.IFS(Finance_Data!S846&lt;7,"Short",Finance_Data!S846&lt;=30,"Normal",Finance_Data!S846&lt;=60,"Long",Finance_Data!S846&gt;60,"Very Long")</f>
        <v>Normal</v>
      </c>
      <c r="G850" s="3" t="str">
        <f>IF(ABS(Finance_Data!I846*Finance_Data!J846)-Finance_Data!K846&lt;1,"Valid","Invalid")</f>
        <v>Valid</v>
      </c>
      <c r="H850" s="3" t="str">
        <f>IF(Finance_Data!L846&gt;0,"Valid","Invalid")</f>
        <v>Valid</v>
      </c>
      <c r="I850" s="3" t="str">
        <f>IF(Finance_Data!L846&gt;=Finance_Data!M846,"Valid","Invalid")</f>
        <v>Valid</v>
      </c>
      <c r="J850" s="3" t="str">
        <f>IF(AND(Finance_Data!I846&gt;=0,Finance_Data!K846&gt;=0),"Valid","Invalid")</f>
        <v>Valid</v>
      </c>
      <c r="K850" s="3" t="str">
        <f>IF(Finance_Data!N846&gt;=0,"Valid","Invalid")</f>
        <v>Valid</v>
      </c>
      <c r="L850" s="3" t="str">
        <f>IF(TEXT(Finance_Data!G846,"mmmm")=Finance_Data!P846,"Valid","Invalid")</f>
        <v>Valid</v>
      </c>
      <c r="M850" s="3" t="str">
        <f>IF("Q"&amp;ROUNDUP(MONTH(Finance_Data!G846)/3,0)=Finance_Data!Q846,"Valid","Invalid")</f>
        <v>Valid</v>
      </c>
      <c r="N850" s="7" t="str">
        <f t="shared" si="13"/>
        <v>Pass</v>
      </c>
    </row>
    <row r="851" spans="1:14" x14ac:dyDescent="0.35">
      <c r="A851" s="17" t="s">
        <v>109</v>
      </c>
      <c r="B851" s="3" t="str">
        <f>IF(ISBLANK(Table3[[#This Row],[Campaign_ID]]),"Invalid","Valid")</f>
        <v>Valid</v>
      </c>
      <c r="C851" s="3" t="str">
        <f>IF(COUNTA(Finance_Data!A847:R847)=18,"Valid","Missing")</f>
        <v>Valid</v>
      </c>
      <c r="D851" s="3" t="str">
        <f>IF(COUNTIF(Finance_Data!$T$2:$T$1001,Finance_Data!T847)&gt;1,"Duplicate","Valid")</f>
        <v>Valid</v>
      </c>
      <c r="E851" s="3" t="str">
        <f>IF(Finance_Data!H847&gt;Finance_Data!G847,"Valid","Invalid")</f>
        <v>Valid</v>
      </c>
      <c r="F851" s="3" t="str" cm="1">
        <f t="array" ref="F851">_xlfn.IFS(Finance_Data!S847&lt;7,"Short",Finance_Data!S847&lt;=30,"Normal",Finance_Data!S847&lt;=60,"Long",Finance_Data!S847&gt;60,"Very Long")</f>
        <v>Normal</v>
      </c>
      <c r="G851" s="3" t="str">
        <f>IF(ABS(Finance_Data!I847*Finance_Data!J847)-Finance_Data!K847&lt;1,"Valid","Invalid")</f>
        <v>Valid</v>
      </c>
      <c r="H851" s="3" t="str">
        <f>IF(Finance_Data!L847&gt;0,"Valid","Invalid")</f>
        <v>Valid</v>
      </c>
      <c r="I851" s="3" t="str">
        <f>IF(Finance_Data!L847&gt;=Finance_Data!M847,"Valid","Invalid")</f>
        <v>Valid</v>
      </c>
      <c r="J851" s="3" t="str">
        <f>IF(AND(Finance_Data!I847&gt;=0,Finance_Data!K847&gt;=0),"Valid","Invalid")</f>
        <v>Valid</v>
      </c>
      <c r="K851" s="3" t="str">
        <f>IF(Finance_Data!N847&gt;=0,"Valid","Invalid")</f>
        <v>Valid</v>
      </c>
      <c r="L851" s="3" t="str">
        <f>IF(TEXT(Finance_Data!G847,"mmmm")=Finance_Data!P847,"Valid","Invalid")</f>
        <v>Valid</v>
      </c>
      <c r="M851" s="3" t="str">
        <f>IF("Q"&amp;ROUNDUP(MONTH(Finance_Data!G847)/3,0)=Finance_Data!Q847,"Valid","Invalid")</f>
        <v>Valid</v>
      </c>
      <c r="N851" s="7" t="str">
        <f t="shared" si="13"/>
        <v>Pass</v>
      </c>
    </row>
    <row r="852" spans="1:14" x14ac:dyDescent="0.35">
      <c r="A852" s="17" t="s">
        <v>71</v>
      </c>
      <c r="B852" s="3" t="str">
        <f>IF(ISBLANK(Table3[[#This Row],[Campaign_ID]]),"Invalid","Valid")</f>
        <v>Valid</v>
      </c>
      <c r="C852" s="3" t="str">
        <f>IF(COUNTA(Finance_Data!A848:R848)=18,"Valid","Missing")</f>
        <v>Valid</v>
      </c>
      <c r="D852" s="3" t="str">
        <f>IF(COUNTIF(Finance_Data!$T$2:$T$1001,Finance_Data!T848)&gt;1,"Duplicate","Valid")</f>
        <v>Valid</v>
      </c>
      <c r="E852" s="3" t="str">
        <f>IF(Finance_Data!H848&gt;Finance_Data!G848,"Valid","Invalid")</f>
        <v>Valid</v>
      </c>
      <c r="F852" s="3" t="str" cm="1">
        <f t="array" ref="F852">_xlfn.IFS(Finance_Data!S848&lt;7,"Short",Finance_Data!S848&lt;=30,"Normal",Finance_Data!S848&lt;=60,"Long",Finance_Data!S848&gt;60,"Very Long")</f>
        <v>Normal</v>
      </c>
      <c r="G852" s="3" t="str">
        <f>IF(ABS(Finance_Data!I848*Finance_Data!J848)-Finance_Data!K848&lt;1,"Valid","Invalid")</f>
        <v>Valid</v>
      </c>
      <c r="H852" s="3" t="str">
        <f>IF(Finance_Data!L848&gt;0,"Valid","Invalid")</f>
        <v>Valid</v>
      </c>
      <c r="I852" s="3" t="str">
        <f>IF(Finance_Data!L848&gt;=Finance_Data!M848,"Valid","Invalid")</f>
        <v>Valid</v>
      </c>
      <c r="J852" s="3" t="str">
        <f>IF(AND(Finance_Data!I848&gt;=0,Finance_Data!K848&gt;=0),"Valid","Invalid")</f>
        <v>Valid</v>
      </c>
      <c r="K852" s="3" t="str">
        <f>IF(Finance_Data!N848&gt;=0,"Valid","Invalid")</f>
        <v>Valid</v>
      </c>
      <c r="L852" s="3" t="str">
        <f>IF(TEXT(Finance_Data!G848,"mmmm")=Finance_Data!P848,"Valid","Invalid")</f>
        <v>Valid</v>
      </c>
      <c r="M852" s="3" t="str">
        <f>IF("Q"&amp;ROUNDUP(MONTH(Finance_Data!G848)/3,0)=Finance_Data!Q848,"Valid","Invalid")</f>
        <v>Valid</v>
      </c>
      <c r="N852" s="7" t="str">
        <f t="shared" si="13"/>
        <v>Pass</v>
      </c>
    </row>
    <row r="853" spans="1:14" x14ac:dyDescent="0.35">
      <c r="A853" s="17" t="s">
        <v>64</v>
      </c>
      <c r="B853" s="3" t="str">
        <f>IF(ISBLANK(Table3[[#This Row],[Campaign_ID]]),"Invalid","Valid")</f>
        <v>Valid</v>
      </c>
      <c r="C853" s="3" t="str">
        <f>IF(COUNTA(Finance_Data!A849:R849)=18,"Valid","Missing")</f>
        <v>Valid</v>
      </c>
      <c r="D853" s="3" t="str">
        <f>IF(COUNTIF(Finance_Data!$T$2:$T$1001,Finance_Data!T849)&gt;1,"Duplicate","Valid")</f>
        <v>Valid</v>
      </c>
      <c r="E853" s="3" t="str">
        <f>IF(Finance_Data!H849&gt;Finance_Data!G849,"Valid","Invalid")</f>
        <v>Valid</v>
      </c>
      <c r="F853" s="3" t="str" cm="1">
        <f t="array" ref="F853">_xlfn.IFS(Finance_Data!S849&lt;7,"Short",Finance_Data!S849&lt;=30,"Normal",Finance_Data!S849&lt;=60,"Long",Finance_Data!S849&gt;60,"Very Long")</f>
        <v>Normal</v>
      </c>
      <c r="G853" s="3" t="str">
        <f>IF(ABS(Finance_Data!I849*Finance_Data!J849)-Finance_Data!K849&lt;1,"Valid","Invalid")</f>
        <v>Valid</v>
      </c>
      <c r="H853" s="3" t="str">
        <f>IF(Finance_Data!L849&gt;0,"Valid","Invalid")</f>
        <v>Valid</v>
      </c>
      <c r="I853" s="3" t="str">
        <f>IF(Finance_Data!L849&gt;=Finance_Data!M849,"Valid","Invalid")</f>
        <v>Valid</v>
      </c>
      <c r="J853" s="3" t="str">
        <f>IF(AND(Finance_Data!I849&gt;=0,Finance_Data!K849&gt;=0),"Valid","Invalid")</f>
        <v>Valid</v>
      </c>
      <c r="K853" s="3" t="str">
        <f>IF(Finance_Data!N849&gt;=0,"Valid","Invalid")</f>
        <v>Valid</v>
      </c>
      <c r="L853" s="3" t="str">
        <f>IF(TEXT(Finance_Data!G849,"mmmm")=Finance_Data!P849,"Valid","Invalid")</f>
        <v>Valid</v>
      </c>
      <c r="M853" s="3" t="str">
        <f>IF("Q"&amp;ROUNDUP(MONTH(Finance_Data!G849)/3,0)=Finance_Data!Q849,"Valid","Invalid")</f>
        <v>Valid</v>
      </c>
      <c r="N853" s="7" t="str">
        <f t="shared" si="13"/>
        <v>Pass</v>
      </c>
    </row>
    <row r="854" spans="1:14" x14ac:dyDescent="0.35">
      <c r="A854" s="17" t="s">
        <v>90</v>
      </c>
      <c r="B854" s="3" t="str">
        <f>IF(ISBLANK(Table3[[#This Row],[Campaign_ID]]),"Invalid","Valid")</f>
        <v>Valid</v>
      </c>
      <c r="C854" s="3" t="str">
        <f>IF(COUNTA(Finance_Data!A850:R850)=18,"Valid","Missing")</f>
        <v>Valid</v>
      </c>
      <c r="D854" s="3" t="str">
        <f>IF(COUNTIF(Finance_Data!$T$2:$T$1001,Finance_Data!T850)&gt;1,"Duplicate","Valid")</f>
        <v>Valid</v>
      </c>
      <c r="E854" s="3" t="str">
        <f>IF(Finance_Data!H850&gt;Finance_Data!G850,"Valid","Invalid")</f>
        <v>Valid</v>
      </c>
      <c r="F854" s="3" t="str" cm="1">
        <f t="array" ref="F854">_xlfn.IFS(Finance_Data!S850&lt;7,"Short",Finance_Data!S850&lt;=30,"Normal",Finance_Data!S850&lt;=60,"Long",Finance_Data!S850&gt;60,"Very Long")</f>
        <v>Long</v>
      </c>
      <c r="G854" s="3" t="str">
        <f>IF(ABS(Finance_Data!I850*Finance_Data!J850)-Finance_Data!K850&lt;1,"Valid","Invalid")</f>
        <v>Valid</v>
      </c>
      <c r="H854" s="3" t="str">
        <f>IF(Finance_Data!L850&gt;0,"Valid","Invalid")</f>
        <v>Valid</v>
      </c>
      <c r="I854" s="3" t="str">
        <f>IF(Finance_Data!L850&gt;=Finance_Data!M850,"Valid","Invalid")</f>
        <v>Valid</v>
      </c>
      <c r="J854" s="3" t="str">
        <f>IF(AND(Finance_Data!I850&gt;=0,Finance_Data!K850&gt;=0),"Valid","Invalid")</f>
        <v>Valid</v>
      </c>
      <c r="K854" s="3" t="str">
        <f>IF(Finance_Data!N850&gt;=0,"Valid","Invalid")</f>
        <v>Valid</v>
      </c>
      <c r="L854" s="3" t="str">
        <f>IF(TEXT(Finance_Data!G850,"mmmm")=Finance_Data!P850,"Valid","Invalid")</f>
        <v>Valid</v>
      </c>
      <c r="M854" s="3" t="str">
        <f>IF("Q"&amp;ROUNDUP(MONTH(Finance_Data!G850)/3,0)=Finance_Data!Q850,"Valid","Invalid")</f>
        <v>Valid</v>
      </c>
      <c r="N854" s="7" t="str">
        <f t="shared" si="13"/>
        <v>Pass</v>
      </c>
    </row>
    <row r="855" spans="1:14" x14ac:dyDescent="0.35">
      <c r="A855" s="17" t="s">
        <v>98</v>
      </c>
      <c r="B855" s="3" t="str">
        <f>IF(ISBLANK(Table3[[#This Row],[Campaign_ID]]),"Invalid","Valid")</f>
        <v>Valid</v>
      </c>
      <c r="C855" s="3" t="str">
        <f>IF(COUNTA(Finance_Data!A851:R851)=18,"Valid","Missing")</f>
        <v>Valid</v>
      </c>
      <c r="D855" s="3" t="str">
        <f>IF(COUNTIF(Finance_Data!$T$2:$T$1001,Finance_Data!T851)&gt;1,"Duplicate","Valid")</f>
        <v>Valid</v>
      </c>
      <c r="E855" s="3" t="str">
        <f>IF(Finance_Data!H851&gt;Finance_Data!G851,"Valid","Invalid")</f>
        <v>Valid</v>
      </c>
      <c r="F855" s="3" t="str" cm="1">
        <f t="array" ref="F855">_xlfn.IFS(Finance_Data!S851&lt;7,"Short",Finance_Data!S851&lt;=30,"Normal",Finance_Data!S851&lt;=60,"Long",Finance_Data!S851&gt;60,"Very Long")</f>
        <v>Normal</v>
      </c>
      <c r="G855" s="3" t="str">
        <f>IF(ABS(Finance_Data!I851*Finance_Data!J851)-Finance_Data!K851&lt;1,"Valid","Invalid")</f>
        <v>Valid</v>
      </c>
      <c r="H855" s="3" t="str">
        <f>IF(Finance_Data!L851&gt;0,"Valid","Invalid")</f>
        <v>Valid</v>
      </c>
      <c r="I855" s="3" t="str">
        <f>IF(Finance_Data!L851&gt;=Finance_Data!M851,"Valid","Invalid")</f>
        <v>Valid</v>
      </c>
      <c r="J855" s="3" t="str">
        <f>IF(AND(Finance_Data!I851&gt;=0,Finance_Data!K851&gt;=0),"Valid","Invalid")</f>
        <v>Valid</v>
      </c>
      <c r="K855" s="3" t="str">
        <f>IF(Finance_Data!N851&gt;=0,"Valid","Invalid")</f>
        <v>Valid</v>
      </c>
      <c r="L855" s="3" t="str">
        <f>IF(TEXT(Finance_Data!G851,"mmmm")=Finance_Data!P851,"Valid","Invalid")</f>
        <v>Valid</v>
      </c>
      <c r="M855" s="3" t="str">
        <f>IF("Q"&amp;ROUNDUP(MONTH(Finance_Data!G851)/3,0)=Finance_Data!Q851,"Valid","Invalid")</f>
        <v>Valid</v>
      </c>
      <c r="N855" s="7" t="str">
        <f t="shared" si="13"/>
        <v>Pass</v>
      </c>
    </row>
    <row r="856" spans="1:14" x14ac:dyDescent="0.35">
      <c r="A856" s="17" t="s">
        <v>62</v>
      </c>
      <c r="B856" s="3" t="str">
        <f>IF(ISBLANK(Table3[[#This Row],[Campaign_ID]]),"Invalid","Valid")</f>
        <v>Valid</v>
      </c>
      <c r="C856" s="3" t="str">
        <f>IF(COUNTA(Finance_Data!A852:R852)=18,"Valid","Missing")</f>
        <v>Valid</v>
      </c>
      <c r="D856" s="3" t="str">
        <f>IF(COUNTIF(Finance_Data!$T$2:$T$1001,Finance_Data!T852)&gt;1,"Duplicate","Valid")</f>
        <v>Valid</v>
      </c>
      <c r="E856" s="3" t="str">
        <f>IF(Finance_Data!H852&gt;Finance_Data!G852,"Valid","Invalid")</f>
        <v>Valid</v>
      </c>
      <c r="F856" s="3" t="str" cm="1">
        <f t="array" ref="F856">_xlfn.IFS(Finance_Data!S852&lt;7,"Short",Finance_Data!S852&lt;=30,"Normal",Finance_Data!S852&lt;=60,"Long",Finance_Data!S852&gt;60,"Very Long")</f>
        <v>Long</v>
      </c>
      <c r="G856" s="3" t="str">
        <f>IF(ABS(Finance_Data!I852*Finance_Data!J852)-Finance_Data!K852&lt;1,"Valid","Invalid")</f>
        <v>Valid</v>
      </c>
      <c r="H856" s="3" t="str">
        <f>IF(Finance_Data!L852&gt;0,"Valid","Invalid")</f>
        <v>Valid</v>
      </c>
      <c r="I856" s="3" t="str">
        <f>IF(Finance_Data!L852&gt;=Finance_Data!M852,"Valid","Invalid")</f>
        <v>Valid</v>
      </c>
      <c r="J856" s="3" t="str">
        <f>IF(AND(Finance_Data!I852&gt;=0,Finance_Data!K852&gt;=0),"Valid","Invalid")</f>
        <v>Valid</v>
      </c>
      <c r="K856" s="3" t="str">
        <f>IF(Finance_Data!N852&gt;=0,"Valid","Invalid")</f>
        <v>Valid</v>
      </c>
      <c r="L856" s="3" t="str">
        <f>IF(TEXT(Finance_Data!G852,"mmmm")=Finance_Data!P852,"Valid","Invalid")</f>
        <v>Valid</v>
      </c>
      <c r="M856" s="3" t="str">
        <f>IF("Q"&amp;ROUNDUP(MONTH(Finance_Data!G852)/3,0)=Finance_Data!Q852,"Valid","Invalid")</f>
        <v>Valid</v>
      </c>
      <c r="N856" s="7" t="str">
        <f t="shared" si="13"/>
        <v>Pass</v>
      </c>
    </row>
    <row r="857" spans="1:14" x14ac:dyDescent="0.35">
      <c r="A857" s="17" t="s">
        <v>96</v>
      </c>
      <c r="B857" s="3" t="str">
        <f>IF(ISBLANK(Table3[[#This Row],[Campaign_ID]]),"Invalid","Valid")</f>
        <v>Valid</v>
      </c>
      <c r="C857" s="3" t="str">
        <f>IF(COUNTA(Finance_Data!A853:R853)=18,"Valid","Missing")</f>
        <v>Valid</v>
      </c>
      <c r="D857" s="3" t="str">
        <f>IF(COUNTIF(Finance_Data!$T$2:$T$1001,Finance_Data!T853)&gt;1,"Duplicate","Valid")</f>
        <v>Valid</v>
      </c>
      <c r="E857" s="3" t="str">
        <f>IF(Finance_Data!H853&gt;Finance_Data!G853,"Valid","Invalid")</f>
        <v>Valid</v>
      </c>
      <c r="F857" s="3" t="str" cm="1">
        <f t="array" ref="F857">_xlfn.IFS(Finance_Data!S853&lt;7,"Short",Finance_Data!S853&lt;=30,"Normal",Finance_Data!S853&lt;=60,"Long",Finance_Data!S853&gt;60,"Very Long")</f>
        <v>Normal</v>
      </c>
      <c r="G857" s="3" t="str">
        <f>IF(ABS(Finance_Data!I853*Finance_Data!J853)-Finance_Data!K853&lt;1,"Valid","Invalid")</f>
        <v>Valid</v>
      </c>
      <c r="H857" s="3" t="str">
        <f>IF(Finance_Data!L853&gt;0,"Valid","Invalid")</f>
        <v>Valid</v>
      </c>
      <c r="I857" s="3" t="str">
        <f>IF(Finance_Data!L853&gt;=Finance_Data!M853,"Valid","Invalid")</f>
        <v>Valid</v>
      </c>
      <c r="J857" s="3" t="str">
        <f>IF(AND(Finance_Data!I853&gt;=0,Finance_Data!K853&gt;=0),"Valid","Invalid")</f>
        <v>Valid</v>
      </c>
      <c r="K857" s="3" t="str">
        <f>IF(Finance_Data!N853&gt;=0,"Valid","Invalid")</f>
        <v>Valid</v>
      </c>
      <c r="L857" s="3" t="str">
        <f>IF(TEXT(Finance_Data!G853,"mmmm")=Finance_Data!P853,"Valid","Invalid")</f>
        <v>Valid</v>
      </c>
      <c r="M857" s="3" t="str">
        <f>IF("Q"&amp;ROUNDUP(MONTH(Finance_Data!G853)/3,0)=Finance_Data!Q853,"Valid","Invalid")</f>
        <v>Valid</v>
      </c>
      <c r="N857" s="7" t="str">
        <f t="shared" si="13"/>
        <v>Pass</v>
      </c>
    </row>
    <row r="858" spans="1:14" x14ac:dyDescent="0.35">
      <c r="A858" s="17" t="s">
        <v>106</v>
      </c>
      <c r="B858" s="3" t="str">
        <f>IF(ISBLANK(Table3[[#This Row],[Campaign_ID]]),"Invalid","Valid")</f>
        <v>Valid</v>
      </c>
      <c r="C858" s="3" t="str">
        <f>IF(COUNTA(Finance_Data!A854:R854)=18,"Valid","Missing")</f>
        <v>Valid</v>
      </c>
      <c r="D858" s="3" t="str">
        <f>IF(COUNTIF(Finance_Data!$T$2:$T$1001,Finance_Data!T854)&gt;1,"Duplicate","Valid")</f>
        <v>Valid</v>
      </c>
      <c r="E858" s="3" t="str">
        <f>IF(Finance_Data!H854&gt;Finance_Data!G854,"Valid","Invalid")</f>
        <v>Valid</v>
      </c>
      <c r="F858" s="3" t="str" cm="1">
        <f t="array" ref="F858">_xlfn.IFS(Finance_Data!S854&lt;7,"Short",Finance_Data!S854&lt;=30,"Normal",Finance_Data!S854&lt;=60,"Long",Finance_Data!S854&gt;60,"Very Long")</f>
        <v>Long</v>
      </c>
      <c r="G858" s="3" t="str">
        <f>IF(ABS(Finance_Data!I854*Finance_Data!J854)-Finance_Data!K854&lt;1,"Valid","Invalid")</f>
        <v>Valid</v>
      </c>
      <c r="H858" s="3" t="str">
        <f>IF(Finance_Data!L854&gt;0,"Valid","Invalid")</f>
        <v>Valid</v>
      </c>
      <c r="I858" s="3" t="str">
        <f>IF(Finance_Data!L854&gt;=Finance_Data!M854,"Valid","Invalid")</f>
        <v>Valid</v>
      </c>
      <c r="J858" s="3" t="str">
        <f>IF(AND(Finance_Data!I854&gt;=0,Finance_Data!K854&gt;=0),"Valid","Invalid")</f>
        <v>Valid</v>
      </c>
      <c r="K858" s="3" t="str">
        <f>IF(Finance_Data!N854&gt;=0,"Valid","Invalid")</f>
        <v>Valid</v>
      </c>
      <c r="L858" s="3" t="str">
        <f>IF(TEXT(Finance_Data!G854,"mmmm")=Finance_Data!P854,"Valid","Invalid")</f>
        <v>Valid</v>
      </c>
      <c r="M858" s="3" t="str">
        <f>IF("Q"&amp;ROUNDUP(MONTH(Finance_Data!G854)/3,0)=Finance_Data!Q854,"Valid","Invalid")</f>
        <v>Valid</v>
      </c>
      <c r="N858" s="7" t="str">
        <f t="shared" si="13"/>
        <v>Pass</v>
      </c>
    </row>
    <row r="859" spans="1:14" x14ac:dyDescent="0.35">
      <c r="A859" s="17" t="s">
        <v>93</v>
      </c>
      <c r="B859" s="3" t="str">
        <f>IF(ISBLANK(Table3[[#This Row],[Campaign_ID]]),"Invalid","Valid")</f>
        <v>Valid</v>
      </c>
      <c r="C859" s="3" t="str">
        <f>IF(COUNTA(Finance_Data!A855:R855)=18,"Valid","Missing")</f>
        <v>Valid</v>
      </c>
      <c r="D859" s="3" t="str">
        <f>IF(COUNTIF(Finance_Data!$T$2:$T$1001,Finance_Data!T855)&gt;1,"Duplicate","Valid")</f>
        <v>Valid</v>
      </c>
      <c r="E859" s="3" t="str">
        <f>IF(Finance_Data!H855&gt;Finance_Data!G855,"Valid","Invalid")</f>
        <v>Valid</v>
      </c>
      <c r="F859" s="3" t="str" cm="1">
        <f t="array" ref="F859">_xlfn.IFS(Finance_Data!S855&lt;7,"Short",Finance_Data!S855&lt;=30,"Normal",Finance_Data!S855&lt;=60,"Long",Finance_Data!S855&gt;60,"Very Long")</f>
        <v>Long</v>
      </c>
      <c r="G859" s="3" t="str">
        <f>IF(ABS(Finance_Data!I855*Finance_Data!J855)-Finance_Data!K855&lt;1,"Valid","Invalid")</f>
        <v>Valid</v>
      </c>
      <c r="H859" s="3" t="str">
        <f>IF(Finance_Data!L855&gt;0,"Valid","Invalid")</f>
        <v>Valid</v>
      </c>
      <c r="I859" s="3" t="str">
        <f>IF(Finance_Data!L855&gt;=Finance_Data!M855,"Valid","Invalid")</f>
        <v>Valid</v>
      </c>
      <c r="J859" s="3" t="str">
        <f>IF(AND(Finance_Data!I855&gt;=0,Finance_Data!K855&gt;=0),"Valid","Invalid")</f>
        <v>Valid</v>
      </c>
      <c r="K859" s="3" t="str">
        <f>IF(Finance_Data!N855&gt;=0,"Valid","Invalid")</f>
        <v>Valid</v>
      </c>
      <c r="L859" s="3" t="str">
        <f>IF(TEXT(Finance_Data!G855,"mmmm")=Finance_Data!P855,"Valid","Invalid")</f>
        <v>Valid</v>
      </c>
      <c r="M859" s="3" t="str">
        <f>IF("Q"&amp;ROUNDUP(MONTH(Finance_Data!G855)/3,0)=Finance_Data!Q855,"Valid","Invalid")</f>
        <v>Valid</v>
      </c>
      <c r="N859" s="7" t="str">
        <f t="shared" si="13"/>
        <v>Pass</v>
      </c>
    </row>
    <row r="860" spans="1:14" x14ac:dyDescent="0.35">
      <c r="A860" s="17" t="s">
        <v>77</v>
      </c>
      <c r="B860" s="3" t="str">
        <f>IF(ISBLANK(Table3[[#This Row],[Campaign_ID]]),"Invalid","Valid")</f>
        <v>Valid</v>
      </c>
      <c r="C860" s="3" t="str">
        <f>IF(COUNTA(Finance_Data!A856:R856)=18,"Valid","Missing")</f>
        <v>Valid</v>
      </c>
      <c r="D860" s="3" t="str">
        <f>IF(COUNTIF(Finance_Data!$T$2:$T$1001,Finance_Data!T856)&gt;1,"Duplicate","Valid")</f>
        <v>Valid</v>
      </c>
      <c r="E860" s="3" t="str">
        <f>IF(Finance_Data!H856&gt;Finance_Data!G856,"Valid","Invalid")</f>
        <v>Valid</v>
      </c>
      <c r="F860" s="3" t="str" cm="1">
        <f t="array" ref="F860">_xlfn.IFS(Finance_Data!S856&lt;7,"Short",Finance_Data!S856&lt;=30,"Normal",Finance_Data!S856&lt;=60,"Long",Finance_Data!S856&gt;60,"Very Long")</f>
        <v>Normal</v>
      </c>
      <c r="G860" s="3" t="str">
        <f>IF(ABS(Finance_Data!I856*Finance_Data!J856)-Finance_Data!K856&lt;1,"Valid","Invalid")</f>
        <v>Valid</v>
      </c>
      <c r="H860" s="3" t="str">
        <f>IF(Finance_Data!L856&gt;0,"Valid","Invalid")</f>
        <v>Valid</v>
      </c>
      <c r="I860" s="3" t="str">
        <f>IF(Finance_Data!L856&gt;=Finance_Data!M856,"Valid","Invalid")</f>
        <v>Valid</v>
      </c>
      <c r="J860" s="3" t="str">
        <f>IF(AND(Finance_Data!I856&gt;=0,Finance_Data!K856&gt;=0),"Valid","Invalid")</f>
        <v>Valid</v>
      </c>
      <c r="K860" s="3" t="str">
        <f>IF(Finance_Data!N856&gt;=0,"Valid","Invalid")</f>
        <v>Valid</v>
      </c>
      <c r="L860" s="3" t="str">
        <f>IF(TEXT(Finance_Data!G856,"mmmm")=Finance_Data!P856,"Valid","Invalid")</f>
        <v>Valid</v>
      </c>
      <c r="M860" s="3" t="str">
        <f>IF("Q"&amp;ROUNDUP(MONTH(Finance_Data!G856)/3,0)=Finance_Data!Q856,"Valid","Invalid")</f>
        <v>Valid</v>
      </c>
      <c r="N860" s="7" t="str">
        <f t="shared" si="13"/>
        <v>Pass</v>
      </c>
    </row>
    <row r="861" spans="1:14" x14ac:dyDescent="0.35">
      <c r="A861" s="17" t="s">
        <v>101</v>
      </c>
      <c r="B861" s="3" t="str">
        <f>IF(ISBLANK(Table3[[#This Row],[Campaign_ID]]),"Invalid","Valid")</f>
        <v>Valid</v>
      </c>
      <c r="C861" s="3" t="str">
        <f>IF(COUNTA(Finance_Data!A857:R857)=18,"Valid","Missing")</f>
        <v>Valid</v>
      </c>
      <c r="D861" s="3" t="str">
        <f>IF(COUNTIF(Finance_Data!$T$2:$T$1001,Finance_Data!T857)&gt;1,"Duplicate","Valid")</f>
        <v>Valid</v>
      </c>
      <c r="E861" s="3" t="str">
        <f>IF(Finance_Data!H857&gt;Finance_Data!G857,"Valid","Invalid")</f>
        <v>Valid</v>
      </c>
      <c r="F861" s="3" t="str" cm="1">
        <f t="array" ref="F861">_xlfn.IFS(Finance_Data!S857&lt;7,"Short",Finance_Data!S857&lt;=30,"Normal",Finance_Data!S857&lt;=60,"Long",Finance_Data!S857&gt;60,"Very Long")</f>
        <v>Normal</v>
      </c>
      <c r="G861" s="3" t="str">
        <f>IF(ABS(Finance_Data!I857*Finance_Data!J857)-Finance_Data!K857&lt;1,"Valid","Invalid")</f>
        <v>Valid</v>
      </c>
      <c r="H861" s="3" t="str">
        <f>IF(Finance_Data!L857&gt;0,"Valid","Invalid")</f>
        <v>Valid</v>
      </c>
      <c r="I861" s="3" t="str">
        <f>IF(Finance_Data!L857&gt;=Finance_Data!M857,"Valid","Invalid")</f>
        <v>Valid</v>
      </c>
      <c r="J861" s="3" t="str">
        <f>IF(AND(Finance_Data!I857&gt;=0,Finance_Data!K857&gt;=0),"Valid","Invalid")</f>
        <v>Valid</v>
      </c>
      <c r="K861" s="3" t="str">
        <f>IF(Finance_Data!N857&gt;=0,"Valid","Invalid")</f>
        <v>Valid</v>
      </c>
      <c r="L861" s="3" t="str">
        <f>IF(TEXT(Finance_Data!G857,"mmmm")=Finance_Data!P857,"Valid","Invalid")</f>
        <v>Valid</v>
      </c>
      <c r="M861" s="3" t="str">
        <f>IF("Q"&amp;ROUNDUP(MONTH(Finance_Data!G857)/3,0)=Finance_Data!Q857,"Valid","Invalid")</f>
        <v>Valid</v>
      </c>
      <c r="N861" s="7" t="str">
        <f t="shared" si="13"/>
        <v>Pass</v>
      </c>
    </row>
    <row r="862" spans="1:14" x14ac:dyDescent="0.35">
      <c r="A862" s="17" t="s">
        <v>94</v>
      </c>
      <c r="B862" s="3" t="str">
        <f>IF(ISBLANK(Table3[[#This Row],[Campaign_ID]]),"Invalid","Valid")</f>
        <v>Valid</v>
      </c>
      <c r="C862" s="3" t="str">
        <f>IF(COUNTA(Finance_Data!A858:R858)=18,"Valid","Missing")</f>
        <v>Valid</v>
      </c>
      <c r="D862" s="3" t="str">
        <f>IF(COUNTIF(Finance_Data!$T$2:$T$1001,Finance_Data!T858)&gt;1,"Duplicate","Valid")</f>
        <v>Valid</v>
      </c>
      <c r="E862" s="3" t="str">
        <f>IF(Finance_Data!H858&gt;Finance_Data!G858,"Valid","Invalid")</f>
        <v>Valid</v>
      </c>
      <c r="F862" s="3" t="str" cm="1">
        <f t="array" ref="F862">_xlfn.IFS(Finance_Data!S858&lt;7,"Short",Finance_Data!S858&lt;=30,"Normal",Finance_Data!S858&lt;=60,"Long",Finance_Data!S858&gt;60,"Very Long")</f>
        <v>Normal</v>
      </c>
      <c r="G862" s="3" t="str">
        <f>IF(ABS(Finance_Data!I858*Finance_Data!J858)-Finance_Data!K858&lt;1,"Valid","Invalid")</f>
        <v>Valid</v>
      </c>
      <c r="H862" s="3" t="str">
        <f>IF(Finance_Data!L858&gt;0,"Valid","Invalid")</f>
        <v>Valid</v>
      </c>
      <c r="I862" s="3" t="str">
        <f>IF(Finance_Data!L858&gt;=Finance_Data!M858,"Valid","Invalid")</f>
        <v>Valid</v>
      </c>
      <c r="J862" s="3" t="str">
        <f>IF(AND(Finance_Data!I858&gt;=0,Finance_Data!K858&gt;=0),"Valid","Invalid")</f>
        <v>Valid</v>
      </c>
      <c r="K862" s="3" t="str">
        <f>IF(Finance_Data!N858&gt;=0,"Valid","Invalid")</f>
        <v>Valid</v>
      </c>
      <c r="L862" s="3" t="str">
        <f>IF(TEXT(Finance_Data!G858,"mmmm")=Finance_Data!P858,"Valid","Invalid")</f>
        <v>Valid</v>
      </c>
      <c r="M862" s="3" t="str">
        <f>IF("Q"&amp;ROUNDUP(MONTH(Finance_Data!G858)/3,0)=Finance_Data!Q858,"Valid","Invalid")</f>
        <v>Valid</v>
      </c>
      <c r="N862" s="7" t="str">
        <f t="shared" si="13"/>
        <v>Pass</v>
      </c>
    </row>
    <row r="863" spans="1:14" x14ac:dyDescent="0.35">
      <c r="A863" s="17" t="s">
        <v>94</v>
      </c>
      <c r="B863" s="3" t="str">
        <f>IF(ISBLANK(Table3[[#This Row],[Campaign_ID]]),"Invalid","Valid")</f>
        <v>Valid</v>
      </c>
      <c r="C863" s="3" t="str">
        <f>IF(COUNTA(Finance_Data!A859:R859)=18,"Valid","Missing")</f>
        <v>Valid</v>
      </c>
      <c r="D863" s="3" t="str">
        <f>IF(COUNTIF(Finance_Data!$T$2:$T$1001,Finance_Data!T859)&gt;1,"Duplicate","Valid")</f>
        <v>Valid</v>
      </c>
      <c r="E863" s="3" t="str">
        <f>IF(Finance_Data!H859&gt;Finance_Data!G859,"Valid","Invalid")</f>
        <v>Valid</v>
      </c>
      <c r="F863" s="3" t="str" cm="1">
        <f t="array" ref="F863">_xlfn.IFS(Finance_Data!S859&lt;7,"Short",Finance_Data!S859&lt;=30,"Normal",Finance_Data!S859&lt;=60,"Long",Finance_Data!S859&gt;60,"Very Long")</f>
        <v>Very Long</v>
      </c>
      <c r="G863" s="3" t="str">
        <f>IF(ABS(Finance_Data!I859*Finance_Data!J859)-Finance_Data!K859&lt;1,"Valid","Invalid")</f>
        <v>Valid</v>
      </c>
      <c r="H863" s="3" t="str">
        <f>IF(Finance_Data!L859&gt;0,"Valid","Invalid")</f>
        <v>Valid</v>
      </c>
      <c r="I863" s="3" t="str">
        <f>IF(Finance_Data!L859&gt;=Finance_Data!M859,"Valid","Invalid")</f>
        <v>Valid</v>
      </c>
      <c r="J863" s="3" t="str">
        <f>IF(AND(Finance_Data!I859&gt;=0,Finance_Data!K859&gt;=0),"Valid","Invalid")</f>
        <v>Valid</v>
      </c>
      <c r="K863" s="3" t="str">
        <f>IF(Finance_Data!N859&gt;=0,"Valid","Invalid")</f>
        <v>Valid</v>
      </c>
      <c r="L863" s="3" t="str">
        <f>IF(TEXT(Finance_Data!G859,"mmmm")=Finance_Data!P859,"Valid","Invalid")</f>
        <v>Valid</v>
      </c>
      <c r="M863" s="3" t="str">
        <f>IF("Q"&amp;ROUNDUP(MONTH(Finance_Data!G859)/3,0)=Finance_Data!Q859,"Valid","Invalid")</f>
        <v>Valid</v>
      </c>
      <c r="N863" s="7" t="str">
        <f t="shared" si="13"/>
        <v>Pass</v>
      </c>
    </row>
    <row r="864" spans="1:14" x14ac:dyDescent="0.35">
      <c r="A864" s="17" t="s">
        <v>120</v>
      </c>
      <c r="B864" s="3" t="str">
        <f>IF(ISBLANK(Table3[[#This Row],[Campaign_ID]]),"Invalid","Valid")</f>
        <v>Valid</v>
      </c>
      <c r="C864" s="3" t="str">
        <f>IF(COUNTA(Finance_Data!A860:R860)=18,"Valid","Missing")</f>
        <v>Valid</v>
      </c>
      <c r="D864" s="3" t="str">
        <f>IF(COUNTIF(Finance_Data!$T$2:$T$1001,Finance_Data!T860)&gt;1,"Duplicate","Valid")</f>
        <v>Valid</v>
      </c>
      <c r="E864" s="3" t="str">
        <f>IF(Finance_Data!H860&gt;Finance_Data!G860,"Valid","Invalid")</f>
        <v>Valid</v>
      </c>
      <c r="F864" s="3" t="str" cm="1">
        <f t="array" ref="F864">_xlfn.IFS(Finance_Data!S860&lt;7,"Short",Finance_Data!S860&lt;=30,"Normal",Finance_Data!S860&lt;=60,"Long",Finance_Data!S860&gt;60,"Very Long")</f>
        <v>Long</v>
      </c>
      <c r="G864" s="3" t="str">
        <f>IF(ABS(Finance_Data!I860*Finance_Data!J860)-Finance_Data!K860&lt;1,"Valid","Invalid")</f>
        <v>Valid</v>
      </c>
      <c r="H864" s="3" t="str">
        <f>IF(Finance_Data!L860&gt;0,"Valid","Invalid")</f>
        <v>Valid</v>
      </c>
      <c r="I864" s="3" t="str">
        <f>IF(Finance_Data!L860&gt;=Finance_Data!M860,"Valid","Invalid")</f>
        <v>Valid</v>
      </c>
      <c r="J864" s="3" t="str">
        <f>IF(AND(Finance_Data!I860&gt;=0,Finance_Data!K860&gt;=0),"Valid","Invalid")</f>
        <v>Valid</v>
      </c>
      <c r="K864" s="3" t="str">
        <f>IF(Finance_Data!N860&gt;=0,"Valid","Invalid")</f>
        <v>Valid</v>
      </c>
      <c r="L864" s="3" t="str">
        <f>IF(TEXT(Finance_Data!G860,"mmmm")=Finance_Data!P860,"Valid","Invalid")</f>
        <v>Valid</v>
      </c>
      <c r="M864" s="3" t="str">
        <f>IF("Q"&amp;ROUNDUP(MONTH(Finance_Data!G860)/3,0)=Finance_Data!Q860,"Valid","Invalid")</f>
        <v>Valid</v>
      </c>
      <c r="N864" s="7" t="str">
        <f t="shared" si="13"/>
        <v>Pass</v>
      </c>
    </row>
    <row r="865" spans="1:14" x14ac:dyDescent="0.35">
      <c r="A865" s="17" t="s">
        <v>81</v>
      </c>
      <c r="B865" s="3" t="str">
        <f>IF(ISBLANK(Table3[[#This Row],[Campaign_ID]]),"Invalid","Valid")</f>
        <v>Valid</v>
      </c>
      <c r="C865" s="3" t="str">
        <f>IF(COUNTA(Finance_Data!A861:R861)=18,"Valid","Missing")</f>
        <v>Valid</v>
      </c>
      <c r="D865" s="3" t="str">
        <f>IF(COUNTIF(Finance_Data!$T$2:$T$1001,Finance_Data!T861)&gt;1,"Duplicate","Valid")</f>
        <v>Valid</v>
      </c>
      <c r="E865" s="3" t="str">
        <f>IF(Finance_Data!H861&gt;Finance_Data!G861,"Valid","Invalid")</f>
        <v>Valid</v>
      </c>
      <c r="F865" s="3" t="str" cm="1">
        <f t="array" ref="F865">_xlfn.IFS(Finance_Data!S861&lt;7,"Short",Finance_Data!S861&lt;=30,"Normal",Finance_Data!S861&lt;=60,"Long",Finance_Data!S861&gt;60,"Very Long")</f>
        <v>Normal</v>
      </c>
      <c r="G865" s="3" t="str">
        <f>IF(ABS(Finance_Data!I861*Finance_Data!J861)-Finance_Data!K861&lt;1,"Valid","Invalid")</f>
        <v>Valid</v>
      </c>
      <c r="H865" s="3" t="str">
        <f>IF(Finance_Data!L861&gt;0,"Valid","Invalid")</f>
        <v>Valid</v>
      </c>
      <c r="I865" s="3" t="str">
        <f>IF(Finance_Data!L861&gt;=Finance_Data!M861,"Valid","Invalid")</f>
        <v>Valid</v>
      </c>
      <c r="J865" s="3" t="str">
        <f>IF(AND(Finance_Data!I861&gt;=0,Finance_Data!K861&gt;=0),"Valid","Invalid")</f>
        <v>Valid</v>
      </c>
      <c r="K865" s="3" t="str">
        <f>IF(Finance_Data!N861&gt;=0,"Valid","Invalid")</f>
        <v>Valid</v>
      </c>
      <c r="L865" s="3" t="str">
        <f>IF(TEXT(Finance_Data!G861,"mmmm")=Finance_Data!P861,"Valid","Invalid")</f>
        <v>Valid</v>
      </c>
      <c r="M865" s="3" t="str">
        <f>IF("Q"&amp;ROUNDUP(MONTH(Finance_Data!G861)/3,0)=Finance_Data!Q861,"Valid","Invalid")</f>
        <v>Valid</v>
      </c>
      <c r="N865" s="7" t="str">
        <f t="shared" si="13"/>
        <v>Pass</v>
      </c>
    </row>
    <row r="866" spans="1:14" x14ac:dyDescent="0.35">
      <c r="A866" s="17" t="s">
        <v>67</v>
      </c>
      <c r="B866" s="3" t="str">
        <f>IF(ISBLANK(Table3[[#This Row],[Campaign_ID]]),"Invalid","Valid")</f>
        <v>Valid</v>
      </c>
      <c r="C866" s="3" t="str">
        <f>IF(COUNTA(Finance_Data!A862:R862)=18,"Valid","Missing")</f>
        <v>Valid</v>
      </c>
      <c r="D866" s="3" t="str">
        <f>IF(COUNTIF(Finance_Data!$T$2:$T$1001,Finance_Data!T862)&gt;1,"Duplicate","Valid")</f>
        <v>Valid</v>
      </c>
      <c r="E866" s="3" t="str">
        <f>IF(Finance_Data!H862&gt;Finance_Data!G862,"Valid","Invalid")</f>
        <v>Valid</v>
      </c>
      <c r="F866" s="3" t="str" cm="1">
        <f t="array" ref="F866">_xlfn.IFS(Finance_Data!S862&lt;7,"Short",Finance_Data!S862&lt;=30,"Normal",Finance_Data!S862&lt;=60,"Long",Finance_Data!S862&gt;60,"Very Long")</f>
        <v>Normal</v>
      </c>
      <c r="G866" s="3" t="str">
        <f>IF(ABS(Finance_Data!I862*Finance_Data!J862)-Finance_Data!K862&lt;1,"Valid","Invalid")</f>
        <v>Valid</v>
      </c>
      <c r="H866" s="3" t="str">
        <f>IF(Finance_Data!L862&gt;0,"Valid","Invalid")</f>
        <v>Valid</v>
      </c>
      <c r="I866" s="3" t="str">
        <f>IF(Finance_Data!L862&gt;=Finance_Data!M862,"Valid","Invalid")</f>
        <v>Valid</v>
      </c>
      <c r="J866" s="3" t="str">
        <f>IF(AND(Finance_Data!I862&gt;=0,Finance_Data!K862&gt;=0),"Valid","Invalid")</f>
        <v>Valid</v>
      </c>
      <c r="K866" s="3" t="str">
        <f>IF(Finance_Data!N862&gt;=0,"Valid","Invalid")</f>
        <v>Valid</v>
      </c>
      <c r="L866" s="3" t="str">
        <f>IF(TEXT(Finance_Data!G862,"mmmm")=Finance_Data!P862,"Valid","Invalid")</f>
        <v>Valid</v>
      </c>
      <c r="M866" s="3" t="str">
        <f>IF("Q"&amp;ROUNDUP(MONTH(Finance_Data!G862)/3,0)=Finance_Data!Q862,"Valid","Invalid")</f>
        <v>Valid</v>
      </c>
      <c r="N866" s="7" t="str">
        <f t="shared" si="13"/>
        <v>Pass</v>
      </c>
    </row>
    <row r="867" spans="1:14" x14ac:dyDescent="0.35">
      <c r="A867" s="17" t="s">
        <v>92</v>
      </c>
      <c r="B867" s="3" t="str">
        <f>IF(ISBLANK(Table3[[#This Row],[Campaign_ID]]),"Invalid","Valid")</f>
        <v>Valid</v>
      </c>
      <c r="C867" s="3" t="str">
        <f>IF(COUNTA(Finance_Data!A863:R863)=18,"Valid","Missing")</f>
        <v>Valid</v>
      </c>
      <c r="D867" s="3" t="str">
        <f>IF(COUNTIF(Finance_Data!$T$2:$T$1001,Finance_Data!T863)&gt;1,"Duplicate","Valid")</f>
        <v>Valid</v>
      </c>
      <c r="E867" s="3" t="str">
        <f>IF(Finance_Data!H863&gt;Finance_Data!G863,"Valid","Invalid")</f>
        <v>Valid</v>
      </c>
      <c r="F867" s="3" t="str" cm="1">
        <f t="array" ref="F867">_xlfn.IFS(Finance_Data!S863&lt;7,"Short",Finance_Data!S863&lt;=30,"Normal",Finance_Data!S863&lt;=60,"Long",Finance_Data!S863&gt;60,"Very Long")</f>
        <v>Long</v>
      </c>
      <c r="G867" s="3" t="str">
        <f>IF(ABS(Finance_Data!I863*Finance_Data!J863)-Finance_Data!K863&lt;1,"Valid","Invalid")</f>
        <v>Valid</v>
      </c>
      <c r="H867" s="3" t="str">
        <f>IF(Finance_Data!L863&gt;0,"Valid","Invalid")</f>
        <v>Valid</v>
      </c>
      <c r="I867" s="3" t="str">
        <f>IF(Finance_Data!L863&gt;=Finance_Data!M863,"Valid","Invalid")</f>
        <v>Valid</v>
      </c>
      <c r="J867" s="3" t="str">
        <f>IF(AND(Finance_Data!I863&gt;=0,Finance_Data!K863&gt;=0),"Valid","Invalid")</f>
        <v>Valid</v>
      </c>
      <c r="K867" s="3" t="str">
        <f>IF(Finance_Data!N863&gt;=0,"Valid","Invalid")</f>
        <v>Valid</v>
      </c>
      <c r="L867" s="3" t="str">
        <f>IF(TEXT(Finance_Data!G863,"mmmm")=Finance_Data!P863,"Valid","Invalid")</f>
        <v>Valid</v>
      </c>
      <c r="M867" s="3" t="str">
        <f>IF("Q"&amp;ROUNDUP(MONTH(Finance_Data!G863)/3,0)=Finance_Data!Q863,"Valid","Invalid")</f>
        <v>Valid</v>
      </c>
      <c r="N867" s="7" t="str">
        <f t="shared" si="13"/>
        <v>Pass</v>
      </c>
    </row>
    <row r="868" spans="1:14" x14ac:dyDescent="0.35">
      <c r="A868" s="17" t="s">
        <v>72</v>
      </c>
      <c r="B868" s="3" t="str">
        <f>IF(ISBLANK(Table3[[#This Row],[Campaign_ID]]),"Invalid","Valid")</f>
        <v>Valid</v>
      </c>
      <c r="C868" s="3" t="str">
        <f>IF(COUNTA(Finance_Data!A864:R864)=18,"Valid","Missing")</f>
        <v>Valid</v>
      </c>
      <c r="D868" s="3" t="str">
        <f>IF(COUNTIF(Finance_Data!$T$2:$T$1001,Finance_Data!T864)&gt;1,"Duplicate","Valid")</f>
        <v>Valid</v>
      </c>
      <c r="E868" s="3" t="str">
        <f>IF(Finance_Data!H864&gt;Finance_Data!G864,"Valid","Invalid")</f>
        <v>Valid</v>
      </c>
      <c r="F868" s="3" t="str" cm="1">
        <f t="array" ref="F868">_xlfn.IFS(Finance_Data!S864&lt;7,"Short",Finance_Data!S864&lt;=30,"Normal",Finance_Data!S864&lt;=60,"Long",Finance_Data!S864&gt;60,"Very Long")</f>
        <v>Long</v>
      </c>
      <c r="G868" s="3" t="str">
        <f>IF(ABS(Finance_Data!I864*Finance_Data!J864)-Finance_Data!K864&lt;1,"Valid","Invalid")</f>
        <v>Valid</v>
      </c>
      <c r="H868" s="3" t="str">
        <f>IF(Finance_Data!L864&gt;0,"Valid","Invalid")</f>
        <v>Valid</v>
      </c>
      <c r="I868" s="3" t="str">
        <f>IF(Finance_Data!L864&gt;=Finance_Data!M864,"Valid","Invalid")</f>
        <v>Valid</v>
      </c>
      <c r="J868" s="3" t="str">
        <f>IF(AND(Finance_Data!I864&gt;=0,Finance_Data!K864&gt;=0),"Valid","Invalid")</f>
        <v>Valid</v>
      </c>
      <c r="K868" s="3" t="str">
        <f>IF(Finance_Data!N864&gt;=0,"Valid","Invalid")</f>
        <v>Valid</v>
      </c>
      <c r="L868" s="3" t="str">
        <f>IF(TEXT(Finance_Data!G864,"mmmm")=Finance_Data!P864,"Valid","Invalid")</f>
        <v>Valid</v>
      </c>
      <c r="M868" s="3" t="str">
        <f>IF("Q"&amp;ROUNDUP(MONTH(Finance_Data!G864)/3,0)=Finance_Data!Q864,"Valid","Invalid")</f>
        <v>Valid</v>
      </c>
      <c r="N868" s="7" t="str">
        <f t="shared" si="13"/>
        <v>Pass</v>
      </c>
    </row>
    <row r="869" spans="1:14" x14ac:dyDescent="0.35">
      <c r="A869" s="17" t="s">
        <v>34</v>
      </c>
      <c r="B869" s="3" t="str">
        <f>IF(ISBLANK(Table3[[#This Row],[Campaign_ID]]),"Invalid","Valid")</f>
        <v>Valid</v>
      </c>
      <c r="C869" s="3" t="str">
        <f>IF(COUNTA(Finance_Data!A865:R865)=18,"Valid","Missing")</f>
        <v>Valid</v>
      </c>
      <c r="D869" s="3" t="str">
        <f>IF(COUNTIF(Finance_Data!$T$2:$T$1001,Finance_Data!T865)&gt;1,"Duplicate","Valid")</f>
        <v>Valid</v>
      </c>
      <c r="E869" s="3" t="str">
        <f>IF(Finance_Data!H865&gt;Finance_Data!G865,"Valid","Invalid")</f>
        <v>Valid</v>
      </c>
      <c r="F869" s="3" t="str" cm="1">
        <f t="array" ref="F869">_xlfn.IFS(Finance_Data!S865&lt;7,"Short",Finance_Data!S865&lt;=30,"Normal",Finance_Data!S865&lt;=60,"Long",Finance_Data!S865&gt;60,"Very Long")</f>
        <v>Long</v>
      </c>
      <c r="G869" s="3" t="str">
        <f>IF(ABS(Finance_Data!I865*Finance_Data!J865)-Finance_Data!K865&lt;1,"Valid","Invalid")</f>
        <v>Valid</v>
      </c>
      <c r="H869" s="3" t="str">
        <f>IF(Finance_Data!L865&gt;0,"Valid","Invalid")</f>
        <v>Valid</v>
      </c>
      <c r="I869" s="3" t="str">
        <f>IF(Finance_Data!L865&gt;=Finance_Data!M865,"Valid","Invalid")</f>
        <v>Valid</v>
      </c>
      <c r="J869" s="3" t="str">
        <f>IF(AND(Finance_Data!I865&gt;=0,Finance_Data!K865&gt;=0),"Valid","Invalid")</f>
        <v>Valid</v>
      </c>
      <c r="K869" s="3" t="str">
        <f>IF(Finance_Data!N865&gt;=0,"Valid","Invalid")</f>
        <v>Valid</v>
      </c>
      <c r="L869" s="3" t="str">
        <f>IF(TEXT(Finance_Data!G865,"mmmm")=Finance_Data!P865,"Valid","Invalid")</f>
        <v>Valid</v>
      </c>
      <c r="M869" s="3" t="str">
        <f>IF("Q"&amp;ROUNDUP(MONTH(Finance_Data!G865)/3,0)=Finance_Data!Q865,"Valid","Invalid")</f>
        <v>Valid</v>
      </c>
      <c r="N869" s="7" t="str">
        <f t="shared" si="13"/>
        <v>Pass</v>
      </c>
    </row>
    <row r="870" spans="1:14" x14ac:dyDescent="0.35">
      <c r="A870" s="17" t="s">
        <v>87</v>
      </c>
      <c r="B870" s="3" t="str">
        <f>IF(ISBLANK(Table3[[#This Row],[Campaign_ID]]),"Invalid","Valid")</f>
        <v>Valid</v>
      </c>
      <c r="C870" s="3" t="str">
        <f>IF(COUNTA(Finance_Data!A866:R866)=18,"Valid","Missing")</f>
        <v>Valid</v>
      </c>
      <c r="D870" s="3" t="str">
        <f>IF(COUNTIF(Finance_Data!$T$2:$T$1001,Finance_Data!T866)&gt;1,"Duplicate","Valid")</f>
        <v>Valid</v>
      </c>
      <c r="E870" s="3" t="str">
        <f>IF(Finance_Data!H866&gt;Finance_Data!G866,"Valid","Invalid")</f>
        <v>Valid</v>
      </c>
      <c r="F870" s="3" t="str" cm="1">
        <f t="array" ref="F870">_xlfn.IFS(Finance_Data!S866&lt;7,"Short",Finance_Data!S866&lt;=30,"Normal",Finance_Data!S866&lt;=60,"Long",Finance_Data!S866&gt;60,"Very Long")</f>
        <v>Long</v>
      </c>
      <c r="G870" s="3" t="str">
        <f>IF(ABS(Finance_Data!I866*Finance_Data!J866)-Finance_Data!K866&lt;1,"Valid","Invalid")</f>
        <v>Valid</v>
      </c>
      <c r="H870" s="3" t="str">
        <f>IF(Finance_Data!L866&gt;0,"Valid","Invalid")</f>
        <v>Valid</v>
      </c>
      <c r="I870" s="3" t="str">
        <f>IF(Finance_Data!L866&gt;=Finance_Data!M866,"Valid","Invalid")</f>
        <v>Valid</v>
      </c>
      <c r="J870" s="3" t="str">
        <f>IF(AND(Finance_Data!I866&gt;=0,Finance_Data!K866&gt;=0),"Valid","Invalid")</f>
        <v>Valid</v>
      </c>
      <c r="K870" s="3" t="str">
        <f>IF(Finance_Data!N866&gt;=0,"Valid","Invalid")</f>
        <v>Valid</v>
      </c>
      <c r="L870" s="3" t="str">
        <f>IF(TEXT(Finance_Data!G866,"mmmm")=Finance_Data!P866,"Valid","Invalid")</f>
        <v>Valid</v>
      </c>
      <c r="M870" s="3" t="str">
        <f>IF("Q"&amp;ROUNDUP(MONTH(Finance_Data!G866)/3,0)=Finance_Data!Q866,"Valid","Invalid")</f>
        <v>Valid</v>
      </c>
      <c r="N870" s="7" t="str">
        <f t="shared" si="13"/>
        <v>Pass</v>
      </c>
    </row>
    <row r="871" spans="1:14" x14ac:dyDescent="0.35">
      <c r="A871" s="17" t="s">
        <v>107</v>
      </c>
      <c r="B871" s="3" t="str">
        <f>IF(ISBLANK(Table3[[#This Row],[Campaign_ID]]),"Invalid","Valid")</f>
        <v>Valid</v>
      </c>
      <c r="C871" s="3" t="str">
        <f>IF(COUNTA(Finance_Data!A867:R867)=18,"Valid","Missing")</f>
        <v>Valid</v>
      </c>
      <c r="D871" s="3" t="str">
        <f>IF(COUNTIF(Finance_Data!$T$2:$T$1001,Finance_Data!T867)&gt;1,"Duplicate","Valid")</f>
        <v>Valid</v>
      </c>
      <c r="E871" s="3" t="str">
        <f>IF(Finance_Data!H867&gt;Finance_Data!G867,"Valid","Invalid")</f>
        <v>Valid</v>
      </c>
      <c r="F871" s="3" t="str" cm="1">
        <f t="array" ref="F871">_xlfn.IFS(Finance_Data!S867&lt;7,"Short",Finance_Data!S867&lt;=30,"Normal",Finance_Data!S867&lt;=60,"Long",Finance_Data!S867&gt;60,"Very Long")</f>
        <v>Long</v>
      </c>
      <c r="G871" s="3" t="str">
        <f>IF(ABS(Finance_Data!I867*Finance_Data!J867)-Finance_Data!K867&lt;1,"Valid","Invalid")</f>
        <v>Valid</v>
      </c>
      <c r="H871" s="3" t="str">
        <f>IF(Finance_Data!L867&gt;0,"Valid","Invalid")</f>
        <v>Valid</v>
      </c>
      <c r="I871" s="3" t="str">
        <f>IF(Finance_Data!L867&gt;=Finance_Data!M867,"Valid","Invalid")</f>
        <v>Valid</v>
      </c>
      <c r="J871" s="3" t="str">
        <f>IF(AND(Finance_Data!I867&gt;=0,Finance_Data!K867&gt;=0),"Valid","Invalid")</f>
        <v>Valid</v>
      </c>
      <c r="K871" s="3" t="str">
        <f>IF(Finance_Data!N867&gt;=0,"Valid","Invalid")</f>
        <v>Valid</v>
      </c>
      <c r="L871" s="3" t="str">
        <f>IF(TEXT(Finance_Data!G867,"mmmm")=Finance_Data!P867,"Valid","Invalid")</f>
        <v>Valid</v>
      </c>
      <c r="M871" s="3" t="str">
        <f>IF("Q"&amp;ROUNDUP(MONTH(Finance_Data!G867)/3,0)=Finance_Data!Q867,"Valid","Invalid")</f>
        <v>Valid</v>
      </c>
      <c r="N871" s="7" t="str">
        <f t="shared" si="13"/>
        <v>Pass</v>
      </c>
    </row>
    <row r="872" spans="1:14" x14ac:dyDescent="0.35">
      <c r="A872" s="17" t="s">
        <v>84</v>
      </c>
      <c r="B872" s="3" t="str">
        <f>IF(ISBLANK(Table3[[#This Row],[Campaign_ID]]),"Invalid","Valid")</f>
        <v>Valid</v>
      </c>
      <c r="C872" s="3" t="str">
        <f>IF(COUNTA(Finance_Data!A868:R868)=18,"Valid","Missing")</f>
        <v>Valid</v>
      </c>
      <c r="D872" s="3" t="str">
        <f>IF(COUNTIF(Finance_Data!$T$2:$T$1001,Finance_Data!T868)&gt;1,"Duplicate","Valid")</f>
        <v>Valid</v>
      </c>
      <c r="E872" s="3" t="str">
        <f>IF(Finance_Data!H868&gt;Finance_Data!G868,"Valid","Invalid")</f>
        <v>Valid</v>
      </c>
      <c r="F872" s="3" t="str" cm="1">
        <f t="array" ref="F872">_xlfn.IFS(Finance_Data!S868&lt;7,"Short",Finance_Data!S868&lt;=30,"Normal",Finance_Data!S868&lt;=60,"Long",Finance_Data!S868&gt;60,"Very Long")</f>
        <v>Long</v>
      </c>
      <c r="G872" s="3" t="str">
        <f>IF(ABS(Finance_Data!I868*Finance_Data!J868)-Finance_Data!K868&lt;1,"Valid","Invalid")</f>
        <v>Valid</v>
      </c>
      <c r="H872" s="3" t="str">
        <f>IF(Finance_Data!L868&gt;0,"Valid","Invalid")</f>
        <v>Valid</v>
      </c>
      <c r="I872" s="3" t="str">
        <f>IF(Finance_Data!L868&gt;=Finance_Data!M868,"Valid","Invalid")</f>
        <v>Valid</v>
      </c>
      <c r="J872" s="3" t="str">
        <f>IF(AND(Finance_Data!I868&gt;=0,Finance_Data!K868&gt;=0),"Valid","Invalid")</f>
        <v>Valid</v>
      </c>
      <c r="K872" s="3" t="str">
        <f>IF(Finance_Data!N868&gt;=0,"Valid","Invalid")</f>
        <v>Valid</v>
      </c>
      <c r="L872" s="3" t="str">
        <f>IF(TEXT(Finance_Data!G868,"mmmm")=Finance_Data!P868,"Valid","Invalid")</f>
        <v>Valid</v>
      </c>
      <c r="M872" s="3" t="str">
        <f>IF("Q"&amp;ROUNDUP(MONTH(Finance_Data!G868)/3,0)=Finance_Data!Q868,"Valid","Invalid")</f>
        <v>Valid</v>
      </c>
      <c r="N872" s="7" t="str">
        <f t="shared" si="13"/>
        <v>Pass</v>
      </c>
    </row>
    <row r="873" spans="1:14" x14ac:dyDescent="0.35">
      <c r="A873" s="17" t="s">
        <v>106</v>
      </c>
      <c r="B873" s="3" t="str">
        <f>IF(ISBLANK(Table3[[#This Row],[Campaign_ID]]),"Invalid","Valid")</f>
        <v>Valid</v>
      </c>
      <c r="C873" s="3" t="str">
        <f>IF(COUNTA(Finance_Data!A869:R869)=18,"Valid","Missing")</f>
        <v>Valid</v>
      </c>
      <c r="D873" s="3" t="str">
        <f>IF(COUNTIF(Finance_Data!$T$2:$T$1001,Finance_Data!T869)&gt;1,"Duplicate","Valid")</f>
        <v>Valid</v>
      </c>
      <c r="E873" s="3" t="str">
        <f>IF(Finance_Data!H869&gt;Finance_Data!G869,"Valid","Invalid")</f>
        <v>Valid</v>
      </c>
      <c r="F873" s="3" t="str" cm="1">
        <f t="array" ref="F873">_xlfn.IFS(Finance_Data!S869&lt;7,"Short",Finance_Data!S869&lt;=30,"Normal",Finance_Data!S869&lt;=60,"Long",Finance_Data!S869&gt;60,"Very Long")</f>
        <v>Normal</v>
      </c>
      <c r="G873" s="3" t="str">
        <f>IF(ABS(Finance_Data!I869*Finance_Data!J869)-Finance_Data!K869&lt;1,"Valid","Invalid")</f>
        <v>Valid</v>
      </c>
      <c r="H873" s="3" t="str">
        <f>IF(Finance_Data!L869&gt;0,"Valid","Invalid")</f>
        <v>Valid</v>
      </c>
      <c r="I873" s="3" t="str">
        <f>IF(Finance_Data!L869&gt;=Finance_Data!M869,"Valid","Invalid")</f>
        <v>Valid</v>
      </c>
      <c r="J873" s="3" t="str">
        <f>IF(AND(Finance_Data!I869&gt;=0,Finance_Data!K869&gt;=0),"Valid","Invalid")</f>
        <v>Valid</v>
      </c>
      <c r="K873" s="3" t="str">
        <f>IF(Finance_Data!N869&gt;=0,"Valid","Invalid")</f>
        <v>Valid</v>
      </c>
      <c r="L873" s="3" t="str">
        <f>IF(TEXT(Finance_Data!G869,"mmmm")=Finance_Data!P869,"Valid","Invalid")</f>
        <v>Valid</v>
      </c>
      <c r="M873" s="3" t="str">
        <f>IF("Q"&amp;ROUNDUP(MONTH(Finance_Data!G869)/3,0)=Finance_Data!Q869,"Valid","Invalid")</f>
        <v>Valid</v>
      </c>
      <c r="N873" s="7" t="str">
        <f t="shared" si="13"/>
        <v>Pass</v>
      </c>
    </row>
    <row r="874" spans="1:14" x14ac:dyDescent="0.35">
      <c r="A874" s="17" t="s">
        <v>108</v>
      </c>
      <c r="B874" s="3" t="str">
        <f>IF(ISBLANK(Table3[[#This Row],[Campaign_ID]]),"Invalid","Valid")</f>
        <v>Valid</v>
      </c>
      <c r="C874" s="3" t="str">
        <f>IF(COUNTA(Finance_Data!A870:R870)=18,"Valid","Missing")</f>
        <v>Valid</v>
      </c>
      <c r="D874" s="3" t="str">
        <f>IF(COUNTIF(Finance_Data!$T$2:$T$1001,Finance_Data!T870)&gt;1,"Duplicate","Valid")</f>
        <v>Valid</v>
      </c>
      <c r="E874" s="3" t="str">
        <f>IF(Finance_Data!H870&gt;Finance_Data!G870,"Valid","Invalid")</f>
        <v>Valid</v>
      </c>
      <c r="F874" s="3" t="str" cm="1">
        <f t="array" ref="F874">_xlfn.IFS(Finance_Data!S870&lt;7,"Short",Finance_Data!S870&lt;=30,"Normal",Finance_Data!S870&lt;=60,"Long",Finance_Data!S870&gt;60,"Very Long")</f>
        <v>Long</v>
      </c>
      <c r="G874" s="3" t="str">
        <f>IF(ABS(Finance_Data!I870*Finance_Data!J870)-Finance_Data!K870&lt;1,"Valid","Invalid")</f>
        <v>Valid</v>
      </c>
      <c r="H874" s="3" t="str">
        <f>IF(Finance_Data!L870&gt;0,"Valid","Invalid")</f>
        <v>Valid</v>
      </c>
      <c r="I874" s="3" t="str">
        <f>IF(Finance_Data!L870&gt;=Finance_Data!M870,"Valid","Invalid")</f>
        <v>Valid</v>
      </c>
      <c r="J874" s="3" t="str">
        <f>IF(AND(Finance_Data!I870&gt;=0,Finance_Data!K870&gt;=0),"Valid","Invalid")</f>
        <v>Valid</v>
      </c>
      <c r="K874" s="3" t="str">
        <f>IF(Finance_Data!N870&gt;=0,"Valid","Invalid")</f>
        <v>Valid</v>
      </c>
      <c r="L874" s="3" t="str">
        <f>IF(TEXT(Finance_Data!G870,"mmmm")=Finance_Data!P870,"Valid","Invalid")</f>
        <v>Valid</v>
      </c>
      <c r="M874" s="3" t="str">
        <f>IF("Q"&amp;ROUNDUP(MONTH(Finance_Data!G870)/3,0)=Finance_Data!Q870,"Valid","Invalid")</f>
        <v>Valid</v>
      </c>
      <c r="N874" s="7" t="str">
        <f t="shared" si="13"/>
        <v>Pass</v>
      </c>
    </row>
    <row r="875" spans="1:14" x14ac:dyDescent="0.35">
      <c r="A875" s="17" t="s">
        <v>90</v>
      </c>
      <c r="B875" s="3" t="str">
        <f>IF(ISBLANK(Table3[[#This Row],[Campaign_ID]]),"Invalid","Valid")</f>
        <v>Valid</v>
      </c>
      <c r="C875" s="3" t="str">
        <f>IF(COUNTA(Finance_Data!A871:R871)=18,"Valid","Missing")</f>
        <v>Valid</v>
      </c>
      <c r="D875" s="3" t="str">
        <f>IF(COUNTIF(Finance_Data!$T$2:$T$1001,Finance_Data!T871)&gt;1,"Duplicate","Valid")</f>
        <v>Valid</v>
      </c>
      <c r="E875" s="3" t="str">
        <f>IF(Finance_Data!H871&gt;Finance_Data!G871,"Valid","Invalid")</f>
        <v>Valid</v>
      </c>
      <c r="F875" s="3" t="str" cm="1">
        <f t="array" ref="F875">_xlfn.IFS(Finance_Data!S871&lt;7,"Short",Finance_Data!S871&lt;=30,"Normal",Finance_Data!S871&lt;=60,"Long",Finance_Data!S871&gt;60,"Very Long")</f>
        <v>Long</v>
      </c>
      <c r="G875" s="3" t="str">
        <f>IF(ABS(Finance_Data!I871*Finance_Data!J871)-Finance_Data!K871&lt;1,"Valid","Invalid")</f>
        <v>Valid</v>
      </c>
      <c r="H875" s="3" t="str">
        <f>IF(Finance_Data!L871&gt;0,"Valid","Invalid")</f>
        <v>Valid</v>
      </c>
      <c r="I875" s="3" t="str">
        <f>IF(Finance_Data!L871&gt;=Finance_Data!M871,"Valid","Invalid")</f>
        <v>Valid</v>
      </c>
      <c r="J875" s="3" t="str">
        <f>IF(AND(Finance_Data!I871&gt;=0,Finance_Data!K871&gt;=0),"Valid","Invalid")</f>
        <v>Valid</v>
      </c>
      <c r="K875" s="3" t="str">
        <f>IF(Finance_Data!N871&gt;=0,"Valid","Invalid")</f>
        <v>Valid</v>
      </c>
      <c r="L875" s="3" t="str">
        <f>IF(TEXT(Finance_Data!G871,"mmmm")=Finance_Data!P871,"Valid","Invalid")</f>
        <v>Valid</v>
      </c>
      <c r="M875" s="3" t="str">
        <f>IF("Q"&amp;ROUNDUP(MONTH(Finance_Data!G871)/3,0)=Finance_Data!Q871,"Valid","Invalid")</f>
        <v>Valid</v>
      </c>
      <c r="N875" s="7" t="str">
        <f t="shared" si="13"/>
        <v>Pass</v>
      </c>
    </row>
    <row r="876" spans="1:14" x14ac:dyDescent="0.35">
      <c r="A876" s="17" t="s">
        <v>117</v>
      </c>
      <c r="B876" s="3" t="str">
        <f>IF(ISBLANK(Table3[[#This Row],[Campaign_ID]]),"Invalid","Valid")</f>
        <v>Valid</v>
      </c>
      <c r="C876" s="3" t="str">
        <f>IF(COUNTA(Finance_Data!A872:R872)=18,"Valid","Missing")</f>
        <v>Valid</v>
      </c>
      <c r="D876" s="3" t="str">
        <f>IF(COUNTIF(Finance_Data!$T$2:$T$1001,Finance_Data!T872)&gt;1,"Duplicate","Valid")</f>
        <v>Valid</v>
      </c>
      <c r="E876" s="3" t="str">
        <f>IF(Finance_Data!H872&gt;Finance_Data!G872,"Valid","Invalid")</f>
        <v>Valid</v>
      </c>
      <c r="F876" s="3" t="str" cm="1">
        <f t="array" ref="F876">_xlfn.IFS(Finance_Data!S872&lt;7,"Short",Finance_Data!S872&lt;=30,"Normal",Finance_Data!S872&lt;=60,"Long",Finance_Data!S872&gt;60,"Very Long")</f>
        <v>Normal</v>
      </c>
      <c r="G876" s="3" t="str">
        <f>IF(ABS(Finance_Data!I872*Finance_Data!J872)-Finance_Data!K872&lt;1,"Valid","Invalid")</f>
        <v>Valid</v>
      </c>
      <c r="H876" s="3" t="str">
        <f>IF(Finance_Data!L872&gt;0,"Valid","Invalid")</f>
        <v>Valid</v>
      </c>
      <c r="I876" s="3" t="str">
        <f>IF(Finance_Data!L872&gt;=Finance_Data!M872,"Valid","Invalid")</f>
        <v>Valid</v>
      </c>
      <c r="J876" s="3" t="str">
        <f>IF(AND(Finance_Data!I872&gt;=0,Finance_Data!K872&gt;=0),"Valid","Invalid")</f>
        <v>Valid</v>
      </c>
      <c r="K876" s="3" t="str">
        <f>IF(Finance_Data!N872&gt;=0,"Valid","Invalid")</f>
        <v>Valid</v>
      </c>
      <c r="L876" s="3" t="str">
        <f>IF(TEXT(Finance_Data!G872,"mmmm")=Finance_Data!P872,"Valid","Invalid")</f>
        <v>Valid</v>
      </c>
      <c r="M876" s="3" t="str">
        <f>IF("Q"&amp;ROUNDUP(MONTH(Finance_Data!G872)/3,0)=Finance_Data!Q872,"Valid","Invalid")</f>
        <v>Valid</v>
      </c>
      <c r="N876" s="7" t="str">
        <f t="shared" si="13"/>
        <v>Pass</v>
      </c>
    </row>
    <row r="877" spans="1:14" x14ac:dyDescent="0.35">
      <c r="A877" s="17" t="s">
        <v>66</v>
      </c>
      <c r="B877" s="3" t="str">
        <f>IF(ISBLANK(Table3[[#This Row],[Campaign_ID]]),"Invalid","Valid")</f>
        <v>Valid</v>
      </c>
      <c r="C877" s="3" t="str">
        <f>IF(COUNTA(Finance_Data!A873:R873)=18,"Valid","Missing")</f>
        <v>Valid</v>
      </c>
      <c r="D877" s="3" t="str">
        <f>IF(COUNTIF(Finance_Data!$T$2:$T$1001,Finance_Data!T873)&gt;1,"Duplicate","Valid")</f>
        <v>Valid</v>
      </c>
      <c r="E877" s="3" t="str">
        <f>IF(Finance_Data!H873&gt;Finance_Data!G873,"Valid","Invalid")</f>
        <v>Valid</v>
      </c>
      <c r="F877" s="3" t="str" cm="1">
        <f t="array" ref="F877">_xlfn.IFS(Finance_Data!S873&lt;7,"Short",Finance_Data!S873&lt;=30,"Normal",Finance_Data!S873&lt;=60,"Long",Finance_Data!S873&gt;60,"Very Long")</f>
        <v>Normal</v>
      </c>
      <c r="G877" s="3" t="str">
        <f>IF(ABS(Finance_Data!I873*Finance_Data!J873)-Finance_Data!K873&lt;1,"Valid","Invalid")</f>
        <v>Valid</v>
      </c>
      <c r="H877" s="3" t="str">
        <f>IF(Finance_Data!L873&gt;0,"Valid","Invalid")</f>
        <v>Valid</v>
      </c>
      <c r="I877" s="3" t="str">
        <f>IF(Finance_Data!L873&gt;=Finance_Data!M873,"Valid","Invalid")</f>
        <v>Valid</v>
      </c>
      <c r="J877" s="3" t="str">
        <f>IF(AND(Finance_Data!I873&gt;=0,Finance_Data!K873&gt;=0),"Valid","Invalid")</f>
        <v>Valid</v>
      </c>
      <c r="K877" s="3" t="str">
        <f>IF(Finance_Data!N873&gt;=0,"Valid","Invalid")</f>
        <v>Valid</v>
      </c>
      <c r="L877" s="3" t="str">
        <f>IF(TEXT(Finance_Data!G873,"mmmm")=Finance_Data!P873,"Valid","Invalid")</f>
        <v>Valid</v>
      </c>
      <c r="M877" s="3" t="str">
        <f>IF("Q"&amp;ROUNDUP(MONTH(Finance_Data!G873)/3,0)=Finance_Data!Q873,"Valid","Invalid")</f>
        <v>Valid</v>
      </c>
      <c r="N877" s="7" t="str">
        <f t="shared" si="13"/>
        <v>Pass</v>
      </c>
    </row>
    <row r="878" spans="1:14" x14ac:dyDescent="0.35">
      <c r="A878" s="17" t="s">
        <v>34</v>
      </c>
      <c r="B878" s="3" t="str">
        <f>IF(ISBLANK(Table3[[#This Row],[Campaign_ID]]),"Invalid","Valid")</f>
        <v>Valid</v>
      </c>
      <c r="C878" s="3" t="str">
        <f>IF(COUNTA(Finance_Data!A874:R874)=18,"Valid","Missing")</f>
        <v>Valid</v>
      </c>
      <c r="D878" s="3" t="str">
        <f>IF(COUNTIF(Finance_Data!$T$2:$T$1001,Finance_Data!T874)&gt;1,"Duplicate","Valid")</f>
        <v>Valid</v>
      </c>
      <c r="E878" s="3" t="str">
        <f>IF(Finance_Data!H874&gt;Finance_Data!G874,"Valid","Invalid")</f>
        <v>Valid</v>
      </c>
      <c r="F878" s="3" t="str" cm="1">
        <f t="array" ref="F878">_xlfn.IFS(Finance_Data!S874&lt;7,"Short",Finance_Data!S874&lt;=30,"Normal",Finance_Data!S874&lt;=60,"Long",Finance_Data!S874&gt;60,"Very Long")</f>
        <v>Long</v>
      </c>
      <c r="G878" s="3" t="str">
        <f>IF(ABS(Finance_Data!I874*Finance_Data!J874)-Finance_Data!K874&lt;1,"Valid","Invalid")</f>
        <v>Valid</v>
      </c>
      <c r="H878" s="3" t="str">
        <f>IF(Finance_Data!L874&gt;0,"Valid","Invalid")</f>
        <v>Valid</v>
      </c>
      <c r="I878" s="3" t="str">
        <f>IF(Finance_Data!L874&gt;=Finance_Data!M874,"Valid","Invalid")</f>
        <v>Valid</v>
      </c>
      <c r="J878" s="3" t="str">
        <f>IF(AND(Finance_Data!I874&gt;=0,Finance_Data!K874&gt;=0),"Valid","Invalid")</f>
        <v>Valid</v>
      </c>
      <c r="K878" s="3" t="str">
        <f>IF(Finance_Data!N874&gt;=0,"Valid","Invalid")</f>
        <v>Valid</v>
      </c>
      <c r="L878" s="3" t="str">
        <f>IF(TEXT(Finance_Data!G874,"mmmm")=Finance_Data!P874,"Valid","Invalid")</f>
        <v>Valid</v>
      </c>
      <c r="M878" s="3" t="str">
        <f>IF("Q"&amp;ROUNDUP(MONTH(Finance_Data!G874)/3,0)=Finance_Data!Q874,"Valid","Invalid")</f>
        <v>Valid</v>
      </c>
      <c r="N878" s="7" t="str">
        <f t="shared" si="13"/>
        <v>Pass</v>
      </c>
    </row>
    <row r="879" spans="1:14" x14ac:dyDescent="0.35">
      <c r="A879" s="17" t="s">
        <v>97</v>
      </c>
      <c r="B879" s="3" t="str">
        <f>IF(ISBLANK(Table3[[#This Row],[Campaign_ID]]),"Invalid","Valid")</f>
        <v>Valid</v>
      </c>
      <c r="C879" s="3" t="str">
        <f>IF(COUNTA(Finance_Data!A875:R875)=18,"Valid","Missing")</f>
        <v>Valid</v>
      </c>
      <c r="D879" s="3" t="str">
        <f>IF(COUNTIF(Finance_Data!$T$2:$T$1001,Finance_Data!T875)&gt;1,"Duplicate","Valid")</f>
        <v>Valid</v>
      </c>
      <c r="E879" s="3" t="str">
        <f>IF(Finance_Data!H875&gt;Finance_Data!G875,"Valid","Invalid")</f>
        <v>Valid</v>
      </c>
      <c r="F879" s="3" t="str" cm="1">
        <f t="array" ref="F879">_xlfn.IFS(Finance_Data!S875&lt;7,"Short",Finance_Data!S875&lt;=30,"Normal",Finance_Data!S875&lt;=60,"Long",Finance_Data!S875&gt;60,"Very Long")</f>
        <v>Long</v>
      </c>
      <c r="G879" s="3" t="str">
        <f>IF(ABS(Finance_Data!I875*Finance_Data!J875)-Finance_Data!K875&lt;1,"Valid","Invalid")</f>
        <v>Valid</v>
      </c>
      <c r="H879" s="3" t="str">
        <f>IF(Finance_Data!L875&gt;0,"Valid","Invalid")</f>
        <v>Valid</v>
      </c>
      <c r="I879" s="3" t="str">
        <f>IF(Finance_Data!L875&gt;=Finance_Data!M875,"Valid","Invalid")</f>
        <v>Valid</v>
      </c>
      <c r="J879" s="3" t="str">
        <f>IF(AND(Finance_Data!I875&gt;=0,Finance_Data!K875&gt;=0),"Valid","Invalid")</f>
        <v>Valid</v>
      </c>
      <c r="K879" s="3" t="str">
        <f>IF(Finance_Data!N875&gt;=0,"Valid","Invalid")</f>
        <v>Valid</v>
      </c>
      <c r="L879" s="3" t="str">
        <f>IF(TEXT(Finance_Data!G875,"mmmm")=Finance_Data!P875,"Valid","Invalid")</f>
        <v>Valid</v>
      </c>
      <c r="M879" s="3" t="str">
        <f>IF("Q"&amp;ROUNDUP(MONTH(Finance_Data!G875)/3,0)=Finance_Data!Q875,"Valid","Invalid")</f>
        <v>Valid</v>
      </c>
      <c r="N879" s="7" t="str">
        <f t="shared" si="13"/>
        <v>Pass</v>
      </c>
    </row>
    <row r="880" spans="1:14" x14ac:dyDescent="0.35">
      <c r="A880" s="17" t="s">
        <v>82</v>
      </c>
      <c r="B880" s="3" t="str">
        <f>IF(ISBLANK(Table3[[#This Row],[Campaign_ID]]),"Invalid","Valid")</f>
        <v>Valid</v>
      </c>
      <c r="C880" s="3" t="str">
        <f>IF(COUNTA(Finance_Data!A876:R876)=18,"Valid","Missing")</f>
        <v>Valid</v>
      </c>
      <c r="D880" s="3" t="str">
        <f>IF(COUNTIF(Finance_Data!$T$2:$T$1001,Finance_Data!T876)&gt;1,"Duplicate","Valid")</f>
        <v>Valid</v>
      </c>
      <c r="E880" s="3" t="str">
        <f>IF(Finance_Data!H876&gt;Finance_Data!G876,"Valid","Invalid")</f>
        <v>Valid</v>
      </c>
      <c r="F880" s="3" t="str" cm="1">
        <f t="array" ref="F880">_xlfn.IFS(Finance_Data!S876&lt;7,"Short",Finance_Data!S876&lt;=30,"Normal",Finance_Data!S876&lt;=60,"Long",Finance_Data!S876&gt;60,"Very Long")</f>
        <v>Long</v>
      </c>
      <c r="G880" s="3" t="str">
        <f>IF(ABS(Finance_Data!I876*Finance_Data!J876)-Finance_Data!K876&lt;1,"Valid","Invalid")</f>
        <v>Valid</v>
      </c>
      <c r="H880" s="3" t="str">
        <f>IF(Finance_Data!L876&gt;0,"Valid","Invalid")</f>
        <v>Valid</v>
      </c>
      <c r="I880" s="3" t="str">
        <f>IF(Finance_Data!L876&gt;=Finance_Data!M876,"Valid","Invalid")</f>
        <v>Valid</v>
      </c>
      <c r="J880" s="3" t="str">
        <f>IF(AND(Finance_Data!I876&gt;=0,Finance_Data!K876&gt;=0),"Valid","Invalid")</f>
        <v>Valid</v>
      </c>
      <c r="K880" s="3" t="str">
        <f>IF(Finance_Data!N876&gt;=0,"Valid","Invalid")</f>
        <v>Valid</v>
      </c>
      <c r="L880" s="3" t="str">
        <f>IF(TEXT(Finance_Data!G876,"mmmm")=Finance_Data!P876,"Valid","Invalid")</f>
        <v>Valid</v>
      </c>
      <c r="M880" s="3" t="str">
        <f>IF("Q"&amp;ROUNDUP(MONTH(Finance_Data!G876)/3,0)=Finance_Data!Q876,"Valid","Invalid")</f>
        <v>Valid</v>
      </c>
      <c r="N880" s="7" t="str">
        <f t="shared" si="13"/>
        <v>Pass</v>
      </c>
    </row>
    <row r="881" spans="1:14" x14ac:dyDescent="0.35">
      <c r="A881" s="17" t="s">
        <v>68</v>
      </c>
      <c r="B881" s="3" t="str">
        <f>IF(ISBLANK(Table3[[#This Row],[Campaign_ID]]),"Invalid","Valid")</f>
        <v>Valid</v>
      </c>
      <c r="C881" s="3" t="str">
        <f>IF(COUNTA(Finance_Data!A877:R877)=18,"Valid","Missing")</f>
        <v>Valid</v>
      </c>
      <c r="D881" s="3" t="str">
        <f>IF(COUNTIF(Finance_Data!$T$2:$T$1001,Finance_Data!T877)&gt;1,"Duplicate","Valid")</f>
        <v>Valid</v>
      </c>
      <c r="E881" s="3" t="str">
        <f>IF(Finance_Data!H877&gt;Finance_Data!G877,"Valid","Invalid")</f>
        <v>Valid</v>
      </c>
      <c r="F881" s="3" t="str" cm="1">
        <f t="array" ref="F881">_xlfn.IFS(Finance_Data!S877&lt;7,"Short",Finance_Data!S877&lt;=30,"Normal",Finance_Data!S877&lt;=60,"Long",Finance_Data!S877&gt;60,"Very Long")</f>
        <v>Long</v>
      </c>
      <c r="G881" s="3" t="str">
        <f>IF(ABS(Finance_Data!I877*Finance_Data!J877)-Finance_Data!K877&lt;1,"Valid","Invalid")</f>
        <v>Valid</v>
      </c>
      <c r="H881" s="3" t="str">
        <f>IF(Finance_Data!L877&gt;0,"Valid","Invalid")</f>
        <v>Valid</v>
      </c>
      <c r="I881" s="3" t="str">
        <f>IF(Finance_Data!L877&gt;=Finance_Data!M877,"Valid","Invalid")</f>
        <v>Valid</v>
      </c>
      <c r="J881" s="3" t="str">
        <f>IF(AND(Finance_Data!I877&gt;=0,Finance_Data!K877&gt;=0),"Valid","Invalid")</f>
        <v>Valid</v>
      </c>
      <c r="K881" s="3" t="str">
        <f>IF(Finance_Data!N877&gt;=0,"Valid","Invalid")</f>
        <v>Valid</v>
      </c>
      <c r="L881" s="3" t="str">
        <f>IF(TEXT(Finance_Data!G877,"mmmm")=Finance_Data!P877,"Valid","Invalid")</f>
        <v>Valid</v>
      </c>
      <c r="M881" s="3" t="str">
        <f>IF("Q"&amp;ROUNDUP(MONTH(Finance_Data!G877)/3,0)=Finance_Data!Q877,"Valid","Invalid")</f>
        <v>Valid</v>
      </c>
      <c r="N881" s="7" t="str">
        <f t="shared" si="13"/>
        <v>Pass</v>
      </c>
    </row>
    <row r="882" spans="1:14" x14ac:dyDescent="0.35">
      <c r="A882" s="17" t="s">
        <v>18</v>
      </c>
      <c r="B882" s="3" t="str">
        <f>IF(ISBLANK(Table3[[#This Row],[Campaign_ID]]),"Invalid","Valid")</f>
        <v>Valid</v>
      </c>
      <c r="C882" s="3" t="str">
        <f>IF(COUNTA(Finance_Data!A878:R878)=18,"Valid","Missing")</f>
        <v>Valid</v>
      </c>
      <c r="D882" s="3" t="str">
        <f>IF(COUNTIF(Finance_Data!$T$2:$T$1001,Finance_Data!T878)&gt;1,"Duplicate","Valid")</f>
        <v>Valid</v>
      </c>
      <c r="E882" s="3" t="str">
        <f>IF(Finance_Data!H878&gt;Finance_Data!G878,"Valid","Invalid")</f>
        <v>Valid</v>
      </c>
      <c r="F882" s="3" t="str" cm="1">
        <f t="array" ref="F882">_xlfn.IFS(Finance_Data!S878&lt;7,"Short",Finance_Data!S878&lt;=30,"Normal",Finance_Data!S878&lt;=60,"Long",Finance_Data!S878&gt;60,"Very Long")</f>
        <v>Normal</v>
      </c>
      <c r="G882" s="3" t="str">
        <f>IF(ABS(Finance_Data!I878*Finance_Data!J878)-Finance_Data!K878&lt;1,"Valid","Invalid")</f>
        <v>Valid</v>
      </c>
      <c r="H882" s="3" t="str">
        <f>IF(Finance_Data!L878&gt;0,"Valid","Invalid")</f>
        <v>Valid</v>
      </c>
      <c r="I882" s="3" t="str">
        <f>IF(Finance_Data!L878&gt;=Finance_Data!M878,"Valid","Invalid")</f>
        <v>Valid</v>
      </c>
      <c r="J882" s="3" t="str">
        <f>IF(AND(Finance_Data!I878&gt;=0,Finance_Data!K878&gt;=0),"Valid","Invalid")</f>
        <v>Valid</v>
      </c>
      <c r="K882" s="3" t="str">
        <f>IF(Finance_Data!N878&gt;=0,"Valid","Invalid")</f>
        <v>Valid</v>
      </c>
      <c r="L882" s="3" t="str">
        <f>IF(TEXT(Finance_Data!G878,"mmmm")=Finance_Data!P878,"Valid","Invalid")</f>
        <v>Valid</v>
      </c>
      <c r="M882" s="3" t="str">
        <f>IF("Q"&amp;ROUNDUP(MONTH(Finance_Data!G878)/3,0)=Finance_Data!Q878,"Valid","Invalid")</f>
        <v>Valid</v>
      </c>
      <c r="N882" s="7" t="str">
        <f t="shared" si="13"/>
        <v>Pass</v>
      </c>
    </row>
    <row r="883" spans="1:14" x14ac:dyDescent="0.35">
      <c r="A883" s="17" t="s">
        <v>109</v>
      </c>
      <c r="B883" s="3" t="str">
        <f>IF(ISBLANK(Table3[[#This Row],[Campaign_ID]]),"Invalid","Valid")</f>
        <v>Valid</v>
      </c>
      <c r="C883" s="3" t="str">
        <f>IF(COUNTA(Finance_Data!A879:R879)=18,"Valid","Missing")</f>
        <v>Valid</v>
      </c>
      <c r="D883" s="3" t="str">
        <f>IF(COUNTIF(Finance_Data!$T$2:$T$1001,Finance_Data!T879)&gt;1,"Duplicate","Valid")</f>
        <v>Valid</v>
      </c>
      <c r="E883" s="3" t="str">
        <f>IF(Finance_Data!H879&gt;Finance_Data!G879,"Valid","Invalid")</f>
        <v>Valid</v>
      </c>
      <c r="F883" s="3" t="str" cm="1">
        <f t="array" ref="F883">_xlfn.IFS(Finance_Data!S879&lt;7,"Short",Finance_Data!S879&lt;=30,"Normal",Finance_Data!S879&lt;=60,"Long",Finance_Data!S879&gt;60,"Very Long")</f>
        <v>Normal</v>
      </c>
      <c r="G883" s="3" t="str">
        <f>IF(ABS(Finance_Data!I879*Finance_Data!J879)-Finance_Data!K879&lt;1,"Valid","Invalid")</f>
        <v>Valid</v>
      </c>
      <c r="H883" s="3" t="str">
        <f>IF(Finance_Data!L879&gt;0,"Valid","Invalid")</f>
        <v>Valid</v>
      </c>
      <c r="I883" s="3" t="str">
        <f>IF(Finance_Data!L879&gt;=Finance_Data!M879,"Valid","Invalid")</f>
        <v>Valid</v>
      </c>
      <c r="J883" s="3" t="str">
        <f>IF(AND(Finance_Data!I879&gt;=0,Finance_Data!K879&gt;=0),"Valid","Invalid")</f>
        <v>Valid</v>
      </c>
      <c r="K883" s="3" t="str">
        <f>IF(Finance_Data!N879&gt;=0,"Valid","Invalid")</f>
        <v>Valid</v>
      </c>
      <c r="L883" s="3" t="str">
        <f>IF(TEXT(Finance_Data!G879,"mmmm")=Finance_Data!P879,"Valid","Invalid")</f>
        <v>Valid</v>
      </c>
      <c r="M883" s="3" t="str">
        <f>IF("Q"&amp;ROUNDUP(MONTH(Finance_Data!G879)/3,0)=Finance_Data!Q879,"Valid","Invalid")</f>
        <v>Valid</v>
      </c>
      <c r="N883" s="7" t="str">
        <f t="shared" si="13"/>
        <v>Pass</v>
      </c>
    </row>
    <row r="884" spans="1:14" x14ac:dyDescent="0.35">
      <c r="A884" s="17" t="s">
        <v>77</v>
      </c>
      <c r="B884" s="3" t="str">
        <f>IF(ISBLANK(Table3[[#This Row],[Campaign_ID]]),"Invalid","Valid")</f>
        <v>Valid</v>
      </c>
      <c r="C884" s="3" t="str">
        <f>IF(COUNTA(Finance_Data!A880:R880)=18,"Valid","Missing")</f>
        <v>Valid</v>
      </c>
      <c r="D884" s="3" t="str">
        <f>IF(COUNTIF(Finance_Data!$T$2:$T$1001,Finance_Data!T880)&gt;1,"Duplicate","Valid")</f>
        <v>Valid</v>
      </c>
      <c r="E884" s="3" t="str">
        <f>IF(Finance_Data!H880&gt;Finance_Data!G880,"Valid","Invalid")</f>
        <v>Valid</v>
      </c>
      <c r="F884" s="3" t="str" cm="1">
        <f t="array" ref="F884">_xlfn.IFS(Finance_Data!S880&lt;7,"Short",Finance_Data!S880&lt;=30,"Normal",Finance_Data!S880&lt;=60,"Long",Finance_Data!S880&gt;60,"Very Long")</f>
        <v>Normal</v>
      </c>
      <c r="G884" s="3" t="str">
        <f>IF(ABS(Finance_Data!I880*Finance_Data!J880)-Finance_Data!K880&lt;1,"Valid","Invalid")</f>
        <v>Valid</v>
      </c>
      <c r="H884" s="3" t="str">
        <f>IF(Finance_Data!L880&gt;0,"Valid","Invalid")</f>
        <v>Valid</v>
      </c>
      <c r="I884" s="3" t="str">
        <f>IF(Finance_Data!L880&gt;=Finance_Data!M880,"Valid","Invalid")</f>
        <v>Valid</v>
      </c>
      <c r="J884" s="3" t="str">
        <f>IF(AND(Finance_Data!I880&gt;=0,Finance_Data!K880&gt;=0),"Valid","Invalid")</f>
        <v>Valid</v>
      </c>
      <c r="K884" s="3" t="str">
        <f>IF(Finance_Data!N880&gt;=0,"Valid","Invalid")</f>
        <v>Valid</v>
      </c>
      <c r="L884" s="3" t="str">
        <f>IF(TEXT(Finance_Data!G880,"mmmm")=Finance_Data!P880,"Valid","Invalid")</f>
        <v>Valid</v>
      </c>
      <c r="M884" s="3" t="str">
        <f>IF("Q"&amp;ROUNDUP(MONTH(Finance_Data!G880)/3,0)=Finance_Data!Q880,"Valid","Invalid")</f>
        <v>Valid</v>
      </c>
      <c r="N884" s="7" t="str">
        <f t="shared" si="13"/>
        <v>Pass</v>
      </c>
    </row>
    <row r="885" spans="1:14" x14ac:dyDescent="0.35">
      <c r="A885" s="17" t="s">
        <v>104</v>
      </c>
      <c r="B885" s="3" t="str">
        <f>IF(ISBLANK(Table3[[#This Row],[Campaign_ID]]),"Invalid","Valid")</f>
        <v>Valid</v>
      </c>
      <c r="C885" s="3" t="str">
        <f>IF(COUNTA(Finance_Data!A881:R881)=18,"Valid","Missing")</f>
        <v>Valid</v>
      </c>
      <c r="D885" s="3" t="str">
        <f>IF(COUNTIF(Finance_Data!$T$2:$T$1001,Finance_Data!T881)&gt;1,"Duplicate","Valid")</f>
        <v>Valid</v>
      </c>
      <c r="E885" s="3" t="str">
        <f>IF(Finance_Data!H881&gt;Finance_Data!G881,"Valid","Invalid")</f>
        <v>Valid</v>
      </c>
      <c r="F885" s="3" t="str" cm="1">
        <f t="array" ref="F885">_xlfn.IFS(Finance_Data!S881&lt;7,"Short",Finance_Data!S881&lt;=30,"Normal",Finance_Data!S881&lt;=60,"Long",Finance_Data!S881&gt;60,"Very Long")</f>
        <v>Normal</v>
      </c>
      <c r="G885" s="3" t="str">
        <f>IF(ABS(Finance_Data!I881*Finance_Data!J881)-Finance_Data!K881&lt;1,"Valid","Invalid")</f>
        <v>Valid</v>
      </c>
      <c r="H885" s="3" t="str">
        <f>IF(Finance_Data!L881&gt;0,"Valid","Invalid")</f>
        <v>Valid</v>
      </c>
      <c r="I885" s="3" t="str">
        <f>IF(Finance_Data!L881&gt;=Finance_Data!M881,"Valid","Invalid")</f>
        <v>Valid</v>
      </c>
      <c r="J885" s="3" t="str">
        <f>IF(AND(Finance_Data!I881&gt;=0,Finance_Data!K881&gt;=0),"Valid","Invalid")</f>
        <v>Valid</v>
      </c>
      <c r="K885" s="3" t="str">
        <f>IF(Finance_Data!N881&gt;=0,"Valid","Invalid")</f>
        <v>Valid</v>
      </c>
      <c r="L885" s="3" t="str">
        <f>IF(TEXT(Finance_Data!G881,"mmmm")=Finance_Data!P881,"Valid","Invalid")</f>
        <v>Valid</v>
      </c>
      <c r="M885" s="3" t="str">
        <f>IF("Q"&amp;ROUNDUP(MONTH(Finance_Data!G881)/3,0)=Finance_Data!Q881,"Valid","Invalid")</f>
        <v>Valid</v>
      </c>
      <c r="N885" s="7" t="str">
        <f t="shared" si="13"/>
        <v>Pass</v>
      </c>
    </row>
    <row r="886" spans="1:14" x14ac:dyDescent="0.35">
      <c r="A886" s="17" t="s">
        <v>57</v>
      </c>
      <c r="B886" s="3" t="str">
        <f>IF(ISBLANK(Table3[[#This Row],[Campaign_ID]]),"Invalid","Valid")</f>
        <v>Valid</v>
      </c>
      <c r="C886" s="3" t="str">
        <f>IF(COUNTA(Finance_Data!A882:R882)=18,"Valid","Missing")</f>
        <v>Valid</v>
      </c>
      <c r="D886" s="3" t="str">
        <f>IF(COUNTIF(Finance_Data!$T$2:$T$1001,Finance_Data!T882)&gt;1,"Duplicate","Valid")</f>
        <v>Valid</v>
      </c>
      <c r="E886" s="3" t="str">
        <f>IF(Finance_Data!H882&gt;Finance_Data!G882,"Valid","Invalid")</f>
        <v>Valid</v>
      </c>
      <c r="F886" s="3" t="str" cm="1">
        <f t="array" ref="F886">_xlfn.IFS(Finance_Data!S882&lt;7,"Short",Finance_Data!S882&lt;=30,"Normal",Finance_Data!S882&lt;=60,"Long",Finance_Data!S882&gt;60,"Very Long")</f>
        <v>Long</v>
      </c>
      <c r="G886" s="3" t="str">
        <f>IF(ABS(Finance_Data!I882*Finance_Data!J882)-Finance_Data!K882&lt;1,"Valid","Invalid")</f>
        <v>Valid</v>
      </c>
      <c r="H886" s="3" t="str">
        <f>IF(Finance_Data!L882&gt;0,"Valid","Invalid")</f>
        <v>Valid</v>
      </c>
      <c r="I886" s="3" t="str">
        <f>IF(Finance_Data!L882&gt;=Finance_Data!M882,"Valid","Invalid")</f>
        <v>Valid</v>
      </c>
      <c r="J886" s="3" t="str">
        <f>IF(AND(Finance_Data!I882&gt;=0,Finance_Data!K882&gt;=0),"Valid","Invalid")</f>
        <v>Valid</v>
      </c>
      <c r="K886" s="3" t="str">
        <f>IF(Finance_Data!N882&gt;=0,"Valid","Invalid")</f>
        <v>Valid</v>
      </c>
      <c r="L886" s="3" t="str">
        <f>IF(TEXT(Finance_Data!G882,"mmmm")=Finance_Data!P882,"Valid","Invalid")</f>
        <v>Valid</v>
      </c>
      <c r="M886" s="3" t="str">
        <f>IF("Q"&amp;ROUNDUP(MONTH(Finance_Data!G882)/3,0)=Finance_Data!Q882,"Valid","Invalid")</f>
        <v>Valid</v>
      </c>
      <c r="N886" s="7" t="str">
        <f t="shared" si="13"/>
        <v>Pass</v>
      </c>
    </row>
    <row r="887" spans="1:14" x14ac:dyDescent="0.35">
      <c r="A887" s="17" t="s">
        <v>94</v>
      </c>
      <c r="B887" s="3" t="str">
        <f>IF(ISBLANK(Table3[[#This Row],[Campaign_ID]]),"Invalid","Valid")</f>
        <v>Valid</v>
      </c>
      <c r="C887" s="3" t="str">
        <f>IF(COUNTA(Finance_Data!A883:R883)=18,"Valid","Missing")</f>
        <v>Valid</v>
      </c>
      <c r="D887" s="3" t="str">
        <f>IF(COUNTIF(Finance_Data!$T$2:$T$1001,Finance_Data!T883)&gt;1,"Duplicate","Valid")</f>
        <v>Valid</v>
      </c>
      <c r="E887" s="3" t="str">
        <f>IF(Finance_Data!H883&gt;Finance_Data!G883,"Valid","Invalid")</f>
        <v>Valid</v>
      </c>
      <c r="F887" s="3" t="str" cm="1">
        <f t="array" ref="F887">_xlfn.IFS(Finance_Data!S883&lt;7,"Short",Finance_Data!S883&lt;=30,"Normal",Finance_Data!S883&lt;=60,"Long",Finance_Data!S883&gt;60,"Very Long")</f>
        <v>Long</v>
      </c>
      <c r="G887" s="3" t="str">
        <f>IF(ABS(Finance_Data!I883*Finance_Data!J883)-Finance_Data!K883&lt;1,"Valid","Invalid")</f>
        <v>Valid</v>
      </c>
      <c r="H887" s="3" t="str">
        <f>IF(Finance_Data!L883&gt;0,"Valid","Invalid")</f>
        <v>Valid</v>
      </c>
      <c r="I887" s="3" t="str">
        <f>IF(Finance_Data!L883&gt;=Finance_Data!M883,"Valid","Invalid")</f>
        <v>Valid</v>
      </c>
      <c r="J887" s="3" t="str">
        <f>IF(AND(Finance_Data!I883&gt;=0,Finance_Data!K883&gt;=0),"Valid","Invalid")</f>
        <v>Valid</v>
      </c>
      <c r="K887" s="3" t="str">
        <f>IF(Finance_Data!N883&gt;=0,"Valid","Invalid")</f>
        <v>Valid</v>
      </c>
      <c r="L887" s="3" t="str">
        <f>IF(TEXT(Finance_Data!G883,"mmmm")=Finance_Data!P883,"Valid","Invalid")</f>
        <v>Valid</v>
      </c>
      <c r="M887" s="3" t="str">
        <f>IF("Q"&amp;ROUNDUP(MONTH(Finance_Data!G883)/3,0)=Finance_Data!Q883,"Valid","Invalid")</f>
        <v>Valid</v>
      </c>
      <c r="N887" s="7" t="str">
        <f t="shared" si="13"/>
        <v>Pass</v>
      </c>
    </row>
    <row r="888" spans="1:14" x14ac:dyDescent="0.35">
      <c r="A888" s="17" t="s">
        <v>114</v>
      </c>
      <c r="B888" s="3" t="str">
        <f>IF(ISBLANK(Table3[[#This Row],[Campaign_ID]]),"Invalid","Valid")</f>
        <v>Valid</v>
      </c>
      <c r="C888" s="3" t="str">
        <f>IF(COUNTA(Finance_Data!A884:R884)=18,"Valid","Missing")</f>
        <v>Valid</v>
      </c>
      <c r="D888" s="3" t="str">
        <f>IF(COUNTIF(Finance_Data!$T$2:$T$1001,Finance_Data!T884)&gt;1,"Duplicate","Valid")</f>
        <v>Valid</v>
      </c>
      <c r="E888" s="3" t="str">
        <f>IF(Finance_Data!H884&gt;Finance_Data!G884,"Valid","Invalid")</f>
        <v>Valid</v>
      </c>
      <c r="F888" s="3" t="str" cm="1">
        <f t="array" ref="F888">_xlfn.IFS(Finance_Data!S884&lt;7,"Short",Finance_Data!S884&lt;=30,"Normal",Finance_Data!S884&lt;=60,"Long",Finance_Data!S884&gt;60,"Very Long")</f>
        <v>Long</v>
      </c>
      <c r="G888" s="3" t="str">
        <f>IF(ABS(Finance_Data!I884*Finance_Data!J884)-Finance_Data!K884&lt;1,"Valid","Invalid")</f>
        <v>Valid</v>
      </c>
      <c r="H888" s="3" t="str">
        <f>IF(Finance_Data!L884&gt;0,"Valid","Invalid")</f>
        <v>Valid</v>
      </c>
      <c r="I888" s="3" t="str">
        <f>IF(Finance_Data!L884&gt;=Finance_Data!M884,"Valid","Invalid")</f>
        <v>Valid</v>
      </c>
      <c r="J888" s="3" t="str">
        <f>IF(AND(Finance_Data!I884&gt;=0,Finance_Data!K884&gt;=0),"Valid","Invalid")</f>
        <v>Valid</v>
      </c>
      <c r="K888" s="3" t="str">
        <f>IF(Finance_Data!N884&gt;=0,"Valid","Invalid")</f>
        <v>Valid</v>
      </c>
      <c r="L888" s="3" t="str">
        <f>IF(TEXT(Finance_Data!G884,"mmmm")=Finance_Data!P884,"Valid","Invalid")</f>
        <v>Valid</v>
      </c>
      <c r="M888" s="3" t="str">
        <f>IF("Q"&amp;ROUNDUP(MONTH(Finance_Data!G884)/3,0)=Finance_Data!Q884,"Valid","Invalid")</f>
        <v>Valid</v>
      </c>
      <c r="N888" s="7" t="str">
        <f t="shared" si="13"/>
        <v>Pass</v>
      </c>
    </row>
    <row r="889" spans="1:14" x14ac:dyDescent="0.35">
      <c r="A889" s="17" t="s">
        <v>85</v>
      </c>
      <c r="B889" s="3" t="str">
        <f>IF(ISBLANK(Table3[[#This Row],[Campaign_ID]]),"Invalid","Valid")</f>
        <v>Valid</v>
      </c>
      <c r="C889" s="3" t="str">
        <f>IF(COUNTA(Finance_Data!A885:R885)=18,"Valid","Missing")</f>
        <v>Valid</v>
      </c>
      <c r="D889" s="3" t="str">
        <f>IF(COUNTIF(Finance_Data!$T$2:$T$1001,Finance_Data!T885)&gt;1,"Duplicate","Valid")</f>
        <v>Valid</v>
      </c>
      <c r="E889" s="3" t="str">
        <f>IF(Finance_Data!H885&gt;Finance_Data!G885,"Valid","Invalid")</f>
        <v>Valid</v>
      </c>
      <c r="F889" s="3" t="str" cm="1">
        <f t="array" ref="F889">_xlfn.IFS(Finance_Data!S885&lt;7,"Short",Finance_Data!S885&lt;=30,"Normal",Finance_Data!S885&lt;=60,"Long",Finance_Data!S885&gt;60,"Very Long")</f>
        <v>Long</v>
      </c>
      <c r="G889" s="3" t="str">
        <f>IF(ABS(Finance_Data!I885*Finance_Data!J885)-Finance_Data!K885&lt;1,"Valid","Invalid")</f>
        <v>Valid</v>
      </c>
      <c r="H889" s="3" t="str">
        <f>IF(Finance_Data!L885&gt;0,"Valid","Invalid")</f>
        <v>Valid</v>
      </c>
      <c r="I889" s="3" t="str">
        <f>IF(Finance_Data!L885&gt;=Finance_Data!M885,"Valid","Invalid")</f>
        <v>Valid</v>
      </c>
      <c r="J889" s="3" t="str">
        <f>IF(AND(Finance_Data!I885&gt;=0,Finance_Data!K885&gt;=0),"Valid","Invalid")</f>
        <v>Valid</v>
      </c>
      <c r="K889" s="3" t="str">
        <f>IF(Finance_Data!N885&gt;=0,"Valid","Invalid")</f>
        <v>Valid</v>
      </c>
      <c r="L889" s="3" t="str">
        <f>IF(TEXT(Finance_Data!G885,"mmmm")=Finance_Data!P885,"Valid","Invalid")</f>
        <v>Valid</v>
      </c>
      <c r="M889" s="3" t="str">
        <f>IF("Q"&amp;ROUNDUP(MONTH(Finance_Data!G885)/3,0)=Finance_Data!Q885,"Valid","Invalid")</f>
        <v>Valid</v>
      </c>
      <c r="N889" s="7" t="str">
        <f t="shared" si="13"/>
        <v>Pass</v>
      </c>
    </row>
    <row r="890" spans="1:14" x14ac:dyDescent="0.35">
      <c r="A890" s="17" t="s">
        <v>89</v>
      </c>
      <c r="B890" s="3" t="str">
        <f>IF(ISBLANK(Table3[[#This Row],[Campaign_ID]]),"Invalid","Valid")</f>
        <v>Valid</v>
      </c>
      <c r="C890" s="3" t="str">
        <f>IF(COUNTA(Finance_Data!A886:R886)=18,"Valid","Missing")</f>
        <v>Valid</v>
      </c>
      <c r="D890" s="3" t="str">
        <f>IF(COUNTIF(Finance_Data!$T$2:$T$1001,Finance_Data!T886)&gt;1,"Duplicate","Valid")</f>
        <v>Valid</v>
      </c>
      <c r="E890" s="3" t="str">
        <f>IF(Finance_Data!H886&gt;Finance_Data!G886,"Valid","Invalid")</f>
        <v>Valid</v>
      </c>
      <c r="F890" s="3" t="str" cm="1">
        <f t="array" ref="F890">_xlfn.IFS(Finance_Data!S886&lt;7,"Short",Finance_Data!S886&lt;=30,"Normal",Finance_Data!S886&lt;=60,"Long",Finance_Data!S886&gt;60,"Very Long")</f>
        <v>Long</v>
      </c>
      <c r="G890" s="3" t="str">
        <f>IF(ABS(Finance_Data!I886*Finance_Data!J886)-Finance_Data!K886&lt;1,"Valid","Invalid")</f>
        <v>Valid</v>
      </c>
      <c r="H890" s="3" t="str">
        <f>IF(Finance_Data!L886&gt;0,"Valid","Invalid")</f>
        <v>Valid</v>
      </c>
      <c r="I890" s="3" t="str">
        <f>IF(Finance_Data!L886&gt;=Finance_Data!M886,"Valid","Invalid")</f>
        <v>Valid</v>
      </c>
      <c r="J890" s="3" t="str">
        <f>IF(AND(Finance_Data!I886&gt;=0,Finance_Data!K886&gt;=0),"Valid","Invalid")</f>
        <v>Valid</v>
      </c>
      <c r="K890" s="3" t="str">
        <f>IF(Finance_Data!N886&gt;=0,"Valid","Invalid")</f>
        <v>Valid</v>
      </c>
      <c r="L890" s="3" t="str">
        <f>IF(TEXT(Finance_Data!G886,"mmmm")=Finance_Data!P886,"Valid","Invalid")</f>
        <v>Valid</v>
      </c>
      <c r="M890" s="3" t="str">
        <f>IF("Q"&amp;ROUNDUP(MONTH(Finance_Data!G886)/3,0)=Finance_Data!Q886,"Valid","Invalid")</f>
        <v>Valid</v>
      </c>
      <c r="N890" s="7" t="str">
        <f t="shared" si="13"/>
        <v>Pass</v>
      </c>
    </row>
    <row r="891" spans="1:14" x14ac:dyDescent="0.35">
      <c r="A891" s="17" t="s">
        <v>86</v>
      </c>
      <c r="B891" s="3" t="str">
        <f>IF(ISBLANK(Table3[[#This Row],[Campaign_ID]]),"Invalid","Valid")</f>
        <v>Valid</v>
      </c>
      <c r="C891" s="3" t="str">
        <f>IF(COUNTA(Finance_Data!A887:R887)=18,"Valid","Missing")</f>
        <v>Valid</v>
      </c>
      <c r="D891" s="3" t="str">
        <f>IF(COUNTIF(Finance_Data!$T$2:$T$1001,Finance_Data!T887)&gt;1,"Duplicate","Valid")</f>
        <v>Valid</v>
      </c>
      <c r="E891" s="3" t="str">
        <f>IF(Finance_Data!H887&gt;Finance_Data!G887,"Valid","Invalid")</f>
        <v>Valid</v>
      </c>
      <c r="F891" s="3" t="str" cm="1">
        <f t="array" ref="F891">_xlfn.IFS(Finance_Data!S887&lt;7,"Short",Finance_Data!S887&lt;=30,"Normal",Finance_Data!S887&lt;=60,"Long",Finance_Data!S887&gt;60,"Very Long")</f>
        <v>Short</v>
      </c>
      <c r="G891" s="3" t="str">
        <f>IF(ABS(Finance_Data!I887*Finance_Data!J887)-Finance_Data!K887&lt;1,"Valid","Invalid")</f>
        <v>Valid</v>
      </c>
      <c r="H891" s="3" t="str">
        <f>IF(Finance_Data!L887&gt;0,"Valid","Invalid")</f>
        <v>Valid</v>
      </c>
      <c r="I891" s="3" t="str">
        <f>IF(Finance_Data!L887&gt;=Finance_Data!M887,"Valid","Invalid")</f>
        <v>Valid</v>
      </c>
      <c r="J891" s="3" t="str">
        <f>IF(AND(Finance_Data!I887&gt;=0,Finance_Data!K887&gt;=0),"Valid","Invalid")</f>
        <v>Valid</v>
      </c>
      <c r="K891" s="3" t="str">
        <f>IF(Finance_Data!N887&gt;=0,"Valid","Invalid")</f>
        <v>Valid</v>
      </c>
      <c r="L891" s="3" t="str">
        <f>IF(TEXT(Finance_Data!G887,"mmmm")=Finance_Data!P887,"Valid","Invalid")</f>
        <v>Valid</v>
      </c>
      <c r="M891" s="3" t="str">
        <f>IF("Q"&amp;ROUNDUP(MONTH(Finance_Data!G887)/3,0)=Finance_Data!Q887,"Valid","Invalid")</f>
        <v>Valid</v>
      </c>
      <c r="N891" s="7" t="str">
        <f t="shared" si="13"/>
        <v>Pass</v>
      </c>
    </row>
    <row r="892" spans="1:14" x14ac:dyDescent="0.35">
      <c r="A892" s="17" t="s">
        <v>70</v>
      </c>
      <c r="B892" s="3" t="str">
        <f>IF(ISBLANK(Table3[[#This Row],[Campaign_ID]]),"Invalid","Valid")</f>
        <v>Valid</v>
      </c>
      <c r="C892" s="3" t="str">
        <f>IF(COUNTA(Finance_Data!A888:R888)=18,"Valid","Missing")</f>
        <v>Valid</v>
      </c>
      <c r="D892" s="3" t="str">
        <f>IF(COUNTIF(Finance_Data!$T$2:$T$1001,Finance_Data!T888)&gt;1,"Duplicate","Valid")</f>
        <v>Valid</v>
      </c>
      <c r="E892" s="3" t="str">
        <f>IF(Finance_Data!H888&gt;Finance_Data!G888,"Valid","Invalid")</f>
        <v>Valid</v>
      </c>
      <c r="F892" s="3" t="str" cm="1">
        <f t="array" ref="F892">_xlfn.IFS(Finance_Data!S888&lt;7,"Short",Finance_Data!S888&lt;=30,"Normal",Finance_Data!S888&lt;=60,"Long",Finance_Data!S888&gt;60,"Very Long")</f>
        <v>Long</v>
      </c>
      <c r="G892" s="3" t="str">
        <f>IF(ABS(Finance_Data!I888*Finance_Data!J888)-Finance_Data!K888&lt;1,"Valid","Invalid")</f>
        <v>Valid</v>
      </c>
      <c r="H892" s="3" t="str">
        <f>IF(Finance_Data!L888&gt;0,"Valid","Invalid")</f>
        <v>Valid</v>
      </c>
      <c r="I892" s="3" t="str">
        <f>IF(Finance_Data!L888&gt;=Finance_Data!M888,"Valid","Invalid")</f>
        <v>Valid</v>
      </c>
      <c r="J892" s="3" t="str">
        <f>IF(AND(Finance_Data!I888&gt;=0,Finance_Data!K888&gt;=0),"Valid","Invalid")</f>
        <v>Valid</v>
      </c>
      <c r="K892" s="3" t="str">
        <f>IF(Finance_Data!N888&gt;=0,"Valid","Invalid")</f>
        <v>Valid</v>
      </c>
      <c r="L892" s="3" t="str">
        <f>IF(TEXT(Finance_Data!G888,"mmmm")=Finance_Data!P888,"Valid","Invalid")</f>
        <v>Valid</v>
      </c>
      <c r="M892" s="3" t="str">
        <f>IF("Q"&amp;ROUNDUP(MONTH(Finance_Data!G888)/3,0)=Finance_Data!Q888,"Valid","Invalid")</f>
        <v>Valid</v>
      </c>
      <c r="N892" s="7" t="str">
        <f t="shared" si="13"/>
        <v>Pass</v>
      </c>
    </row>
    <row r="893" spans="1:14" x14ac:dyDescent="0.35">
      <c r="A893" s="17" t="s">
        <v>79</v>
      </c>
      <c r="B893" s="3" t="str">
        <f>IF(ISBLANK(Table3[[#This Row],[Campaign_ID]]),"Invalid","Valid")</f>
        <v>Valid</v>
      </c>
      <c r="C893" s="3" t="str">
        <f>IF(COUNTA(Finance_Data!A889:R889)=18,"Valid","Missing")</f>
        <v>Valid</v>
      </c>
      <c r="D893" s="3" t="str">
        <f>IF(COUNTIF(Finance_Data!$T$2:$T$1001,Finance_Data!T889)&gt;1,"Duplicate","Valid")</f>
        <v>Valid</v>
      </c>
      <c r="E893" s="3" t="str">
        <f>IF(Finance_Data!H889&gt;Finance_Data!G889,"Valid","Invalid")</f>
        <v>Valid</v>
      </c>
      <c r="F893" s="3" t="str" cm="1">
        <f t="array" ref="F893">_xlfn.IFS(Finance_Data!S889&lt;7,"Short",Finance_Data!S889&lt;=30,"Normal",Finance_Data!S889&lt;=60,"Long",Finance_Data!S889&gt;60,"Very Long")</f>
        <v>Normal</v>
      </c>
      <c r="G893" s="3" t="str">
        <f>IF(ABS(Finance_Data!I889*Finance_Data!J889)-Finance_Data!K889&lt;1,"Valid","Invalid")</f>
        <v>Valid</v>
      </c>
      <c r="H893" s="3" t="str">
        <f>IF(Finance_Data!L889&gt;0,"Valid","Invalid")</f>
        <v>Valid</v>
      </c>
      <c r="I893" s="3" t="str">
        <f>IF(Finance_Data!L889&gt;=Finance_Data!M889,"Valid","Invalid")</f>
        <v>Valid</v>
      </c>
      <c r="J893" s="3" t="str">
        <f>IF(AND(Finance_Data!I889&gt;=0,Finance_Data!K889&gt;=0),"Valid","Invalid")</f>
        <v>Valid</v>
      </c>
      <c r="K893" s="3" t="str">
        <f>IF(Finance_Data!N889&gt;=0,"Valid","Invalid")</f>
        <v>Valid</v>
      </c>
      <c r="L893" s="3" t="str">
        <f>IF(TEXT(Finance_Data!G889,"mmmm")=Finance_Data!P889,"Valid","Invalid")</f>
        <v>Valid</v>
      </c>
      <c r="M893" s="3" t="str">
        <f>IF("Q"&amp;ROUNDUP(MONTH(Finance_Data!G889)/3,0)=Finance_Data!Q889,"Valid","Invalid")</f>
        <v>Valid</v>
      </c>
      <c r="N893" s="7" t="str">
        <f t="shared" si="13"/>
        <v>Pass</v>
      </c>
    </row>
    <row r="894" spans="1:14" x14ac:dyDescent="0.35">
      <c r="A894" s="17" t="s">
        <v>91</v>
      </c>
      <c r="B894" s="3" t="str">
        <f>IF(ISBLANK(Table3[[#This Row],[Campaign_ID]]),"Invalid","Valid")</f>
        <v>Valid</v>
      </c>
      <c r="C894" s="3" t="str">
        <f>IF(COUNTA(Finance_Data!A890:R890)=18,"Valid","Missing")</f>
        <v>Valid</v>
      </c>
      <c r="D894" s="3" t="str">
        <f>IF(COUNTIF(Finance_Data!$T$2:$T$1001,Finance_Data!T890)&gt;1,"Duplicate","Valid")</f>
        <v>Valid</v>
      </c>
      <c r="E894" s="3" t="str">
        <f>IF(Finance_Data!H890&gt;Finance_Data!G890,"Valid","Invalid")</f>
        <v>Valid</v>
      </c>
      <c r="F894" s="3" t="str" cm="1">
        <f t="array" ref="F894">_xlfn.IFS(Finance_Data!S890&lt;7,"Short",Finance_Data!S890&lt;=30,"Normal",Finance_Data!S890&lt;=60,"Long",Finance_Data!S890&gt;60,"Very Long")</f>
        <v>Long</v>
      </c>
      <c r="G894" s="3" t="str">
        <f>IF(ABS(Finance_Data!I890*Finance_Data!J890)-Finance_Data!K890&lt;1,"Valid","Invalid")</f>
        <v>Valid</v>
      </c>
      <c r="H894" s="3" t="str">
        <f>IF(Finance_Data!L890&gt;0,"Valid","Invalid")</f>
        <v>Valid</v>
      </c>
      <c r="I894" s="3" t="str">
        <f>IF(Finance_Data!L890&gt;=Finance_Data!M890,"Valid","Invalid")</f>
        <v>Valid</v>
      </c>
      <c r="J894" s="3" t="str">
        <f>IF(AND(Finance_Data!I890&gt;=0,Finance_Data!K890&gt;=0),"Valid","Invalid")</f>
        <v>Valid</v>
      </c>
      <c r="K894" s="3" t="str">
        <f>IF(Finance_Data!N890&gt;=0,"Valid","Invalid")</f>
        <v>Valid</v>
      </c>
      <c r="L894" s="3" t="str">
        <f>IF(TEXT(Finance_Data!G890,"mmmm")=Finance_Data!P890,"Valid","Invalid")</f>
        <v>Valid</v>
      </c>
      <c r="M894" s="3" t="str">
        <f>IF("Q"&amp;ROUNDUP(MONTH(Finance_Data!G890)/3,0)=Finance_Data!Q890,"Valid","Invalid")</f>
        <v>Valid</v>
      </c>
      <c r="N894" s="7" t="str">
        <f t="shared" si="13"/>
        <v>Pass</v>
      </c>
    </row>
    <row r="895" spans="1:14" x14ac:dyDescent="0.35">
      <c r="A895" s="17" t="s">
        <v>75</v>
      </c>
      <c r="B895" s="3" t="str">
        <f>IF(ISBLANK(Table3[[#This Row],[Campaign_ID]]),"Invalid","Valid")</f>
        <v>Valid</v>
      </c>
      <c r="C895" s="3" t="str">
        <f>IF(COUNTA(Finance_Data!A891:R891)=18,"Valid","Missing")</f>
        <v>Valid</v>
      </c>
      <c r="D895" s="3" t="str">
        <f>IF(COUNTIF(Finance_Data!$T$2:$T$1001,Finance_Data!T891)&gt;1,"Duplicate","Valid")</f>
        <v>Valid</v>
      </c>
      <c r="E895" s="3" t="str">
        <f>IF(Finance_Data!H891&gt;Finance_Data!G891,"Valid","Invalid")</f>
        <v>Valid</v>
      </c>
      <c r="F895" s="3" t="str" cm="1">
        <f t="array" ref="F895">_xlfn.IFS(Finance_Data!S891&lt;7,"Short",Finance_Data!S891&lt;=30,"Normal",Finance_Data!S891&lt;=60,"Long",Finance_Data!S891&gt;60,"Very Long")</f>
        <v>Very Long</v>
      </c>
      <c r="G895" s="3" t="str">
        <f>IF(ABS(Finance_Data!I891*Finance_Data!J891)-Finance_Data!K891&lt;1,"Valid","Invalid")</f>
        <v>Valid</v>
      </c>
      <c r="H895" s="3" t="str">
        <f>IF(Finance_Data!L891&gt;0,"Valid","Invalid")</f>
        <v>Valid</v>
      </c>
      <c r="I895" s="3" t="str">
        <f>IF(Finance_Data!L891&gt;=Finance_Data!M891,"Valid","Invalid")</f>
        <v>Valid</v>
      </c>
      <c r="J895" s="3" t="str">
        <f>IF(AND(Finance_Data!I891&gt;=0,Finance_Data!K891&gt;=0),"Valid","Invalid")</f>
        <v>Valid</v>
      </c>
      <c r="K895" s="3" t="str">
        <f>IF(Finance_Data!N891&gt;=0,"Valid","Invalid")</f>
        <v>Valid</v>
      </c>
      <c r="L895" s="3" t="str">
        <f>IF(TEXT(Finance_Data!G891,"mmmm")=Finance_Data!P891,"Valid","Invalid")</f>
        <v>Valid</v>
      </c>
      <c r="M895" s="3" t="str">
        <f>IF("Q"&amp;ROUNDUP(MONTH(Finance_Data!G891)/3,0)=Finance_Data!Q891,"Valid","Invalid")</f>
        <v>Valid</v>
      </c>
      <c r="N895" s="7" t="str">
        <f t="shared" si="13"/>
        <v>Pass</v>
      </c>
    </row>
    <row r="896" spans="1:14" x14ac:dyDescent="0.35">
      <c r="A896" s="17" t="s">
        <v>89</v>
      </c>
      <c r="B896" s="3" t="str">
        <f>IF(ISBLANK(Table3[[#This Row],[Campaign_ID]]),"Invalid","Valid")</f>
        <v>Valid</v>
      </c>
      <c r="C896" s="3" t="str">
        <f>IF(COUNTA(Finance_Data!A892:R892)=18,"Valid","Missing")</f>
        <v>Valid</v>
      </c>
      <c r="D896" s="3" t="str">
        <f>IF(COUNTIF(Finance_Data!$T$2:$T$1001,Finance_Data!T892)&gt;1,"Duplicate","Valid")</f>
        <v>Valid</v>
      </c>
      <c r="E896" s="3" t="str">
        <f>IF(Finance_Data!H892&gt;Finance_Data!G892,"Valid","Invalid")</f>
        <v>Valid</v>
      </c>
      <c r="F896" s="3" t="str" cm="1">
        <f t="array" ref="F896">_xlfn.IFS(Finance_Data!S892&lt;7,"Short",Finance_Data!S892&lt;=30,"Normal",Finance_Data!S892&lt;=60,"Long",Finance_Data!S892&gt;60,"Very Long")</f>
        <v>Long</v>
      </c>
      <c r="G896" s="3" t="str">
        <f>IF(ABS(Finance_Data!I892*Finance_Data!J892)-Finance_Data!K892&lt;1,"Valid","Invalid")</f>
        <v>Valid</v>
      </c>
      <c r="H896" s="3" t="str">
        <f>IF(Finance_Data!L892&gt;0,"Valid","Invalid")</f>
        <v>Valid</v>
      </c>
      <c r="I896" s="3" t="str">
        <f>IF(Finance_Data!L892&gt;=Finance_Data!M892,"Valid","Invalid")</f>
        <v>Valid</v>
      </c>
      <c r="J896" s="3" t="str">
        <f>IF(AND(Finance_Data!I892&gt;=0,Finance_Data!K892&gt;=0),"Valid","Invalid")</f>
        <v>Valid</v>
      </c>
      <c r="K896" s="3" t="str">
        <f>IF(Finance_Data!N892&gt;=0,"Valid","Invalid")</f>
        <v>Valid</v>
      </c>
      <c r="L896" s="3" t="str">
        <f>IF(TEXT(Finance_Data!G892,"mmmm")=Finance_Data!P892,"Valid","Invalid")</f>
        <v>Valid</v>
      </c>
      <c r="M896" s="3" t="str">
        <f>IF("Q"&amp;ROUNDUP(MONTH(Finance_Data!G892)/3,0)=Finance_Data!Q892,"Valid","Invalid")</f>
        <v>Valid</v>
      </c>
      <c r="N896" s="7" t="str">
        <f t="shared" si="13"/>
        <v>Pass</v>
      </c>
    </row>
    <row r="897" spans="1:14" x14ac:dyDescent="0.35">
      <c r="A897" s="17" t="s">
        <v>105</v>
      </c>
      <c r="B897" s="3" t="str">
        <f>IF(ISBLANK(Table3[[#This Row],[Campaign_ID]]),"Invalid","Valid")</f>
        <v>Valid</v>
      </c>
      <c r="C897" s="3" t="str">
        <f>IF(COUNTA(Finance_Data!A893:R893)=18,"Valid","Missing")</f>
        <v>Valid</v>
      </c>
      <c r="D897" s="3" t="str">
        <f>IF(COUNTIF(Finance_Data!$T$2:$T$1001,Finance_Data!T893)&gt;1,"Duplicate","Valid")</f>
        <v>Valid</v>
      </c>
      <c r="E897" s="3" t="str">
        <f>IF(Finance_Data!H893&gt;Finance_Data!G893,"Valid","Invalid")</f>
        <v>Valid</v>
      </c>
      <c r="F897" s="3" t="str" cm="1">
        <f t="array" ref="F897">_xlfn.IFS(Finance_Data!S893&lt;7,"Short",Finance_Data!S893&lt;=30,"Normal",Finance_Data!S893&lt;=60,"Long",Finance_Data!S893&gt;60,"Very Long")</f>
        <v>Long</v>
      </c>
      <c r="G897" s="3" t="str">
        <f>IF(ABS(Finance_Data!I893*Finance_Data!J893)-Finance_Data!K893&lt;1,"Valid","Invalid")</f>
        <v>Valid</v>
      </c>
      <c r="H897" s="3" t="str">
        <f>IF(Finance_Data!L893&gt;0,"Valid","Invalid")</f>
        <v>Valid</v>
      </c>
      <c r="I897" s="3" t="str">
        <f>IF(Finance_Data!L893&gt;=Finance_Data!M893,"Valid","Invalid")</f>
        <v>Valid</v>
      </c>
      <c r="J897" s="3" t="str">
        <f>IF(AND(Finance_Data!I893&gt;=0,Finance_Data!K893&gt;=0),"Valid","Invalid")</f>
        <v>Valid</v>
      </c>
      <c r="K897" s="3" t="str">
        <f>IF(Finance_Data!N893&gt;=0,"Valid","Invalid")</f>
        <v>Valid</v>
      </c>
      <c r="L897" s="3" t="str">
        <f>IF(TEXT(Finance_Data!G893,"mmmm")=Finance_Data!P893,"Valid","Invalid")</f>
        <v>Valid</v>
      </c>
      <c r="M897" s="3" t="str">
        <f>IF("Q"&amp;ROUNDUP(MONTH(Finance_Data!G893)/3,0)=Finance_Data!Q893,"Valid","Invalid")</f>
        <v>Valid</v>
      </c>
      <c r="N897" s="7" t="str">
        <f t="shared" si="13"/>
        <v>Pass</v>
      </c>
    </row>
    <row r="898" spans="1:14" x14ac:dyDescent="0.35">
      <c r="A898" s="17" t="s">
        <v>82</v>
      </c>
      <c r="B898" s="3" t="str">
        <f>IF(ISBLANK(Table3[[#This Row],[Campaign_ID]]),"Invalid","Valid")</f>
        <v>Valid</v>
      </c>
      <c r="C898" s="3" t="str">
        <f>IF(COUNTA(Finance_Data!A894:R894)=18,"Valid","Missing")</f>
        <v>Valid</v>
      </c>
      <c r="D898" s="3" t="str">
        <f>IF(COUNTIF(Finance_Data!$T$2:$T$1001,Finance_Data!T894)&gt;1,"Duplicate","Valid")</f>
        <v>Valid</v>
      </c>
      <c r="E898" s="3" t="str">
        <f>IF(Finance_Data!H894&gt;Finance_Data!G894,"Valid","Invalid")</f>
        <v>Valid</v>
      </c>
      <c r="F898" s="3" t="str" cm="1">
        <f t="array" ref="F898">_xlfn.IFS(Finance_Data!S894&lt;7,"Short",Finance_Data!S894&lt;=30,"Normal",Finance_Data!S894&lt;=60,"Long",Finance_Data!S894&gt;60,"Very Long")</f>
        <v>Normal</v>
      </c>
      <c r="G898" s="3" t="str">
        <f>IF(ABS(Finance_Data!I894*Finance_Data!J894)-Finance_Data!K894&lt;1,"Valid","Invalid")</f>
        <v>Valid</v>
      </c>
      <c r="H898" s="3" t="str">
        <f>IF(Finance_Data!L894&gt;0,"Valid","Invalid")</f>
        <v>Valid</v>
      </c>
      <c r="I898" s="3" t="str">
        <f>IF(Finance_Data!L894&gt;=Finance_Data!M894,"Valid","Invalid")</f>
        <v>Valid</v>
      </c>
      <c r="J898" s="3" t="str">
        <f>IF(AND(Finance_Data!I894&gt;=0,Finance_Data!K894&gt;=0),"Valid","Invalid")</f>
        <v>Valid</v>
      </c>
      <c r="K898" s="3" t="str">
        <f>IF(Finance_Data!N894&gt;=0,"Valid","Invalid")</f>
        <v>Valid</v>
      </c>
      <c r="L898" s="3" t="str">
        <f>IF(TEXT(Finance_Data!G894,"mmmm")=Finance_Data!P894,"Valid","Invalid")</f>
        <v>Valid</v>
      </c>
      <c r="M898" s="3" t="str">
        <f>IF("Q"&amp;ROUNDUP(MONTH(Finance_Data!G894)/3,0)=Finance_Data!Q894,"Valid","Invalid")</f>
        <v>Valid</v>
      </c>
      <c r="N898" s="7" t="str">
        <f t="shared" si="13"/>
        <v>Pass</v>
      </c>
    </row>
    <row r="899" spans="1:14" x14ac:dyDescent="0.35">
      <c r="A899" s="17" t="s">
        <v>68</v>
      </c>
      <c r="B899" s="3" t="str">
        <f>IF(ISBLANK(Table3[[#This Row],[Campaign_ID]]),"Invalid","Valid")</f>
        <v>Valid</v>
      </c>
      <c r="C899" s="3" t="str">
        <f>IF(COUNTA(Finance_Data!A895:R895)=18,"Valid","Missing")</f>
        <v>Valid</v>
      </c>
      <c r="D899" s="3" t="str">
        <f>IF(COUNTIF(Finance_Data!$T$2:$T$1001,Finance_Data!T895)&gt;1,"Duplicate","Valid")</f>
        <v>Valid</v>
      </c>
      <c r="E899" s="3" t="str">
        <f>IF(Finance_Data!H895&gt;Finance_Data!G895,"Valid","Invalid")</f>
        <v>Valid</v>
      </c>
      <c r="F899" s="3" t="str" cm="1">
        <f t="array" ref="F899">_xlfn.IFS(Finance_Data!S895&lt;7,"Short",Finance_Data!S895&lt;=30,"Normal",Finance_Data!S895&lt;=60,"Long",Finance_Data!S895&gt;60,"Very Long")</f>
        <v>Long</v>
      </c>
      <c r="G899" s="3" t="str">
        <f>IF(ABS(Finance_Data!I895*Finance_Data!J895)-Finance_Data!K895&lt;1,"Valid","Invalid")</f>
        <v>Valid</v>
      </c>
      <c r="H899" s="3" t="str">
        <f>IF(Finance_Data!L895&gt;0,"Valid","Invalid")</f>
        <v>Valid</v>
      </c>
      <c r="I899" s="3" t="str">
        <f>IF(Finance_Data!L895&gt;=Finance_Data!M895,"Valid","Invalid")</f>
        <v>Valid</v>
      </c>
      <c r="J899" s="3" t="str">
        <f>IF(AND(Finance_Data!I895&gt;=0,Finance_Data!K895&gt;=0),"Valid","Invalid")</f>
        <v>Valid</v>
      </c>
      <c r="K899" s="3" t="str">
        <f>IF(Finance_Data!N895&gt;=0,"Valid","Invalid")</f>
        <v>Valid</v>
      </c>
      <c r="L899" s="3" t="str">
        <f>IF(TEXT(Finance_Data!G895,"mmmm")=Finance_Data!P895,"Valid","Invalid")</f>
        <v>Valid</v>
      </c>
      <c r="M899" s="3" t="str">
        <f>IF("Q"&amp;ROUNDUP(MONTH(Finance_Data!G895)/3,0)=Finance_Data!Q895,"Valid","Invalid")</f>
        <v>Valid</v>
      </c>
      <c r="N899" s="7" t="str">
        <f t="shared" si="13"/>
        <v>Pass</v>
      </c>
    </row>
    <row r="900" spans="1:14" x14ac:dyDescent="0.35">
      <c r="A900" s="17" t="s">
        <v>77</v>
      </c>
      <c r="B900" s="3" t="str">
        <f>IF(ISBLANK(Table3[[#This Row],[Campaign_ID]]),"Invalid","Valid")</f>
        <v>Valid</v>
      </c>
      <c r="C900" s="3" t="str">
        <f>IF(COUNTA(Finance_Data!A896:R896)=18,"Valid","Missing")</f>
        <v>Valid</v>
      </c>
      <c r="D900" s="3" t="str">
        <f>IF(COUNTIF(Finance_Data!$T$2:$T$1001,Finance_Data!T896)&gt;1,"Duplicate","Valid")</f>
        <v>Valid</v>
      </c>
      <c r="E900" s="3" t="str">
        <f>IF(Finance_Data!H896&gt;Finance_Data!G896,"Valid","Invalid")</f>
        <v>Valid</v>
      </c>
      <c r="F900" s="3" t="str" cm="1">
        <f t="array" ref="F900">_xlfn.IFS(Finance_Data!S896&lt;7,"Short",Finance_Data!S896&lt;=30,"Normal",Finance_Data!S896&lt;=60,"Long",Finance_Data!S896&gt;60,"Very Long")</f>
        <v>Long</v>
      </c>
      <c r="G900" s="3" t="str">
        <f>IF(ABS(Finance_Data!I896*Finance_Data!J896)-Finance_Data!K896&lt;1,"Valid","Invalid")</f>
        <v>Valid</v>
      </c>
      <c r="H900" s="3" t="str">
        <f>IF(Finance_Data!L896&gt;0,"Valid","Invalid")</f>
        <v>Valid</v>
      </c>
      <c r="I900" s="3" t="str">
        <f>IF(Finance_Data!L896&gt;=Finance_Data!M896,"Valid","Invalid")</f>
        <v>Valid</v>
      </c>
      <c r="J900" s="3" t="str">
        <f>IF(AND(Finance_Data!I896&gt;=0,Finance_Data!K896&gt;=0),"Valid","Invalid")</f>
        <v>Valid</v>
      </c>
      <c r="K900" s="3" t="str">
        <f>IF(Finance_Data!N896&gt;=0,"Valid","Invalid")</f>
        <v>Valid</v>
      </c>
      <c r="L900" s="3" t="str">
        <f>IF(TEXT(Finance_Data!G896,"mmmm")=Finance_Data!P896,"Valid","Invalid")</f>
        <v>Valid</v>
      </c>
      <c r="M900" s="3" t="str">
        <f>IF("Q"&amp;ROUNDUP(MONTH(Finance_Data!G896)/3,0)=Finance_Data!Q896,"Valid","Invalid")</f>
        <v>Valid</v>
      </c>
      <c r="N900" s="7" t="str">
        <f t="shared" si="13"/>
        <v>Pass</v>
      </c>
    </row>
    <row r="901" spans="1:14" x14ac:dyDescent="0.35">
      <c r="A901" s="17" t="s">
        <v>70</v>
      </c>
      <c r="B901" s="3" t="str">
        <f>IF(ISBLANK(Table3[[#This Row],[Campaign_ID]]),"Invalid","Valid")</f>
        <v>Valid</v>
      </c>
      <c r="C901" s="3" t="str">
        <f>IF(COUNTA(Finance_Data!A897:R897)=18,"Valid","Missing")</f>
        <v>Valid</v>
      </c>
      <c r="D901" s="3" t="str">
        <f>IF(COUNTIF(Finance_Data!$T$2:$T$1001,Finance_Data!T897)&gt;1,"Duplicate","Valid")</f>
        <v>Valid</v>
      </c>
      <c r="E901" s="3" t="str">
        <f>IF(Finance_Data!H897&gt;Finance_Data!G897,"Valid","Invalid")</f>
        <v>Valid</v>
      </c>
      <c r="F901" s="3" t="str" cm="1">
        <f t="array" ref="F901">_xlfn.IFS(Finance_Data!S897&lt;7,"Short",Finance_Data!S897&lt;=30,"Normal",Finance_Data!S897&lt;=60,"Long",Finance_Data!S897&gt;60,"Very Long")</f>
        <v>Long</v>
      </c>
      <c r="G901" s="3" t="str">
        <f>IF(ABS(Finance_Data!I897*Finance_Data!J897)-Finance_Data!K897&lt;1,"Valid","Invalid")</f>
        <v>Valid</v>
      </c>
      <c r="H901" s="3" t="str">
        <f>IF(Finance_Data!L897&gt;0,"Valid","Invalid")</f>
        <v>Valid</v>
      </c>
      <c r="I901" s="3" t="str">
        <f>IF(Finance_Data!L897&gt;=Finance_Data!M897,"Valid","Invalid")</f>
        <v>Valid</v>
      </c>
      <c r="J901" s="3" t="str">
        <f>IF(AND(Finance_Data!I897&gt;=0,Finance_Data!K897&gt;=0),"Valid","Invalid")</f>
        <v>Valid</v>
      </c>
      <c r="K901" s="3" t="str">
        <f>IF(Finance_Data!N897&gt;=0,"Valid","Invalid")</f>
        <v>Valid</v>
      </c>
      <c r="L901" s="3" t="str">
        <f>IF(TEXT(Finance_Data!G897,"mmmm")=Finance_Data!P897,"Valid","Invalid")</f>
        <v>Valid</v>
      </c>
      <c r="M901" s="3" t="str">
        <f>IF("Q"&amp;ROUNDUP(MONTH(Finance_Data!G897)/3,0)=Finance_Data!Q897,"Valid","Invalid")</f>
        <v>Valid</v>
      </c>
      <c r="N901" s="7" t="str">
        <f t="shared" si="13"/>
        <v>Pass</v>
      </c>
    </row>
    <row r="902" spans="1:14" x14ac:dyDescent="0.35">
      <c r="A902" s="17" t="s">
        <v>102</v>
      </c>
      <c r="B902" s="3" t="str">
        <f>IF(ISBLANK(Table3[[#This Row],[Campaign_ID]]),"Invalid","Valid")</f>
        <v>Valid</v>
      </c>
      <c r="C902" s="3" t="str">
        <f>IF(COUNTA(Finance_Data!A898:R898)=18,"Valid","Missing")</f>
        <v>Valid</v>
      </c>
      <c r="D902" s="3" t="str">
        <f>IF(COUNTIF(Finance_Data!$T$2:$T$1001,Finance_Data!T898)&gt;1,"Duplicate","Valid")</f>
        <v>Valid</v>
      </c>
      <c r="E902" s="3" t="str">
        <f>IF(Finance_Data!H898&gt;Finance_Data!G898,"Valid","Invalid")</f>
        <v>Valid</v>
      </c>
      <c r="F902" s="3" t="str" cm="1">
        <f t="array" ref="F902">_xlfn.IFS(Finance_Data!S898&lt;7,"Short",Finance_Data!S898&lt;=30,"Normal",Finance_Data!S898&lt;=60,"Long",Finance_Data!S898&gt;60,"Very Long")</f>
        <v>Long</v>
      </c>
      <c r="G902" s="3" t="str">
        <f>IF(ABS(Finance_Data!I898*Finance_Data!J898)-Finance_Data!K898&lt;1,"Valid","Invalid")</f>
        <v>Valid</v>
      </c>
      <c r="H902" s="3" t="str">
        <f>IF(Finance_Data!L898&gt;0,"Valid","Invalid")</f>
        <v>Valid</v>
      </c>
      <c r="I902" s="3" t="str">
        <f>IF(Finance_Data!L898&gt;=Finance_Data!M898,"Valid","Invalid")</f>
        <v>Valid</v>
      </c>
      <c r="J902" s="3" t="str">
        <f>IF(AND(Finance_Data!I898&gt;=0,Finance_Data!K898&gt;=0),"Valid","Invalid")</f>
        <v>Valid</v>
      </c>
      <c r="K902" s="3" t="str">
        <f>IF(Finance_Data!N898&gt;=0,"Valid","Invalid")</f>
        <v>Valid</v>
      </c>
      <c r="L902" s="3" t="str">
        <f>IF(TEXT(Finance_Data!G898,"mmmm")=Finance_Data!P898,"Valid","Invalid")</f>
        <v>Valid</v>
      </c>
      <c r="M902" s="3" t="str">
        <f>IF("Q"&amp;ROUNDUP(MONTH(Finance_Data!G898)/3,0)=Finance_Data!Q898,"Valid","Invalid")</f>
        <v>Valid</v>
      </c>
      <c r="N902" s="7" t="str">
        <f t="shared" ref="N902:N965" si="14">IF(AND(B902="Valid",E902="Valid",G902="Valid",H902="Valid",I902="Valid",J902="Valid",K902="Valid",L902="Valid",M902="Valid"),"Pass","Fail")</f>
        <v>Pass</v>
      </c>
    </row>
    <row r="903" spans="1:14" x14ac:dyDescent="0.35">
      <c r="A903" s="17" t="s">
        <v>62</v>
      </c>
      <c r="B903" s="3" t="str">
        <f>IF(ISBLANK(Table3[[#This Row],[Campaign_ID]]),"Invalid","Valid")</f>
        <v>Valid</v>
      </c>
      <c r="C903" s="3" t="str">
        <f>IF(COUNTA(Finance_Data!A899:R899)=18,"Valid","Missing")</f>
        <v>Valid</v>
      </c>
      <c r="D903" s="3" t="str">
        <f>IF(COUNTIF(Finance_Data!$T$2:$T$1001,Finance_Data!T899)&gt;1,"Duplicate","Valid")</f>
        <v>Valid</v>
      </c>
      <c r="E903" s="3" t="str">
        <f>IF(Finance_Data!H899&gt;Finance_Data!G899,"Valid","Invalid")</f>
        <v>Valid</v>
      </c>
      <c r="F903" s="3" t="str" cm="1">
        <f t="array" ref="F903">_xlfn.IFS(Finance_Data!S899&lt;7,"Short",Finance_Data!S899&lt;=30,"Normal",Finance_Data!S899&lt;=60,"Long",Finance_Data!S899&gt;60,"Very Long")</f>
        <v>Normal</v>
      </c>
      <c r="G903" s="3" t="str">
        <f>IF(ABS(Finance_Data!I899*Finance_Data!J899)-Finance_Data!K899&lt;1,"Valid","Invalid")</f>
        <v>Valid</v>
      </c>
      <c r="H903" s="3" t="str">
        <f>IF(Finance_Data!L899&gt;0,"Valid","Invalid")</f>
        <v>Valid</v>
      </c>
      <c r="I903" s="3" t="str">
        <f>IF(Finance_Data!L899&gt;=Finance_Data!M899,"Valid","Invalid")</f>
        <v>Valid</v>
      </c>
      <c r="J903" s="3" t="str">
        <f>IF(AND(Finance_Data!I899&gt;=0,Finance_Data!K899&gt;=0),"Valid","Invalid")</f>
        <v>Valid</v>
      </c>
      <c r="K903" s="3" t="str">
        <f>IF(Finance_Data!N899&gt;=0,"Valid","Invalid")</f>
        <v>Valid</v>
      </c>
      <c r="L903" s="3" t="str">
        <f>IF(TEXT(Finance_Data!G899,"mmmm")=Finance_Data!P899,"Valid","Invalid")</f>
        <v>Valid</v>
      </c>
      <c r="M903" s="3" t="str">
        <f>IF("Q"&amp;ROUNDUP(MONTH(Finance_Data!G899)/3,0)=Finance_Data!Q899,"Valid","Invalid")</f>
        <v>Valid</v>
      </c>
      <c r="N903" s="7" t="str">
        <f t="shared" si="14"/>
        <v>Pass</v>
      </c>
    </row>
    <row r="904" spans="1:14" x14ac:dyDescent="0.35">
      <c r="A904" s="17" t="s">
        <v>78</v>
      </c>
      <c r="B904" s="3" t="str">
        <f>IF(ISBLANK(Table3[[#This Row],[Campaign_ID]]),"Invalid","Valid")</f>
        <v>Valid</v>
      </c>
      <c r="C904" s="3" t="str">
        <f>IF(COUNTA(Finance_Data!A900:R900)=18,"Valid","Missing")</f>
        <v>Valid</v>
      </c>
      <c r="D904" s="3" t="str">
        <f>IF(COUNTIF(Finance_Data!$T$2:$T$1001,Finance_Data!T900)&gt;1,"Duplicate","Valid")</f>
        <v>Valid</v>
      </c>
      <c r="E904" s="3" t="str">
        <f>IF(Finance_Data!H900&gt;Finance_Data!G900,"Valid","Invalid")</f>
        <v>Valid</v>
      </c>
      <c r="F904" s="3" t="str" cm="1">
        <f t="array" ref="F904">_xlfn.IFS(Finance_Data!S900&lt;7,"Short",Finance_Data!S900&lt;=30,"Normal",Finance_Data!S900&lt;=60,"Long",Finance_Data!S900&gt;60,"Very Long")</f>
        <v>Normal</v>
      </c>
      <c r="G904" s="3" t="str">
        <f>IF(ABS(Finance_Data!I900*Finance_Data!J900)-Finance_Data!K900&lt;1,"Valid","Invalid")</f>
        <v>Valid</v>
      </c>
      <c r="H904" s="3" t="str">
        <f>IF(Finance_Data!L900&gt;0,"Valid","Invalid")</f>
        <v>Valid</v>
      </c>
      <c r="I904" s="3" t="str">
        <f>IF(Finance_Data!L900&gt;=Finance_Data!M900,"Valid","Invalid")</f>
        <v>Valid</v>
      </c>
      <c r="J904" s="3" t="str">
        <f>IF(AND(Finance_Data!I900&gt;=0,Finance_Data!K900&gt;=0),"Valid","Invalid")</f>
        <v>Valid</v>
      </c>
      <c r="K904" s="3" t="str">
        <f>IF(Finance_Data!N900&gt;=0,"Valid","Invalid")</f>
        <v>Valid</v>
      </c>
      <c r="L904" s="3" t="str">
        <f>IF(TEXT(Finance_Data!G900,"mmmm")=Finance_Data!P900,"Valid","Invalid")</f>
        <v>Valid</v>
      </c>
      <c r="M904" s="3" t="str">
        <f>IF("Q"&amp;ROUNDUP(MONTH(Finance_Data!G900)/3,0)=Finance_Data!Q900,"Valid","Invalid")</f>
        <v>Valid</v>
      </c>
      <c r="N904" s="7" t="str">
        <f t="shared" si="14"/>
        <v>Pass</v>
      </c>
    </row>
    <row r="905" spans="1:14" x14ac:dyDescent="0.35">
      <c r="A905" s="17" t="s">
        <v>84</v>
      </c>
      <c r="B905" s="3" t="str">
        <f>IF(ISBLANK(Table3[[#This Row],[Campaign_ID]]),"Invalid","Valid")</f>
        <v>Valid</v>
      </c>
      <c r="C905" s="3" t="str">
        <f>IF(COUNTA(Finance_Data!A901:R901)=18,"Valid","Missing")</f>
        <v>Valid</v>
      </c>
      <c r="D905" s="3" t="str">
        <f>IF(COUNTIF(Finance_Data!$T$2:$T$1001,Finance_Data!T901)&gt;1,"Duplicate","Valid")</f>
        <v>Valid</v>
      </c>
      <c r="E905" s="3" t="str">
        <f>IF(Finance_Data!H901&gt;Finance_Data!G901,"Valid","Invalid")</f>
        <v>Valid</v>
      </c>
      <c r="F905" s="3" t="str" cm="1">
        <f t="array" ref="F905">_xlfn.IFS(Finance_Data!S901&lt;7,"Short",Finance_Data!S901&lt;=30,"Normal",Finance_Data!S901&lt;=60,"Long",Finance_Data!S901&gt;60,"Very Long")</f>
        <v>Long</v>
      </c>
      <c r="G905" s="3" t="str">
        <f>IF(ABS(Finance_Data!I901*Finance_Data!J901)-Finance_Data!K901&lt;1,"Valid","Invalid")</f>
        <v>Valid</v>
      </c>
      <c r="H905" s="3" t="str">
        <f>IF(Finance_Data!L901&gt;0,"Valid","Invalid")</f>
        <v>Valid</v>
      </c>
      <c r="I905" s="3" t="str">
        <f>IF(Finance_Data!L901&gt;=Finance_Data!M901,"Valid","Invalid")</f>
        <v>Valid</v>
      </c>
      <c r="J905" s="3" t="str">
        <f>IF(AND(Finance_Data!I901&gt;=0,Finance_Data!K901&gt;=0),"Valid","Invalid")</f>
        <v>Valid</v>
      </c>
      <c r="K905" s="3" t="str">
        <f>IF(Finance_Data!N901&gt;=0,"Valid","Invalid")</f>
        <v>Valid</v>
      </c>
      <c r="L905" s="3" t="str">
        <f>IF(TEXT(Finance_Data!G901,"mmmm")=Finance_Data!P901,"Valid","Invalid")</f>
        <v>Valid</v>
      </c>
      <c r="M905" s="3" t="str">
        <f>IF("Q"&amp;ROUNDUP(MONTH(Finance_Data!G901)/3,0)=Finance_Data!Q901,"Valid","Invalid")</f>
        <v>Valid</v>
      </c>
      <c r="N905" s="7" t="str">
        <f t="shared" si="14"/>
        <v>Pass</v>
      </c>
    </row>
    <row r="906" spans="1:14" x14ac:dyDescent="0.35">
      <c r="A906" s="17" t="s">
        <v>50</v>
      </c>
      <c r="B906" s="3" t="str">
        <f>IF(ISBLANK(Table3[[#This Row],[Campaign_ID]]),"Invalid","Valid")</f>
        <v>Valid</v>
      </c>
      <c r="C906" s="3" t="str">
        <f>IF(COUNTA(Finance_Data!A902:R902)=18,"Valid","Missing")</f>
        <v>Valid</v>
      </c>
      <c r="D906" s="3" t="str">
        <f>IF(COUNTIF(Finance_Data!$T$2:$T$1001,Finance_Data!T902)&gt;1,"Duplicate","Valid")</f>
        <v>Valid</v>
      </c>
      <c r="E906" s="3" t="str">
        <f>IF(Finance_Data!H902&gt;Finance_Data!G902,"Valid","Invalid")</f>
        <v>Valid</v>
      </c>
      <c r="F906" s="3" t="str" cm="1">
        <f t="array" ref="F906">_xlfn.IFS(Finance_Data!S902&lt;7,"Short",Finance_Data!S902&lt;=30,"Normal",Finance_Data!S902&lt;=60,"Long",Finance_Data!S902&gt;60,"Very Long")</f>
        <v>Normal</v>
      </c>
      <c r="G906" s="3" t="str">
        <f>IF(ABS(Finance_Data!I902*Finance_Data!J902)-Finance_Data!K902&lt;1,"Valid","Invalid")</f>
        <v>Valid</v>
      </c>
      <c r="H906" s="3" t="str">
        <f>IF(Finance_Data!L902&gt;0,"Valid","Invalid")</f>
        <v>Valid</v>
      </c>
      <c r="I906" s="3" t="str">
        <f>IF(Finance_Data!L902&gt;=Finance_Data!M902,"Valid","Invalid")</f>
        <v>Valid</v>
      </c>
      <c r="J906" s="3" t="str">
        <f>IF(AND(Finance_Data!I902&gt;=0,Finance_Data!K902&gt;=0),"Valid","Invalid")</f>
        <v>Valid</v>
      </c>
      <c r="K906" s="3" t="str">
        <f>IF(Finance_Data!N902&gt;=0,"Valid","Invalid")</f>
        <v>Valid</v>
      </c>
      <c r="L906" s="3" t="str">
        <f>IF(TEXT(Finance_Data!G902,"mmmm")=Finance_Data!P902,"Valid","Invalid")</f>
        <v>Valid</v>
      </c>
      <c r="M906" s="3" t="str">
        <f>IF("Q"&amp;ROUNDUP(MONTH(Finance_Data!G902)/3,0)=Finance_Data!Q902,"Valid","Invalid")</f>
        <v>Valid</v>
      </c>
      <c r="N906" s="7" t="str">
        <f t="shared" si="14"/>
        <v>Pass</v>
      </c>
    </row>
    <row r="907" spans="1:14" x14ac:dyDescent="0.35">
      <c r="A907" s="17" t="s">
        <v>27</v>
      </c>
      <c r="B907" s="3" t="str">
        <f>IF(ISBLANK(Table3[[#This Row],[Campaign_ID]]),"Invalid","Valid")</f>
        <v>Valid</v>
      </c>
      <c r="C907" s="3" t="str">
        <f>IF(COUNTA(Finance_Data!A903:R903)=18,"Valid","Missing")</f>
        <v>Valid</v>
      </c>
      <c r="D907" s="3" t="str">
        <f>IF(COUNTIF(Finance_Data!$T$2:$T$1001,Finance_Data!T903)&gt;1,"Duplicate","Valid")</f>
        <v>Valid</v>
      </c>
      <c r="E907" s="3" t="str">
        <f>IF(Finance_Data!H903&gt;Finance_Data!G903,"Valid","Invalid")</f>
        <v>Valid</v>
      </c>
      <c r="F907" s="3" t="str" cm="1">
        <f t="array" ref="F907">_xlfn.IFS(Finance_Data!S903&lt;7,"Short",Finance_Data!S903&lt;=30,"Normal",Finance_Data!S903&lt;=60,"Long",Finance_Data!S903&gt;60,"Very Long")</f>
        <v>Long</v>
      </c>
      <c r="G907" s="3" t="str">
        <f>IF(ABS(Finance_Data!I903*Finance_Data!J903)-Finance_Data!K903&lt;1,"Valid","Invalid")</f>
        <v>Valid</v>
      </c>
      <c r="H907" s="3" t="str">
        <f>IF(Finance_Data!L903&gt;0,"Valid","Invalid")</f>
        <v>Valid</v>
      </c>
      <c r="I907" s="3" t="str">
        <f>IF(Finance_Data!L903&gt;=Finance_Data!M903,"Valid","Invalid")</f>
        <v>Valid</v>
      </c>
      <c r="J907" s="3" t="str">
        <f>IF(AND(Finance_Data!I903&gt;=0,Finance_Data!K903&gt;=0),"Valid","Invalid")</f>
        <v>Valid</v>
      </c>
      <c r="K907" s="3" t="str">
        <f>IF(Finance_Data!N903&gt;=0,"Valid","Invalid")</f>
        <v>Valid</v>
      </c>
      <c r="L907" s="3" t="str">
        <f>IF(TEXT(Finance_Data!G903,"mmmm")=Finance_Data!P903,"Valid","Invalid")</f>
        <v>Valid</v>
      </c>
      <c r="M907" s="3" t="str">
        <f>IF("Q"&amp;ROUNDUP(MONTH(Finance_Data!G903)/3,0)=Finance_Data!Q903,"Valid","Invalid")</f>
        <v>Valid</v>
      </c>
      <c r="N907" s="7" t="str">
        <f t="shared" si="14"/>
        <v>Pass</v>
      </c>
    </row>
    <row r="908" spans="1:14" x14ac:dyDescent="0.35">
      <c r="A908" s="17" t="s">
        <v>78</v>
      </c>
      <c r="B908" s="3" t="str">
        <f>IF(ISBLANK(Table3[[#This Row],[Campaign_ID]]),"Invalid","Valid")</f>
        <v>Valid</v>
      </c>
      <c r="C908" s="3" t="str">
        <f>IF(COUNTA(Finance_Data!A904:R904)=18,"Valid","Missing")</f>
        <v>Valid</v>
      </c>
      <c r="D908" s="3" t="str">
        <f>IF(COUNTIF(Finance_Data!$T$2:$T$1001,Finance_Data!T904)&gt;1,"Duplicate","Valid")</f>
        <v>Valid</v>
      </c>
      <c r="E908" s="3" t="str">
        <f>IF(Finance_Data!H904&gt;Finance_Data!G904,"Valid","Invalid")</f>
        <v>Valid</v>
      </c>
      <c r="F908" s="3" t="str" cm="1">
        <f t="array" ref="F908">_xlfn.IFS(Finance_Data!S904&lt;7,"Short",Finance_Data!S904&lt;=30,"Normal",Finance_Data!S904&lt;=60,"Long",Finance_Data!S904&gt;60,"Very Long")</f>
        <v>Normal</v>
      </c>
      <c r="G908" s="3" t="str">
        <f>IF(ABS(Finance_Data!I904*Finance_Data!J904)-Finance_Data!K904&lt;1,"Valid","Invalid")</f>
        <v>Valid</v>
      </c>
      <c r="H908" s="3" t="str">
        <f>IF(Finance_Data!L904&gt;0,"Valid","Invalid")</f>
        <v>Valid</v>
      </c>
      <c r="I908" s="3" t="str">
        <f>IF(Finance_Data!L904&gt;=Finance_Data!M904,"Valid","Invalid")</f>
        <v>Valid</v>
      </c>
      <c r="J908" s="3" t="str">
        <f>IF(AND(Finance_Data!I904&gt;=0,Finance_Data!K904&gt;=0),"Valid","Invalid")</f>
        <v>Valid</v>
      </c>
      <c r="K908" s="3" t="str">
        <f>IF(Finance_Data!N904&gt;=0,"Valid","Invalid")</f>
        <v>Valid</v>
      </c>
      <c r="L908" s="3" t="str">
        <f>IF(TEXT(Finance_Data!G904,"mmmm")=Finance_Data!P904,"Valid","Invalid")</f>
        <v>Valid</v>
      </c>
      <c r="M908" s="3" t="str">
        <f>IF("Q"&amp;ROUNDUP(MONTH(Finance_Data!G904)/3,0)=Finance_Data!Q904,"Valid","Invalid")</f>
        <v>Valid</v>
      </c>
      <c r="N908" s="7" t="str">
        <f t="shared" si="14"/>
        <v>Pass</v>
      </c>
    </row>
    <row r="909" spans="1:14" x14ac:dyDescent="0.35">
      <c r="A909" s="17" t="s">
        <v>70</v>
      </c>
      <c r="B909" s="3" t="str">
        <f>IF(ISBLANK(Table3[[#This Row],[Campaign_ID]]),"Invalid","Valid")</f>
        <v>Valid</v>
      </c>
      <c r="C909" s="3" t="str">
        <f>IF(COUNTA(Finance_Data!A905:R905)=18,"Valid","Missing")</f>
        <v>Valid</v>
      </c>
      <c r="D909" s="3" t="str">
        <f>IF(COUNTIF(Finance_Data!$T$2:$T$1001,Finance_Data!T905)&gt;1,"Duplicate","Valid")</f>
        <v>Valid</v>
      </c>
      <c r="E909" s="3" t="str">
        <f>IF(Finance_Data!H905&gt;Finance_Data!G905,"Valid","Invalid")</f>
        <v>Valid</v>
      </c>
      <c r="F909" s="3" t="str" cm="1">
        <f t="array" ref="F909">_xlfn.IFS(Finance_Data!S905&lt;7,"Short",Finance_Data!S905&lt;=30,"Normal",Finance_Data!S905&lt;=60,"Long",Finance_Data!S905&gt;60,"Very Long")</f>
        <v>Long</v>
      </c>
      <c r="G909" s="3" t="str">
        <f>IF(ABS(Finance_Data!I905*Finance_Data!J905)-Finance_Data!K905&lt;1,"Valid","Invalid")</f>
        <v>Valid</v>
      </c>
      <c r="H909" s="3" t="str">
        <f>IF(Finance_Data!L905&gt;0,"Valid","Invalid")</f>
        <v>Valid</v>
      </c>
      <c r="I909" s="3" t="str">
        <f>IF(Finance_Data!L905&gt;=Finance_Data!M905,"Valid","Invalid")</f>
        <v>Valid</v>
      </c>
      <c r="J909" s="3" t="str">
        <f>IF(AND(Finance_Data!I905&gt;=0,Finance_Data!K905&gt;=0),"Valid","Invalid")</f>
        <v>Valid</v>
      </c>
      <c r="K909" s="3" t="str">
        <f>IF(Finance_Data!N905&gt;=0,"Valid","Invalid")</f>
        <v>Valid</v>
      </c>
      <c r="L909" s="3" t="str">
        <f>IF(TEXT(Finance_Data!G905,"mmmm")=Finance_Data!P905,"Valid","Invalid")</f>
        <v>Valid</v>
      </c>
      <c r="M909" s="3" t="str">
        <f>IF("Q"&amp;ROUNDUP(MONTH(Finance_Data!G905)/3,0)=Finance_Data!Q905,"Valid","Invalid")</f>
        <v>Valid</v>
      </c>
      <c r="N909" s="7" t="str">
        <f t="shared" si="14"/>
        <v>Pass</v>
      </c>
    </row>
    <row r="910" spans="1:14" x14ac:dyDescent="0.35">
      <c r="A910" s="17" t="s">
        <v>57</v>
      </c>
      <c r="B910" s="3" t="str">
        <f>IF(ISBLANK(Table3[[#This Row],[Campaign_ID]]),"Invalid","Valid")</f>
        <v>Valid</v>
      </c>
      <c r="C910" s="3" t="str">
        <f>IF(COUNTA(Finance_Data!A906:R906)=18,"Valid","Missing")</f>
        <v>Valid</v>
      </c>
      <c r="D910" s="3" t="str">
        <f>IF(COUNTIF(Finance_Data!$T$2:$T$1001,Finance_Data!T906)&gt;1,"Duplicate","Valid")</f>
        <v>Valid</v>
      </c>
      <c r="E910" s="3" t="str">
        <f>IF(Finance_Data!H906&gt;Finance_Data!G906,"Valid","Invalid")</f>
        <v>Valid</v>
      </c>
      <c r="F910" s="3" t="str" cm="1">
        <f t="array" ref="F910">_xlfn.IFS(Finance_Data!S906&lt;7,"Short",Finance_Data!S906&lt;=30,"Normal",Finance_Data!S906&lt;=60,"Long",Finance_Data!S906&gt;60,"Very Long")</f>
        <v>Long</v>
      </c>
      <c r="G910" s="3" t="str">
        <f>IF(ABS(Finance_Data!I906*Finance_Data!J906)-Finance_Data!K906&lt;1,"Valid","Invalid")</f>
        <v>Valid</v>
      </c>
      <c r="H910" s="3" t="str">
        <f>IF(Finance_Data!L906&gt;0,"Valid","Invalid")</f>
        <v>Valid</v>
      </c>
      <c r="I910" s="3" t="str">
        <f>IF(Finance_Data!L906&gt;=Finance_Data!M906,"Valid","Invalid")</f>
        <v>Valid</v>
      </c>
      <c r="J910" s="3" t="str">
        <f>IF(AND(Finance_Data!I906&gt;=0,Finance_Data!K906&gt;=0),"Valid","Invalid")</f>
        <v>Valid</v>
      </c>
      <c r="K910" s="3" t="str">
        <f>IF(Finance_Data!N906&gt;=0,"Valid","Invalid")</f>
        <v>Valid</v>
      </c>
      <c r="L910" s="3" t="str">
        <f>IF(TEXT(Finance_Data!G906,"mmmm")=Finance_Data!P906,"Valid","Invalid")</f>
        <v>Valid</v>
      </c>
      <c r="M910" s="3" t="str">
        <f>IF("Q"&amp;ROUNDUP(MONTH(Finance_Data!G906)/3,0)=Finance_Data!Q906,"Valid","Invalid")</f>
        <v>Valid</v>
      </c>
      <c r="N910" s="7" t="str">
        <f t="shared" si="14"/>
        <v>Pass</v>
      </c>
    </row>
    <row r="911" spans="1:14" x14ac:dyDescent="0.35">
      <c r="A911" s="17" t="s">
        <v>77</v>
      </c>
      <c r="B911" s="3" t="str">
        <f>IF(ISBLANK(Table3[[#This Row],[Campaign_ID]]),"Invalid","Valid")</f>
        <v>Valid</v>
      </c>
      <c r="C911" s="3" t="str">
        <f>IF(COUNTA(Finance_Data!A907:R907)=18,"Valid","Missing")</f>
        <v>Valid</v>
      </c>
      <c r="D911" s="3" t="str">
        <f>IF(COUNTIF(Finance_Data!$T$2:$T$1001,Finance_Data!T907)&gt;1,"Duplicate","Valid")</f>
        <v>Valid</v>
      </c>
      <c r="E911" s="3" t="str">
        <f>IF(Finance_Data!H907&gt;Finance_Data!G907,"Valid","Invalid")</f>
        <v>Valid</v>
      </c>
      <c r="F911" s="3" t="str" cm="1">
        <f t="array" ref="F911">_xlfn.IFS(Finance_Data!S907&lt;7,"Short",Finance_Data!S907&lt;=30,"Normal",Finance_Data!S907&lt;=60,"Long",Finance_Data!S907&gt;60,"Very Long")</f>
        <v>Long</v>
      </c>
      <c r="G911" s="3" t="str">
        <f>IF(ABS(Finance_Data!I907*Finance_Data!J907)-Finance_Data!K907&lt;1,"Valid","Invalid")</f>
        <v>Valid</v>
      </c>
      <c r="H911" s="3" t="str">
        <f>IF(Finance_Data!L907&gt;0,"Valid","Invalid")</f>
        <v>Valid</v>
      </c>
      <c r="I911" s="3" t="str">
        <f>IF(Finance_Data!L907&gt;=Finance_Data!M907,"Valid","Invalid")</f>
        <v>Valid</v>
      </c>
      <c r="J911" s="3" t="str">
        <f>IF(AND(Finance_Data!I907&gt;=0,Finance_Data!K907&gt;=0),"Valid","Invalid")</f>
        <v>Valid</v>
      </c>
      <c r="K911" s="3" t="str">
        <f>IF(Finance_Data!N907&gt;=0,"Valid","Invalid")</f>
        <v>Valid</v>
      </c>
      <c r="L911" s="3" t="str">
        <f>IF(TEXT(Finance_Data!G907,"mmmm")=Finance_Data!P907,"Valid","Invalid")</f>
        <v>Valid</v>
      </c>
      <c r="M911" s="3" t="str">
        <f>IF("Q"&amp;ROUNDUP(MONTH(Finance_Data!G907)/3,0)=Finance_Data!Q907,"Valid","Invalid")</f>
        <v>Valid</v>
      </c>
      <c r="N911" s="7" t="str">
        <f t="shared" si="14"/>
        <v>Pass</v>
      </c>
    </row>
    <row r="912" spans="1:14" x14ac:dyDescent="0.35">
      <c r="A912" s="17" t="s">
        <v>82</v>
      </c>
      <c r="B912" s="3" t="str">
        <f>IF(ISBLANK(Table3[[#This Row],[Campaign_ID]]),"Invalid","Valid")</f>
        <v>Valid</v>
      </c>
      <c r="C912" s="3" t="str">
        <f>IF(COUNTA(Finance_Data!A908:R908)=18,"Valid","Missing")</f>
        <v>Valid</v>
      </c>
      <c r="D912" s="3" t="str">
        <f>IF(COUNTIF(Finance_Data!$T$2:$T$1001,Finance_Data!T908)&gt;1,"Duplicate","Valid")</f>
        <v>Valid</v>
      </c>
      <c r="E912" s="3" t="str">
        <f>IF(Finance_Data!H908&gt;Finance_Data!G908,"Valid","Invalid")</f>
        <v>Valid</v>
      </c>
      <c r="F912" s="3" t="str" cm="1">
        <f t="array" ref="F912">_xlfn.IFS(Finance_Data!S908&lt;7,"Short",Finance_Data!S908&lt;=30,"Normal",Finance_Data!S908&lt;=60,"Long",Finance_Data!S908&gt;60,"Very Long")</f>
        <v>Long</v>
      </c>
      <c r="G912" s="3" t="str">
        <f>IF(ABS(Finance_Data!I908*Finance_Data!J908)-Finance_Data!K908&lt;1,"Valid","Invalid")</f>
        <v>Valid</v>
      </c>
      <c r="H912" s="3" t="str">
        <f>IF(Finance_Data!L908&gt;0,"Valid","Invalid")</f>
        <v>Valid</v>
      </c>
      <c r="I912" s="3" t="str">
        <f>IF(Finance_Data!L908&gt;=Finance_Data!M908,"Valid","Invalid")</f>
        <v>Valid</v>
      </c>
      <c r="J912" s="3" t="str">
        <f>IF(AND(Finance_Data!I908&gt;=0,Finance_Data!K908&gt;=0),"Valid","Invalid")</f>
        <v>Valid</v>
      </c>
      <c r="K912" s="3" t="str">
        <f>IF(Finance_Data!N908&gt;=0,"Valid","Invalid")</f>
        <v>Valid</v>
      </c>
      <c r="L912" s="3" t="str">
        <f>IF(TEXT(Finance_Data!G908,"mmmm")=Finance_Data!P908,"Valid","Invalid")</f>
        <v>Valid</v>
      </c>
      <c r="M912" s="3" t="str">
        <f>IF("Q"&amp;ROUNDUP(MONTH(Finance_Data!G908)/3,0)=Finance_Data!Q908,"Valid","Invalid")</f>
        <v>Valid</v>
      </c>
      <c r="N912" s="7" t="str">
        <f t="shared" si="14"/>
        <v>Pass</v>
      </c>
    </row>
    <row r="913" spans="1:14" x14ac:dyDescent="0.35">
      <c r="A913" s="17" t="s">
        <v>34</v>
      </c>
      <c r="B913" s="3" t="str">
        <f>IF(ISBLANK(Table3[[#This Row],[Campaign_ID]]),"Invalid","Valid")</f>
        <v>Valid</v>
      </c>
      <c r="C913" s="3" t="str">
        <f>IF(COUNTA(Finance_Data!A909:R909)=18,"Valid","Missing")</f>
        <v>Valid</v>
      </c>
      <c r="D913" s="3" t="str">
        <f>IF(COUNTIF(Finance_Data!$T$2:$T$1001,Finance_Data!T909)&gt;1,"Duplicate","Valid")</f>
        <v>Valid</v>
      </c>
      <c r="E913" s="3" t="str">
        <f>IF(Finance_Data!H909&gt;Finance_Data!G909,"Valid","Invalid")</f>
        <v>Valid</v>
      </c>
      <c r="F913" s="3" t="str" cm="1">
        <f t="array" ref="F913">_xlfn.IFS(Finance_Data!S909&lt;7,"Short",Finance_Data!S909&lt;=30,"Normal",Finance_Data!S909&lt;=60,"Long",Finance_Data!S909&gt;60,"Very Long")</f>
        <v>Long</v>
      </c>
      <c r="G913" s="3" t="str">
        <f>IF(ABS(Finance_Data!I909*Finance_Data!J909)-Finance_Data!K909&lt;1,"Valid","Invalid")</f>
        <v>Valid</v>
      </c>
      <c r="H913" s="3" t="str">
        <f>IF(Finance_Data!L909&gt;0,"Valid","Invalid")</f>
        <v>Valid</v>
      </c>
      <c r="I913" s="3" t="str">
        <f>IF(Finance_Data!L909&gt;=Finance_Data!M909,"Valid","Invalid")</f>
        <v>Valid</v>
      </c>
      <c r="J913" s="3" t="str">
        <f>IF(AND(Finance_Data!I909&gt;=0,Finance_Data!K909&gt;=0),"Valid","Invalid")</f>
        <v>Valid</v>
      </c>
      <c r="K913" s="3" t="str">
        <f>IF(Finance_Data!N909&gt;=0,"Valid","Invalid")</f>
        <v>Valid</v>
      </c>
      <c r="L913" s="3" t="str">
        <f>IF(TEXT(Finance_Data!G909,"mmmm")=Finance_Data!P909,"Valid","Invalid")</f>
        <v>Valid</v>
      </c>
      <c r="M913" s="3" t="str">
        <f>IF("Q"&amp;ROUNDUP(MONTH(Finance_Data!G909)/3,0)=Finance_Data!Q909,"Valid","Invalid")</f>
        <v>Valid</v>
      </c>
      <c r="N913" s="7" t="str">
        <f t="shared" si="14"/>
        <v>Pass</v>
      </c>
    </row>
    <row r="914" spans="1:14" x14ac:dyDescent="0.35">
      <c r="A914" s="17" t="s">
        <v>114</v>
      </c>
      <c r="B914" s="3" t="str">
        <f>IF(ISBLANK(Table3[[#This Row],[Campaign_ID]]),"Invalid","Valid")</f>
        <v>Valid</v>
      </c>
      <c r="C914" s="3" t="str">
        <f>IF(COUNTA(Finance_Data!A910:R910)=18,"Valid","Missing")</f>
        <v>Valid</v>
      </c>
      <c r="D914" s="3" t="str">
        <f>IF(COUNTIF(Finance_Data!$T$2:$T$1001,Finance_Data!T910)&gt;1,"Duplicate","Valid")</f>
        <v>Valid</v>
      </c>
      <c r="E914" s="3" t="str">
        <f>IF(Finance_Data!H910&gt;Finance_Data!G910,"Valid","Invalid")</f>
        <v>Valid</v>
      </c>
      <c r="F914" s="3" t="str" cm="1">
        <f t="array" ref="F914">_xlfn.IFS(Finance_Data!S910&lt;7,"Short",Finance_Data!S910&lt;=30,"Normal",Finance_Data!S910&lt;=60,"Long",Finance_Data!S910&gt;60,"Very Long")</f>
        <v>Normal</v>
      </c>
      <c r="G914" s="3" t="str">
        <f>IF(ABS(Finance_Data!I910*Finance_Data!J910)-Finance_Data!K910&lt;1,"Valid","Invalid")</f>
        <v>Valid</v>
      </c>
      <c r="H914" s="3" t="str">
        <f>IF(Finance_Data!L910&gt;0,"Valid","Invalid")</f>
        <v>Valid</v>
      </c>
      <c r="I914" s="3" t="str">
        <f>IF(Finance_Data!L910&gt;=Finance_Data!M910,"Valid","Invalid")</f>
        <v>Valid</v>
      </c>
      <c r="J914" s="3" t="str">
        <f>IF(AND(Finance_Data!I910&gt;=0,Finance_Data!K910&gt;=0),"Valid","Invalid")</f>
        <v>Valid</v>
      </c>
      <c r="K914" s="3" t="str">
        <f>IF(Finance_Data!N910&gt;=0,"Valid","Invalid")</f>
        <v>Valid</v>
      </c>
      <c r="L914" s="3" t="str">
        <f>IF(TEXT(Finance_Data!G910,"mmmm")=Finance_Data!P910,"Valid","Invalid")</f>
        <v>Valid</v>
      </c>
      <c r="M914" s="3" t="str">
        <f>IF("Q"&amp;ROUNDUP(MONTH(Finance_Data!G910)/3,0)=Finance_Data!Q910,"Valid","Invalid")</f>
        <v>Valid</v>
      </c>
      <c r="N914" s="7" t="str">
        <f t="shared" si="14"/>
        <v>Pass</v>
      </c>
    </row>
    <row r="915" spans="1:14" x14ac:dyDescent="0.35">
      <c r="A915" s="17" t="s">
        <v>97</v>
      </c>
      <c r="B915" s="3" t="str">
        <f>IF(ISBLANK(Table3[[#This Row],[Campaign_ID]]),"Invalid","Valid")</f>
        <v>Valid</v>
      </c>
      <c r="C915" s="3" t="str">
        <f>IF(COUNTA(Finance_Data!A911:R911)=18,"Valid","Missing")</f>
        <v>Valid</v>
      </c>
      <c r="D915" s="3" t="str">
        <f>IF(COUNTIF(Finance_Data!$T$2:$T$1001,Finance_Data!T911)&gt;1,"Duplicate","Valid")</f>
        <v>Valid</v>
      </c>
      <c r="E915" s="3" t="str">
        <f>IF(Finance_Data!H911&gt;Finance_Data!G911,"Valid","Invalid")</f>
        <v>Valid</v>
      </c>
      <c r="F915" s="3" t="str" cm="1">
        <f t="array" ref="F915">_xlfn.IFS(Finance_Data!S911&lt;7,"Short",Finance_Data!S911&lt;=30,"Normal",Finance_Data!S911&lt;=60,"Long",Finance_Data!S911&gt;60,"Very Long")</f>
        <v>Long</v>
      </c>
      <c r="G915" s="3" t="str">
        <f>IF(ABS(Finance_Data!I911*Finance_Data!J911)-Finance_Data!K911&lt;1,"Valid","Invalid")</f>
        <v>Valid</v>
      </c>
      <c r="H915" s="3" t="str">
        <f>IF(Finance_Data!L911&gt;0,"Valid","Invalid")</f>
        <v>Valid</v>
      </c>
      <c r="I915" s="3" t="str">
        <f>IF(Finance_Data!L911&gt;=Finance_Data!M911,"Valid","Invalid")</f>
        <v>Valid</v>
      </c>
      <c r="J915" s="3" t="str">
        <f>IF(AND(Finance_Data!I911&gt;=0,Finance_Data!K911&gt;=0),"Valid","Invalid")</f>
        <v>Valid</v>
      </c>
      <c r="K915" s="3" t="str">
        <f>IF(Finance_Data!N911&gt;=0,"Valid","Invalid")</f>
        <v>Valid</v>
      </c>
      <c r="L915" s="3" t="str">
        <f>IF(TEXT(Finance_Data!G911,"mmmm")=Finance_Data!P911,"Valid","Invalid")</f>
        <v>Valid</v>
      </c>
      <c r="M915" s="3" t="str">
        <f>IF("Q"&amp;ROUNDUP(MONTH(Finance_Data!G911)/3,0)=Finance_Data!Q911,"Valid","Invalid")</f>
        <v>Valid</v>
      </c>
      <c r="N915" s="7" t="str">
        <f t="shared" si="14"/>
        <v>Pass</v>
      </c>
    </row>
    <row r="916" spans="1:14" x14ac:dyDescent="0.35">
      <c r="A916" s="17" t="s">
        <v>50</v>
      </c>
      <c r="B916" s="3" t="str">
        <f>IF(ISBLANK(Table3[[#This Row],[Campaign_ID]]),"Invalid","Valid")</f>
        <v>Valid</v>
      </c>
      <c r="C916" s="3" t="str">
        <f>IF(COUNTA(Finance_Data!A912:R912)=18,"Valid","Missing")</f>
        <v>Valid</v>
      </c>
      <c r="D916" s="3" t="str">
        <f>IF(COUNTIF(Finance_Data!$T$2:$T$1001,Finance_Data!T912)&gt;1,"Duplicate","Valid")</f>
        <v>Valid</v>
      </c>
      <c r="E916" s="3" t="str">
        <f>IF(Finance_Data!H912&gt;Finance_Data!G912,"Valid","Invalid")</f>
        <v>Valid</v>
      </c>
      <c r="F916" s="3" t="str" cm="1">
        <f t="array" ref="F916">_xlfn.IFS(Finance_Data!S912&lt;7,"Short",Finance_Data!S912&lt;=30,"Normal",Finance_Data!S912&lt;=60,"Long",Finance_Data!S912&gt;60,"Very Long")</f>
        <v>Normal</v>
      </c>
      <c r="G916" s="3" t="str">
        <f>IF(ABS(Finance_Data!I912*Finance_Data!J912)-Finance_Data!K912&lt;1,"Valid","Invalid")</f>
        <v>Valid</v>
      </c>
      <c r="H916" s="3" t="str">
        <f>IF(Finance_Data!L912&gt;0,"Valid","Invalid")</f>
        <v>Valid</v>
      </c>
      <c r="I916" s="3" t="str">
        <f>IF(Finance_Data!L912&gt;=Finance_Data!M912,"Valid","Invalid")</f>
        <v>Valid</v>
      </c>
      <c r="J916" s="3" t="str">
        <f>IF(AND(Finance_Data!I912&gt;=0,Finance_Data!K912&gt;=0),"Valid","Invalid")</f>
        <v>Valid</v>
      </c>
      <c r="K916" s="3" t="str">
        <f>IF(Finance_Data!N912&gt;=0,"Valid","Invalid")</f>
        <v>Valid</v>
      </c>
      <c r="L916" s="3" t="str">
        <f>IF(TEXT(Finance_Data!G912,"mmmm")=Finance_Data!P912,"Valid","Invalid")</f>
        <v>Valid</v>
      </c>
      <c r="M916" s="3" t="str">
        <f>IF("Q"&amp;ROUNDUP(MONTH(Finance_Data!G912)/3,0)=Finance_Data!Q912,"Valid","Invalid")</f>
        <v>Valid</v>
      </c>
      <c r="N916" s="7" t="str">
        <f t="shared" si="14"/>
        <v>Pass</v>
      </c>
    </row>
    <row r="917" spans="1:14" x14ac:dyDescent="0.35">
      <c r="A917" s="17" t="s">
        <v>108</v>
      </c>
      <c r="B917" s="3" t="str">
        <f>IF(ISBLANK(Table3[[#This Row],[Campaign_ID]]),"Invalid","Valid")</f>
        <v>Valid</v>
      </c>
      <c r="C917" s="3" t="str">
        <f>IF(COUNTA(Finance_Data!A913:R913)=18,"Valid","Missing")</f>
        <v>Valid</v>
      </c>
      <c r="D917" s="3" t="str">
        <f>IF(COUNTIF(Finance_Data!$T$2:$T$1001,Finance_Data!T913)&gt;1,"Duplicate","Valid")</f>
        <v>Valid</v>
      </c>
      <c r="E917" s="3" t="str">
        <f>IF(Finance_Data!H913&gt;Finance_Data!G913,"Valid","Invalid")</f>
        <v>Valid</v>
      </c>
      <c r="F917" s="3" t="str" cm="1">
        <f t="array" ref="F917">_xlfn.IFS(Finance_Data!S913&lt;7,"Short",Finance_Data!S913&lt;=30,"Normal",Finance_Data!S913&lt;=60,"Long",Finance_Data!S913&gt;60,"Very Long")</f>
        <v>Normal</v>
      </c>
      <c r="G917" s="3" t="str">
        <f>IF(ABS(Finance_Data!I913*Finance_Data!J913)-Finance_Data!K913&lt;1,"Valid","Invalid")</f>
        <v>Valid</v>
      </c>
      <c r="H917" s="3" t="str">
        <f>IF(Finance_Data!L913&gt;0,"Valid","Invalid")</f>
        <v>Valid</v>
      </c>
      <c r="I917" s="3" t="str">
        <f>IF(Finance_Data!L913&gt;=Finance_Data!M913,"Valid","Invalid")</f>
        <v>Valid</v>
      </c>
      <c r="J917" s="3" t="str">
        <f>IF(AND(Finance_Data!I913&gt;=0,Finance_Data!K913&gt;=0),"Valid","Invalid")</f>
        <v>Valid</v>
      </c>
      <c r="K917" s="3" t="str">
        <f>IF(Finance_Data!N913&gt;=0,"Valid","Invalid")</f>
        <v>Valid</v>
      </c>
      <c r="L917" s="3" t="str">
        <f>IF(TEXT(Finance_Data!G913,"mmmm")=Finance_Data!P913,"Valid","Invalid")</f>
        <v>Valid</v>
      </c>
      <c r="M917" s="3" t="str">
        <f>IF("Q"&amp;ROUNDUP(MONTH(Finance_Data!G913)/3,0)=Finance_Data!Q913,"Valid","Invalid")</f>
        <v>Valid</v>
      </c>
      <c r="N917" s="7" t="str">
        <f t="shared" si="14"/>
        <v>Pass</v>
      </c>
    </row>
    <row r="918" spans="1:14" x14ac:dyDescent="0.35">
      <c r="A918" s="17" t="s">
        <v>89</v>
      </c>
      <c r="B918" s="3" t="str">
        <f>IF(ISBLANK(Table3[[#This Row],[Campaign_ID]]),"Invalid","Valid")</f>
        <v>Valid</v>
      </c>
      <c r="C918" s="3" t="str">
        <f>IF(COUNTA(Finance_Data!A914:R914)=18,"Valid","Missing")</f>
        <v>Valid</v>
      </c>
      <c r="D918" s="3" t="str">
        <f>IF(COUNTIF(Finance_Data!$T$2:$T$1001,Finance_Data!T914)&gt;1,"Duplicate","Valid")</f>
        <v>Valid</v>
      </c>
      <c r="E918" s="3" t="str">
        <f>IF(Finance_Data!H914&gt;Finance_Data!G914,"Valid","Invalid")</f>
        <v>Valid</v>
      </c>
      <c r="F918" s="3" t="str" cm="1">
        <f t="array" ref="F918">_xlfn.IFS(Finance_Data!S914&lt;7,"Short",Finance_Data!S914&lt;=30,"Normal",Finance_Data!S914&lt;=60,"Long",Finance_Data!S914&gt;60,"Very Long")</f>
        <v>Long</v>
      </c>
      <c r="G918" s="3" t="str">
        <f>IF(ABS(Finance_Data!I914*Finance_Data!J914)-Finance_Data!K914&lt;1,"Valid","Invalid")</f>
        <v>Valid</v>
      </c>
      <c r="H918" s="3" t="str">
        <f>IF(Finance_Data!L914&gt;0,"Valid","Invalid")</f>
        <v>Valid</v>
      </c>
      <c r="I918" s="3" t="str">
        <f>IF(Finance_Data!L914&gt;=Finance_Data!M914,"Valid","Invalid")</f>
        <v>Valid</v>
      </c>
      <c r="J918" s="3" t="str">
        <f>IF(AND(Finance_Data!I914&gt;=0,Finance_Data!K914&gt;=0),"Valid","Invalid")</f>
        <v>Valid</v>
      </c>
      <c r="K918" s="3" t="str">
        <f>IF(Finance_Data!N914&gt;=0,"Valid","Invalid")</f>
        <v>Valid</v>
      </c>
      <c r="L918" s="3" t="str">
        <f>IF(TEXT(Finance_Data!G914,"mmmm")=Finance_Data!P914,"Valid","Invalid")</f>
        <v>Valid</v>
      </c>
      <c r="M918" s="3" t="str">
        <f>IF("Q"&amp;ROUNDUP(MONTH(Finance_Data!G914)/3,0)=Finance_Data!Q914,"Valid","Invalid")</f>
        <v>Valid</v>
      </c>
      <c r="N918" s="7" t="str">
        <f t="shared" si="14"/>
        <v>Pass</v>
      </c>
    </row>
    <row r="919" spans="1:14" x14ac:dyDescent="0.35">
      <c r="A919" s="17" t="s">
        <v>62</v>
      </c>
      <c r="B919" s="3" t="str">
        <f>IF(ISBLANK(Table3[[#This Row],[Campaign_ID]]),"Invalid","Valid")</f>
        <v>Valid</v>
      </c>
      <c r="C919" s="3" t="str">
        <f>IF(COUNTA(Finance_Data!A915:R915)=18,"Valid","Missing")</f>
        <v>Valid</v>
      </c>
      <c r="D919" s="3" t="str">
        <f>IF(COUNTIF(Finance_Data!$T$2:$T$1001,Finance_Data!T915)&gt;1,"Duplicate","Valid")</f>
        <v>Valid</v>
      </c>
      <c r="E919" s="3" t="str">
        <f>IF(Finance_Data!H915&gt;Finance_Data!G915,"Valid","Invalid")</f>
        <v>Valid</v>
      </c>
      <c r="F919" s="3" t="str" cm="1">
        <f t="array" ref="F919">_xlfn.IFS(Finance_Data!S915&lt;7,"Short",Finance_Data!S915&lt;=30,"Normal",Finance_Data!S915&lt;=60,"Long",Finance_Data!S915&gt;60,"Very Long")</f>
        <v>Long</v>
      </c>
      <c r="G919" s="3" t="str">
        <f>IF(ABS(Finance_Data!I915*Finance_Data!J915)-Finance_Data!K915&lt;1,"Valid","Invalid")</f>
        <v>Valid</v>
      </c>
      <c r="H919" s="3" t="str">
        <f>IF(Finance_Data!L915&gt;0,"Valid","Invalid")</f>
        <v>Valid</v>
      </c>
      <c r="I919" s="3" t="str">
        <f>IF(Finance_Data!L915&gt;=Finance_Data!M915,"Valid","Invalid")</f>
        <v>Valid</v>
      </c>
      <c r="J919" s="3" t="str">
        <f>IF(AND(Finance_Data!I915&gt;=0,Finance_Data!K915&gt;=0),"Valid","Invalid")</f>
        <v>Valid</v>
      </c>
      <c r="K919" s="3" t="str">
        <f>IF(Finance_Data!N915&gt;=0,"Valid","Invalid")</f>
        <v>Valid</v>
      </c>
      <c r="L919" s="3" t="str">
        <f>IF(TEXT(Finance_Data!G915,"mmmm")=Finance_Data!P915,"Valid","Invalid")</f>
        <v>Valid</v>
      </c>
      <c r="M919" s="3" t="str">
        <f>IF("Q"&amp;ROUNDUP(MONTH(Finance_Data!G915)/3,0)=Finance_Data!Q915,"Valid","Invalid")</f>
        <v>Valid</v>
      </c>
      <c r="N919" s="7" t="str">
        <f t="shared" si="14"/>
        <v>Pass</v>
      </c>
    </row>
    <row r="920" spans="1:14" x14ac:dyDescent="0.35">
      <c r="A920" s="17" t="s">
        <v>55</v>
      </c>
      <c r="B920" s="3" t="str">
        <f>IF(ISBLANK(Table3[[#This Row],[Campaign_ID]]),"Invalid","Valid")</f>
        <v>Valid</v>
      </c>
      <c r="C920" s="3" t="str">
        <f>IF(COUNTA(Finance_Data!A916:R916)=18,"Valid","Missing")</f>
        <v>Valid</v>
      </c>
      <c r="D920" s="3" t="str">
        <f>IF(COUNTIF(Finance_Data!$T$2:$T$1001,Finance_Data!T916)&gt;1,"Duplicate","Valid")</f>
        <v>Valid</v>
      </c>
      <c r="E920" s="3" t="str">
        <f>IF(Finance_Data!H916&gt;Finance_Data!G916,"Valid","Invalid")</f>
        <v>Valid</v>
      </c>
      <c r="F920" s="3" t="str" cm="1">
        <f t="array" ref="F920">_xlfn.IFS(Finance_Data!S916&lt;7,"Short",Finance_Data!S916&lt;=30,"Normal",Finance_Data!S916&lt;=60,"Long",Finance_Data!S916&gt;60,"Very Long")</f>
        <v>Long</v>
      </c>
      <c r="G920" s="3" t="str">
        <f>IF(ABS(Finance_Data!I916*Finance_Data!J916)-Finance_Data!K916&lt;1,"Valid","Invalid")</f>
        <v>Valid</v>
      </c>
      <c r="H920" s="3" t="str">
        <f>IF(Finance_Data!L916&gt;0,"Valid","Invalid")</f>
        <v>Valid</v>
      </c>
      <c r="I920" s="3" t="str">
        <f>IF(Finance_Data!L916&gt;=Finance_Data!M916,"Valid","Invalid")</f>
        <v>Valid</v>
      </c>
      <c r="J920" s="3" t="str">
        <f>IF(AND(Finance_Data!I916&gt;=0,Finance_Data!K916&gt;=0),"Valid","Invalid")</f>
        <v>Valid</v>
      </c>
      <c r="K920" s="3" t="str">
        <f>IF(Finance_Data!N916&gt;=0,"Valid","Invalid")</f>
        <v>Valid</v>
      </c>
      <c r="L920" s="3" t="str">
        <f>IF(TEXT(Finance_Data!G916,"mmmm")=Finance_Data!P916,"Valid","Invalid")</f>
        <v>Valid</v>
      </c>
      <c r="M920" s="3" t="str">
        <f>IF("Q"&amp;ROUNDUP(MONTH(Finance_Data!G916)/3,0)=Finance_Data!Q916,"Valid","Invalid")</f>
        <v>Valid</v>
      </c>
      <c r="N920" s="7" t="str">
        <f t="shared" si="14"/>
        <v>Pass</v>
      </c>
    </row>
    <row r="921" spans="1:14" x14ac:dyDescent="0.35">
      <c r="A921" s="17" t="s">
        <v>81</v>
      </c>
      <c r="B921" s="3" t="str">
        <f>IF(ISBLANK(Table3[[#This Row],[Campaign_ID]]),"Invalid","Valid")</f>
        <v>Valid</v>
      </c>
      <c r="C921" s="3" t="str">
        <f>IF(COUNTA(Finance_Data!A917:R917)=18,"Valid","Missing")</f>
        <v>Valid</v>
      </c>
      <c r="D921" s="3" t="str">
        <f>IF(COUNTIF(Finance_Data!$T$2:$T$1001,Finance_Data!T917)&gt;1,"Duplicate","Valid")</f>
        <v>Valid</v>
      </c>
      <c r="E921" s="3" t="str">
        <f>IF(Finance_Data!H917&gt;Finance_Data!G917,"Valid","Invalid")</f>
        <v>Valid</v>
      </c>
      <c r="F921" s="3" t="str" cm="1">
        <f t="array" ref="F921">_xlfn.IFS(Finance_Data!S917&lt;7,"Short",Finance_Data!S917&lt;=30,"Normal",Finance_Data!S917&lt;=60,"Long",Finance_Data!S917&gt;60,"Very Long")</f>
        <v>Long</v>
      </c>
      <c r="G921" s="3" t="str">
        <f>IF(ABS(Finance_Data!I917*Finance_Data!J917)-Finance_Data!K917&lt;1,"Valid","Invalid")</f>
        <v>Valid</v>
      </c>
      <c r="H921" s="3" t="str">
        <f>IF(Finance_Data!L917&gt;0,"Valid","Invalid")</f>
        <v>Valid</v>
      </c>
      <c r="I921" s="3" t="str">
        <f>IF(Finance_Data!L917&gt;=Finance_Data!M917,"Valid","Invalid")</f>
        <v>Valid</v>
      </c>
      <c r="J921" s="3" t="str">
        <f>IF(AND(Finance_Data!I917&gt;=0,Finance_Data!K917&gt;=0),"Valid","Invalid")</f>
        <v>Valid</v>
      </c>
      <c r="K921" s="3" t="str">
        <f>IF(Finance_Data!N917&gt;=0,"Valid","Invalid")</f>
        <v>Valid</v>
      </c>
      <c r="L921" s="3" t="str">
        <f>IF(TEXT(Finance_Data!G917,"mmmm")=Finance_Data!P917,"Valid","Invalid")</f>
        <v>Valid</v>
      </c>
      <c r="M921" s="3" t="str">
        <f>IF("Q"&amp;ROUNDUP(MONTH(Finance_Data!G917)/3,0)=Finance_Data!Q917,"Valid","Invalid")</f>
        <v>Valid</v>
      </c>
      <c r="N921" s="7" t="str">
        <f t="shared" si="14"/>
        <v>Pass</v>
      </c>
    </row>
    <row r="922" spans="1:14" x14ac:dyDescent="0.35">
      <c r="A922" s="17" t="s">
        <v>87</v>
      </c>
      <c r="B922" s="3" t="str">
        <f>IF(ISBLANK(Table3[[#This Row],[Campaign_ID]]),"Invalid","Valid")</f>
        <v>Valid</v>
      </c>
      <c r="C922" s="3" t="str">
        <f>IF(COUNTA(Finance_Data!A918:R918)=18,"Valid","Missing")</f>
        <v>Valid</v>
      </c>
      <c r="D922" s="3" t="str">
        <f>IF(COUNTIF(Finance_Data!$T$2:$T$1001,Finance_Data!T918)&gt;1,"Duplicate","Valid")</f>
        <v>Valid</v>
      </c>
      <c r="E922" s="3" t="str">
        <f>IF(Finance_Data!H918&gt;Finance_Data!G918,"Valid","Invalid")</f>
        <v>Valid</v>
      </c>
      <c r="F922" s="3" t="str" cm="1">
        <f t="array" ref="F922">_xlfn.IFS(Finance_Data!S918&lt;7,"Short",Finance_Data!S918&lt;=30,"Normal",Finance_Data!S918&lt;=60,"Long",Finance_Data!S918&gt;60,"Very Long")</f>
        <v>Long</v>
      </c>
      <c r="G922" s="3" t="str">
        <f>IF(ABS(Finance_Data!I918*Finance_Data!J918)-Finance_Data!K918&lt;1,"Valid","Invalid")</f>
        <v>Valid</v>
      </c>
      <c r="H922" s="3" t="str">
        <f>IF(Finance_Data!L918&gt;0,"Valid","Invalid")</f>
        <v>Valid</v>
      </c>
      <c r="I922" s="3" t="str">
        <f>IF(Finance_Data!L918&gt;=Finance_Data!M918,"Valid","Invalid")</f>
        <v>Valid</v>
      </c>
      <c r="J922" s="3" t="str">
        <f>IF(AND(Finance_Data!I918&gt;=0,Finance_Data!K918&gt;=0),"Valid","Invalid")</f>
        <v>Valid</v>
      </c>
      <c r="K922" s="3" t="str">
        <f>IF(Finance_Data!N918&gt;=0,"Valid","Invalid")</f>
        <v>Valid</v>
      </c>
      <c r="L922" s="3" t="str">
        <f>IF(TEXT(Finance_Data!G918,"mmmm")=Finance_Data!P918,"Valid","Invalid")</f>
        <v>Valid</v>
      </c>
      <c r="M922" s="3" t="str">
        <f>IF("Q"&amp;ROUNDUP(MONTH(Finance_Data!G918)/3,0)=Finance_Data!Q918,"Valid","Invalid")</f>
        <v>Valid</v>
      </c>
      <c r="N922" s="7" t="str">
        <f t="shared" si="14"/>
        <v>Pass</v>
      </c>
    </row>
    <row r="923" spans="1:14" x14ac:dyDescent="0.35">
      <c r="A923" s="17" t="s">
        <v>27</v>
      </c>
      <c r="B923" s="3" t="str">
        <f>IF(ISBLANK(Table3[[#This Row],[Campaign_ID]]),"Invalid","Valid")</f>
        <v>Valid</v>
      </c>
      <c r="C923" s="3" t="str">
        <f>IF(COUNTA(Finance_Data!A919:R919)=18,"Valid","Missing")</f>
        <v>Valid</v>
      </c>
      <c r="D923" s="3" t="str">
        <f>IF(COUNTIF(Finance_Data!$T$2:$T$1001,Finance_Data!T919)&gt;1,"Duplicate","Valid")</f>
        <v>Valid</v>
      </c>
      <c r="E923" s="3" t="str">
        <f>IF(Finance_Data!H919&gt;Finance_Data!G919,"Valid","Invalid")</f>
        <v>Valid</v>
      </c>
      <c r="F923" s="3" t="str" cm="1">
        <f t="array" ref="F923">_xlfn.IFS(Finance_Data!S919&lt;7,"Short",Finance_Data!S919&lt;=30,"Normal",Finance_Data!S919&lt;=60,"Long",Finance_Data!S919&gt;60,"Very Long")</f>
        <v>Normal</v>
      </c>
      <c r="G923" s="3" t="str">
        <f>IF(ABS(Finance_Data!I919*Finance_Data!J919)-Finance_Data!K919&lt;1,"Valid","Invalid")</f>
        <v>Valid</v>
      </c>
      <c r="H923" s="3" t="str">
        <f>IF(Finance_Data!L919&gt;0,"Valid","Invalid")</f>
        <v>Valid</v>
      </c>
      <c r="I923" s="3" t="str">
        <f>IF(Finance_Data!L919&gt;=Finance_Data!M919,"Valid","Invalid")</f>
        <v>Valid</v>
      </c>
      <c r="J923" s="3" t="str">
        <f>IF(AND(Finance_Data!I919&gt;=0,Finance_Data!K919&gt;=0),"Valid","Invalid")</f>
        <v>Valid</v>
      </c>
      <c r="K923" s="3" t="str">
        <f>IF(Finance_Data!N919&gt;=0,"Valid","Invalid")</f>
        <v>Valid</v>
      </c>
      <c r="L923" s="3" t="str">
        <f>IF(TEXT(Finance_Data!G919,"mmmm")=Finance_Data!P919,"Valid","Invalid")</f>
        <v>Valid</v>
      </c>
      <c r="M923" s="3" t="str">
        <f>IF("Q"&amp;ROUNDUP(MONTH(Finance_Data!G919)/3,0)=Finance_Data!Q919,"Valid","Invalid")</f>
        <v>Valid</v>
      </c>
      <c r="N923" s="7" t="str">
        <f t="shared" si="14"/>
        <v>Pass</v>
      </c>
    </row>
    <row r="924" spans="1:14" x14ac:dyDescent="0.35">
      <c r="A924" s="17" t="s">
        <v>81</v>
      </c>
      <c r="B924" s="3" t="str">
        <f>IF(ISBLANK(Table3[[#This Row],[Campaign_ID]]),"Invalid","Valid")</f>
        <v>Valid</v>
      </c>
      <c r="C924" s="3" t="str">
        <f>IF(COUNTA(Finance_Data!A920:R920)=18,"Valid","Missing")</f>
        <v>Valid</v>
      </c>
      <c r="D924" s="3" t="str">
        <f>IF(COUNTIF(Finance_Data!$T$2:$T$1001,Finance_Data!T920)&gt;1,"Duplicate","Valid")</f>
        <v>Valid</v>
      </c>
      <c r="E924" s="3" t="str">
        <f>IF(Finance_Data!H920&gt;Finance_Data!G920,"Valid","Invalid")</f>
        <v>Valid</v>
      </c>
      <c r="F924" s="3" t="str" cm="1">
        <f t="array" ref="F924">_xlfn.IFS(Finance_Data!S920&lt;7,"Short",Finance_Data!S920&lt;=30,"Normal",Finance_Data!S920&lt;=60,"Long",Finance_Data!S920&gt;60,"Very Long")</f>
        <v>Normal</v>
      </c>
      <c r="G924" s="3" t="str">
        <f>IF(ABS(Finance_Data!I920*Finance_Data!J920)-Finance_Data!K920&lt;1,"Valid","Invalid")</f>
        <v>Valid</v>
      </c>
      <c r="H924" s="3" t="str">
        <f>IF(Finance_Data!L920&gt;0,"Valid","Invalid")</f>
        <v>Valid</v>
      </c>
      <c r="I924" s="3" t="str">
        <f>IF(Finance_Data!L920&gt;=Finance_Data!M920,"Valid","Invalid")</f>
        <v>Valid</v>
      </c>
      <c r="J924" s="3" t="str">
        <f>IF(AND(Finance_Data!I920&gt;=0,Finance_Data!K920&gt;=0),"Valid","Invalid")</f>
        <v>Valid</v>
      </c>
      <c r="K924" s="3" t="str">
        <f>IF(Finance_Data!N920&gt;=0,"Valid","Invalid")</f>
        <v>Valid</v>
      </c>
      <c r="L924" s="3" t="str">
        <f>IF(TEXT(Finance_Data!G920,"mmmm")=Finance_Data!P920,"Valid","Invalid")</f>
        <v>Valid</v>
      </c>
      <c r="M924" s="3" t="str">
        <f>IF("Q"&amp;ROUNDUP(MONTH(Finance_Data!G920)/3,0)=Finance_Data!Q920,"Valid","Invalid")</f>
        <v>Valid</v>
      </c>
      <c r="N924" s="7" t="str">
        <f t="shared" si="14"/>
        <v>Pass</v>
      </c>
    </row>
    <row r="925" spans="1:14" x14ac:dyDescent="0.35">
      <c r="A925" s="17" t="s">
        <v>115</v>
      </c>
      <c r="B925" s="3" t="str">
        <f>IF(ISBLANK(Table3[[#This Row],[Campaign_ID]]),"Invalid","Valid")</f>
        <v>Valid</v>
      </c>
      <c r="C925" s="3" t="str">
        <f>IF(COUNTA(Finance_Data!A921:R921)=18,"Valid","Missing")</f>
        <v>Valid</v>
      </c>
      <c r="D925" s="3" t="str">
        <f>IF(COUNTIF(Finance_Data!$T$2:$T$1001,Finance_Data!T921)&gt;1,"Duplicate","Valid")</f>
        <v>Valid</v>
      </c>
      <c r="E925" s="3" t="str">
        <f>IF(Finance_Data!H921&gt;Finance_Data!G921,"Valid","Invalid")</f>
        <v>Valid</v>
      </c>
      <c r="F925" s="3" t="str" cm="1">
        <f t="array" ref="F925">_xlfn.IFS(Finance_Data!S921&lt;7,"Short",Finance_Data!S921&lt;=30,"Normal",Finance_Data!S921&lt;=60,"Long",Finance_Data!S921&gt;60,"Very Long")</f>
        <v>Normal</v>
      </c>
      <c r="G925" s="3" t="str">
        <f>IF(ABS(Finance_Data!I921*Finance_Data!J921)-Finance_Data!K921&lt;1,"Valid","Invalid")</f>
        <v>Valid</v>
      </c>
      <c r="H925" s="3" t="str">
        <f>IF(Finance_Data!L921&gt;0,"Valid","Invalid")</f>
        <v>Valid</v>
      </c>
      <c r="I925" s="3" t="str">
        <f>IF(Finance_Data!L921&gt;=Finance_Data!M921,"Valid","Invalid")</f>
        <v>Valid</v>
      </c>
      <c r="J925" s="3" t="str">
        <f>IF(AND(Finance_Data!I921&gt;=0,Finance_Data!K921&gt;=0),"Valid","Invalid")</f>
        <v>Valid</v>
      </c>
      <c r="K925" s="3" t="str">
        <f>IF(Finance_Data!N921&gt;=0,"Valid","Invalid")</f>
        <v>Valid</v>
      </c>
      <c r="L925" s="3" t="str">
        <f>IF(TEXT(Finance_Data!G921,"mmmm")=Finance_Data!P921,"Valid","Invalid")</f>
        <v>Valid</v>
      </c>
      <c r="M925" s="3" t="str">
        <f>IF("Q"&amp;ROUNDUP(MONTH(Finance_Data!G921)/3,0)=Finance_Data!Q921,"Valid","Invalid")</f>
        <v>Valid</v>
      </c>
      <c r="N925" s="7" t="str">
        <f t="shared" si="14"/>
        <v>Pass</v>
      </c>
    </row>
    <row r="926" spans="1:14" x14ac:dyDescent="0.35">
      <c r="A926" s="17" t="s">
        <v>71</v>
      </c>
      <c r="B926" s="3" t="str">
        <f>IF(ISBLANK(Table3[[#This Row],[Campaign_ID]]),"Invalid","Valid")</f>
        <v>Valid</v>
      </c>
      <c r="C926" s="3" t="str">
        <f>IF(COUNTA(Finance_Data!A922:R922)=18,"Valid","Missing")</f>
        <v>Valid</v>
      </c>
      <c r="D926" s="3" t="str">
        <f>IF(COUNTIF(Finance_Data!$T$2:$T$1001,Finance_Data!T922)&gt;1,"Duplicate","Valid")</f>
        <v>Valid</v>
      </c>
      <c r="E926" s="3" t="str">
        <f>IF(Finance_Data!H922&gt;Finance_Data!G922,"Valid","Invalid")</f>
        <v>Valid</v>
      </c>
      <c r="F926" s="3" t="str" cm="1">
        <f t="array" ref="F926">_xlfn.IFS(Finance_Data!S922&lt;7,"Short",Finance_Data!S922&lt;=30,"Normal",Finance_Data!S922&lt;=60,"Long",Finance_Data!S922&gt;60,"Very Long")</f>
        <v>Normal</v>
      </c>
      <c r="G926" s="3" t="str">
        <f>IF(ABS(Finance_Data!I922*Finance_Data!J922)-Finance_Data!K922&lt;1,"Valid","Invalid")</f>
        <v>Valid</v>
      </c>
      <c r="H926" s="3" t="str">
        <f>IF(Finance_Data!L922&gt;0,"Valid","Invalid")</f>
        <v>Valid</v>
      </c>
      <c r="I926" s="3" t="str">
        <f>IF(Finance_Data!L922&gt;=Finance_Data!M922,"Valid","Invalid")</f>
        <v>Valid</v>
      </c>
      <c r="J926" s="3" t="str">
        <f>IF(AND(Finance_Data!I922&gt;=0,Finance_Data!K922&gt;=0),"Valid","Invalid")</f>
        <v>Valid</v>
      </c>
      <c r="K926" s="3" t="str">
        <f>IF(Finance_Data!N922&gt;=0,"Valid","Invalid")</f>
        <v>Valid</v>
      </c>
      <c r="L926" s="3" t="str">
        <f>IF(TEXT(Finance_Data!G922,"mmmm")=Finance_Data!P922,"Valid","Invalid")</f>
        <v>Valid</v>
      </c>
      <c r="M926" s="3" t="str">
        <f>IF("Q"&amp;ROUNDUP(MONTH(Finance_Data!G922)/3,0)=Finance_Data!Q922,"Valid","Invalid")</f>
        <v>Valid</v>
      </c>
      <c r="N926" s="7" t="str">
        <f t="shared" si="14"/>
        <v>Pass</v>
      </c>
    </row>
    <row r="927" spans="1:14" x14ac:dyDescent="0.35">
      <c r="A927" s="17" t="s">
        <v>83</v>
      </c>
      <c r="B927" s="3" t="str">
        <f>IF(ISBLANK(Table3[[#This Row],[Campaign_ID]]),"Invalid","Valid")</f>
        <v>Valid</v>
      </c>
      <c r="C927" s="3" t="str">
        <f>IF(COUNTA(Finance_Data!A923:R923)=18,"Valid","Missing")</f>
        <v>Valid</v>
      </c>
      <c r="D927" s="3" t="str">
        <f>IF(COUNTIF(Finance_Data!$T$2:$T$1001,Finance_Data!T923)&gt;1,"Duplicate","Valid")</f>
        <v>Valid</v>
      </c>
      <c r="E927" s="3" t="str">
        <f>IF(Finance_Data!H923&gt;Finance_Data!G923,"Valid","Invalid")</f>
        <v>Valid</v>
      </c>
      <c r="F927" s="3" t="str" cm="1">
        <f t="array" ref="F927">_xlfn.IFS(Finance_Data!S923&lt;7,"Short",Finance_Data!S923&lt;=30,"Normal",Finance_Data!S923&lt;=60,"Long",Finance_Data!S923&gt;60,"Very Long")</f>
        <v>Normal</v>
      </c>
      <c r="G927" s="3" t="str">
        <f>IF(ABS(Finance_Data!I923*Finance_Data!J923)-Finance_Data!K923&lt;1,"Valid","Invalid")</f>
        <v>Valid</v>
      </c>
      <c r="H927" s="3" t="str">
        <f>IF(Finance_Data!L923&gt;0,"Valid","Invalid")</f>
        <v>Valid</v>
      </c>
      <c r="I927" s="3" t="str">
        <f>IF(Finance_Data!L923&gt;=Finance_Data!M923,"Valid","Invalid")</f>
        <v>Valid</v>
      </c>
      <c r="J927" s="3" t="str">
        <f>IF(AND(Finance_Data!I923&gt;=0,Finance_Data!K923&gt;=0),"Valid","Invalid")</f>
        <v>Valid</v>
      </c>
      <c r="K927" s="3" t="str">
        <f>IF(Finance_Data!N923&gt;=0,"Valid","Invalid")</f>
        <v>Valid</v>
      </c>
      <c r="L927" s="3" t="str">
        <f>IF(TEXT(Finance_Data!G923,"mmmm")=Finance_Data!P923,"Valid","Invalid")</f>
        <v>Valid</v>
      </c>
      <c r="M927" s="3" t="str">
        <f>IF("Q"&amp;ROUNDUP(MONTH(Finance_Data!G923)/3,0)=Finance_Data!Q923,"Valid","Invalid")</f>
        <v>Valid</v>
      </c>
      <c r="N927" s="7" t="str">
        <f t="shared" si="14"/>
        <v>Pass</v>
      </c>
    </row>
    <row r="928" spans="1:14" x14ac:dyDescent="0.35">
      <c r="A928" s="17" t="s">
        <v>120</v>
      </c>
      <c r="B928" s="3" t="str">
        <f>IF(ISBLANK(Table3[[#This Row],[Campaign_ID]]),"Invalid","Valid")</f>
        <v>Valid</v>
      </c>
      <c r="C928" s="3" t="str">
        <f>IF(COUNTA(Finance_Data!A924:R924)=18,"Valid","Missing")</f>
        <v>Valid</v>
      </c>
      <c r="D928" s="3" t="str">
        <f>IF(COUNTIF(Finance_Data!$T$2:$T$1001,Finance_Data!T924)&gt;1,"Duplicate","Valid")</f>
        <v>Valid</v>
      </c>
      <c r="E928" s="3" t="str">
        <f>IF(Finance_Data!H924&gt;Finance_Data!G924,"Valid","Invalid")</f>
        <v>Valid</v>
      </c>
      <c r="F928" s="3" t="str" cm="1">
        <f t="array" ref="F928">_xlfn.IFS(Finance_Data!S924&lt;7,"Short",Finance_Data!S924&lt;=30,"Normal",Finance_Data!S924&lt;=60,"Long",Finance_Data!S924&gt;60,"Very Long")</f>
        <v>Normal</v>
      </c>
      <c r="G928" s="3" t="str">
        <f>IF(ABS(Finance_Data!I924*Finance_Data!J924)-Finance_Data!K924&lt;1,"Valid","Invalid")</f>
        <v>Valid</v>
      </c>
      <c r="H928" s="3" t="str">
        <f>IF(Finance_Data!L924&gt;0,"Valid","Invalid")</f>
        <v>Valid</v>
      </c>
      <c r="I928" s="3" t="str">
        <f>IF(Finance_Data!L924&gt;=Finance_Data!M924,"Valid","Invalid")</f>
        <v>Valid</v>
      </c>
      <c r="J928" s="3" t="str">
        <f>IF(AND(Finance_Data!I924&gt;=0,Finance_Data!K924&gt;=0),"Valid","Invalid")</f>
        <v>Valid</v>
      </c>
      <c r="K928" s="3" t="str">
        <f>IF(Finance_Data!N924&gt;=0,"Valid","Invalid")</f>
        <v>Valid</v>
      </c>
      <c r="L928" s="3" t="str">
        <f>IF(TEXT(Finance_Data!G924,"mmmm")=Finance_Data!P924,"Valid","Invalid")</f>
        <v>Valid</v>
      </c>
      <c r="M928" s="3" t="str">
        <f>IF("Q"&amp;ROUNDUP(MONTH(Finance_Data!G924)/3,0)=Finance_Data!Q924,"Valid","Invalid")</f>
        <v>Valid</v>
      </c>
      <c r="N928" s="7" t="str">
        <f t="shared" si="14"/>
        <v>Pass</v>
      </c>
    </row>
    <row r="929" spans="1:14" x14ac:dyDescent="0.35">
      <c r="A929" s="17" t="s">
        <v>89</v>
      </c>
      <c r="B929" s="3" t="str">
        <f>IF(ISBLANK(Table3[[#This Row],[Campaign_ID]]),"Invalid","Valid")</f>
        <v>Valid</v>
      </c>
      <c r="C929" s="3" t="str">
        <f>IF(COUNTA(Finance_Data!A925:R925)=18,"Valid","Missing")</f>
        <v>Valid</v>
      </c>
      <c r="D929" s="3" t="str">
        <f>IF(COUNTIF(Finance_Data!$T$2:$T$1001,Finance_Data!T925)&gt;1,"Duplicate","Valid")</f>
        <v>Valid</v>
      </c>
      <c r="E929" s="3" t="str">
        <f>IF(Finance_Data!H925&gt;Finance_Data!G925,"Valid","Invalid")</f>
        <v>Valid</v>
      </c>
      <c r="F929" s="3" t="str" cm="1">
        <f t="array" ref="F929">_xlfn.IFS(Finance_Data!S925&lt;7,"Short",Finance_Data!S925&lt;=30,"Normal",Finance_Data!S925&lt;=60,"Long",Finance_Data!S925&gt;60,"Very Long")</f>
        <v>Normal</v>
      </c>
      <c r="G929" s="3" t="str">
        <f>IF(ABS(Finance_Data!I925*Finance_Data!J925)-Finance_Data!K925&lt;1,"Valid","Invalid")</f>
        <v>Valid</v>
      </c>
      <c r="H929" s="3" t="str">
        <f>IF(Finance_Data!L925&gt;0,"Valid","Invalid")</f>
        <v>Valid</v>
      </c>
      <c r="I929" s="3" t="str">
        <f>IF(Finance_Data!L925&gt;=Finance_Data!M925,"Valid","Invalid")</f>
        <v>Valid</v>
      </c>
      <c r="J929" s="3" t="str">
        <f>IF(AND(Finance_Data!I925&gt;=0,Finance_Data!K925&gt;=0),"Valid","Invalid")</f>
        <v>Valid</v>
      </c>
      <c r="K929" s="3" t="str">
        <f>IF(Finance_Data!N925&gt;=0,"Valid","Invalid")</f>
        <v>Valid</v>
      </c>
      <c r="L929" s="3" t="str">
        <f>IF(TEXT(Finance_Data!G925,"mmmm")=Finance_Data!P925,"Valid","Invalid")</f>
        <v>Valid</v>
      </c>
      <c r="M929" s="3" t="str">
        <f>IF("Q"&amp;ROUNDUP(MONTH(Finance_Data!G925)/3,0)=Finance_Data!Q925,"Valid","Invalid")</f>
        <v>Valid</v>
      </c>
      <c r="N929" s="7" t="str">
        <f t="shared" si="14"/>
        <v>Pass</v>
      </c>
    </row>
    <row r="930" spans="1:14" x14ac:dyDescent="0.35">
      <c r="A930" s="17" t="s">
        <v>55</v>
      </c>
      <c r="B930" s="3" t="str">
        <f>IF(ISBLANK(Table3[[#This Row],[Campaign_ID]]),"Invalid","Valid")</f>
        <v>Valid</v>
      </c>
      <c r="C930" s="3" t="str">
        <f>IF(COUNTA(Finance_Data!A926:R926)=18,"Valid","Missing")</f>
        <v>Valid</v>
      </c>
      <c r="D930" s="3" t="str">
        <f>IF(COUNTIF(Finance_Data!$T$2:$T$1001,Finance_Data!T926)&gt;1,"Duplicate","Valid")</f>
        <v>Valid</v>
      </c>
      <c r="E930" s="3" t="str">
        <f>IF(Finance_Data!H926&gt;Finance_Data!G926,"Valid","Invalid")</f>
        <v>Valid</v>
      </c>
      <c r="F930" s="3" t="str" cm="1">
        <f t="array" ref="F930">_xlfn.IFS(Finance_Data!S926&lt;7,"Short",Finance_Data!S926&lt;=30,"Normal",Finance_Data!S926&lt;=60,"Long",Finance_Data!S926&gt;60,"Very Long")</f>
        <v>Normal</v>
      </c>
      <c r="G930" s="3" t="str">
        <f>IF(ABS(Finance_Data!I926*Finance_Data!J926)-Finance_Data!K926&lt;1,"Valid","Invalid")</f>
        <v>Valid</v>
      </c>
      <c r="H930" s="3" t="str">
        <f>IF(Finance_Data!L926&gt;0,"Valid","Invalid")</f>
        <v>Valid</v>
      </c>
      <c r="I930" s="3" t="str">
        <f>IF(Finance_Data!L926&gt;=Finance_Data!M926,"Valid","Invalid")</f>
        <v>Valid</v>
      </c>
      <c r="J930" s="3" t="str">
        <f>IF(AND(Finance_Data!I926&gt;=0,Finance_Data!K926&gt;=0),"Valid","Invalid")</f>
        <v>Valid</v>
      </c>
      <c r="K930" s="3" t="str">
        <f>IF(Finance_Data!N926&gt;=0,"Valid","Invalid")</f>
        <v>Valid</v>
      </c>
      <c r="L930" s="3" t="str">
        <f>IF(TEXT(Finance_Data!G926,"mmmm")=Finance_Data!P926,"Valid","Invalid")</f>
        <v>Valid</v>
      </c>
      <c r="M930" s="3" t="str">
        <f>IF("Q"&amp;ROUNDUP(MONTH(Finance_Data!G926)/3,0)=Finance_Data!Q926,"Valid","Invalid")</f>
        <v>Valid</v>
      </c>
      <c r="N930" s="7" t="str">
        <f t="shared" si="14"/>
        <v>Pass</v>
      </c>
    </row>
    <row r="931" spans="1:14" x14ac:dyDescent="0.35">
      <c r="A931" s="17" t="s">
        <v>87</v>
      </c>
      <c r="B931" s="3" t="str">
        <f>IF(ISBLANK(Table3[[#This Row],[Campaign_ID]]),"Invalid","Valid")</f>
        <v>Valid</v>
      </c>
      <c r="C931" s="3" t="str">
        <f>IF(COUNTA(Finance_Data!A927:R927)=18,"Valid","Missing")</f>
        <v>Valid</v>
      </c>
      <c r="D931" s="3" t="str">
        <f>IF(COUNTIF(Finance_Data!$T$2:$T$1001,Finance_Data!T927)&gt;1,"Duplicate","Valid")</f>
        <v>Valid</v>
      </c>
      <c r="E931" s="3" t="str">
        <f>IF(Finance_Data!H927&gt;Finance_Data!G927,"Valid","Invalid")</f>
        <v>Valid</v>
      </c>
      <c r="F931" s="3" t="str" cm="1">
        <f t="array" ref="F931">_xlfn.IFS(Finance_Data!S927&lt;7,"Short",Finance_Data!S927&lt;=30,"Normal",Finance_Data!S927&lt;=60,"Long",Finance_Data!S927&gt;60,"Very Long")</f>
        <v>Long</v>
      </c>
      <c r="G931" s="3" t="str">
        <f>IF(ABS(Finance_Data!I927*Finance_Data!J927)-Finance_Data!K927&lt;1,"Valid","Invalid")</f>
        <v>Valid</v>
      </c>
      <c r="H931" s="3" t="str">
        <f>IF(Finance_Data!L927&gt;0,"Valid","Invalid")</f>
        <v>Valid</v>
      </c>
      <c r="I931" s="3" t="str">
        <f>IF(Finance_Data!L927&gt;=Finance_Data!M927,"Valid","Invalid")</f>
        <v>Valid</v>
      </c>
      <c r="J931" s="3" t="str">
        <f>IF(AND(Finance_Data!I927&gt;=0,Finance_Data!K927&gt;=0),"Valid","Invalid")</f>
        <v>Valid</v>
      </c>
      <c r="K931" s="3" t="str">
        <f>IF(Finance_Data!N927&gt;=0,"Valid","Invalid")</f>
        <v>Valid</v>
      </c>
      <c r="L931" s="3" t="str">
        <f>IF(TEXT(Finance_Data!G927,"mmmm")=Finance_Data!P927,"Valid","Invalid")</f>
        <v>Valid</v>
      </c>
      <c r="M931" s="3" t="str">
        <f>IF("Q"&amp;ROUNDUP(MONTH(Finance_Data!G927)/3,0)=Finance_Data!Q927,"Valid","Invalid")</f>
        <v>Valid</v>
      </c>
      <c r="N931" s="7" t="str">
        <f t="shared" si="14"/>
        <v>Pass</v>
      </c>
    </row>
    <row r="932" spans="1:14" x14ac:dyDescent="0.35">
      <c r="A932" s="17" t="s">
        <v>104</v>
      </c>
      <c r="B932" s="3" t="str">
        <f>IF(ISBLANK(Table3[[#This Row],[Campaign_ID]]),"Invalid","Valid")</f>
        <v>Valid</v>
      </c>
      <c r="C932" s="3" t="str">
        <f>IF(COUNTA(Finance_Data!A928:R928)=18,"Valid","Missing")</f>
        <v>Valid</v>
      </c>
      <c r="D932" s="3" t="str">
        <f>IF(COUNTIF(Finance_Data!$T$2:$T$1001,Finance_Data!T928)&gt;1,"Duplicate","Valid")</f>
        <v>Valid</v>
      </c>
      <c r="E932" s="3" t="str">
        <f>IF(Finance_Data!H928&gt;Finance_Data!G928,"Valid","Invalid")</f>
        <v>Valid</v>
      </c>
      <c r="F932" s="3" t="str" cm="1">
        <f t="array" ref="F932">_xlfn.IFS(Finance_Data!S928&lt;7,"Short",Finance_Data!S928&lt;=30,"Normal",Finance_Data!S928&lt;=60,"Long",Finance_Data!S928&gt;60,"Very Long")</f>
        <v>Normal</v>
      </c>
      <c r="G932" s="3" t="str">
        <f>IF(ABS(Finance_Data!I928*Finance_Data!J928)-Finance_Data!K928&lt;1,"Valid","Invalid")</f>
        <v>Valid</v>
      </c>
      <c r="H932" s="3" t="str">
        <f>IF(Finance_Data!L928&gt;0,"Valid","Invalid")</f>
        <v>Valid</v>
      </c>
      <c r="I932" s="3" t="str">
        <f>IF(Finance_Data!L928&gt;=Finance_Data!M928,"Valid","Invalid")</f>
        <v>Valid</v>
      </c>
      <c r="J932" s="3" t="str">
        <f>IF(AND(Finance_Data!I928&gt;=0,Finance_Data!K928&gt;=0),"Valid","Invalid")</f>
        <v>Valid</v>
      </c>
      <c r="K932" s="3" t="str">
        <f>IF(Finance_Data!N928&gt;=0,"Valid","Invalid")</f>
        <v>Valid</v>
      </c>
      <c r="L932" s="3" t="str">
        <f>IF(TEXT(Finance_Data!G928,"mmmm")=Finance_Data!P928,"Valid","Invalid")</f>
        <v>Valid</v>
      </c>
      <c r="M932" s="3" t="str">
        <f>IF("Q"&amp;ROUNDUP(MONTH(Finance_Data!G928)/3,0)=Finance_Data!Q928,"Valid","Invalid")</f>
        <v>Valid</v>
      </c>
      <c r="N932" s="7" t="str">
        <f t="shared" si="14"/>
        <v>Pass</v>
      </c>
    </row>
    <row r="933" spans="1:14" x14ac:dyDescent="0.35">
      <c r="A933" s="17" t="s">
        <v>57</v>
      </c>
      <c r="B933" s="3" t="str">
        <f>IF(ISBLANK(Table3[[#This Row],[Campaign_ID]]),"Invalid","Valid")</f>
        <v>Valid</v>
      </c>
      <c r="C933" s="3" t="str">
        <f>IF(COUNTA(Finance_Data!A929:R929)=18,"Valid","Missing")</f>
        <v>Valid</v>
      </c>
      <c r="D933" s="3" t="str">
        <f>IF(COUNTIF(Finance_Data!$T$2:$T$1001,Finance_Data!T929)&gt;1,"Duplicate","Valid")</f>
        <v>Valid</v>
      </c>
      <c r="E933" s="3" t="str">
        <f>IF(Finance_Data!H929&gt;Finance_Data!G929,"Valid","Invalid")</f>
        <v>Valid</v>
      </c>
      <c r="F933" s="3" t="str" cm="1">
        <f t="array" ref="F933">_xlfn.IFS(Finance_Data!S929&lt;7,"Short",Finance_Data!S929&lt;=30,"Normal",Finance_Data!S929&lt;=60,"Long",Finance_Data!S929&gt;60,"Very Long")</f>
        <v>Long</v>
      </c>
      <c r="G933" s="3" t="str">
        <f>IF(ABS(Finance_Data!I929*Finance_Data!J929)-Finance_Data!K929&lt;1,"Valid","Invalid")</f>
        <v>Valid</v>
      </c>
      <c r="H933" s="3" t="str">
        <f>IF(Finance_Data!L929&gt;0,"Valid","Invalid")</f>
        <v>Valid</v>
      </c>
      <c r="I933" s="3" t="str">
        <f>IF(Finance_Data!L929&gt;=Finance_Data!M929,"Valid","Invalid")</f>
        <v>Valid</v>
      </c>
      <c r="J933" s="3" t="str">
        <f>IF(AND(Finance_Data!I929&gt;=0,Finance_Data!K929&gt;=0),"Valid","Invalid")</f>
        <v>Valid</v>
      </c>
      <c r="K933" s="3" t="str">
        <f>IF(Finance_Data!N929&gt;=0,"Valid","Invalid")</f>
        <v>Valid</v>
      </c>
      <c r="L933" s="3" t="str">
        <f>IF(TEXT(Finance_Data!G929,"mmmm")=Finance_Data!P929,"Valid","Invalid")</f>
        <v>Valid</v>
      </c>
      <c r="M933" s="3" t="str">
        <f>IF("Q"&amp;ROUNDUP(MONTH(Finance_Data!G929)/3,0)=Finance_Data!Q929,"Valid","Invalid")</f>
        <v>Valid</v>
      </c>
      <c r="N933" s="7" t="str">
        <f t="shared" si="14"/>
        <v>Pass</v>
      </c>
    </row>
    <row r="934" spans="1:14" x14ac:dyDescent="0.35">
      <c r="A934" s="17" t="s">
        <v>109</v>
      </c>
      <c r="B934" s="3" t="str">
        <f>IF(ISBLANK(Table3[[#This Row],[Campaign_ID]]),"Invalid","Valid")</f>
        <v>Valid</v>
      </c>
      <c r="C934" s="3" t="str">
        <f>IF(COUNTA(Finance_Data!A930:R930)=18,"Valid","Missing")</f>
        <v>Valid</v>
      </c>
      <c r="D934" s="3" t="str">
        <f>IF(COUNTIF(Finance_Data!$T$2:$T$1001,Finance_Data!T930)&gt;1,"Duplicate","Valid")</f>
        <v>Valid</v>
      </c>
      <c r="E934" s="3" t="str">
        <f>IF(Finance_Data!H930&gt;Finance_Data!G930,"Valid","Invalid")</f>
        <v>Valid</v>
      </c>
      <c r="F934" s="3" t="str" cm="1">
        <f t="array" ref="F934">_xlfn.IFS(Finance_Data!S930&lt;7,"Short",Finance_Data!S930&lt;=30,"Normal",Finance_Data!S930&lt;=60,"Long",Finance_Data!S930&gt;60,"Very Long")</f>
        <v>Normal</v>
      </c>
      <c r="G934" s="3" t="str">
        <f>IF(ABS(Finance_Data!I930*Finance_Data!J930)-Finance_Data!K930&lt;1,"Valid","Invalid")</f>
        <v>Valid</v>
      </c>
      <c r="H934" s="3" t="str">
        <f>IF(Finance_Data!L930&gt;0,"Valid","Invalid")</f>
        <v>Valid</v>
      </c>
      <c r="I934" s="3" t="str">
        <f>IF(Finance_Data!L930&gt;=Finance_Data!M930,"Valid","Invalid")</f>
        <v>Valid</v>
      </c>
      <c r="J934" s="3" t="str">
        <f>IF(AND(Finance_Data!I930&gt;=0,Finance_Data!K930&gt;=0),"Valid","Invalid")</f>
        <v>Valid</v>
      </c>
      <c r="K934" s="3" t="str">
        <f>IF(Finance_Data!N930&gt;=0,"Valid","Invalid")</f>
        <v>Valid</v>
      </c>
      <c r="L934" s="3" t="str">
        <f>IF(TEXT(Finance_Data!G930,"mmmm")=Finance_Data!P930,"Valid","Invalid")</f>
        <v>Valid</v>
      </c>
      <c r="M934" s="3" t="str">
        <f>IF("Q"&amp;ROUNDUP(MONTH(Finance_Data!G930)/3,0)=Finance_Data!Q930,"Valid","Invalid")</f>
        <v>Valid</v>
      </c>
      <c r="N934" s="7" t="str">
        <f t="shared" si="14"/>
        <v>Pass</v>
      </c>
    </row>
    <row r="935" spans="1:14" x14ac:dyDescent="0.35">
      <c r="A935" s="17" t="s">
        <v>86</v>
      </c>
      <c r="B935" s="3" t="str">
        <f>IF(ISBLANK(Table3[[#This Row],[Campaign_ID]]),"Invalid","Valid")</f>
        <v>Valid</v>
      </c>
      <c r="C935" s="3" t="str">
        <f>IF(COUNTA(Finance_Data!A931:R931)=18,"Valid","Missing")</f>
        <v>Valid</v>
      </c>
      <c r="D935" s="3" t="str">
        <f>IF(COUNTIF(Finance_Data!$T$2:$T$1001,Finance_Data!T931)&gt;1,"Duplicate","Valid")</f>
        <v>Valid</v>
      </c>
      <c r="E935" s="3" t="str">
        <f>IF(Finance_Data!H931&gt;Finance_Data!G931,"Valid","Invalid")</f>
        <v>Valid</v>
      </c>
      <c r="F935" s="3" t="str" cm="1">
        <f t="array" ref="F935">_xlfn.IFS(Finance_Data!S931&lt;7,"Short",Finance_Data!S931&lt;=30,"Normal",Finance_Data!S931&lt;=60,"Long",Finance_Data!S931&gt;60,"Very Long")</f>
        <v>Normal</v>
      </c>
      <c r="G935" s="3" t="str">
        <f>IF(ABS(Finance_Data!I931*Finance_Data!J931)-Finance_Data!K931&lt;1,"Valid","Invalid")</f>
        <v>Valid</v>
      </c>
      <c r="H935" s="3" t="str">
        <f>IF(Finance_Data!L931&gt;0,"Valid","Invalid")</f>
        <v>Valid</v>
      </c>
      <c r="I935" s="3" t="str">
        <f>IF(Finance_Data!L931&gt;=Finance_Data!M931,"Valid","Invalid")</f>
        <v>Valid</v>
      </c>
      <c r="J935" s="3" t="str">
        <f>IF(AND(Finance_Data!I931&gt;=0,Finance_Data!K931&gt;=0),"Valid","Invalid")</f>
        <v>Valid</v>
      </c>
      <c r="K935" s="3" t="str">
        <f>IF(Finance_Data!N931&gt;=0,"Valid","Invalid")</f>
        <v>Valid</v>
      </c>
      <c r="L935" s="3" t="str">
        <f>IF(TEXT(Finance_Data!G931,"mmmm")=Finance_Data!P931,"Valid","Invalid")</f>
        <v>Valid</v>
      </c>
      <c r="M935" s="3" t="str">
        <f>IF("Q"&amp;ROUNDUP(MONTH(Finance_Data!G931)/3,0)=Finance_Data!Q931,"Valid","Invalid")</f>
        <v>Valid</v>
      </c>
      <c r="N935" s="7" t="str">
        <f t="shared" si="14"/>
        <v>Pass</v>
      </c>
    </row>
    <row r="936" spans="1:14" x14ac:dyDescent="0.35">
      <c r="A936" s="17" t="s">
        <v>87</v>
      </c>
      <c r="B936" s="3" t="str">
        <f>IF(ISBLANK(Table3[[#This Row],[Campaign_ID]]),"Invalid","Valid")</f>
        <v>Valid</v>
      </c>
      <c r="C936" s="3" t="str">
        <f>IF(COUNTA(Finance_Data!A932:R932)=18,"Valid","Missing")</f>
        <v>Valid</v>
      </c>
      <c r="D936" s="3" t="str">
        <f>IF(COUNTIF(Finance_Data!$T$2:$T$1001,Finance_Data!T932)&gt;1,"Duplicate","Valid")</f>
        <v>Valid</v>
      </c>
      <c r="E936" s="3" t="str">
        <f>IF(Finance_Data!H932&gt;Finance_Data!G932,"Valid","Invalid")</f>
        <v>Valid</v>
      </c>
      <c r="F936" s="3" t="str" cm="1">
        <f t="array" ref="F936">_xlfn.IFS(Finance_Data!S932&lt;7,"Short",Finance_Data!S932&lt;=30,"Normal",Finance_Data!S932&lt;=60,"Long",Finance_Data!S932&gt;60,"Very Long")</f>
        <v>Long</v>
      </c>
      <c r="G936" s="3" t="str">
        <f>IF(ABS(Finance_Data!I932*Finance_Data!J932)-Finance_Data!K932&lt;1,"Valid","Invalid")</f>
        <v>Valid</v>
      </c>
      <c r="H936" s="3" t="str">
        <f>IF(Finance_Data!L932&gt;0,"Valid","Invalid")</f>
        <v>Valid</v>
      </c>
      <c r="I936" s="3" t="str">
        <f>IF(Finance_Data!L932&gt;=Finance_Data!M932,"Valid","Invalid")</f>
        <v>Valid</v>
      </c>
      <c r="J936" s="3" t="str">
        <f>IF(AND(Finance_Data!I932&gt;=0,Finance_Data!K932&gt;=0),"Valid","Invalid")</f>
        <v>Valid</v>
      </c>
      <c r="K936" s="3" t="str">
        <f>IF(Finance_Data!N932&gt;=0,"Valid","Invalid")</f>
        <v>Valid</v>
      </c>
      <c r="L936" s="3" t="str">
        <f>IF(TEXT(Finance_Data!G932,"mmmm")=Finance_Data!P932,"Valid","Invalid")</f>
        <v>Valid</v>
      </c>
      <c r="M936" s="3" t="str">
        <f>IF("Q"&amp;ROUNDUP(MONTH(Finance_Data!G932)/3,0)=Finance_Data!Q932,"Valid","Invalid")</f>
        <v>Valid</v>
      </c>
      <c r="N936" s="7" t="str">
        <f t="shared" si="14"/>
        <v>Pass</v>
      </c>
    </row>
    <row r="937" spans="1:14" x14ac:dyDescent="0.35">
      <c r="A937" s="17" t="s">
        <v>62</v>
      </c>
      <c r="B937" s="3" t="str">
        <f>IF(ISBLANK(Table3[[#This Row],[Campaign_ID]]),"Invalid","Valid")</f>
        <v>Valid</v>
      </c>
      <c r="C937" s="3" t="str">
        <f>IF(COUNTA(Finance_Data!A933:R933)=18,"Valid","Missing")</f>
        <v>Valid</v>
      </c>
      <c r="D937" s="3" t="str">
        <f>IF(COUNTIF(Finance_Data!$T$2:$T$1001,Finance_Data!T933)&gt;1,"Duplicate","Valid")</f>
        <v>Valid</v>
      </c>
      <c r="E937" s="3" t="str">
        <f>IF(Finance_Data!H933&gt;Finance_Data!G933,"Valid","Invalid")</f>
        <v>Valid</v>
      </c>
      <c r="F937" s="3" t="str" cm="1">
        <f t="array" ref="F937">_xlfn.IFS(Finance_Data!S933&lt;7,"Short",Finance_Data!S933&lt;=30,"Normal",Finance_Data!S933&lt;=60,"Long",Finance_Data!S933&gt;60,"Very Long")</f>
        <v>Long</v>
      </c>
      <c r="G937" s="3" t="str">
        <f>IF(ABS(Finance_Data!I933*Finance_Data!J933)-Finance_Data!K933&lt;1,"Valid","Invalid")</f>
        <v>Valid</v>
      </c>
      <c r="H937" s="3" t="str">
        <f>IF(Finance_Data!L933&gt;0,"Valid","Invalid")</f>
        <v>Valid</v>
      </c>
      <c r="I937" s="3" t="str">
        <f>IF(Finance_Data!L933&gt;=Finance_Data!M933,"Valid","Invalid")</f>
        <v>Valid</v>
      </c>
      <c r="J937" s="3" t="str">
        <f>IF(AND(Finance_Data!I933&gt;=0,Finance_Data!K933&gt;=0),"Valid","Invalid")</f>
        <v>Valid</v>
      </c>
      <c r="K937" s="3" t="str">
        <f>IF(Finance_Data!N933&gt;=0,"Valid","Invalid")</f>
        <v>Valid</v>
      </c>
      <c r="L937" s="3" t="str">
        <f>IF(TEXT(Finance_Data!G933,"mmmm")=Finance_Data!P933,"Valid","Invalid")</f>
        <v>Valid</v>
      </c>
      <c r="M937" s="3" t="str">
        <f>IF("Q"&amp;ROUNDUP(MONTH(Finance_Data!G933)/3,0)=Finance_Data!Q933,"Valid","Invalid")</f>
        <v>Valid</v>
      </c>
      <c r="N937" s="7" t="str">
        <f t="shared" si="14"/>
        <v>Pass</v>
      </c>
    </row>
    <row r="938" spans="1:14" x14ac:dyDescent="0.35">
      <c r="A938" s="17" t="s">
        <v>106</v>
      </c>
      <c r="B938" s="3" t="str">
        <f>IF(ISBLANK(Table3[[#This Row],[Campaign_ID]]),"Invalid","Valid")</f>
        <v>Valid</v>
      </c>
      <c r="C938" s="3" t="str">
        <f>IF(COUNTA(Finance_Data!A934:R934)=18,"Valid","Missing")</f>
        <v>Valid</v>
      </c>
      <c r="D938" s="3" t="str">
        <f>IF(COUNTIF(Finance_Data!$T$2:$T$1001,Finance_Data!T934)&gt;1,"Duplicate","Valid")</f>
        <v>Valid</v>
      </c>
      <c r="E938" s="3" t="str">
        <f>IF(Finance_Data!H934&gt;Finance_Data!G934,"Valid","Invalid")</f>
        <v>Valid</v>
      </c>
      <c r="F938" s="3" t="str" cm="1">
        <f t="array" ref="F938">_xlfn.IFS(Finance_Data!S934&lt;7,"Short",Finance_Data!S934&lt;=30,"Normal",Finance_Data!S934&lt;=60,"Long",Finance_Data!S934&gt;60,"Very Long")</f>
        <v>Normal</v>
      </c>
      <c r="G938" s="3" t="str">
        <f>IF(ABS(Finance_Data!I934*Finance_Data!J934)-Finance_Data!K934&lt;1,"Valid","Invalid")</f>
        <v>Valid</v>
      </c>
      <c r="H938" s="3" t="str">
        <f>IF(Finance_Data!L934&gt;0,"Valid","Invalid")</f>
        <v>Valid</v>
      </c>
      <c r="I938" s="3" t="str">
        <f>IF(Finance_Data!L934&gt;=Finance_Data!M934,"Valid","Invalid")</f>
        <v>Valid</v>
      </c>
      <c r="J938" s="3" t="str">
        <f>IF(AND(Finance_Data!I934&gt;=0,Finance_Data!K934&gt;=0),"Valid","Invalid")</f>
        <v>Valid</v>
      </c>
      <c r="K938" s="3" t="str">
        <f>IF(Finance_Data!N934&gt;=0,"Valid","Invalid")</f>
        <v>Valid</v>
      </c>
      <c r="L938" s="3" t="str">
        <f>IF(TEXT(Finance_Data!G934,"mmmm")=Finance_Data!P934,"Valid","Invalid")</f>
        <v>Valid</v>
      </c>
      <c r="M938" s="3" t="str">
        <f>IF("Q"&amp;ROUNDUP(MONTH(Finance_Data!G934)/3,0)=Finance_Data!Q934,"Valid","Invalid")</f>
        <v>Valid</v>
      </c>
      <c r="N938" s="7" t="str">
        <f t="shared" si="14"/>
        <v>Pass</v>
      </c>
    </row>
    <row r="939" spans="1:14" x14ac:dyDescent="0.35">
      <c r="A939" s="17" t="s">
        <v>110</v>
      </c>
      <c r="B939" s="3" t="str">
        <f>IF(ISBLANK(Table3[[#This Row],[Campaign_ID]]),"Invalid","Valid")</f>
        <v>Valid</v>
      </c>
      <c r="C939" s="3" t="str">
        <f>IF(COUNTA(Finance_Data!A935:R935)=18,"Valid","Missing")</f>
        <v>Valid</v>
      </c>
      <c r="D939" s="3" t="str">
        <f>IF(COUNTIF(Finance_Data!$T$2:$T$1001,Finance_Data!T935)&gt;1,"Duplicate","Valid")</f>
        <v>Valid</v>
      </c>
      <c r="E939" s="3" t="str">
        <f>IF(Finance_Data!H935&gt;Finance_Data!G935,"Valid","Invalid")</f>
        <v>Valid</v>
      </c>
      <c r="F939" s="3" t="str" cm="1">
        <f t="array" ref="F939">_xlfn.IFS(Finance_Data!S935&lt;7,"Short",Finance_Data!S935&lt;=30,"Normal",Finance_Data!S935&lt;=60,"Long",Finance_Data!S935&gt;60,"Very Long")</f>
        <v>Long</v>
      </c>
      <c r="G939" s="3" t="str">
        <f>IF(ABS(Finance_Data!I935*Finance_Data!J935)-Finance_Data!K935&lt;1,"Valid","Invalid")</f>
        <v>Valid</v>
      </c>
      <c r="H939" s="3" t="str">
        <f>IF(Finance_Data!L935&gt;0,"Valid","Invalid")</f>
        <v>Valid</v>
      </c>
      <c r="I939" s="3" t="str">
        <f>IF(Finance_Data!L935&gt;=Finance_Data!M935,"Valid","Invalid")</f>
        <v>Valid</v>
      </c>
      <c r="J939" s="3" t="str">
        <f>IF(AND(Finance_Data!I935&gt;=0,Finance_Data!K935&gt;=0),"Valid","Invalid")</f>
        <v>Valid</v>
      </c>
      <c r="K939" s="3" t="str">
        <f>IF(Finance_Data!N935&gt;=0,"Valid","Invalid")</f>
        <v>Valid</v>
      </c>
      <c r="L939" s="3" t="str">
        <f>IF(TEXT(Finance_Data!G935,"mmmm")=Finance_Data!P935,"Valid","Invalid")</f>
        <v>Valid</v>
      </c>
      <c r="M939" s="3" t="str">
        <f>IF("Q"&amp;ROUNDUP(MONTH(Finance_Data!G935)/3,0)=Finance_Data!Q935,"Valid","Invalid")</f>
        <v>Valid</v>
      </c>
      <c r="N939" s="7" t="str">
        <f t="shared" si="14"/>
        <v>Pass</v>
      </c>
    </row>
    <row r="940" spans="1:14" x14ac:dyDescent="0.35">
      <c r="A940" s="17" t="s">
        <v>75</v>
      </c>
      <c r="B940" s="3" t="str">
        <f>IF(ISBLANK(Table3[[#This Row],[Campaign_ID]]),"Invalid","Valid")</f>
        <v>Valid</v>
      </c>
      <c r="C940" s="3" t="str">
        <f>IF(COUNTA(Finance_Data!A936:R936)=18,"Valid","Missing")</f>
        <v>Valid</v>
      </c>
      <c r="D940" s="3" t="str">
        <f>IF(COUNTIF(Finance_Data!$T$2:$T$1001,Finance_Data!T936)&gt;1,"Duplicate","Valid")</f>
        <v>Valid</v>
      </c>
      <c r="E940" s="3" t="str">
        <f>IF(Finance_Data!H936&gt;Finance_Data!G936,"Valid","Invalid")</f>
        <v>Valid</v>
      </c>
      <c r="F940" s="3" t="str" cm="1">
        <f t="array" ref="F940">_xlfn.IFS(Finance_Data!S936&lt;7,"Short",Finance_Data!S936&lt;=30,"Normal",Finance_Data!S936&lt;=60,"Long",Finance_Data!S936&gt;60,"Very Long")</f>
        <v>Normal</v>
      </c>
      <c r="G940" s="3" t="str">
        <f>IF(ABS(Finance_Data!I936*Finance_Data!J936)-Finance_Data!K936&lt;1,"Valid","Invalid")</f>
        <v>Valid</v>
      </c>
      <c r="H940" s="3" t="str">
        <f>IF(Finance_Data!L936&gt;0,"Valid","Invalid")</f>
        <v>Valid</v>
      </c>
      <c r="I940" s="3" t="str">
        <f>IF(Finance_Data!L936&gt;=Finance_Data!M936,"Valid","Invalid")</f>
        <v>Valid</v>
      </c>
      <c r="J940" s="3" t="str">
        <f>IF(AND(Finance_Data!I936&gt;=0,Finance_Data!K936&gt;=0),"Valid","Invalid")</f>
        <v>Valid</v>
      </c>
      <c r="K940" s="3" t="str">
        <f>IF(Finance_Data!N936&gt;=0,"Valid","Invalid")</f>
        <v>Valid</v>
      </c>
      <c r="L940" s="3" t="str">
        <f>IF(TEXT(Finance_Data!G936,"mmmm")=Finance_Data!P936,"Valid","Invalid")</f>
        <v>Valid</v>
      </c>
      <c r="M940" s="3" t="str">
        <f>IF("Q"&amp;ROUNDUP(MONTH(Finance_Data!G936)/3,0)=Finance_Data!Q936,"Valid","Invalid")</f>
        <v>Valid</v>
      </c>
      <c r="N940" s="7" t="str">
        <f t="shared" si="14"/>
        <v>Pass</v>
      </c>
    </row>
    <row r="941" spans="1:14" x14ac:dyDescent="0.35">
      <c r="A941" s="17" t="s">
        <v>85</v>
      </c>
      <c r="B941" s="3" t="str">
        <f>IF(ISBLANK(Table3[[#This Row],[Campaign_ID]]),"Invalid","Valid")</f>
        <v>Valid</v>
      </c>
      <c r="C941" s="3" t="str">
        <f>IF(COUNTA(Finance_Data!A937:R937)=18,"Valid","Missing")</f>
        <v>Valid</v>
      </c>
      <c r="D941" s="3" t="str">
        <f>IF(COUNTIF(Finance_Data!$T$2:$T$1001,Finance_Data!T937)&gt;1,"Duplicate","Valid")</f>
        <v>Valid</v>
      </c>
      <c r="E941" s="3" t="str">
        <f>IF(Finance_Data!H937&gt;Finance_Data!G937,"Valid","Invalid")</f>
        <v>Valid</v>
      </c>
      <c r="F941" s="3" t="str" cm="1">
        <f t="array" ref="F941">_xlfn.IFS(Finance_Data!S937&lt;7,"Short",Finance_Data!S937&lt;=30,"Normal",Finance_Data!S937&lt;=60,"Long",Finance_Data!S937&gt;60,"Very Long")</f>
        <v>Normal</v>
      </c>
      <c r="G941" s="3" t="str">
        <f>IF(ABS(Finance_Data!I937*Finance_Data!J937)-Finance_Data!K937&lt;1,"Valid","Invalid")</f>
        <v>Valid</v>
      </c>
      <c r="H941" s="3" t="str">
        <f>IF(Finance_Data!L937&gt;0,"Valid","Invalid")</f>
        <v>Valid</v>
      </c>
      <c r="I941" s="3" t="str">
        <f>IF(Finance_Data!L937&gt;=Finance_Data!M937,"Valid","Invalid")</f>
        <v>Valid</v>
      </c>
      <c r="J941" s="3" t="str">
        <f>IF(AND(Finance_Data!I937&gt;=0,Finance_Data!K937&gt;=0),"Valid","Invalid")</f>
        <v>Valid</v>
      </c>
      <c r="K941" s="3" t="str">
        <f>IF(Finance_Data!N937&gt;=0,"Valid","Invalid")</f>
        <v>Valid</v>
      </c>
      <c r="L941" s="3" t="str">
        <f>IF(TEXT(Finance_Data!G937,"mmmm")=Finance_Data!P937,"Valid","Invalid")</f>
        <v>Valid</v>
      </c>
      <c r="M941" s="3" t="str">
        <f>IF("Q"&amp;ROUNDUP(MONTH(Finance_Data!G937)/3,0)=Finance_Data!Q937,"Valid","Invalid")</f>
        <v>Valid</v>
      </c>
      <c r="N941" s="7" t="str">
        <f t="shared" si="14"/>
        <v>Pass</v>
      </c>
    </row>
    <row r="942" spans="1:14" x14ac:dyDescent="0.35">
      <c r="A942" s="17" t="s">
        <v>34</v>
      </c>
      <c r="B942" s="3" t="str">
        <f>IF(ISBLANK(Table3[[#This Row],[Campaign_ID]]),"Invalid","Valid")</f>
        <v>Valid</v>
      </c>
      <c r="C942" s="3" t="str">
        <f>IF(COUNTA(Finance_Data!A938:R938)=18,"Valid","Missing")</f>
        <v>Valid</v>
      </c>
      <c r="D942" s="3" t="str">
        <f>IF(COUNTIF(Finance_Data!$T$2:$T$1001,Finance_Data!T938)&gt;1,"Duplicate","Valid")</f>
        <v>Valid</v>
      </c>
      <c r="E942" s="3" t="str">
        <f>IF(Finance_Data!H938&gt;Finance_Data!G938,"Valid","Invalid")</f>
        <v>Valid</v>
      </c>
      <c r="F942" s="3" t="str" cm="1">
        <f t="array" ref="F942">_xlfn.IFS(Finance_Data!S938&lt;7,"Short",Finance_Data!S938&lt;=30,"Normal",Finance_Data!S938&lt;=60,"Long",Finance_Data!S938&gt;60,"Very Long")</f>
        <v>Long</v>
      </c>
      <c r="G942" s="3" t="str">
        <f>IF(ABS(Finance_Data!I938*Finance_Data!J938)-Finance_Data!K938&lt;1,"Valid","Invalid")</f>
        <v>Valid</v>
      </c>
      <c r="H942" s="3" t="str">
        <f>IF(Finance_Data!L938&gt;0,"Valid","Invalid")</f>
        <v>Valid</v>
      </c>
      <c r="I942" s="3" t="str">
        <f>IF(Finance_Data!L938&gt;=Finance_Data!M938,"Valid","Invalid")</f>
        <v>Valid</v>
      </c>
      <c r="J942" s="3" t="str">
        <f>IF(AND(Finance_Data!I938&gt;=0,Finance_Data!K938&gt;=0),"Valid","Invalid")</f>
        <v>Valid</v>
      </c>
      <c r="K942" s="3" t="str">
        <f>IF(Finance_Data!N938&gt;=0,"Valid","Invalid")</f>
        <v>Valid</v>
      </c>
      <c r="L942" s="3" t="str">
        <f>IF(TEXT(Finance_Data!G938,"mmmm")=Finance_Data!P938,"Valid","Invalid")</f>
        <v>Valid</v>
      </c>
      <c r="M942" s="3" t="str">
        <f>IF("Q"&amp;ROUNDUP(MONTH(Finance_Data!G938)/3,0)=Finance_Data!Q938,"Valid","Invalid")</f>
        <v>Valid</v>
      </c>
      <c r="N942" s="7" t="str">
        <f t="shared" si="14"/>
        <v>Pass</v>
      </c>
    </row>
    <row r="943" spans="1:14" x14ac:dyDescent="0.35">
      <c r="A943" s="17" t="s">
        <v>57</v>
      </c>
      <c r="B943" s="3" t="str">
        <f>IF(ISBLANK(Table3[[#This Row],[Campaign_ID]]),"Invalid","Valid")</f>
        <v>Valid</v>
      </c>
      <c r="C943" s="3" t="str">
        <f>IF(COUNTA(Finance_Data!A939:R939)=18,"Valid","Missing")</f>
        <v>Valid</v>
      </c>
      <c r="D943" s="3" t="str">
        <f>IF(COUNTIF(Finance_Data!$T$2:$T$1001,Finance_Data!T939)&gt;1,"Duplicate","Valid")</f>
        <v>Valid</v>
      </c>
      <c r="E943" s="3" t="str">
        <f>IF(Finance_Data!H939&gt;Finance_Data!G939,"Valid","Invalid")</f>
        <v>Valid</v>
      </c>
      <c r="F943" s="3" t="str" cm="1">
        <f t="array" ref="F943">_xlfn.IFS(Finance_Data!S939&lt;7,"Short",Finance_Data!S939&lt;=30,"Normal",Finance_Data!S939&lt;=60,"Long",Finance_Data!S939&gt;60,"Very Long")</f>
        <v>Normal</v>
      </c>
      <c r="G943" s="3" t="str">
        <f>IF(ABS(Finance_Data!I939*Finance_Data!J939)-Finance_Data!K939&lt;1,"Valid","Invalid")</f>
        <v>Valid</v>
      </c>
      <c r="H943" s="3" t="str">
        <f>IF(Finance_Data!L939&gt;0,"Valid","Invalid")</f>
        <v>Valid</v>
      </c>
      <c r="I943" s="3" t="str">
        <f>IF(Finance_Data!L939&gt;=Finance_Data!M939,"Valid","Invalid")</f>
        <v>Valid</v>
      </c>
      <c r="J943" s="3" t="str">
        <f>IF(AND(Finance_Data!I939&gt;=0,Finance_Data!K939&gt;=0),"Valid","Invalid")</f>
        <v>Valid</v>
      </c>
      <c r="K943" s="3" t="str">
        <f>IF(Finance_Data!N939&gt;=0,"Valid","Invalid")</f>
        <v>Valid</v>
      </c>
      <c r="L943" s="3" t="str">
        <f>IF(TEXT(Finance_Data!G939,"mmmm")=Finance_Data!P939,"Valid","Invalid")</f>
        <v>Valid</v>
      </c>
      <c r="M943" s="3" t="str">
        <f>IF("Q"&amp;ROUNDUP(MONTH(Finance_Data!G939)/3,0)=Finance_Data!Q939,"Valid","Invalid")</f>
        <v>Valid</v>
      </c>
      <c r="N943" s="7" t="str">
        <f t="shared" si="14"/>
        <v>Pass</v>
      </c>
    </row>
    <row r="944" spans="1:14" x14ac:dyDescent="0.35">
      <c r="A944" s="17" t="s">
        <v>118</v>
      </c>
      <c r="B944" s="3" t="str">
        <f>IF(ISBLANK(Table3[[#This Row],[Campaign_ID]]),"Invalid","Valid")</f>
        <v>Valid</v>
      </c>
      <c r="C944" s="3" t="str">
        <f>IF(COUNTA(Finance_Data!A940:R940)=18,"Valid","Missing")</f>
        <v>Valid</v>
      </c>
      <c r="D944" s="3" t="str">
        <f>IF(COUNTIF(Finance_Data!$T$2:$T$1001,Finance_Data!T940)&gt;1,"Duplicate","Valid")</f>
        <v>Valid</v>
      </c>
      <c r="E944" s="3" t="str">
        <f>IF(Finance_Data!H940&gt;Finance_Data!G940,"Valid","Invalid")</f>
        <v>Valid</v>
      </c>
      <c r="F944" s="3" t="str" cm="1">
        <f t="array" ref="F944">_xlfn.IFS(Finance_Data!S940&lt;7,"Short",Finance_Data!S940&lt;=30,"Normal",Finance_Data!S940&lt;=60,"Long",Finance_Data!S940&gt;60,"Very Long")</f>
        <v>Long</v>
      </c>
      <c r="G944" s="3" t="str">
        <f>IF(ABS(Finance_Data!I940*Finance_Data!J940)-Finance_Data!K940&lt;1,"Valid","Invalid")</f>
        <v>Valid</v>
      </c>
      <c r="H944" s="3" t="str">
        <f>IF(Finance_Data!L940&gt;0,"Valid","Invalid")</f>
        <v>Valid</v>
      </c>
      <c r="I944" s="3" t="str">
        <f>IF(Finance_Data!L940&gt;=Finance_Data!M940,"Valid","Invalid")</f>
        <v>Valid</v>
      </c>
      <c r="J944" s="3" t="str">
        <f>IF(AND(Finance_Data!I940&gt;=0,Finance_Data!K940&gt;=0),"Valid","Invalid")</f>
        <v>Valid</v>
      </c>
      <c r="K944" s="3" t="str">
        <f>IF(Finance_Data!N940&gt;=0,"Valid","Invalid")</f>
        <v>Valid</v>
      </c>
      <c r="L944" s="3" t="str">
        <f>IF(TEXT(Finance_Data!G940,"mmmm")=Finance_Data!P940,"Valid","Invalid")</f>
        <v>Valid</v>
      </c>
      <c r="M944" s="3" t="str">
        <f>IF("Q"&amp;ROUNDUP(MONTH(Finance_Data!G940)/3,0)=Finance_Data!Q940,"Valid","Invalid")</f>
        <v>Valid</v>
      </c>
      <c r="N944" s="7" t="str">
        <f t="shared" si="14"/>
        <v>Pass</v>
      </c>
    </row>
    <row r="945" spans="1:14" x14ac:dyDescent="0.35">
      <c r="A945" s="17" t="s">
        <v>91</v>
      </c>
      <c r="B945" s="3" t="str">
        <f>IF(ISBLANK(Table3[[#This Row],[Campaign_ID]]),"Invalid","Valid")</f>
        <v>Valid</v>
      </c>
      <c r="C945" s="3" t="str">
        <f>IF(COUNTA(Finance_Data!A941:R941)=18,"Valid","Missing")</f>
        <v>Valid</v>
      </c>
      <c r="D945" s="3" t="str">
        <f>IF(COUNTIF(Finance_Data!$T$2:$T$1001,Finance_Data!T941)&gt;1,"Duplicate","Valid")</f>
        <v>Valid</v>
      </c>
      <c r="E945" s="3" t="str">
        <f>IF(Finance_Data!H941&gt;Finance_Data!G941,"Valid","Invalid")</f>
        <v>Valid</v>
      </c>
      <c r="F945" s="3" t="str" cm="1">
        <f t="array" ref="F945">_xlfn.IFS(Finance_Data!S941&lt;7,"Short",Finance_Data!S941&lt;=30,"Normal",Finance_Data!S941&lt;=60,"Long",Finance_Data!S941&gt;60,"Very Long")</f>
        <v>Long</v>
      </c>
      <c r="G945" s="3" t="str">
        <f>IF(ABS(Finance_Data!I941*Finance_Data!J941)-Finance_Data!K941&lt;1,"Valid","Invalid")</f>
        <v>Valid</v>
      </c>
      <c r="H945" s="3" t="str">
        <f>IF(Finance_Data!L941&gt;0,"Valid","Invalid")</f>
        <v>Valid</v>
      </c>
      <c r="I945" s="3" t="str">
        <f>IF(Finance_Data!L941&gt;=Finance_Data!M941,"Valid","Invalid")</f>
        <v>Valid</v>
      </c>
      <c r="J945" s="3" t="str">
        <f>IF(AND(Finance_Data!I941&gt;=0,Finance_Data!K941&gt;=0),"Valid","Invalid")</f>
        <v>Valid</v>
      </c>
      <c r="K945" s="3" t="str">
        <f>IF(Finance_Data!N941&gt;=0,"Valid","Invalid")</f>
        <v>Valid</v>
      </c>
      <c r="L945" s="3" t="str">
        <f>IF(TEXT(Finance_Data!G941,"mmmm")=Finance_Data!P941,"Valid","Invalid")</f>
        <v>Valid</v>
      </c>
      <c r="M945" s="3" t="str">
        <f>IF("Q"&amp;ROUNDUP(MONTH(Finance_Data!G941)/3,0)=Finance_Data!Q941,"Valid","Invalid")</f>
        <v>Valid</v>
      </c>
      <c r="N945" s="7" t="str">
        <f t="shared" si="14"/>
        <v>Pass</v>
      </c>
    </row>
    <row r="946" spans="1:14" x14ac:dyDescent="0.35">
      <c r="A946" s="17" t="s">
        <v>118</v>
      </c>
      <c r="B946" s="3" t="str">
        <f>IF(ISBLANK(Table3[[#This Row],[Campaign_ID]]),"Invalid","Valid")</f>
        <v>Valid</v>
      </c>
      <c r="C946" s="3" t="str">
        <f>IF(COUNTA(Finance_Data!A942:R942)=18,"Valid","Missing")</f>
        <v>Valid</v>
      </c>
      <c r="D946" s="3" t="str">
        <f>IF(COUNTIF(Finance_Data!$T$2:$T$1001,Finance_Data!T942)&gt;1,"Duplicate","Valid")</f>
        <v>Valid</v>
      </c>
      <c r="E946" s="3" t="str">
        <f>IF(Finance_Data!H942&gt;Finance_Data!G942,"Valid","Invalid")</f>
        <v>Valid</v>
      </c>
      <c r="F946" s="3" t="str" cm="1">
        <f t="array" ref="F946">_xlfn.IFS(Finance_Data!S942&lt;7,"Short",Finance_Data!S942&lt;=30,"Normal",Finance_Data!S942&lt;=60,"Long",Finance_Data!S942&gt;60,"Very Long")</f>
        <v>Normal</v>
      </c>
      <c r="G946" s="3" t="str">
        <f>IF(ABS(Finance_Data!I942*Finance_Data!J942)-Finance_Data!K942&lt;1,"Valid","Invalid")</f>
        <v>Valid</v>
      </c>
      <c r="H946" s="3" t="str">
        <f>IF(Finance_Data!L942&gt;0,"Valid","Invalid")</f>
        <v>Valid</v>
      </c>
      <c r="I946" s="3" t="str">
        <f>IF(Finance_Data!L942&gt;=Finance_Data!M942,"Valid","Invalid")</f>
        <v>Valid</v>
      </c>
      <c r="J946" s="3" t="str">
        <f>IF(AND(Finance_Data!I942&gt;=0,Finance_Data!K942&gt;=0),"Valid","Invalid")</f>
        <v>Valid</v>
      </c>
      <c r="K946" s="3" t="str">
        <f>IF(Finance_Data!N942&gt;=0,"Valid","Invalid")</f>
        <v>Valid</v>
      </c>
      <c r="L946" s="3" t="str">
        <f>IF(TEXT(Finance_Data!G942,"mmmm")=Finance_Data!P942,"Valid","Invalid")</f>
        <v>Valid</v>
      </c>
      <c r="M946" s="3" t="str">
        <f>IF("Q"&amp;ROUNDUP(MONTH(Finance_Data!G942)/3,0)=Finance_Data!Q942,"Valid","Invalid")</f>
        <v>Valid</v>
      </c>
      <c r="N946" s="7" t="str">
        <f t="shared" si="14"/>
        <v>Pass</v>
      </c>
    </row>
    <row r="947" spans="1:14" x14ac:dyDescent="0.35">
      <c r="A947" s="17" t="s">
        <v>57</v>
      </c>
      <c r="B947" s="3" t="str">
        <f>IF(ISBLANK(Table3[[#This Row],[Campaign_ID]]),"Invalid","Valid")</f>
        <v>Valid</v>
      </c>
      <c r="C947" s="3" t="str">
        <f>IF(COUNTA(Finance_Data!A943:R943)=18,"Valid","Missing")</f>
        <v>Valid</v>
      </c>
      <c r="D947" s="3" t="str">
        <f>IF(COUNTIF(Finance_Data!$T$2:$T$1001,Finance_Data!T943)&gt;1,"Duplicate","Valid")</f>
        <v>Valid</v>
      </c>
      <c r="E947" s="3" t="str">
        <f>IF(Finance_Data!H943&gt;Finance_Data!G943,"Valid","Invalid")</f>
        <v>Valid</v>
      </c>
      <c r="F947" s="3" t="str" cm="1">
        <f t="array" ref="F947">_xlfn.IFS(Finance_Data!S943&lt;7,"Short",Finance_Data!S943&lt;=30,"Normal",Finance_Data!S943&lt;=60,"Long",Finance_Data!S943&gt;60,"Very Long")</f>
        <v>Short</v>
      </c>
      <c r="G947" s="3" t="str">
        <f>IF(ABS(Finance_Data!I943*Finance_Data!J943)-Finance_Data!K943&lt;1,"Valid","Invalid")</f>
        <v>Valid</v>
      </c>
      <c r="H947" s="3" t="str">
        <f>IF(Finance_Data!L943&gt;0,"Valid","Invalid")</f>
        <v>Valid</v>
      </c>
      <c r="I947" s="3" t="str">
        <f>IF(Finance_Data!L943&gt;=Finance_Data!M943,"Valid","Invalid")</f>
        <v>Valid</v>
      </c>
      <c r="J947" s="3" t="str">
        <f>IF(AND(Finance_Data!I943&gt;=0,Finance_Data!K943&gt;=0),"Valid","Invalid")</f>
        <v>Valid</v>
      </c>
      <c r="K947" s="3" t="str">
        <f>IF(Finance_Data!N943&gt;=0,"Valid","Invalid")</f>
        <v>Valid</v>
      </c>
      <c r="L947" s="3" t="str">
        <f>IF(TEXT(Finance_Data!G943,"mmmm")=Finance_Data!P943,"Valid","Invalid")</f>
        <v>Valid</v>
      </c>
      <c r="M947" s="3" t="str">
        <f>IF("Q"&amp;ROUNDUP(MONTH(Finance_Data!G943)/3,0)=Finance_Data!Q943,"Valid","Invalid")</f>
        <v>Valid</v>
      </c>
      <c r="N947" s="7" t="str">
        <f t="shared" si="14"/>
        <v>Pass</v>
      </c>
    </row>
    <row r="948" spans="1:14" x14ac:dyDescent="0.35">
      <c r="A948" s="17" t="s">
        <v>116</v>
      </c>
      <c r="B948" s="3" t="str">
        <f>IF(ISBLANK(Table3[[#This Row],[Campaign_ID]]),"Invalid","Valid")</f>
        <v>Valid</v>
      </c>
      <c r="C948" s="3" t="str">
        <f>IF(COUNTA(Finance_Data!A944:R944)=18,"Valid","Missing")</f>
        <v>Valid</v>
      </c>
      <c r="D948" s="3" t="str">
        <f>IF(COUNTIF(Finance_Data!$T$2:$T$1001,Finance_Data!T944)&gt;1,"Duplicate","Valid")</f>
        <v>Valid</v>
      </c>
      <c r="E948" s="3" t="str">
        <f>IF(Finance_Data!H944&gt;Finance_Data!G944,"Valid","Invalid")</f>
        <v>Valid</v>
      </c>
      <c r="F948" s="3" t="str" cm="1">
        <f t="array" ref="F948">_xlfn.IFS(Finance_Data!S944&lt;7,"Short",Finance_Data!S944&lt;=30,"Normal",Finance_Data!S944&lt;=60,"Long",Finance_Data!S944&gt;60,"Very Long")</f>
        <v>Long</v>
      </c>
      <c r="G948" s="3" t="str">
        <f>IF(ABS(Finance_Data!I944*Finance_Data!J944)-Finance_Data!K944&lt;1,"Valid","Invalid")</f>
        <v>Valid</v>
      </c>
      <c r="H948" s="3" t="str">
        <f>IF(Finance_Data!L944&gt;0,"Valid","Invalid")</f>
        <v>Valid</v>
      </c>
      <c r="I948" s="3" t="str">
        <f>IF(Finance_Data!L944&gt;=Finance_Data!M944,"Valid","Invalid")</f>
        <v>Valid</v>
      </c>
      <c r="J948" s="3" t="str">
        <f>IF(AND(Finance_Data!I944&gt;=0,Finance_Data!K944&gt;=0),"Valid","Invalid")</f>
        <v>Valid</v>
      </c>
      <c r="K948" s="3" t="str">
        <f>IF(Finance_Data!N944&gt;=0,"Valid","Invalid")</f>
        <v>Valid</v>
      </c>
      <c r="L948" s="3" t="str">
        <f>IF(TEXT(Finance_Data!G944,"mmmm")=Finance_Data!P944,"Valid","Invalid")</f>
        <v>Valid</v>
      </c>
      <c r="M948" s="3" t="str">
        <f>IF("Q"&amp;ROUNDUP(MONTH(Finance_Data!G944)/3,0)=Finance_Data!Q944,"Valid","Invalid")</f>
        <v>Valid</v>
      </c>
      <c r="N948" s="7" t="str">
        <f t="shared" si="14"/>
        <v>Pass</v>
      </c>
    </row>
    <row r="949" spans="1:14" x14ac:dyDescent="0.35">
      <c r="A949" s="17" t="s">
        <v>93</v>
      </c>
      <c r="B949" s="3" t="str">
        <f>IF(ISBLANK(Table3[[#This Row],[Campaign_ID]]),"Invalid","Valid")</f>
        <v>Valid</v>
      </c>
      <c r="C949" s="3" t="str">
        <f>IF(COUNTA(Finance_Data!A945:R945)=18,"Valid","Missing")</f>
        <v>Valid</v>
      </c>
      <c r="D949" s="3" t="str">
        <f>IF(COUNTIF(Finance_Data!$T$2:$T$1001,Finance_Data!T945)&gt;1,"Duplicate","Valid")</f>
        <v>Valid</v>
      </c>
      <c r="E949" s="3" t="str">
        <f>IF(Finance_Data!H945&gt;Finance_Data!G945,"Valid","Invalid")</f>
        <v>Valid</v>
      </c>
      <c r="F949" s="3" t="str" cm="1">
        <f t="array" ref="F949">_xlfn.IFS(Finance_Data!S945&lt;7,"Short",Finance_Data!S945&lt;=30,"Normal",Finance_Data!S945&lt;=60,"Long",Finance_Data!S945&gt;60,"Very Long")</f>
        <v>Long</v>
      </c>
      <c r="G949" s="3" t="str">
        <f>IF(ABS(Finance_Data!I945*Finance_Data!J945)-Finance_Data!K945&lt;1,"Valid","Invalid")</f>
        <v>Valid</v>
      </c>
      <c r="H949" s="3" t="str">
        <f>IF(Finance_Data!L945&gt;0,"Valid","Invalid")</f>
        <v>Valid</v>
      </c>
      <c r="I949" s="3" t="str">
        <f>IF(Finance_Data!L945&gt;=Finance_Data!M945,"Valid","Invalid")</f>
        <v>Valid</v>
      </c>
      <c r="J949" s="3" t="str">
        <f>IF(AND(Finance_Data!I945&gt;=0,Finance_Data!K945&gt;=0),"Valid","Invalid")</f>
        <v>Valid</v>
      </c>
      <c r="K949" s="3" t="str">
        <f>IF(Finance_Data!N945&gt;=0,"Valid","Invalid")</f>
        <v>Valid</v>
      </c>
      <c r="L949" s="3" t="str">
        <f>IF(TEXT(Finance_Data!G945,"mmmm")=Finance_Data!P945,"Valid","Invalid")</f>
        <v>Valid</v>
      </c>
      <c r="M949" s="3" t="str">
        <f>IF("Q"&amp;ROUNDUP(MONTH(Finance_Data!G945)/3,0)=Finance_Data!Q945,"Valid","Invalid")</f>
        <v>Valid</v>
      </c>
      <c r="N949" s="7" t="str">
        <f t="shared" si="14"/>
        <v>Pass</v>
      </c>
    </row>
    <row r="950" spans="1:14" x14ac:dyDescent="0.35">
      <c r="A950" s="17" t="s">
        <v>109</v>
      </c>
      <c r="B950" s="3" t="str">
        <f>IF(ISBLANK(Table3[[#This Row],[Campaign_ID]]),"Invalid","Valid")</f>
        <v>Valid</v>
      </c>
      <c r="C950" s="3" t="str">
        <f>IF(COUNTA(Finance_Data!A946:R946)=18,"Valid","Missing")</f>
        <v>Valid</v>
      </c>
      <c r="D950" s="3" t="str">
        <f>IF(COUNTIF(Finance_Data!$T$2:$T$1001,Finance_Data!T946)&gt;1,"Duplicate","Valid")</f>
        <v>Valid</v>
      </c>
      <c r="E950" s="3" t="str">
        <f>IF(Finance_Data!H946&gt;Finance_Data!G946,"Valid","Invalid")</f>
        <v>Valid</v>
      </c>
      <c r="F950" s="3" t="str" cm="1">
        <f t="array" ref="F950">_xlfn.IFS(Finance_Data!S946&lt;7,"Short",Finance_Data!S946&lt;=30,"Normal",Finance_Data!S946&lt;=60,"Long",Finance_Data!S946&gt;60,"Very Long")</f>
        <v>Long</v>
      </c>
      <c r="G950" s="3" t="str">
        <f>IF(ABS(Finance_Data!I946*Finance_Data!J946)-Finance_Data!K946&lt;1,"Valid","Invalid")</f>
        <v>Valid</v>
      </c>
      <c r="H950" s="3" t="str">
        <f>IF(Finance_Data!L946&gt;0,"Valid","Invalid")</f>
        <v>Valid</v>
      </c>
      <c r="I950" s="3" t="str">
        <f>IF(Finance_Data!L946&gt;=Finance_Data!M946,"Valid","Invalid")</f>
        <v>Valid</v>
      </c>
      <c r="J950" s="3" t="str">
        <f>IF(AND(Finance_Data!I946&gt;=0,Finance_Data!K946&gt;=0),"Valid","Invalid")</f>
        <v>Valid</v>
      </c>
      <c r="K950" s="3" t="str">
        <f>IF(Finance_Data!N946&gt;=0,"Valid","Invalid")</f>
        <v>Valid</v>
      </c>
      <c r="L950" s="3" t="str">
        <f>IF(TEXT(Finance_Data!G946,"mmmm")=Finance_Data!P946,"Valid","Invalid")</f>
        <v>Valid</v>
      </c>
      <c r="M950" s="3" t="str">
        <f>IF("Q"&amp;ROUNDUP(MONTH(Finance_Data!G946)/3,0)=Finance_Data!Q946,"Valid","Invalid")</f>
        <v>Valid</v>
      </c>
      <c r="N950" s="7" t="str">
        <f t="shared" si="14"/>
        <v>Pass</v>
      </c>
    </row>
    <row r="951" spans="1:14" x14ac:dyDescent="0.35">
      <c r="A951" s="17" t="s">
        <v>98</v>
      </c>
      <c r="B951" s="3" t="str">
        <f>IF(ISBLANK(Table3[[#This Row],[Campaign_ID]]),"Invalid","Valid")</f>
        <v>Valid</v>
      </c>
      <c r="C951" s="3" t="str">
        <f>IF(COUNTA(Finance_Data!A947:R947)=18,"Valid","Missing")</f>
        <v>Valid</v>
      </c>
      <c r="D951" s="3" t="str">
        <f>IF(COUNTIF(Finance_Data!$T$2:$T$1001,Finance_Data!T947)&gt;1,"Duplicate","Valid")</f>
        <v>Valid</v>
      </c>
      <c r="E951" s="3" t="str">
        <f>IF(Finance_Data!H947&gt;Finance_Data!G947,"Valid","Invalid")</f>
        <v>Valid</v>
      </c>
      <c r="F951" s="3" t="str" cm="1">
        <f t="array" ref="F951">_xlfn.IFS(Finance_Data!S947&lt;7,"Short",Finance_Data!S947&lt;=30,"Normal",Finance_Data!S947&lt;=60,"Long",Finance_Data!S947&gt;60,"Very Long")</f>
        <v>Long</v>
      </c>
      <c r="G951" s="3" t="str">
        <f>IF(ABS(Finance_Data!I947*Finance_Data!J947)-Finance_Data!K947&lt;1,"Valid","Invalid")</f>
        <v>Valid</v>
      </c>
      <c r="H951" s="3" t="str">
        <f>IF(Finance_Data!L947&gt;0,"Valid","Invalid")</f>
        <v>Valid</v>
      </c>
      <c r="I951" s="3" t="str">
        <f>IF(Finance_Data!L947&gt;=Finance_Data!M947,"Valid","Invalid")</f>
        <v>Valid</v>
      </c>
      <c r="J951" s="3" t="str">
        <f>IF(AND(Finance_Data!I947&gt;=0,Finance_Data!K947&gt;=0),"Valid","Invalid")</f>
        <v>Valid</v>
      </c>
      <c r="K951" s="3" t="str">
        <f>IF(Finance_Data!N947&gt;=0,"Valid","Invalid")</f>
        <v>Valid</v>
      </c>
      <c r="L951" s="3" t="str">
        <f>IF(TEXT(Finance_Data!G947,"mmmm")=Finance_Data!P947,"Valid","Invalid")</f>
        <v>Valid</v>
      </c>
      <c r="M951" s="3" t="str">
        <f>IF("Q"&amp;ROUNDUP(MONTH(Finance_Data!G947)/3,0)=Finance_Data!Q947,"Valid","Invalid")</f>
        <v>Valid</v>
      </c>
      <c r="N951" s="7" t="str">
        <f t="shared" si="14"/>
        <v>Pass</v>
      </c>
    </row>
    <row r="952" spans="1:14" x14ac:dyDescent="0.35">
      <c r="A952" s="17" t="s">
        <v>90</v>
      </c>
      <c r="B952" s="3" t="str">
        <f>IF(ISBLANK(Table3[[#This Row],[Campaign_ID]]),"Invalid","Valid")</f>
        <v>Valid</v>
      </c>
      <c r="C952" s="3" t="str">
        <f>IF(COUNTA(Finance_Data!A948:R948)=18,"Valid","Missing")</f>
        <v>Valid</v>
      </c>
      <c r="D952" s="3" t="str">
        <f>IF(COUNTIF(Finance_Data!$T$2:$T$1001,Finance_Data!T948)&gt;1,"Duplicate","Valid")</f>
        <v>Valid</v>
      </c>
      <c r="E952" s="3" t="str">
        <f>IF(Finance_Data!H948&gt;Finance_Data!G948,"Valid","Invalid")</f>
        <v>Valid</v>
      </c>
      <c r="F952" s="3" t="str" cm="1">
        <f t="array" ref="F952">_xlfn.IFS(Finance_Data!S948&lt;7,"Short",Finance_Data!S948&lt;=30,"Normal",Finance_Data!S948&lt;=60,"Long",Finance_Data!S948&gt;60,"Very Long")</f>
        <v>Short</v>
      </c>
      <c r="G952" s="3" t="str">
        <f>IF(ABS(Finance_Data!I948*Finance_Data!J948)-Finance_Data!K948&lt;1,"Valid","Invalid")</f>
        <v>Valid</v>
      </c>
      <c r="H952" s="3" t="str">
        <f>IF(Finance_Data!L948&gt;0,"Valid","Invalid")</f>
        <v>Valid</v>
      </c>
      <c r="I952" s="3" t="str">
        <f>IF(Finance_Data!L948&gt;=Finance_Data!M948,"Valid","Invalid")</f>
        <v>Valid</v>
      </c>
      <c r="J952" s="3" t="str">
        <f>IF(AND(Finance_Data!I948&gt;=0,Finance_Data!K948&gt;=0),"Valid","Invalid")</f>
        <v>Valid</v>
      </c>
      <c r="K952" s="3" t="str">
        <f>IF(Finance_Data!N948&gt;=0,"Valid","Invalid")</f>
        <v>Valid</v>
      </c>
      <c r="L952" s="3" t="str">
        <f>IF(TEXT(Finance_Data!G948,"mmmm")=Finance_Data!P948,"Valid","Invalid")</f>
        <v>Valid</v>
      </c>
      <c r="M952" s="3" t="str">
        <f>IF("Q"&amp;ROUNDUP(MONTH(Finance_Data!G948)/3,0)=Finance_Data!Q948,"Valid","Invalid")</f>
        <v>Valid</v>
      </c>
      <c r="N952" s="7" t="str">
        <f t="shared" si="14"/>
        <v>Pass</v>
      </c>
    </row>
    <row r="953" spans="1:14" x14ac:dyDescent="0.35">
      <c r="A953" s="17" t="s">
        <v>93</v>
      </c>
      <c r="B953" s="3" t="str">
        <f>IF(ISBLANK(Table3[[#This Row],[Campaign_ID]]),"Invalid","Valid")</f>
        <v>Valid</v>
      </c>
      <c r="C953" s="3" t="str">
        <f>IF(COUNTA(Finance_Data!A949:R949)=18,"Valid","Missing")</f>
        <v>Valid</v>
      </c>
      <c r="D953" s="3" t="str">
        <f>IF(COUNTIF(Finance_Data!$T$2:$T$1001,Finance_Data!T949)&gt;1,"Duplicate","Valid")</f>
        <v>Valid</v>
      </c>
      <c r="E953" s="3" t="str">
        <f>IF(Finance_Data!H949&gt;Finance_Data!G949,"Valid","Invalid")</f>
        <v>Valid</v>
      </c>
      <c r="F953" s="3" t="str" cm="1">
        <f t="array" ref="F953">_xlfn.IFS(Finance_Data!S949&lt;7,"Short",Finance_Data!S949&lt;=30,"Normal",Finance_Data!S949&lt;=60,"Long",Finance_Data!S949&gt;60,"Very Long")</f>
        <v>Normal</v>
      </c>
      <c r="G953" s="3" t="str">
        <f>IF(ABS(Finance_Data!I949*Finance_Data!J949)-Finance_Data!K949&lt;1,"Valid","Invalid")</f>
        <v>Valid</v>
      </c>
      <c r="H953" s="3" t="str">
        <f>IF(Finance_Data!L949&gt;0,"Valid","Invalid")</f>
        <v>Valid</v>
      </c>
      <c r="I953" s="3" t="str">
        <f>IF(Finance_Data!L949&gt;=Finance_Data!M949,"Valid","Invalid")</f>
        <v>Valid</v>
      </c>
      <c r="J953" s="3" t="str">
        <f>IF(AND(Finance_Data!I949&gt;=0,Finance_Data!K949&gt;=0),"Valid","Invalid")</f>
        <v>Valid</v>
      </c>
      <c r="K953" s="3" t="str">
        <f>IF(Finance_Data!N949&gt;=0,"Valid","Invalid")</f>
        <v>Valid</v>
      </c>
      <c r="L953" s="3" t="str">
        <f>IF(TEXT(Finance_Data!G949,"mmmm")=Finance_Data!P949,"Valid","Invalid")</f>
        <v>Valid</v>
      </c>
      <c r="M953" s="3" t="str">
        <f>IF("Q"&amp;ROUNDUP(MONTH(Finance_Data!G949)/3,0)=Finance_Data!Q949,"Valid","Invalid")</f>
        <v>Valid</v>
      </c>
      <c r="N953" s="7" t="str">
        <f t="shared" si="14"/>
        <v>Pass</v>
      </c>
    </row>
    <row r="954" spans="1:14" x14ac:dyDescent="0.35">
      <c r="A954" s="17" t="s">
        <v>86</v>
      </c>
      <c r="B954" s="3" t="str">
        <f>IF(ISBLANK(Table3[[#This Row],[Campaign_ID]]),"Invalid","Valid")</f>
        <v>Valid</v>
      </c>
      <c r="C954" s="3" t="str">
        <f>IF(COUNTA(Finance_Data!A950:R950)=18,"Valid","Missing")</f>
        <v>Valid</v>
      </c>
      <c r="D954" s="3" t="str">
        <f>IF(COUNTIF(Finance_Data!$T$2:$T$1001,Finance_Data!T950)&gt;1,"Duplicate","Valid")</f>
        <v>Valid</v>
      </c>
      <c r="E954" s="3" t="str">
        <f>IF(Finance_Data!H950&gt;Finance_Data!G950,"Valid","Invalid")</f>
        <v>Valid</v>
      </c>
      <c r="F954" s="3" t="str" cm="1">
        <f t="array" ref="F954">_xlfn.IFS(Finance_Data!S950&lt;7,"Short",Finance_Data!S950&lt;=30,"Normal",Finance_Data!S950&lt;=60,"Long",Finance_Data!S950&gt;60,"Very Long")</f>
        <v>Normal</v>
      </c>
      <c r="G954" s="3" t="str">
        <f>IF(ABS(Finance_Data!I950*Finance_Data!J950)-Finance_Data!K950&lt;1,"Valid","Invalid")</f>
        <v>Valid</v>
      </c>
      <c r="H954" s="3" t="str">
        <f>IF(Finance_Data!L950&gt;0,"Valid","Invalid")</f>
        <v>Valid</v>
      </c>
      <c r="I954" s="3" t="str">
        <f>IF(Finance_Data!L950&gt;=Finance_Data!M950,"Valid","Invalid")</f>
        <v>Valid</v>
      </c>
      <c r="J954" s="3" t="str">
        <f>IF(AND(Finance_Data!I950&gt;=0,Finance_Data!K950&gt;=0),"Valid","Invalid")</f>
        <v>Valid</v>
      </c>
      <c r="K954" s="3" t="str">
        <f>IF(Finance_Data!N950&gt;=0,"Valid","Invalid")</f>
        <v>Valid</v>
      </c>
      <c r="L954" s="3" t="str">
        <f>IF(TEXT(Finance_Data!G950,"mmmm")=Finance_Data!P950,"Valid","Invalid")</f>
        <v>Valid</v>
      </c>
      <c r="M954" s="3" t="str">
        <f>IF("Q"&amp;ROUNDUP(MONTH(Finance_Data!G950)/3,0)=Finance_Data!Q950,"Valid","Invalid")</f>
        <v>Valid</v>
      </c>
      <c r="N954" s="7" t="str">
        <f t="shared" si="14"/>
        <v>Pass</v>
      </c>
    </row>
    <row r="955" spans="1:14" x14ac:dyDescent="0.35">
      <c r="A955" s="17" t="s">
        <v>111</v>
      </c>
      <c r="B955" s="3" t="str">
        <f>IF(ISBLANK(Table3[[#This Row],[Campaign_ID]]),"Invalid","Valid")</f>
        <v>Valid</v>
      </c>
      <c r="C955" s="3" t="str">
        <f>IF(COUNTA(Finance_Data!A951:R951)=18,"Valid","Missing")</f>
        <v>Valid</v>
      </c>
      <c r="D955" s="3" t="str">
        <f>IF(COUNTIF(Finance_Data!$T$2:$T$1001,Finance_Data!T951)&gt;1,"Duplicate","Valid")</f>
        <v>Valid</v>
      </c>
      <c r="E955" s="3" t="str">
        <f>IF(Finance_Data!H951&gt;Finance_Data!G951,"Valid","Invalid")</f>
        <v>Valid</v>
      </c>
      <c r="F955" s="3" t="str" cm="1">
        <f t="array" ref="F955">_xlfn.IFS(Finance_Data!S951&lt;7,"Short",Finance_Data!S951&lt;=30,"Normal",Finance_Data!S951&lt;=60,"Long",Finance_Data!S951&gt;60,"Very Long")</f>
        <v>Normal</v>
      </c>
      <c r="G955" s="3" t="str">
        <f>IF(ABS(Finance_Data!I951*Finance_Data!J951)-Finance_Data!K951&lt;1,"Valid","Invalid")</f>
        <v>Valid</v>
      </c>
      <c r="H955" s="3" t="str">
        <f>IF(Finance_Data!L951&gt;0,"Valid","Invalid")</f>
        <v>Valid</v>
      </c>
      <c r="I955" s="3" t="str">
        <f>IF(Finance_Data!L951&gt;=Finance_Data!M951,"Valid","Invalid")</f>
        <v>Valid</v>
      </c>
      <c r="J955" s="3" t="str">
        <f>IF(AND(Finance_Data!I951&gt;=0,Finance_Data!K951&gt;=0),"Valid","Invalid")</f>
        <v>Valid</v>
      </c>
      <c r="K955" s="3" t="str">
        <f>IF(Finance_Data!N951&gt;=0,"Valid","Invalid")</f>
        <v>Valid</v>
      </c>
      <c r="L955" s="3" t="str">
        <f>IF(TEXT(Finance_Data!G951,"mmmm")=Finance_Data!P951,"Valid","Invalid")</f>
        <v>Valid</v>
      </c>
      <c r="M955" s="3" t="str">
        <f>IF("Q"&amp;ROUNDUP(MONTH(Finance_Data!G951)/3,0)=Finance_Data!Q951,"Valid","Invalid")</f>
        <v>Valid</v>
      </c>
      <c r="N955" s="7" t="str">
        <f t="shared" si="14"/>
        <v>Pass</v>
      </c>
    </row>
    <row r="956" spans="1:14" x14ac:dyDescent="0.35">
      <c r="A956" s="17" t="s">
        <v>91</v>
      </c>
      <c r="B956" s="3" t="str">
        <f>IF(ISBLANK(Table3[[#This Row],[Campaign_ID]]),"Invalid","Valid")</f>
        <v>Valid</v>
      </c>
      <c r="C956" s="3" t="str">
        <f>IF(COUNTA(Finance_Data!A952:R952)=18,"Valid","Missing")</f>
        <v>Valid</v>
      </c>
      <c r="D956" s="3" t="str">
        <f>IF(COUNTIF(Finance_Data!$T$2:$T$1001,Finance_Data!T952)&gt;1,"Duplicate","Valid")</f>
        <v>Valid</v>
      </c>
      <c r="E956" s="3" t="str">
        <f>IF(Finance_Data!H952&gt;Finance_Data!G952,"Valid","Invalid")</f>
        <v>Valid</v>
      </c>
      <c r="F956" s="3" t="str" cm="1">
        <f t="array" ref="F956">_xlfn.IFS(Finance_Data!S952&lt;7,"Short",Finance_Data!S952&lt;=30,"Normal",Finance_Data!S952&lt;=60,"Long",Finance_Data!S952&gt;60,"Very Long")</f>
        <v>Long</v>
      </c>
      <c r="G956" s="3" t="str">
        <f>IF(ABS(Finance_Data!I952*Finance_Data!J952)-Finance_Data!K952&lt;1,"Valid","Invalid")</f>
        <v>Valid</v>
      </c>
      <c r="H956" s="3" t="str">
        <f>IF(Finance_Data!L952&gt;0,"Valid","Invalid")</f>
        <v>Valid</v>
      </c>
      <c r="I956" s="3" t="str">
        <f>IF(Finance_Data!L952&gt;=Finance_Data!M952,"Valid","Invalid")</f>
        <v>Valid</v>
      </c>
      <c r="J956" s="3" t="str">
        <f>IF(AND(Finance_Data!I952&gt;=0,Finance_Data!K952&gt;=0),"Valid","Invalid")</f>
        <v>Valid</v>
      </c>
      <c r="K956" s="3" t="str">
        <f>IF(Finance_Data!N952&gt;=0,"Valid","Invalid")</f>
        <v>Valid</v>
      </c>
      <c r="L956" s="3" t="str">
        <f>IF(TEXT(Finance_Data!G952,"mmmm")=Finance_Data!P952,"Valid","Invalid")</f>
        <v>Valid</v>
      </c>
      <c r="M956" s="3" t="str">
        <f>IF("Q"&amp;ROUNDUP(MONTH(Finance_Data!G952)/3,0)=Finance_Data!Q952,"Valid","Invalid")</f>
        <v>Valid</v>
      </c>
      <c r="N956" s="7" t="str">
        <f t="shared" si="14"/>
        <v>Pass</v>
      </c>
    </row>
    <row r="957" spans="1:14" x14ac:dyDescent="0.35">
      <c r="A957" s="17" t="s">
        <v>81</v>
      </c>
      <c r="B957" s="3" t="str">
        <f>IF(ISBLANK(Table3[[#This Row],[Campaign_ID]]),"Invalid","Valid")</f>
        <v>Valid</v>
      </c>
      <c r="C957" s="3" t="str">
        <f>IF(COUNTA(Finance_Data!A953:R953)=18,"Valid","Missing")</f>
        <v>Valid</v>
      </c>
      <c r="D957" s="3" t="str">
        <f>IF(COUNTIF(Finance_Data!$T$2:$T$1001,Finance_Data!T953)&gt;1,"Duplicate","Valid")</f>
        <v>Valid</v>
      </c>
      <c r="E957" s="3" t="str">
        <f>IF(Finance_Data!H953&gt;Finance_Data!G953,"Valid","Invalid")</f>
        <v>Valid</v>
      </c>
      <c r="F957" s="3" t="str" cm="1">
        <f t="array" ref="F957">_xlfn.IFS(Finance_Data!S953&lt;7,"Short",Finance_Data!S953&lt;=30,"Normal",Finance_Data!S953&lt;=60,"Long",Finance_Data!S953&gt;60,"Very Long")</f>
        <v>Normal</v>
      </c>
      <c r="G957" s="3" t="str">
        <f>IF(ABS(Finance_Data!I953*Finance_Data!J953)-Finance_Data!K953&lt;1,"Valid","Invalid")</f>
        <v>Valid</v>
      </c>
      <c r="H957" s="3" t="str">
        <f>IF(Finance_Data!L953&gt;0,"Valid","Invalid")</f>
        <v>Valid</v>
      </c>
      <c r="I957" s="3" t="str">
        <f>IF(Finance_Data!L953&gt;=Finance_Data!M953,"Valid","Invalid")</f>
        <v>Valid</v>
      </c>
      <c r="J957" s="3" t="str">
        <f>IF(AND(Finance_Data!I953&gt;=0,Finance_Data!K953&gt;=0),"Valid","Invalid")</f>
        <v>Valid</v>
      </c>
      <c r="K957" s="3" t="str">
        <f>IF(Finance_Data!N953&gt;=0,"Valid","Invalid")</f>
        <v>Valid</v>
      </c>
      <c r="L957" s="3" t="str">
        <f>IF(TEXT(Finance_Data!G953,"mmmm")=Finance_Data!P953,"Valid","Invalid")</f>
        <v>Valid</v>
      </c>
      <c r="M957" s="3" t="str">
        <f>IF("Q"&amp;ROUNDUP(MONTH(Finance_Data!G953)/3,0)=Finance_Data!Q953,"Valid","Invalid")</f>
        <v>Valid</v>
      </c>
      <c r="N957" s="7" t="str">
        <f t="shared" si="14"/>
        <v>Pass</v>
      </c>
    </row>
    <row r="958" spans="1:14" x14ac:dyDescent="0.35">
      <c r="A958" s="17" t="s">
        <v>108</v>
      </c>
      <c r="B958" s="3" t="str">
        <f>IF(ISBLANK(Table3[[#This Row],[Campaign_ID]]),"Invalid","Valid")</f>
        <v>Valid</v>
      </c>
      <c r="C958" s="3" t="str">
        <f>IF(COUNTA(Finance_Data!A954:R954)=18,"Valid","Missing")</f>
        <v>Valid</v>
      </c>
      <c r="D958" s="3" t="str">
        <f>IF(COUNTIF(Finance_Data!$T$2:$T$1001,Finance_Data!T954)&gt;1,"Duplicate","Valid")</f>
        <v>Valid</v>
      </c>
      <c r="E958" s="3" t="str">
        <f>IF(Finance_Data!H954&gt;Finance_Data!G954,"Valid","Invalid")</f>
        <v>Valid</v>
      </c>
      <c r="F958" s="3" t="str" cm="1">
        <f t="array" ref="F958">_xlfn.IFS(Finance_Data!S954&lt;7,"Short",Finance_Data!S954&lt;=30,"Normal",Finance_Data!S954&lt;=60,"Long",Finance_Data!S954&gt;60,"Very Long")</f>
        <v>Normal</v>
      </c>
      <c r="G958" s="3" t="str">
        <f>IF(ABS(Finance_Data!I954*Finance_Data!J954)-Finance_Data!K954&lt;1,"Valid","Invalid")</f>
        <v>Valid</v>
      </c>
      <c r="H958" s="3" t="str">
        <f>IF(Finance_Data!L954&gt;0,"Valid","Invalid")</f>
        <v>Valid</v>
      </c>
      <c r="I958" s="3" t="str">
        <f>IF(Finance_Data!L954&gt;=Finance_Data!M954,"Valid","Invalid")</f>
        <v>Valid</v>
      </c>
      <c r="J958" s="3" t="str">
        <f>IF(AND(Finance_Data!I954&gt;=0,Finance_Data!K954&gt;=0),"Valid","Invalid")</f>
        <v>Valid</v>
      </c>
      <c r="K958" s="3" t="str">
        <f>IF(Finance_Data!N954&gt;=0,"Valid","Invalid")</f>
        <v>Valid</v>
      </c>
      <c r="L958" s="3" t="str">
        <f>IF(TEXT(Finance_Data!G954,"mmmm")=Finance_Data!P954,"Valid","Invalid")</f>
        <v>Valid</v>
      </c>
      <c r="M958" s="3" t="str">
        <f>IF("Q"&amp;ROUNDUP(MONTH(Finance_Data!G954)/3,0)=Finance_Data!Q954,"Valid","Invalid")</f>
        <v>Valid</v>
      </c>
      <c r="N958" s="7" t="str">
        <f t="shared" si="14"/>
        <v>Pass</v>
      </c>
    </row>
    <row r="959" spans="1:14" x14ac:dyDescent="0.35">
      <c r="A959" s="17" t="s">
        <v>92</v>
      </c>
      <c r="B959" s="3" t="str">
        <f>IF(ISBLANK(Table3[[#This Row],[Campaign_ID]]),"Invalid","Valid")</f>
        <v>Valid</v>
      </c>
      <c r="C959" s="3" t="str">
        <f>IF(COUNTA(Finance_Data!A955:R955)=18,"Valid","Missing")</f>
        <v>Valid</v>
      </c>
      <c r="D959" s="3" t="str">
        <f>IF(COUNTIF(Finance_Data!$T$2:$T$1001,Finance_Data!T955)&gt;1,"Duplicate","Valid")</f>
        <v>Valid</v>
      </c>
      <c r="E959" s="3" t="str">
        <f>IF(Finance_Data!H955&gt;Finance_Data!G955,"Valid","Invalid")</f>
        <v>Valid</v>
      </c>
      <c r="F959" s="3" t="str" cm="1">
        <f t="array" ref="F959">_xlfn.IFS(Finance_Data!S955&lt;7,"Short",Finance_Data!S955&lt;=30,"Normal",Finance_Data!S955&lt;=60,"Long",Finance_Data!S955&gt;60,"Very Long")</f>
        <v>Long</v>
      </c>
      <c r="G959" s="3" t="str">
        <f>IF(ABS(Finance_Data!I955*Finance_Data!J955)-Finance_Data!K955&lt;1,"Valid","Invalid")</f>
        <v>Valid</v>
      </c>
      <c r="H959" s="3" t="str">
        <f>IF(Finance_Data!L955&gt;0,"Valid","Invalid")</f>
        <v>Valid</v>
      </c>
      <c r="I959" s="3" t="str">
        <f>IF(Finance_Data!L955&gt;=Finance_Data!M955,"Valid","Invalid")</f>
        <v>Valid</v>
      </c>
      <c r="J959" s="3" t="str">
        <f>IF(AND(Finance_Data!I955&gt;=0,Finance_Data!K955&gt;=0),"Valid","Invalid")</f>
        <v>Valid</v>
      </c>
      <c r="K959" s="3" t="str">
        <f>IF(Finance_Data!N955&gt;=0,"Valid","Invalid")</f>
        <v>Valid</v>
      </c>
      <c r="L959" s="3" t="str">
        <f>IF(TEXT(Finance_Data!G955,"mmmm")=Finance_Data!P955,"Valid","Invalid")</f>
        <v>Valid</v>
      </c>
      <c r="M959" s="3" t="str">
        <f>IF("Q"&amp;ROUNDUP(MONTH(Finance_Data!G955)/3,0)=Finance_Data!Q955,"Valid","Invalid")</f>
        <v>Valid</v>
      </c>
      <c r="N959" s="7" t="str">
        <f t="shared" si="14"/>
        <v>Pass</v>
      </c>
    </row>
    <row r="960" spans="1:14" x14ac:dyDescent="0.35">
      <c r="A960" s="17" t="s">
        <v>27</v>
      </c>
      <c r="B960" s="3" t="str">
        <f>IF(ISBLANK(Table3[[#This Row],[Campaign_ID]]),"Invalid","Valid")</f>
        <v>Valid</v>
      </c>
      <c r="C960" s="3" t="str">
        <f>IF(COUNTA(Finance_Data!A956:R956)=18,"Valid","Missing")</f>
        <v>Valid</v>
      </c>
      <c r="D960" s="3" t="str">
        <f>IF(COUNTIF(Finance_Data!$T$2:$T$1001,Finance_Data!T956)&gt;1,"Duplicate","Valid")</f>
        <v>Valid</v>
      </c>
      <c r="E960" s="3" t="str">
        <f>IF(Finance_Data!H956&gt;Finance_Data!G956,"Valid","Invalid")</f>
        <v>Valid</v>
      </c>
      <c r="F960" s="3" t="str" cm="1">
        <f t="array" ref="F960">_xlfn.IFS(Finance_Data!S956&lt;7,"Short",Finance_Data!S956&lt;=30,"Normal",Finance_Data!S956&lt;=60,"Long",Finance_Data!S956&gt;60,"Very Long")</f>
        <v>Normal</v>
      </c>
      <c r="G960" s="3" t="str">
        <f>IF(ABS(Finance_Data!I956*Finance_Data!J956)-Finance_Data!K956&lt;1,"Valid","Invalid")</f>
        <v>Valid</v>
      </c>
      <c r="H960" s="3" t="str">
        <f>IF(Finance_Data!L956&gt;0,"Valid","Invalid")</f>
        <v>Valid</v>
      </c>
      <c r="I960" s="3" t="str">
        <f>IF(Finance_Data!L956&gt;=Finance_Data!M956,"Valid","Invalid")</f>
        <v>Valid</v>
      </c>
      <c r="J960" s="3" t="str">
        <f>IF(AND(Finance_Data!I956&gt;=0,Finance_Data!K956&gt;=0),"Valid","Invalid")</f>
        <v>Valid</v>
      </c>
      <c r="K960" s="3" t="str">
        <f>IF(Finance_Data!N956&gt;=0,"Valid","Invalid")</f>
        <v>Valid</v>
      </c>
      <c r="L960" s="3" t="str">
        <f>IF(TEXT(Finance_Data!G956,"mmmm")=Finance_Data!P956,"Valid","Invalid")</f>
        <v>Valid</v>
      </c>
      <c r="M960" s="3" t="str">
        <f>IF("Q"&amp;ROUNDUP(MONTH(Finance_Data!G956)/3,0)=Finance_Data!Q956,"Valid","Invalid")</f>
        <v>Valid</v>
      </c>
      <c r="N960" s="7" t="str">
        <f t="shared" si="14"/>
        <v>Pass</v>
      </c>
    </row>
    <row r="961" spans="1:14" x14ac:dyDescent="0.35">
      <c r="A961" s="17" t="s">
        <v>102</v>
      </c>
      <c r="B961" s="3" t="str">
        <f>IF(ISBLANK(Table3[[#This Row],[Campaign_ID]]),"Invalid","Valid")</f>
        <v>Valid</v>
      </c>
      <c r="C961" s="3" t="str">
        <f>IF(COUNTA(Finance_Data!A957:R957)=18,"Valid","Missing")</f>
        <v>Valid</v>
      </c>
      <c r="D961" s="3" t="str">
        <f>IF(COUNTIF(Finance_Data!$T$2:$T$1001,Finance_Data!T957)&gt;1,"Duplicate","Valid")</f>
        <v>Valid</v>
      </c>
      <c r="E961" s="3" t="str">
        <f>IF(Finance_Data!H957&gt;Finance_Data!G957,"Valid","Invalid")</f>
        <v>Valid</v>
      </c>
      <c r="F961" s="3" t="str" cm="1">
        <f t="array" ref="F961">_xlfn.IFS(Finance_Data!S957&lt;7,"Short",Finance_Data!S957&lt;=30,"Normal",Finance_Data!S957&lt;=60,"Long",Finance_Data!S957&gt;60,"Very Long")</f>
        <v>Long</v>
      </c>
      <c r="G961" s="3" t="str">
        <f>IF(ABS(Finance_Data!I957*Finance_Data!J957)-Finance_Data!K957&lt;1,"Valid","Invalid")</f>
        <v>Valid</v>
      </c>
      <c r="H961" s="3" t="str">
        <f>IF(Finance_Data!L957&gt;0,"Valid","Invalid")</f>
        <v>Valid</v>
      </c>
      <c r="I961" s="3" t="str">
        <f>IF(Finance_Data!L957&gt;=Finance_Data!M957,"Valid","Invalid")</f>
        <v>Valid</v>
      </c>
      <c r="J961" s="3" t="str">
        <f>IF(AND(Finance_Data!I957&gt;=0,Finance_Data!K957&gt;=0),"Valid","Invalid")</f>
        <v>Valid</v>
      </c>
      <c r="K961" s="3" t="str">
        <f>IF(Finance_Data!N957&gt;=0,"Valid","Invalid")</f>
        <v>Valid</v>
      </c>
      <c r="L961" s="3" t="str">
        <f>IF(TEXT(Finance_Data!G957,"mmmm")=Finance_Data!P957,"Valid","Invalid")</f>
        <v>Valid</v>
      </c>
      <c r="M961" s="3" t="str">
        <f>IF("Q"&amp;ROUNDUP(MONTH(Finance_Data!G957)/3,0)=Finance_Data!Q957,"Valid","Invalid")</f>
        <v>Valid</v>
      </c>
      <c r="N961" s="7" t="str">
        <f t="shared" si="14"/>
        <v>Pass</v>
      </c>
    </row>
    <row r="962" spans="1:14" x14ac:dyDescent="0.35">
      <c r="A962" s="17" t="s">
        <v>42</v>
      </c>
      <c r="B962" s="3" t="str">
        <f>IF(ISBLANK(Table3[[#This Row],[Campaign_ID]]),"Invalid","Valid")</f>
        <v>Valid</v>
      </c>
      <c r="C962" s="3" t="str">
        <f>IF(COUNTA(Finance_Data!A958:R958)=18,"Valid","Missing")</f>
        <v>Valid</v>
      </c>
      <c r="D962" s="3" t="str">
        <f>IF(COUNTIF(Finance_Data!$T$2:$T$1001,Finance_Data!T958)&gt;1,"Duplicate","Valid")</f>
        <v>Valid</v>
      </c>
      <c r="E962" s="3" t="str">
        <f>IF(Finance_Data!H958&gt;Finance_Data!G958,"Valid","Invalid")</f>
        <v>Valid</v>
      </c>
      <c r="F962" s="3" t="str" cm="1">
        <f t="array" ref="F962">_xlfn.IFS(Finance_Data!S958&lt;7,"Short",Finance_Data!S958&lt;=30,"Normal",Finance_Data!S958&lt;=60,"Long",Finance_Data!S958&gt;60,"Very Long")</f>
        <v>Long</v>
      </c>
      <c r="G962" s="3" t="str">
        <f>IF(ABS(Finance_Data!I958*Finance_Data!J958)-Finance_Data!K958&lt;1,"Valid","Invalid")</f>
        <v>Valid</v>
      </c>
      <c r="H962" s="3" t="str">
        <f>IF(Finance_Data!L958&gt;0,"Valid","Invalid")</f>
        <v>Valid</v>
      </c>
      <c r="I962" s="3" t="str">
        <f>IF(Finance_Data!L958&gt;=Finance_Data!M958,"Valid","Invalid")</f>
        <v>Valid</v>
      </c>
      <c r="J962" s="3" t="str">
        <f>IF(AND(Finance_Data!I958&gt;=0,Finance_Data!K958&gt;=0),"Valid","Invalid")</f>
        <v>Valid</v>
      </c>
      <c r="K962" s="3" t="str">
        <f>IF(Finance_Data!N958&gt;=0,"Valid","Invalid")</f>
        <v>Valid</v>
      </c>
      <c r="L962" s="3" t="str">
        <f>IF(TEXT(Finance_Data!G958,"mmmm")=Finance_Data!P958,"Valid","Invalid")</f>
        <v>Valid</v>
      </c>
      <c r="M962" s="3" t="str">
        <f>IF("Q"&amp;ROUNDUP(MONTH(Finance_Data!G958)/3,0)=Finance_Data!Q958,"Valid","Invalid")</f>
        <v>Valid</v>
      </c>
      <c r="N962" s="7" t="str">
        <f t="shared" si="14"/>
        <v>Pass</v>
      </c>
    </row>
    <row r="963" spans="1:14" x14ac:dyDescent="0.35">
      <c r="A963" s="17" t="s">
        <v>57</v>
      </c>
      <c r="B963" s="3" t="str">
        <f>IF(ISBLANK(Table3[[#This Row],[Campaign_ID]]),"Invalid","Valid")</f>
        <v>Valid</v>
      </c>
      <c r="C963" s="3" t="str">
        <f>IF(COUNTA(Finance_Data!A959:R959)=18,"Valid","Missing")</f>
        <v>Valid</v>
      </c>
      <c r="D963" s="3" t="str">
        <f>IF(COUNTIF(Finance_Data!$T$2:$T$1001,Finance_Data!T959)&gt;1,"Duplicate","Valid")</f>
        <v>Valid</v>
      </c>
      <c r="E963" s="3" t="str">
        <f>IF(Finance_Data!H959&gt;Finance_Data!G959,"Valid","Invalid")</f>
        <v>Valid</v>
      </c>
      <c r="F963" s="3" t="str" cm="1">
        <f t="array" ref="F963">_xlfn.IFS(Finance_Data!S959&lt;7,"Short",Finance_Data!S959&lt;=30,"Normal",Finance_Data!S959&lt;=60,"Long",Finance_Data!S959&gt;60,"Very Long")</f>
        <v>Normal</v>
      </c>
      <c r="G963" s="3" t="str">
        <f>IF(ABS(Finance_Data!I959*Finance_Data!J959)-Finance_Data!K959&lt;1,"Valid","Invalid")</f>
        <v>Valid</v>
      </c>
      <c r="H963" s="3" t="str">
        <f>IF(Finance_Data!L959&gt;0,"Valid","Invalid")</f>
        <v>Valid</v>
      </c>
      <c r="I963" s="3" t="str">
        <f>IF(Finance_Data!L959&gt;=Finance_Data!M959,"Valid","Invalid")</f>
        <v>Valid</v>
      </c>
      <c r="J963" s="3" t="str">
        <f>IF(AND(Finance_Data!I959&gt;=0,Finance_Data!K959&gt;=0),"Valid","Invalid")</f>
        <v>Valid</v>
      </c>
      <c r="K963" s="3" t="str">
        <f>IF(Finance_Data!N959&gt;=0,"Valid","Invalid")</f>
        <v>Valid</v>
      </c>
      <c r="L963" s="3" t="str">
        <f>IF(TEXT(Finance_Data!G959,"mmmm")=Finance_Data!P959,"Valid","Invalid")</f>
        <v>Valid</v>
      </c>
      <c r="M963" s="3" t="str">
        <f>IF("Q"&amp;ROUNDUP(MONTH(Finance_Data!G959)/3,0)=Finance_Data!Q959,"Valid","Invalid")</f>
        <v>Valid</v>
      </c>
      <c r="N963" s="7" t="str">
        <f t="shared" si="14"/>
        <v>Pass</v>
      </c>
    </row>
    <row r="964" spans="1:14" x14ac:dyDescent="0.35">
      <c r="A964" s="17" t="s">
        <v>109</v>
      </c>
      <c r="B964" s="3" t="str">
        <f>IF(ISBLANK(Table3[[#This Row],[Campaign_ID]]),"Invalid","Valid")</f>
        <v>Valid</v>
      </c>
      <c r="C964" s="3" t="str">
        <f>IF(COUNTA(Finance_Data!A960:R960)=18,"Valid","Missing")</f>
        <v>Valid</v>
      </c>
      <c r="D964" s="3" t="str">
        <f>IF(COUNTIF(Finance_Data!$T$2:$T$1001,Finance_Data!T960)&gt;1,"Duplicate","Valid")</f>
        <v>Valid</v>
      </c>
      <c r="E964" s="3" t="str">
        <f>IF(Finance_Data!H960&gt;Finance_Data!G960,"Valid","Invalid")</f>
        <v>Valid</v>
      </c>
      <c r="F964" s="3" t="str" cm="1">
        <f t="array" ref="F964">_xlfn.IFS(Finance_Data!S960&lt;7,"Short",Finance_Data!S960&lt;=30,"Normal",Finance_Data!S960&lt;=60,"Long",Finance_Data!S960&gt;60,"Very Long")</f>
        <v>Normal</v>
      </c>
      <c r="G964" s="3" t="str">
        <f>IF(ABS(Finance_Data!I960*Finance_Data!J960)-Finance_Data!K960&lt;1,"Valid","Invalid")</f>
        <v>Valid</v>
      </c>
      <c r="H964" s="3" t="str">
        <f>IF(Finance_Data!L960&gt;0,"Valid","Invalid")</f>
        <v>Valid</v>
      </c>
      <c r="I964" s="3" t="str">
        <f>IF(Finance_Data!L960&gt;=Finance_Data!M960,"Valid","Invalid")</f>
        <v>Valid</v>
      </c>
      <c r="J964" s="3" t="str">
        <f>IF(AND(Finance_Data!I960&gt;=0,Finance_Data!K960&gt;=0),"Valid","Invalid")</f>
        <v>Valid</v>
      </c>
      <c r="K964" s="3" t="str">
        <f>IF(Finance_Data!N960&gt;=0,"Valid","Invalid")</f>
        <v>Valid</v>
      </c>
      <c r="L964" s="3" t="str">
        <f>IF(TEXT(Finance_Data!G960,"mmmm")=Finance_Data!P960,"Valid","Invalid")</f>
        <v>Valid</v>
      </c>
      <c r="M964" s="3" t="str">
        <f>IF("Q"&amp;ROUNDUP(MONTH(Finance_Data!G960)/3,0)=Finance_Data!Q960,"Valid","Invalid")</f>
        <v>Valid</v>
      </c>
      <c r="N964" s="7" t="str">
        <f t="shared" si="14"/>
        <v>Pass</v>
      </c>
    </row>
    <row r="965" spans="1:14" x14ac:dyDescent="0.35">
      <c r="A965" s="17" t="s">
        <v>87</v>
      </c>
      <c r="B965" s="3" t="str">
        <f>IF(ISBLANK(Table3[[#This Row],[Campaign_ID]]),"Invalid","Valid")</f>
        <v>Valid</v>
      </c>
      <c r="C965" s="3" t="str">
        <f>IF(COUNTA(Finance_Data!A961:R961)=18,"Valid","Missing")</f>
        <v>Valid</v>
      </c>
      <c r="D965" s="3" t="str">
        <f>IF(COUNTIF(Finance_Data!$T$2:$T$1001,Finance_Data!T961)&gt;1,"Duplicate","Valid")</f>
        <v>Valid</v>
      </c>
      <c r="E965" s="3" t="str">
        <f>IF(Finance_Data!H961&gt;Finance_Data!G961,"Valid","Invalid")</f>
        <v>Valid</v>
      </c>
      <c r="F965" s="3" t="str" cm="1">
        <f t="array" ref="F965">_xlfn.IFS(Finance_Data!S961&lt;7,"Short",Finance_Data!S961&lt;=30,"Normal",Finance_Data!S961&lt;=60,"Long",Finance_Data!S961&gt;60,"Very Long")</f>
        <v>Long</v>
      </c>
      <c r="G965" s="3" t="str">
        <f>IF(ABS(Finance_Data!I961*Finance_Data!J961)-Finance_Data!K961&lt;1,"Valid","Invalid")</f>
        <v>Valid</v>
      </c>
      <c r="H965" s="3" t="str">
        <f>IF(Finance_Data!L961&gt;0,"Valid","Invalid")</f>
        <v>Valid</v>
      </c>
      <c r="I965" s="3" t="str">
        <f>IF(Finance_Data!L961&gt;=Finance_Data!M961,"Valid","Invalid")</f>
        <v>Valid</v>
      </c>
      <c r="J965" s="3" t="str">
        <f>IF(AND(Finance_Data!I961&gt;=0,Finance_Data!K961&gt;=0),"Valid","Invalid")</f>
        <v>Valid</v>
      </c>
      <c r="K965" s="3" t="str">
        <f>IF(Finance_Data!N961&gt;=0,"Valid","Invalid")</f>
        <v>Valid</v>
      </c>
      <c r="L965" s="3" t="str">
        <f>IF(TEXT(Finance_Data!G961,"mmmm")=Finance_Data!P961,"Valid","Invalid")</f>
        <v>Valid</v>
      </c>
      <c r="M965" s="3" t="str">
        <f>IF("Q"&amp;ROUNDUP(MONTH(Finance_Data!G961)/3,0)=Finance_Data!Q961,"Valid","Invalid")</f>
        <v>Valid</v>
      </c>
      <c r="N965" s="7" t="str">
        <f t="shared" si="14"/>
        <v>Pass</v>
      </c>
    </row>
    <row r="966" spans="1:14" x14ac:dyDescent="0.35">
      <c r="A966" s="17" t="s">
        <v>119</v>
      </c>
      <c r="B966" s="3" t="str">
        <f>IF(ISBLANK(Table3[[#This Row],[Campaign_ID]]),"Invalid","Valid")</f>
        <v>Valid</v>
      </c>
      <c r="C966" s="3" t="str">
        <f>IF(COUNTA(Finance_Data!A962:R962)=18,"Valid","Missing")</f>
        <v>Valid</v>
      </c>
      <c r="D966" s="3" t="str">
        <f>IF(COUNTIF(Finance_Data!$T$2:$T$1001,Finance_Data!T962)&gt;1,"Duplicate","Valid")</f>
        <v>Valid</v>
      </c>
      <c r="E966" s="3" t="str">
        <f>IF(Finance_Data!H962&gt;Finance_Data!G962,"Valid","Invalid")</f>
        <v>Valid</v>
      </c>
      <c r="F966" s="3" t="str" cm="1">
        <f t="array" ref="F966">_xlfn.IFS(Finance_Data!S962&lt;7,"Short",Finance_Data!S962&lt;=30,"Normal",Finance_Data!S962&lt;=60,"Long",Finance_Data!S962&gt;60,"Very Long")</f>
        <v>Long</v>
      </c>
      <c r="G966" s="3" t="str">
        <f>IF(ABS(Finance_Data!I962*Finance_Data!J962)-Finance_Data!K962&lt;1,"Valid","Invalid")</f>
        <v>Valid</v>
      </c>
      <c r="H966" s="3" t="str">
        <f>IF(Finance_Data!L962&gt;0,"Valid","Invalid")</f>
        <v>Valid</v>
      </c>
      <c r="I966" s="3" t="str">
        <f>IF(Finance_Data!L962&gt;=Finance_Data!M962,"Valid","Invalid")</f>
        <v>Valid</v>
      </c>
      <c r="J966" s="3" t="str">
        <f>IF(AND(Finance_Data!I962&gt;=0,Finance_Data!K962&gt;=0),"Valid","Invalid")</f>
        <v>Valid</v>
      </c>
      <c r="K966" s="3" t="str">
        <f>IF(Finance_Data!N962&gt;=0,"Valid","Invalid")</f>
        <v>Valid</v>
      </c>
      <c r="L966" s="3" t="str">
        <f>IF(TEXT(Finance_Data!G962,"mmmm")=Finance_Data!P962,"Valid","Invalid")</f>
        <v>Valid</v>
      </c>
      <c r="M966" s="3" t="str">
        <f>IF("Q"&amp;ROUNDUP(MONTH(Finance_Data!G962)/3,0)=Finance_Data!Q962,"Valid","Invalid")</f>
        <v>Valid</v>
      </c>
      <c r="N966" s="7" t="str">
        <f t="shared" ref="N966:N1005" si="15">IF(AND(B966="Valid",E966="Valid",G966="Valid",H966="Valid",I966="Valid",J966="Valid",K966="Valid",L966="Valid",M966="Valid"),"Pass","Fail")</f>
        <v>Pass</v>
      </c>
    </row>
    <row r="967" spans="1:14" x14ac:dyDescent="0.35">
      <c r="A967" s="17" t="s">
        <v>103</v>
      </c>
      <c r="B967" s="3" t="str">
        <f>IF(ISBLANK(Table3[[#This Row],[Campaign_ID]]),"Invalid","Valid")</f>
        <v>Valid</v>
      </c>
      <c r="C967" s="3" t="str">
        <f>IF(COUNTA(Finance_Data!A963:R963)=18,"Valid","Missing")</f>
        <v>Valid</v>
      </c>
      <c r="D967" s="3" t="str">
        <f>IF(COUNTIF(Finance_Data!$T$2:$T$1001,Finance_Data!T963)&gt;1,"Duplicate","Valid")</f>
        <v>Valid</v>
      </c>
      <c r="E967" s="3" t="str">
        <f>IF(Finance_Data!H963&gt;Finance_Data!G963,"Valid","Invalid")</f>
        <v>Valid</v>
      </c>
      <c r="F967" s="3" t="str" cm="1">
        <f t="array" ref="F967">_xlfn.IFS(Finance_Data!S963&lt;7,"Short",Finance_Data!S963&lt;=30,"Normal",Finance_Data!S963&lt;=60,"Long",Finance_Data!S963&gt;60,"Very Long")</f>
        <v>Long</v>
      </c>
      <c r="G967" s="3" t="str">
        <f>IF(ABS(Finance_Data!I963*Finance_Data!J963)-Finance_Data!K963&lt;1,"Valid","Invalid")</f>
        <v>Valid</v>
      </c>
      <c r="H967" s="3" t="str">
        <f>IF(Finance_Data!L963&gt;0,"Valid","Invalid")</f>
        <v>Valid</v>
      </c>
      <c r="I967" s="3" t="str">
        <f>IF(Finance_Data!L963&gt;=Finance_Data!M963,"Valid","Invalid")</f>
        <v>Valid</v>
      </c>
      <c r="J967" s="3" t="str">
        <f>IF(AND(Finance_Data!I963&gt;=0,Finance_Data!K963&gt;=0),"Valid","Invalid")</f>
        <v>Valid</v>
      </c>
      <c r="K967" s="3" t="str">
        <f>IF(Finance_Data!N963&gt;=0,"Valid","Invalid")</f>
        <v>Valid</v>
      </c>
      <c r="L967" s="3" t="str">
        <f>IF(TEXT(Finance_Data!G963,"mmmm")=Finance_Data!P963,"Valid","Invalid")</f>
        <v>Valid</v>
      </c>
      <c r="M967" s="3" t="str">
        <f>IF("Q"&amp;ROUNDUP(MONTH(Finance_Data!G963)/3,0)=Finance_Data!Q963,"Valid","Invalid")</f>
        <v>Valid</v>
      </c>
      <c r="N967" s="7" t="str">
        <f t="shared" si="15"/>
        <v>Pass</v>
      </c>
    </row>
    <row r="968" spans="1:14" x14ac:dyDescent="0.35">
      <c r="A968" s="17" t="s">
        <v>78</v>
      </c>
      <c r="B968" s="3" t="str">
        <f>IF(ISBLANK(Table3[[#This Row],[Campaign_ID]]),"Invalid","Valid")</f>
        <v>Valid</v>
      </c>
      <c r="C968" s="3" t="str">
        <f>IF(COUNTA(Finance_Data!A964:R964)=18,"Valid","Missing")</f>
        <v>Valid</v>
      </c>
      <c r="D968" s="3" t="str">
        <f>IF(COUNTIF(Finance_Data!$T$2:$T$1001,Finance_Data!T964)&gt;1,"Duplicate","Valid")</f>
        <v>Valid</v>
      </c>
      <c r="E968" s="3" t="str">
        <f>IF(Finance_Data!H964&gt;Finance_Data!G964,"Valid","Invalid")</f>
        <v>Valid</v>
      </c>
      <c r="F968" s="3" t="str" cm="1">
        <f t="array" ref="F968">_xlfn.IFS(Finance_Data!S964&lt;7,"Short",Finance_Data!S964&lt;=30,"Normal",Finance_Data!S964&lt;=60,"Long",Finance_Data!S964&gt;60,"Very Long")</f>
        <v>Long</v>
      </c>
      <c r="G968" s="3" t="str">
        <f>IF(ABS(Finance_Data!I964*Finance_Data!J964)-Finance_Data!K964&lt;1,"Valid","Invalid")</f>
        <v>Valid</v>
      </c>
      <c r="H968" s="3" t="str">
        <f>IF(Finance_Data!L964&gt;0,"Valid","Invalid")</f>
        <v>Valid</v>
      </c>
      <c r="I968" s="3" t="str">
        <f>IF(Finance_Data!L964&gt;=Finance_Data!M964,"Valid","Invalid")</f>
        <v>Valid</v>
      </c>
      <c r="J968" s="3" t="str">
        <f>IF(AND(Finance_Data!I964&gt;=0,Finance_Data!K964&gt;=0),"Valid","Invalid")</f>
        <v>Valid</v>
      </c>
      <c r="K968" s="3" t="str">
        <f>IF(Finance_Data!N964&gt;=0,"Valid","Invalid")</f>
        <v>Valid</v>
      </c>
      <c r="L968" s="3" t="str">
        <f>IF(TEXT(Finance_Data!G964,"mmmm")=Finance_Data!P964,"Valid","Invalid")</f>
        <v>Valid</v>
      </c>
      <c r="M968" s="3" t="str">
        <f>IF("Q"&amp;ROUNDUP(MONTH(Finance_Data!G964)/3,0)=Finance_Data!Q964,"Valid","Invalid")</f>
        <v>Valid</v>
      </c>
      <c r="N968" s="7" t="str">
        <f t="shared" si="15"/>
        <v>Pass</v>
      </c>
    </row>
    <row r="969" spans="1:14" x14ac:dyDescent="0.35">
      <c r="A969" s="17" t="s">
        <v>94</v>
      </c>
      <c r="B969" s="3" t="str">
        <f>IF(ISBLANK(Table3[[#This Row],[Campaign_ID]]),"Invalid","Valid")</f>
        <v>Valid</v>
      </c>
      <c r="C969" s="3" t="str">
        <f>IF(COUNTA(Finance_Data!A965:R965)=18,"Valid","Missing")</f>
        <v>Valid</v>
      </c>
      <c r="D969" s="3" t="str">
        <f>IF(COUNTIF(Finance_Data!$T$2:$T$1001,Finance_Data!T965)&gt;1,"Duplicate","Valid")</f>
        <v>Valid</v>
      </c>
      <c r="E969" s="3" t="str">
        <f>IF(Finance_Data!H965&gt;Finance_Data!G965,"Valid","Invalid")</f>
        <v>Valid</v>
      </c>
      <c r="F969" s="3" t="str" cm="1">
        <f t="array" ref="F969">_xlfn.IFS(Finance_Data!S965&lt;7,"Short",Finance_Data!S965&lt;=30,"Normal",Finance_Data!S965&lt;=60,"Long",Finance_Data!S965&gt;60,"Very Long")</f>
        <v>Normal</v>
      </c>
      <c r="G969" s="3" t="str">
        <f>IF(ABS(Finance_Data!I965*Finance_Data!J965)-Finance_Data!K965&lt;1,"Valid","Invalid")</f>
        <v>Valid</v>
      </c>
      <c r="H969" s="3" t="str">
        <f>IF(Finance_Data!L965&gt;0,"Valid","Invalid")</f>
        <v>Valid</v>
      </c>
      <c r="I969" s="3" t="str">
        <f>IF(Finance_Data!L965&gt;=Finance_Data!M965,"Valid","Invalid")</f>
        <v>Invalid</v>
      </c>
      <c r="J969" s="3" t="str">
        <f>IF(AND(Finance_Data!I965&gt;=0,Finance_Data!K965&gt;=0),"Valid","Invalid")</f>
        <v>Valid</v>
      </c>
      <c r="K969" s="3" t="str">
        <f>IF(Finance_Data!N965&gt;=0,"Valid","Invalid")</f>
        <v>Valid</v>
      </c>
      <c r="L969" s="3" t="str">
        <f>IF(TEXT(Finance_Data!G965,"mmmm")=Finance_Data!P965,"Valid","Invalid")</f>
        <v>Valid</v>
      </c>
      <c r="M969" s="3" t="str">
        <f>IF("Q"&amp;ROUNDUP(MONTH(Finance_Data!G965)/3,0)=Finance_Data!Q965,"Valid","Invalid")</f>
        <v>Valid</v>
      </c>
      <c r="N969" s="7" t="str">
        <f t="shared" si="15"/>
        <v>Fail</v>
      </c>
    </row>
    <row r="970" spans="1:14" x14ac:dyDescent="0.35">
      <c r="A970" s="17" t="s">
        <v>64</v>
      </c>
      <c r="B970" s="3" t="str">
        <f>IF(ISBLANK(Table3[[#This Row],[Campaign_ID]]),"Invalid","Valid")</f>
        <v>Valid</v>
      </c>
      <c r="C970" s="3" t="str">
        <f>IF(COUNTA(Finance_Data!A966:R966)=18,"Valid","Missing")</f>
        <v>Valid</v>
      </c>
      <c r="D970" s="3" t="str">
        <f>IF(COUNTIF(Finance_Data!$T$2:$T$1001,Finance_Data!T966)&gt;1,"Duplicate","Valid")</f>
        <v>Valid</v>
      </c>
      <c r="E970" s="3" t="str">
        <f>IF(Finance_Data!H966&gt;Finance_Data!G966,"Valid","Invalid")</f>
        <v>Valid</v>
      </c>
      <c r="F970" s="3" t="str" cm="1">
        <f t="array" ref="F970">_xlfn.IFS(Finance_Data!S966&lt;7,"Short",Finance_Data!S966&lt;=30,"Normal",Finance_Data!S966&lt;=60,"Long",Finance_Data!S966&gt;60,"Very Long")</f>
        <v>Normal</v>
      </c>
      <c r="G970" s="3" t="str">
        <f>IF(ABS(Finance_Data!I966*Finance_Data!J966)-Finance_Data!K966&lt;1,"Valid","Invalid")</f>
        <v>Valid</v>
      </c>
      <c r="H970" s="3" t="str">
        <f>IF(Finance_Data!L966&gt;0,"Valid","Invalid")</f>
        <v>Valid</v>
      </c>
      <c r="I970" s="3" t="str">
        <f>IF(Finance_Data!L966&gt;=Finance_Data!M966,"Valid","Invalid")</f>
        <v>Valid</v>
      </c>
      <c r="J970" s="3" t="str">
        <f>IF(AND(Finance_Data!I966&gt;=0,Finance_Data!K966&gt;=0),"Valid","Invalid")</f>
        <v>Valid</v>
      </c>
      <c r="K970" s="3" t="str">
        <f>IF(Finance_Data!N966&gt;=0,"Valid","Invalid")</f>
        <v>Valid</v>
      </c>
      <c r="L970" s="3" t="str">
        <f>IF(TEXT(Finance_Data!G966,"mmmm")=Finance_Data!P966,"Valid","Invalid")</f>
        <v>Valid</v>
      </c>
      <c r="M970" s="3" t="str">
        <f>IF("Q"&amp;ROUNDUP(MONTH(Finance_Data!G966)/3,0)=Finance_Data!Q966,"Valid","Invalid")</f>
        <v>Valid</v>
      </c>
      <c r="N970" s="7" t="str">
        <f t="shared" si="15"/>
        <v>Pass</v>
      </c>
    </row>
    <row r="971" spans="1:14" x14ac:dyDescent="0.35">
      <c r="A971" s="17" t="s">
        <v>84</v>
      </c>
      <c r="B971" s="3" t="str">
        <f>IF(ISBLANK(Table3[[#This Row],[Campaign_ID]]),"Invalid","Valid")</f>
        <v>Valid</v>
      </c>
      <c r="C971" s="3" t="str">
        <f>IF(COUNTA(Finance_Data!A967:R967)=18,"Valid","Missing")</f>
        <v>Valid</v>
      </c>
      <c r="D971" s="3" t="str">
        <f>IF(COUNTIF(Finance_Data!$T$2:$T$1001,Finance_Data!T967)&gt;1,"Duplicate","Valid")</f>
        <v>Valid</v>
      </c>
      <c r="E971" s="3" t="str">
        <f>IF(Finance_Data!H967&gt;Finance_Data!G967,"Valid","Invalid")</f>
        <v>Valid</v>
      </c>
      <c r="F971" s="3" t="str" cm="1">
        <f t="array" ref="F971">_xlfn.IFS(Finance_Data!S967&lt;7,"Short",Finance_Data!S967&lt;=30,"Normal",Finance_Data!S967&lt;=60,"Long",Finance_Data!S967&gt;60,"Very Long")</f>
        <v>Long</v>
      </c>
      <c r="G971" s="3" t="str">
        <f>IF(ABS(Finance_Data!I967*Finance_Data!J967)-Finance_Data!K967&lt;1,"Valid","Invalid")</f>
        <v>Valid</v>
      </c>
      <c r="H971" s="3" t="str">
        <f>IF(Finance_Data!L967&gt;0,"Valid","Invalid")</f>
        <v>Valid</v>
      </c>
      <c r="I971" s="3" t="str">
        <f>IF(Finance_Data!L967&gt;=Finance_Data!M967,"Valid","Invalid")</f>
        <v>Valid</v>
      </c>
      <c r="J971" s="3" t="str">
        <f>IF(AND(Finance_Data!I967&gt;=0,Finance_Data!K967&gt;=0),"Valid","Invalid")</f>
        <v>Valid</v>
      </c>
      <c r="K971" s="3" t="str">
        <f>IF(Finance_Data!N967&gt;=0,"Valid","Invalid")</f>
        <v>Valid</v>
      </c>
      <c r="L971" s="3" t="str">
        <f>IF(TEXT(Finance_Data!G967,"mmmm")=Finance_Data!P967,"Valid","Invalid")</f>
        <v>Valid</v>
      </c>
      <c r="M971" s="3" t="str">
        <f>IF("Q"&amp;ROUNDUP(MONTH(Finance_Data!G967)/3,0)=Finance_Data!Q967,"Valid","Invalid")</f>
        <v>Valid</v>
      </c>
      <c r="N971" s="7" t="str">
        <f t="shared" si="15"/>
        <v>Pass</v>
      </c>
    </row>
    <row r="972" spans="1:14" x14ac:dyDescent="0.35">
      <c r="A972" s="17" t="s">
        <v>100</v>
      </c>
      <c r="B972" s="3" t="str">
        <f>IF(ISBLANK(Table3[[#This Row],[Campaign_ID]]),"Invalid","Valid")</f>
        <v>Valid</v>
      </c>
      <c r="C972" s="3" t="str">
        <f>IF(COUNTA(Finance_Data!A968:R968)=18,"Valid","Missing")</f>
        <v>Valid</v>
      </c>
      <c r="D972" s="3" t="str">
        <f>IF(COUNTIF(Finance_Data!$T$2:$T$1001,Finance_Data!T968)&gt;1,"Duplicate","Valid")</f>
        <v>Valid</v>
      </c>
      <c r="E972" s="3" t="str">
        <f>IF(Finance_Data!H968&gt;Finance_Data!G968,"Valid","Invalid")</f>
        <v>Valid</v>
      </c>
      <c r="F972" s="3" t="str" cm="1">
        <f t="array" ref="F972">_xlfn.IFS(Finance_Data!S968&lt;7,"Short",Finance_Data!S968&lt;=30,"Normal",Finance_Data!S968&lt;=60,"Long",Finance_Data!S968&gt;60,"Very Long")</f>
        <v>Long</v>
      </c>
      <c r="G972" s="3" t="str">
        <f>IF(ABS(Finance_Data!I968*Finance_Data!J968)-Finance_Data!K968&lt;1,"Valid","Invalid")</f>
        <v>Valid</v>
      </c>
      <c r="H972" s="3" t="str">
        <f>IF(Finance_Data!L968&gt;0,"Valid","Invalid")</f>
        <v>Valid</v>
      </c>
      <c r="I972" s="3" t="str">
        <f>IF(Finance_Data!L968&gt;=Finance_Data!M968,"Valid","Invalid")</f>
        <v>Valid</v>
      </c>
      <c r="J972" s="3" t="str">
        <f>IF(AND(Finance_Data!I968&gt;=0,Finance_Data!K968&gt;=0),"Valid","Invalid")</f>
        <v>Valid</v>
      </c>
      <c r="K972" s="3" t="str">
        <f>IF(Finance_Data!N968&gt;=0,"Valid","Invalid")</f>
        <v>Valid</v>
      </c>
      <c r="L972" s="3" t="str">
        <f>IF(TEXT(Finance_Data!G968,"mmmm")=Finance_Data!P968,"Valid","Invalid")</f>
        <v>Valid</v>
      </c>
      <c r="M972" s="3" t="str">
        <f>IF("Q"&amp;ROUNDUP(MONTH(Finance_Data!G968)/3,0)=Finance_Data!Q968,"Valid","Invalid")</f>
        <v>Valid</v>
      </c>
      <c r="N972" s="7" t="str">
        <f t="shared" si="15"/>
        <v>Pass</v>
      </c>
    </row>
    <row r="973" spans="1:14" x14ac:dyDescent="0.35">
      <c r="A973" s="17" t="s">
        <v>117</v>
      </c>
      <c r="B973" s="3" t="str">
        <f>IF(ISBLANK(Table3[[#This Row],[Campaign_ID]]),"Invalid","Valid")</f>
        <v>Valid</v>
      </c>
      <c r="C973" s="3" t="str">
        <f>IF(COUNTA(Finance_Data!A969:R969)=18,"Valid","Missing")</f>
        <v>Valid</v>
      </c>
      <c r="D973" s="3" t="str">
        <f>IF(COUNTIF(Finance_Data!$T$2:$T$1001,Finance_Data!T969)&gt;1,"Duplicate","Valid")</f>
        <v>Valid</v>
      </c>
      <c r="E973" s="3" t="str">
        <f>IF(Finance_Data!H969&gt;Finance_Data!G969,"Valid","Invalid")</f>
        <v>Valid</v>
      </c>
      <c r="F973" s="3" t="str" cm="1">
        <f t="array" ref="F973">_xlfn.IFS(Finance_Data!S969&lt;7,"Short",Finance_Data!S969&lt;=30,"Normal",Finance_Data!S969&lt;=60,"Long",Finance_Data!S969&gt;60,"Very Long")</f>
        <v>Long</v>
      </c>
      <c r="G973" s="3" t="str">
        <f>IF(ABS(Finance_Data!I969*Finance_Data!J969)-Finance_Data!K969&lt;1,"Valid","Invalid")</f>
        <v>Valid</v>
      </c>
      <c r="H973" s="3" t="str">
        <f>IF(Finance_Data!L969&gt;0,"Valid","Invalid")</f>
        <v>Valid</v>
      </c>
      <c r="I973" s="3" t="str">
        <f>IF(Finance_Data!L969&gt;=Finance_Data!M969,"Valid","Invalid")</f>
        <v>Valid</v>
      </c>
      <c r="J973" s="3" t="str">
        <f>IF(AND(Finance_Data!I969&gt;=0,Finance_Data!K969&gt;=0),"Valid","Invalid")</f>
        <v>Valid</v>
      </c>
      <c r="K973" s="3" t="str">
        <f>IF(Finance_Data!N969&gt;=0,"Valid","Invalid")</f>
        <v>Valid</v>
      </c>
      <c r="L973" s="3" t="str">
        <f>IF(TEXT(Finance_Data!G969,"mmmm")=Finance_Data!P969,"Valid","Invalid")</f>
        <v>Valid</v>
      </c>
      <c r="M973" s="3" t="str">
        <f>IF("Q"&amp;ROUNDUP(MONTH(Finance_Data!G969)/3,0)=Finance_Data!Q969,"Valid","Invalid")</f>
        <v>Valid</v>
      </c>
      <c r="N973" s="7" t="str">
        <f t="shared" si="15"/>
        <v>Pass</v>
      </c>
    </row>
    <row r="974" spans="1:14" x14ac:dyDescent="0.35">
      <c r="A974" s="17" t="s">
        <v>106</v>
      </c>
      <c r="B974" s="3" t="str">
        <f>IF(ISBLANK(Table3[[#This Row],[Campaign_ID]]),"Invalid","Valid")</f>
        <v>Valid</v>
      </c>
      <c r="C974" s="3" t="str">
        <f>IF(COUNTA(Finance_Data!A970:R970)=18,"Valid","Missing")</f>
        <v>Valid</v>
      </c>
      <c r="D974" s="3" t="str">
        <f>IF(COUNTIF(Finance_Data!$T$2:$T$1001,Finance_Data!T970)&gt;1,"Duplicate","Valid")</f>
        <v>Valid</v>
      </c>
      <c r="E974" s="3" t="str">
        <f>IF(Finance_Data!H970&gt;Finance_Data!G970,"Valid","Invalid")</f>
        <v>Valid</v>
      </c>
      <c r="F974" s="3" t="str" cm="1">
        <f t="array" ref="F974">_xlfn.IFS(Finance_Data!S970&lt;7,"Short",Finance_Data!S970&lt;=30,"Normal",Finance_Data!S970&lt;=60,"Long",Finance_Data!S970&gt;60,"Very Long")</f>
        <v>Normal</v>
      </c>
      <c r="G974" s="3" t="str">
        <f>IF(ABS(Finance_Data!I970*Finance_Data!J970)-Finance_Data!K970&lt;1,"Valid","Invalid")</f>
        <v>Valid</v>
      </c>
      <c r="H974" s="3" t="str">
        <f>IF(Finance_Data!L970&gt;0,"Valid","Invalid")</f>
        <v>Valid</v>
      </c>
      <c r="I974" s="3" t="str">
        <f>IF(Finance_Data!L970&gt;=Finance_Data!M970,"Valid","Invalid")</f>
        <v>Valid</v>
      </c>
      <c r="J974" s="3" t="str">
        <f>IF(AND(Finance_Data!I970&gt;=0,Finance_Data!K970&gt;=0),"Valid","Invalid")</f>
        <v>Valid</v>
      </c>
      <c r="K974" s="3" t="str">
        <f>IF(Finance_Data!N970&gt;=0,"Valid","Invalid")</f>
        <v>Valid</v>
      </c>
      <c r="L974" s="3" t="str">
        <f>IF(TEXT(Finance_Data!G970,"mmmm")=Finance_Data!P970,"Valid","Invalid")</f>
        <v>Valid</v>
      </c>
      <c r="M974" s="3" t="str">
        <f>IF("Q"&amp;ROUNDUP(MONTH(Finance_Data!G970)/3,0)=Finance_Data!Q970,"Valid","Invalid")</f>
        <v>Valid</v>
      </c>
      <c r="N974" s="7" t="str">
        <f t="shared" si="15"/>
        <v>Pass</v>
      </c>
    </row>
    <row r="975" spans="1:14" x14ac:dyDescent="0.35">
      <c r="A975" s="17" t="s">
        <v>106</v>
      </c>
      <c r="B975" s="3" t="str">
        <f>IF(ISBLANK(Table3[[#This Row],[Campaign_ID]]),"Invalid","Valid")</f>
        <v>Valid</v>
      </c>
      <c r="C975" s="3" t="str">
        <f>IF(COUNTA(Finance_Data!A971:R971)=18,"Valid","Missing")</f>
        <v>Valid</v>
      </c>
      <c r="D975" s="3" t="str">
        <f>IF(COUNTIF(Finance_Data!$T$2:$T$1001,Finance_Data!T971)&gt;1,"Duplicate","Valid")</f>
        <v>Valid</v>
      </c>
      <c r="E975" s="3" t="str">
        <f>IF(Finance_Data!H971&gt;Finance_Data!G971,"Valid","Invalid")</f>
        <v>Valid</v>
      </c>
      <c r="F975" s="3" t="str" cm="1">
        <f t="array" ref="F975">_xlfn.IFS(Finance_Data!S971&lt;7,"Short",Finance_Data!S971&lt;=30,"Normal",Finance_Data!S971&lt;=60,"Long",Finance_Data!S971&gt;60,"Very Long")</f>
        <v>Normal</v>
      </c>
      <c r="G975" s="3" t="str">
        <f>IF(ABS(Finance_Data!I971*Finance_Data!J971)-Finance_Data!K971&lt;1,"Valid","Invalid")</f>
        <v>Valid</v>
      </c>
      <c r="H975" s="3" t="str">
        <f>IF(Finance_Data!L971&gt;0,"Valid","Invalid")</f>
        <v>Valid</v>
      </c>
      <c r="I975" s="3" t="str">
        <f>IF(Finance_Data!L971&gt;=Finance_Data!M971,"Valid","Invalid")</f>
        <v>Valid</v>
      </c>
      <c r="J975" s="3" t="str">
        <f>IF(AND(Finance_Data!I971&gt;=0,Finance_Data!K971&gt;=0),"Valid","Invalid")</f>
        <v>Valid</v>
      </c>
      <c r="K975" s="3" t="str">
        <f>IF(Finance_Data!N971&gt;=0,"Valid","Invalid")</f>
        <v>Valid</v>
      </c>
      <c r="L975" s="3" t="str">
        <f>IF(TEXT(Finance_Data!G971,"mmmm")=Finance_Data!P971,"Valid","Invalid")</f>
        <v>Valid</v>
      </c>
      <c r="M975" s="3" t="str">
        <f>IF("Q"&amp;ROUNDUP(MONTH(Finance_Data!G971)/3,0)=Finance_Data!Q971,"Valid","Invalid")</f>
        <v>Valid</v>
      </c>
      <c r="N975" s="7" t="str">
        <f t="shared" si="15"/>
        <v>Pass</v>
      </c>
    </row>
    <row r="976" spans="1:14" x14ac:dyDescent="0.35">
      <c r="A976" s="17" t="s">
        <v>64</v>
      </c>
      <c r="B976" s="3" t="str">
        <f>IF(ISBLANK(Table3[[#This Row],[Campaign_ID]]),"Invalid","Valid")</f>
        <v>Valid</v>
      </c>
      <c r="C976" s="3" t="str">
        <f>IF(COUNTA(Finance_Data!A972:R972)=18,"Valid","Missing")</f>
        <v>Valid</v>
      </c>
      <c r="D976" s="3" t="str">
        <f>IF(COUNTIF(Finance_Data!$T$2:$T$1001,Finance_Data!T972)&gt;1,"Duplicate","Valid")</f>
        <v>Valid</v>
      </c>
      <c r="E976" s="3" t="str">
        <f>IF(Finance_Data!H972&gt;Finance_Data!G972,"Valid","Invalid")</f>
        <v>Valid</v>
      </c>
      <c r="F976" s="3" t="str" cm="1">
        <f t="array" ref="F976">_xlfn.IFS(Finance_Data!S972&lt;7,"Short",Finance_Data!S972&lt;=30,"Normal",Finance_Data!S972&lt;=60,"Long",Finance_Data!S972&gt;60,"Very Long")</f>
        <v>Long</v>
      </c>
      <c r="G976" s="3" t="str">
        <f>IF(ABS(Finance_Data!I972*Finance_Data!J972)-Finance_Data!K972&lt;1,"Valid","Invalid")</f>
        <v>Valid</v>
      </c>
      <c r="H976" s="3" t="str">
        <f>IF(Finance_Data!L972&gt;0,"Valid","Invalid")</f>
        <v>Valid</v>
      </c>
      <c r="I976" s="3" t="str">
        <f>IF(Finance_Data!L972&gt;=Finance_Data!M972,"Valid","Invalid")</f>
        <v>Valid</v>
      </c>
      <c r="J976" s="3" t="str">
        <f>IF(AND(Finance_Data!I972&gt;=0,Finance_Data!K972&gt;=0),"Valid","Invalid")</f>
        <v>Valid</v>
      </c>
      <c r="K976" s="3" t="str">
        <f>IF(Finance_Data!N972&gt;=0,"Valid","Invalid")</f>
        <v>Valid</v>
      </c>
      <c r="L976" s="3" t="str">
        <f>IF(TEXT(Finance_Data!G972,"mmmm")=Finance_Data!P972,"Valid","Invalid")</f>
        <v>Valid</v>
      </c>
      <c r="M976" s="3" t="str">
        <f>IF("Q"&amp;ROUNDUP(MONTH(Finance_Data!G972)/3,0)=Finance_Data!Q972,"Valid","Invalid")</f>
        <v>Valid</v>
      </c>
      <c r="N976" s="7" t="str">
        <f t="shared" si="15"/>
        <v>Pass</v>
      </c>
    </row>
    <row r="977" spans="1:14" x14ac:dyDescent="0.35">
      <c r="A977" s="17" t="s">
        <v>42</v>
      </c>
      <c r="B977" s="3" t="str">
        <f>IF(ISBLANK(Table3[[#This Row],[Campaign_ID]]),"Invalid","Valid")</f>
        <v>Valid</v>
      </c>
      <c r="C977" s="3" t="str">
        <f>IF(COUNTA(Finance_Data!A973:R973)=18,"Valid","Missing")</f>
        <v>Valid</v>
      </c>
      <c r="D977" s="3" t="str">
        <f>IF(COUNTIF(Finance_Data!$T$2:$T$1001,Finance_Data!T973)&gt;1,"Duplicate","Valid")</f>
        <v>Valid</v>
      </c>
      <c r="E977" s="3" t="str">
        <f>IF(Finance_Data!H973&gt;Finance_Data!G973,"Valid","Invalid")</f>
        <v>Valid</v>
      </c>
      <c r="F977" s="3" t="str" cm="1">
        <f t="array" ref="F977">_xlfn.IFS(Finance_Data!S973&lt;7,"Short",Finance_Data!S973&lt;=30,"Normal",Finance_Data!S973&lt;=60,"Long",Finance_Data!S973&gt;60,"Very Long")</f>
        <v>Normal</v>
      </c>
      <c r="G977" s="3" t="str">
        <f>IF(ABS(Finance_Data!I973*Finance_Data!J973)-Finance_Data!K973&lt;1,"Valid","Invalid")</f>
        <v>Valid</v>
      </c>
      <c r="H977" s="3" t="str">
        <f>IF(Finance_Data!L973&gt;0,"Valid","Invalid")</f>
        <v>Valid</v>
      </c>
      <c r="I977" s="3" t="str">
        <f>IF(Finance_Data!L973&gt;=Finance_Data!M973,"Valid","Invalid")</f>
        <v>Valid</v>
      </c>
      <c r="J977" s="3" t="str">
        <f>IF(AND(Finance_Data!I973&gt;=0,Finance_Data!K973&gt;=0),"Valid","Invalid")</f>
        <v>Valid</v>
      </c>
      <c r="K977" s="3" t="str">
        <f>IF(Finance_Data!N973&gt;=0,"Valid","Invalid")</f>
        <v>Valid</v>
      </c>
      <c r="L977" s="3" t="str">
        <f>IF(TEXT(Finance_Data!G973,"mmmm")=Finance_Data!P973,"Valid","Invalid")</f>
        <v>Valid</v>
      </c>
      <c r="M977" s="3" t="str">
        <f>IF("Q"&amp;ROUNDUP(MONTH(Finance_Data!G973)/3,0)=Finance_Data!Q973,"Valid","Invalid")</f>
        <v>Valid</v>
      </c>
      <c r="N977" s="7" t="str">
        <f t="shared" si="15"/>
        <v>Pass</v>
      </c>
    </row>
    <row r="978" spans="1:14" x14ac:dyDescent="0.35">
      <c r="A978" s="17" t="s">
        <v>86</v>
      </c>
      <c r="B978" s="3" t="str">
        <f>IF(ISBLANK(Table3[[#This Row],[Campaign_ID]]),"Invalid","Valid")</f>
        <v>Valid</v>
      </c>
      <c r="C978" s="3" t="str">
        <f>IF(COUNTA(Finance_Data!A974:R974)=18,"Valid","Missing")</f>
        <v>Valid</v>
      </c>
      <c r="D978" s="3" t="str">
        <f>IF(COUNTIF(Finance_Data!$T$2:$T$1001,Finance_Data!T974)&gt;1,"Duplicate","Valid")</f>
        <v>Valid</v>
      </c>
      <c r="E978" s="3" t="str">
        <f>IF(Finance_Data!H974&gt;Finance_Data!G974,"Valid","Invalid")</f>
        <v>Valid</v>
      </c>
      <c r="F978" s="3" t="str" cm="1">
        <f t="array" ref="F978">_xlfn.IFS(Finance_Data!S974&lt;7,"Short",Finance_Data!S974&lt;=30,"Normal",Finance_Data!S974&lt;=60,"Long",Finance_Data!S974&gt;60,"Very Long")</f>
        <v>Long</v>
      </c>
      <c r="G978" s="3" t="str">
        <f>IF(ABS(Finance_Data!I974*Finance_Data!J974)-Finance_Data!K974&lt;1,"Valid","Invalid")</f>
        <v>Valid</v>
      </c>
      <c r="H978" s="3" t="str">
        <f>IF(Finance_Data!L974&gt;0,"Valid","Invalid")</f>
        <v>Valid</v>
      </c>
      <c r="I978" s="3" t="str">
        <f>IF(Finance_Data!L974&gt;=Finance_Data!M974,"Valid","Invalid")</f>
        <v>Valid</v>
      </c>
      <c r="J978" s="3" t="str">
        <f>IF(AND(Finance_Data!I974&gt;=0,Finance_Data!K974&gt;=0),"Valid","Invalid")</f>
        <v>Valid</v>
      </c>
      <c r="K978" s="3" t="str">
        <f>IF(Finance_Data!N974&gt;=0,"Valid","Invalid")</f>
        <v>Valid</v>
      </c>
      <c r="L978" s="3" t="str">
        <f>IF(TEXT(Finance_Data!G974,"mmmm")=Finance_Data!P974,"Valid","Invalid")</f>
        <v>Valid</v>
      </c>
      <c r="M978" s="3" t="str">
        <f>IF("Q"&amp;ROUNDUP(MONTH(Finance_Data!G974)/3,0)=Finance_Data!Q974,"Valid","Invalid")</f>
        <v>Valid</v>
      </c>
      <c r="N978" s="7" t="str">
        <f t="shared" si="15"/>
        <v>Pass</v>
      </c>
    </row>
    <row r="979" spans="1:14" x14ac:dyDescent="0.35">
      <c r="A979" s="17" t="s">
        <v>100</v>
      </c>
      <c r="B979" s="3" t="str">
        <f>IF(ISBLANK(Table3[[#This Row],[Campaign_ID]]),"Invalid","Valid")</f>
        <v>Valid</v>
      </c>
      <c r="C979" s="3" t="str">
        <f>IF(COUNTA(Finance_Data!A975:R975)=18,"Valid","Missing")</f>
        <v>Valid</v>
      </c>
      <c r="D979" s="3" t="str">
        <f>IF(COUNTIF(Finance_Data!$T$2:$T$1001,Finance_Data!T975)&gt;1,"Duplicate","Valid")</f>
        <v>Valid</v>
      </c>
      <c r="E979" s="3" t="str">
        <f>IF(Finance_Data!H975&gt;Finance_Data!G975,"Valid","Invalid")</f>
        <v>Valid</v>
      </c>
      <c r="F979" s="3" t="str" cm="1">
        <f t="array" ref="F979">_xlfn.IFS(Finance_Data!S975&lt;7,"Short",Finance_Data!S975&lt;=30,"Normal",Finance_Data!S975&lt;=60,"Long",Finance_Data!S975&gt;60,"Very Long")</f>
        <v>Normal</v>
      </c>
      <c r="G979" s="3" t="str">
        <f>IF(ABS(Finance_Data!I975*Finance_Data!J975)-Finance_Data!K975&lt;1,"Valid","Invalid")</f>
        <v>Valid</v>
      </c>
      <c r="H979" s="3" t="str">
        <f>IF(Finance_Data!L975&gt;0,"Valid","Invalid")</f>
        <v>Valid</v>
      </c>
      <c r="I979" s="3" t="str">
        <f>IF(Finance_Data!L975&gt;=Finance_Data!M975,"Valid","Invalid")</f>
        <v>Valid</v>
      </c>
      <c r="J979" s="3" t="str">
        <f>IF(AND(Finance_Data!I975&gt;=0,Finance_Data!K975&gt;=0),"Valid","Invalid")</f>
        <v>Valid</v>
      </c>
      <c r="K979" s="3" t="str">
        <f>IF(Finance_Data!N975&gt;=0,"Valid","Invalid")</f>
        <v>Valid</v>
      </c>
      <c r="L979" s="3" t="str">
        <f>IF(TEXT(Finance_Data!G975,"mmmm")=Finance_Data!P975,"Valid","Invalid")</f>
        <v>Valid</v>
      </c>
      <c r="M979" s="3" t="str">
        <f>IF("Q"&amp;ROUNDUP(MONTH(Finance_Data!G975)/3,0)=Finance_Data!Q975,"Valid","Invalid")</f>
        <v>Valid</v>
      </c>
      <c r="N979" s="7" t="str">
        <f t="shared" si="15"/>
        <v>Pass</v>
      </c>
    </row>
    <row r="980" spans="1:14" x14ac:dyDescent="0.35">
      <c r="A980" s="17" t="s">
        <v>94</v>
      </c>
      <c r="B980" s="3" t="str">
        <f>IF(ISBLANK(Table3[[#This Row],[Campaign_ID]]),"Invalid","Valid")</f>
        <v>Valid</v>
      </c>
      <c r="C980" s="3" t="str">
        <f>IF(COUNTA(Finance_Data!A976:R976)=18,"Valid","Missing")</f>
        <v>Valid</v>
      </c>
      <c r="D980" s="3" t="str">
        <f>IF(COUNTIF(Finance_Data!$T$2:$T$1001,Finance_Data!T976)&gt;1,"Duplicate","Valid")</f>
        <v>Valid</v>
      </c>
      <c r="E980" s="3" t="str">
        <f>IF(Finance_Data!H976&gt;Finance_Data!G976,"Valid","Invalid")</f>
        <v>Valid</v>
      </c>
      <c r="F980" s="3" t="str" cm="1">
        <f t="array" ref="F980">_xlfn.IFS(Finance_Data!S976&lt;7,"Short",Finance_Data!S976&lt;=30,"Normal",Finance_Data!S976&lt;=60,"Long",Finance_Data!S976&gt;60,"Very Long")</f>
        <v>Long</v>
      </c>
      <c r="G980" s="3" t="str">
        <f>IF(ABS(Finance_Data!I976*Finance_Data!J976)-Finance_Data!K976&lt;1,"Valid","Invalid")</f>
        <v>Valid</v>
      </c>
      <c r="H980" s="3" t="str">
        <f>IF(Finance_Data!L976&gt;0,"Valid","Invalid")</f>
        <v>Valid</v>
      </c>
      <c r="I980" s="3" t="str">
        <f>IF(Finance_Data!L976&gt;=Finance_Data!M976,"Valid","Invalid")</f>
        <v>Valid</v>
      </c>
      <c r="J980" s="3" t="str">
        <f>IF(AND(Finance_Data!I976&gt;=0,Finance_Data!K976&gt;=0),"Valid","Invalid")</f>
        <v>Valid</v>
      </c>
      <c r="K980" s="3" t="str">
        <f>IF(Finance_Data!N976&gt;=0,"Valid","Invalid")</f>
        <v>Valid</v>
      </c>
      <c r="L980" s="3" t="str">
        <f>IF(TEXT(Finance_Data!G976,"mmmm")=Finance_Data!P976,"Valid","Invalid")</f>
        <v>Valid</v>
      </c>
      <c r="M980" s="3" t="str">
        <f>IF("Q"&amp;ROUNDUP(MONTH(Finance_Data!G976)/3,0)=Finance_Data!Q976,"Valid","Invalid")</f>
        <v>Valid</v>
      </c>
      <c r="N980" s="7" t="str">
        <f t="shared" si="15"/>
        <v>Pass</v>
      </c>
    </row>
    <row r="981" spans="1:14" x14ac:dyDescent="0.35">
      <c r="A981" s="17" t="s">
        <v>85</v>
      </c>
      <c r="B981" s="3" t="str">
        <f>IF(ISBLANK(Table3[[#This Row],[Campaign_ID]]),"Invalid","Valid")</f>
        <v>Valid</v>
      </c>
      <c r="C981" s="3" t="str">
        <f>IF(COUNTA(Finance_Data!A977:R977)=18,"Valid","Missing")</f>
        <v>Valid</v>
      </c>
      <c r="D981" s="3" t="str">
        <f>IF(COUNTIF(Finance_Data!$T$2:$T$1001,Finance_Data!T977)&gt;1,"Duplicate","Valid")</f>
        <v>Valid</v>
      </c>
      <c r="E981" s="3" t="str">
        <f>IF(Finance_Data!H977&gt;Finance_Data!G977,"Valid","Invalid")</f>
        <v>Valid</v>
      </c>
      <c r="F981" s="3" t="str" cm="1">
        <f t="array" ref="F981">_xlfn.IFS(Finance_Data!S977&lt;7,"Short",Finance_Data!S977&lt;=30,"Normal",Finance_Data!S977&lt;=60,"Long",Finance_Data!S977&gt;60,"Very Long")</f>
        <v>Long</v>
      </c>
      <c r="G981" s="3" t="str">
        <f>IF(ABS(Finance_Data!I977*Finance_Data!J977)-Finance_Data!K977&lt;1,"Valid","Invalid")</f>
        <v>Valid</v>
      </c>
      <c r="H981" s="3" t="str">
        <f>IF(Finance_Data!L977&gt;0,"Valid","Invalid")</f>
        <v>Valid</v>
      </c>
      <c r="I981" s="3" t="str">
        <f>IF(Finance_Data!L977&gt;=Finance_Data!M977,"Valid","Invalid")</f>
        <v>Valid</v>
      </c>
      <c r="J981" s="3" t="str">
        <f>IF(AND(Finance_Data!I977&gt;=0,Finance_Data!K977&gt;=0),"Valid","Invalid")</f>
        <v>Valid</v>
      </c>
      <c r="K981" s="3" t="str">
        <f>IF(Finance_Data!N977&gt;=0,"Valid","Invalid")</f>
        <v>Valid</v>
      </c>
      <c r="L981" s="3" t="str">
        <f>IF(TEXT(Finance_Data!G977,"mmmm")=Finance_Data!P977,"Valid","Invalid")</f>
        <v>Valid</v>
      </c>
      <c r="M981" s="3" t="str">
        <f>IF("Q"&amp;ROUNDUP(MONTH(Finance_Data!G977)/3,0)=Finance_Data!Q977,"Valid","Invalid")</f>
        <v>Valid</v>
      </c>
      <c r="N981" s="7" t="str">
        <f t="shared" si="15"/>
        <v>Pass</v>
      </c>
    </row>
    <row r="982" spans="1:14" x14ac:dyDescent="0.35">
      <c r="A982" s="17" t="s">
        <v>47</v>
      </c>
      <c r="B982" s="3" t="str">
        <f>IF(ISBLANK(Table3[[#This Row],[Campaign_ID]]),"Invalid","Valid")</f>
        <v>Valid</v>
      </c>
      <c r="C982" s="3" t="str">
        <f>IF(COUNTA(Finance_Data!A978:R978)=18,"Valid","Missing")</f>
        <v>Valid</v>
      </c>
      <c r="D982" s="3" t="str">
        <f>IF(COUNTIF(Finance_Data!$T$2:$T$1001,Finance_Data!T978)&gt;1,"Duplicate","Valid")</f>
        <v>Valid</v>
      </c>
      <c r="E982" s="3" t="str">
        <f>IF(Finance_Data!H978&gt;Finance_Data!G978,"Valid","Invalid")</f>
        <v>Valid</v>
      </c>
      <c r="F982" s="3" t="str" cm="1">
        <f t="array" ref="F982">_xlfn.IFS(Finance_Data!S978&lt;7,"Short",Finance_Data!S978&lt;=30,"Normal",Finance_Data!S978&lt;=60,"Long",Finance_Data!S978&gt;60,"Very Long")</f>
        <v>Long</v>
      </c>
      <c r="G982" s="3" t="str">
        <f>IF(ABS(Finance_Data!I978*Finance_Data!J978)-Finance_Data!K978&lt;1,"Valid","Invalid")</f>
        <v>Valid</v>
      </c>
      <c r="H982" s="3" t="str">
        <f>IF(Finance_Data!L978&gt;0,"Valid","Invalid")</f>
        <v>Valid</v>
      </c>
      <c r="I982" s="3" t="str">
        <f>IF(Finance_Data!L978&gt;=Finance_Data!M978,"Valid","Invalid")</f>
        <v>Valid</v>
      </c>
      <c r="J982" s="3" t="str">
        <f>IF(AND(Finance_Data!I978&gt;=0,Finance_Data!K978&gt;=0),"Valid","Invalid")</f>
        <v>Valid</v>
      </c>
      <c r="K982" s="3" t="str">
        <f>IF(Finance_Data!N978&gt;=0,"Valid","Invalid")</f>
        <v>Valid</v>
      </c>
      <c r="L982" s="3" t="str">
        <f>IF(TEXT(Finance_Data!G978,"mmmm")=Finance_Data!P978,"Valid","Invalid")</f>
        <v>Valid</v>
      </c>
      <c r="M982" s="3" t="str">
        <f>IF("Q"&amp;ROUNDUP(MONTH(Finance_Data!G978)/3,0)=Finance_Data!Q978,"Valid","Invalid")</f>
        <v>Valid</v>
      </c>
      <c r="N982" s="7" t="str">
        <f t="shared" si="15"/>
        <v>Pass</v>
      </c>
    </row>
    <row r="983" spans="1:14" x14ac:dyDescent="0.35">
      <c r="A983" s="17" t="s">
        <v>100</v>
      </c>
      <c r="B983" s="3" t="str">
        <f>IF(ISBLANK(Table3[[#This Row],[Campaign_ID]]),"Invalid","Valid")</f>
        <v>Valid</v>
      </c>
      <c r="C983" s="3" t="str">
        <f>IF(COUNTA(Finance_Data!A979:R979)=18,"Valid","Missing")</f>
        <v>Valid</v>
      </c>
      <c r="D983" s="3" t="str">
        <f>IF(COUNTIF(Finance_Data!$T$2:$T$1001,Finance_Data!T979)&gt;1,"Duplicate","Valid")</f>
        <v>Valid</v>
      </c>
      <c r="E983" s="3" t="str">
        <f>IF(Finance_Data!H979&gt;Finance_Data!G979,"Valid","Invalid")</f>
        <v>Valid</v>
      </c>
      <c r="F983" s="3" t="str" cm="1">
        <f t="array" ref="F983">_xlfn.IFS(Finance_Data!S979&lt;7,"Short",Finance_Data!S979&lt;=30,"Normal",Finance_Data!S979&lt;=60,"Long",Finance_Data!S979&gt;60,"Very Long")</f>
        <v>Long</v>
      </c>
      <c r="G983" s="3" t="str">
        <f>IF(ABS(Finance_Data!I979*Finance_Data!J979)-Finance_Data!K979&lt;1,"Valid","Invalid")</f>
        <v>Valid</v>
      </c>
      <c r="H983" s="3" t="str">
        <f>IF(Finance_Data!L979&gt;0,"Valid","Invalid")</f>
        <v>Valid</v>
      </c>
      <c r="I983" s="3" t="str">
        <f>IF(Finance_Data!L979&gt;=Finance_Data!M979,"Valid","Invalid")</f>
        <v>Valid</v>
      </c>
      <c r="J983" s="3" t="str">
        <f>IF(AND(Finance_Data!I979&gt;=0,Finance_Data!K979&gt;=0),"Valid","Invalid")</f>
        <v>Valid</v>
      </c>
      <c r="K983" s="3" t="str">
        <f>IF(Finance_Data!N979&gt;=0,"Valid","Invalid")</f>
        <v>Valid</v>
      </c>
      <c r="L983" s="3" t="str">
        <f>IF(TEXT(Finance_Data!G979,"mmmm")=Finance_Data!P979,"Valid","Invalid")</f>
        <v>Valid</v>
      </c>
      <c r="M983" s="3" t="str">
        <f>IF("Q"&amp;ROUNDUP(MONTH(Finance_Data!G979)/3,0)=Finance_Data!Q979,"Valid","Invalid")</f>
        <v>Valid</v>
      </c>
      <c r="N983" s="7" t="str">
        <f t="shared" si="15"/>
        <v>Pass</v>
      </c>
    </row>
    <row r="984" spans="1:14" x14ac:dyDescent="0.35">
      <c r="A984" s="17" t="s">
        <v>116</v>
      </c>
      <c r="B984" s="3" t="str">
        <f>IF(ISBLANK(Table3[[#This Row],[Campaign_ID]]),"Invalid","Valid")</f>
        <v>Valid</v>
      </c>
      <c r="C984" s="3" t="str">
        <f>IF(COUNTA(Finance_Data!A980:R980)=18,"Valid","Missing")</f>
        <v>Valid</v>
      </c>
      <c r="D984" s="3" t="str">
        <f>IF(COUNTIF(Finance_Data!$T$2:$T$1001,Finance_Data!T980)&gt;1,"Duplicate","Valid")</f>
        <v>Valid</v>
      </c>
      <c r="E984" s="3" t="str">
        <f>IF(Finance_Data!H980&gt;Finance_Data!G980,"Valid","Invalid")</f>
        <v>Valid</v>
      </c>
      <c r="F984" s="3" t="str" cm="1">
        <f t="array" ref="F984">_xlfn.IFS(Finance_Data!S980&lt;7,"Short",Finance_Data!S980&lt;=30,"Normal",Finance_Data!S980&lt;=60,"Long",Finance_Data!S980&gt;60,"Very Long")</f>
        <v>Long</v>
      </c>
      <c r="G984" s="3" t="str">
        <f>IF(ABS(Finance_Data!I980*Finance_Data!J980)-Finance_Data!K980&lt;1,"Valid","Invalid")</f>
        <v>Valid</v>
      </c>
      <c r="H984" s="3" t="str">
        <f>IF(Finance_Data!L980&gt;0,"Valid","Invalid")</f>
        <v>Valid</v>
      </c>
      <c r="I984" s="3" t="str">
        <f>IF(Finance_Data!L980&gt;=Finance_Data!M980,"Valid","Invalid")</f>
        <v>Valid</v>
      </c>
      <c r="J984" s="3" t="str">
        <f>IF(AND(Finance_Data!I980&gt;=0,Finance_Data!K980&gt;=0),"Valid","Invalid")</f>
        <v>Valid</v>
      </c>
      <c r="K984" s="3" t="str">
        <f>IF(Finance_Data!N980&gt;=0,"Valid","Invalid")</f>
        <v>Valid</v>
      </c>
      <c r="L984" s="3" t="str">
        <f>IF(TEXT(Finance_Data!G980,"mmmm")=Finance_Data!P980,"Valid","Invalid")</f>
        <v>Valid</v>
      </c>
      <c r="M984" s="3" t="str">
        <f>IF("Q"&amp;ROUNDUP(MONTH(Finance_Data!G980)/3,0)=Finance_Data!Q980,"Valid","Invalid")</f>
        <v>Valid</v>
      </c>
      <c r="N984" s="7" t="str">
        <f t="shared" si="15"/>
        <v>Pass</v>
      </c>
    </row>
    <row r="985" spans="1:14" x14ac:dyDescent="0.35">
      <c r="A985" s="17" t="s">
        <v>88</v>
      </c>
      <c r="B985" s="3" t="str">
        <f>IF(ISBLANK(Table3[[#This Row],[Campaign_ID]]),"Invalid","Valid")</f>
        <v>Valid</v>
      </c>
      <c r="C985" s="3" t="str">
        <f>IF(COUNTA(Finance_Data!A981:R981)=18,"Valid","Missing")</f>
        <v>Valid</v>
      </c>
      <c r="D985" s="3" t="str">
        <f>IF(COUNTIF(Finance_Data!$T$2:$T$1001,Finance_Data!T981)&gt;1,"Duplicate","Valid")</f>
        <v>Valid</v>
      </c>
      <c r="E985" s="3" t="str">
        <f>IF(Finance_Data!H981&gt;Finance_Data!G981,"Valid","Invalid")</f>
        <v>Valid</v>
      </c>
      <c r="F985" s="3" t="str" cm="1">
        <f t="array" ref="F985">_xlfn.IFS(Finance_Data!S981&lt;7,"Short",Finance_Data!S981&lt;=30,"Normal",Finance_Data!S981&lt;=60,"Long",Finance_Data!S981&gt;60,"Very Long")</f>
        <v>Long</v>
      </c>
      <c r="G985" s="3" t="str">
        <f>IF(ABS(Finance_Data!I981*Finance_Data!J981)-Finance_Data!K981&lt;1,"Valid","Invalid")</f>
        <v>Valid</v>
      </c>
      <c r="H985" s="3" t="str">
        <f>IF(Finance_Data!L981&gt;0,"Valid","Invalid")</f>
        <v>Valid</v>
      </c>
      <c r="I985" s="3" t="str">
        <f>IF(Finance_Data!L981&gt;=Finance_Data!M981,"Valid","Invalid")</f>
        <v>Valid</v>
      </c>
      <c r="J985" s="3" t="str">
        <f>IF(AND(Finance_Data!I981&gt;=0,Finance_Data!K981&gt;=0),"Valid","Invalid")</f>
        <v>Valid</v>
      </c>
      <c r="K985" s="3" t="str">
        <f>IF(Finance_Data!N981&gt;=0,"Valid","Invalid")</f>
        <v>Valid</v>
      </c>
      <c r="L985" s="3" t="str">
        <f>IF(TEXT(Finance_Data!G981,"mmmm")=Finance_Data!P981,"Valid","Invalid")</f>
        <v>Valid</v>
      </c>
      <c r="M985" s="3" t="str">
        <f>IF("Q"&amp;ROUNDUP(MONTH(Finance_Data!G981)/3,0)=Finance_Data!Q981,"Valid","Invalid")</f>
        <v>Valid</v>
      </c>
      <c r="N985" s="7" t="str">
        <f t="shared" si="15"/>
        <v>Pass</v>
      </c>
    </row>
    <row r="986" spans="1:14" x14ac:dyDescent="0.35">
      <c r="A986" s="17" t="s">
        <v>64</v>
      </c>
      <c r="B986" s="3" t="str">
        <f>IF(ISBLANK(Table3[[#This Row],[Campaign_ID]]),"Invalid","Valid")</f>
        <v>Valid</v>
      </c>
      <c r="C986" s="3" t="str">
        <f>IF(COUNTA(Finance_Data!A982:R982)=18,"Valid","Missing")</f>
        <v>Valid</v>
      </c>
      <c r="D986" s="3" t="str">
        <f>IF(COUNTIF(Finance_Data!$T$2:$T$1001,Finance_Data!T982)&gt;1,"Duplicate","Valid")</f>
        <v>Valid</v>
      </c>
      <c r="E986" s="3" t="str">
        <f>IF(Finance_Data!H982&gt;Finance_Data!G982,"Valid","Invalid")</f>
        <v>Valid</v>
      </c>
      <c r="F986" s="3" t="str" cm="1">
        <f t="array" ref="F986">_xlfn.IFS(Finance_Data!S982&lt;7,"Short",Finance_Data!S982&lt;=30,"Normal",Finance_Data!S982&lt;=60,"Long",Finance_Data!S982&gt;60,"Very Long")</f>
        <v>Long</v>
      </c>
      <c r="G986" s="3" t="str">
        <f>IF(ABS(Finance_Data!I982*Finance_Data!J982)-Finance_Data!K982&lt;1,"Valid","Invalid")</f>
        <v>Valid</v>
      </c>
      <c r="H986" s="3" t="str">
        <f>IF(Finance_Data!L982&gt;0,"Valid","Invalid")</f>
        <v>Valid</v>
      </c>
      <c r="I986" s="3" t="str">
        <f>IF(Finance_Data!L982&gt;=Finance_Data!M982,"Valid","Invalid")</f>
        <v>Valid</v>
      </c>
      <c r="J986" s="3" t="str">
        <f>IF(AND(Finance_Data!I982&gt;=0,Finance_Data!K982&gt;=0),"Valid","Invalid")</f>
        <v>Valid</v>
      </c>
      <c r="K986" s="3" t="str">
        <f>IF(Finance_Data!N982&gt;=0,"Valid","Invalid")</f>
        <v>Valid</v>
      </c>
      <c r="L986" s="3" t="str">
        <f>IF(TEXT(Finance_Data!G982,"mmmm")=Finance_Data!P982,"Valid","Invalid")</f>
        <v>Valid</v>
      </c>
      <c r="M986" s="3" t="str">
        <f>IF("Q"&amp;ROUNDUP(MONTH(Finance_Data!G982)/3,0)=Finance_Data!Q982,"Valid","Invalid")</f>
        <v>Valid</v>
      </c>
      <c r="N986" s="7" t="str">
        <f t="shared" si="15"/>
        <v>Pass</v>
      </c>
    </row>
    <row r="987" spans="1:14" x14ac:dyDescent="0.35">
      <c r="A987" s="17" t="s">
        <v>104</v>
      </c>
      <c r="B987" s="3" t="str">
        <f>IF(ISBLANK(Table3[[#This Row],[Campaign_ID]]),"Invalid","Valid")</f>
        <v>Valid</v>
      </c>
      <c r="C987" s="3" t="str">
        <f>IF(COUNTA(Finance_Data!A983:R983)=18,"Valid","Missing")</f>
        <v>Valid</v>
      </c>
      <c r="D987" s="3" t="str">
        <f>IF(COUNTIF(Finance_Data!$T$2:$T$1001,Finance_Data!T983)&gt;1,"Duplicate","Valid")</f>
        <v>Valid</v>
      </c>
      <c r="E987" s="3" t="str">
        <f>IF(Finance_Data!H983&gt;Finance_Data!G983,"Valid","Invalid")</f>
        <v>Valid</v>
      </c>
      <c r="F987" s="3" t="str" cm="1">
        <f t="array" ref="F987">_xlfn.IFS(Finance_Data!S983&lt;7,"Short",Finance_Data!S983&lt;=30,"Normal",Finance_Data!S983&lt;=60,"Long",Finance_Data!S983&gt;60,"Very Long")</f>
        <v>Normal</v>
      </c>
      <c r="G987" s="3" t="str">
        <f>IF(ABS(Finance_Data!I983*Finance_Data!J983)-Finance_Data!K983&lt;1,"Valid","Invalid")</f>
        <v>Valid</v>
      </c>
      <c r="H987" s="3" t="str">
        <f>IF(Finance_Data!L983&gt;0,"Valid","Invalid")</f>
        <v>Valid</v>
      </c>
      <c r="I987" s="3" t="str">
        <f>IF(Finance_Data!L983&gt;=Finance_Data!M983,"Valid","Invalid")</f>
        <v>Invalid</v>
      </c>
      <c r="J987" s="3" t="str">
        <f>IF(AND(Finance_Data!I983&gt;=0,Finance_Data!K983&gt;=0),"Valid","Invalid")</f>
        <v>Valid</v>
      </c>
      <c r="K987" s="3" t="str">
        <f>IF(Finance_Data!N983&gt;=0,"Valid","Invalid")</f>
        <v>Valid</v>
      </c>
      <c r="L987" s="3" t="str">
        <f>IF(TEXT(Finance_Data!G983,"mmmm")=Finance_Data!P983,"Valid","Invalid")</f>
        <v>Valid</v>
      </c>
      <c r="M987" s="3" t="str">
        <f>IF("Q"&amp;ROUNDUP(MONTH(Finance_Data!G983)/3,0)=Finance_Data!Q983,"Valid","Invalid")</f>
        <v>Valid</v>
      </c>
      <c r="N987" s="7" t="str">
        <f t="shared" si="15"/>
        <v>Fail</v>
      </c>
    </row>
    <row r="988" spans="1:14" x14ac:dyDescent="0.35">
      <c r="A988" s="17" t="s">
        <v>87</v>
      </c>
      <c r="B988" s="3" t="str">
        <f>IF(ISBLANK(Table3[[#This Row],[Campaign_ID]]),"Invalid","Valid")</f>
        <v>Valid</v>
      </c>
      <c r="C988" s="3" t="str">
        <f>IF(COUNTA(Finance_Data!A984:R984)=18,"Valid","Missing")</f>
        <v>Valid</v>
      </c>
      <c r="D988" s="3" t="str">
        <f>IF(COUNTIF(Finance_Data!$T$2:$T$1001,Finance_Data!T984)&gt;1,"Duplicate","Valid")</f>
        <v>Valid</v>
      </c>
      <c r="E988" s="3" t="str">
        <f>IF(Finance_Data!H984&gt;Finance_Data!G984,"Valid","Invalid")</f>
        <v>Valid</v>
      </c>
      <c r="F988" s="3" t="str" cm="1">
        <f t="array" ref="F988">_xlfn.IFS(Finance_Data!S984&lt;7,"Short",Finance_Data!S984&lt;=30,"Normal",Finance_Data!S984&lt;=60,"Long",Finance_Data!S984&gt;60,"Very Long")</f>
        <v>Long</v>
      </c>
      <c r="G988" s="3" t="str">
        <f>IF(ABS(Finance_Data!I984*Finance_Data!J984)-Finance_Data!K984&lt;1,"Valid","Invalid")</f>
        <v>Valid</v>
      </c>
      <c r="H988" s="3" t="str">
        <f>IF(Finance_Data!L984&gt;0,"Valid","Invalid")</f>
        <v>Valid</v>
      </c>
      <c r="I988" s="3" t="str">
        <f>IF(Finance_Data!L984&gt;=Finance_Data!M984,"Valid","Invalid")</f>
        <v>Valid</v>
      </c>
      <c r="J988" s="3" t="str">
        <f>IF(AND(Finance_Data!I984&gt;=0,Finance_Data!K984&gt;=0),"Valid","Invalid")</f>
        <v>Valid</v>
      </c>
      <c r="K988" s="3" t="str">
        <f>IF(Finance_Data!N984&gt;=0,"Valid","Invalid")</f>
        <v>Valid</v>
      </c>
      <c r="L988" s="3" t="str">
        <f>IF(TEXT(Finance_Data!G984,"mmmm")=Finance_Data!P984,"Valid","Invalid")</f>
        <v>Valid</v>
      </c>
      <c r="M988" s="3" t="str">
        <f>IF("Q"&amp;ROUNDUP(MONTH(Finance_Data!G984)/3,0)=Finance_Data!Q984,"Valid","Invalid")</f>
        <v>Valid</v>
      </c>
      <c r="N988" s="7" t="str">
        <f t="shared" si="15"/>
        <v>Pass</v>
      </c>
    </row>
    <row r="989" spans="1:14" x14ac:dyDescent="0.35">
      <c r="A989" s="17" t="s">
        <v>70</v>
      </c>
      <c r="B989" s="3" t="str">
        <f>IF(ISBLANK(Table3[[#This Row],[Campaign_ID]]),"Invalid","Valid")</f>
        <v>Valid</v>
      </c>
      <c r="C989" s="3" t="str">
        <f>IF(COUNTA(Finance_Data!A985:R985)=18,"Valid","Missing")</f>
        <v>Valid</v>
      </c>
      <c r="D989" s="3" t="str">
        <f>IF(COUNTIF(Finance_Data!$T$2:$T$1001,Finance_Data!T985)&gt;1,"Duplicate","Valid")</f>
        <v>Valid</v>
      </c>
      <c r="E989" s="3" t="str">
        <f>IF(Finance_Data!H985&gt;Finance_Data!G985,"Valid","Invalid")</f>
        <v>Valid</v>
      </c>
      <c r="F989" s="3" t="str" cm="1">
        <f t="array" ref="F989">_xlfn.IFS(Finance_Data!S985&lt;7,"Short",Finance_Data!S985&lt;=30,"Normal",Finance_Data!S985&lt;=60,"Long",Finance_Data!S985&gt;60,"Very Long")</f>
        <v>Normal</v>
      </c>
      <c r="G989" s="3" t="str">
        <f>IF(ABS(Finance_Data!I985*Finance_Data!J985)-Finance_Data!K985&lt;1,"Valid","Invalid")</f>
        <v>Valid</v>
      </c>
      <c r="H989" s="3" t="str">
        <f>IF(Finance_Data!L985&gt;0,"Valid","Invalid")</f>
        <v>Valid</v>
      </c>
      <c r="I989" s="3" t="str">
        <f>IF(Finance_Data!L985&gt;=Finance_Data!M985,"Valid","Invalid")</f>
        <v>Valid</v>
      </c>
      <c r="J989" s="3" t="str">
        <f>IF(AND(Finance_Data!I985&gt;=0,Finance_Data!K985&gt;=0),"Valid","Invalid")</f>
        <v>Valid</v>
      </c>
      <c r="K989" s="3" t="str">
        <f>IF(Finance_Data!N985&gt;=0,"Valid","Invalid")</f>
        <v>Valid</v>
      </c>
      <c r="L989" s="3" t="str">
        <f>IF(TEXT(Finance_Data!G985,"mmmm")=Finance_Data!P985,"Valid","Invalid")</f>
        <v>Valid</v>
      </c>
      <c r="M989" s="3" t="str">
        <f>IF("Q"&amp;ROUNDUP(MONTH(Finance_Data!G985)/3,0)=Finance_Data!Q985,"Valid","Invalid")</f>
        <v>Valid</v>
      </c>
      <c r="N989" s="7" t="str">
        <f t="shared" si="15"/>
        <v>Pass</v>
      </c>
    </row>
    <row r="990" spans="1:14" x14ac:dyDescent="0.35">
      <c r="A990" s="17" t="s">
        <v>88</v>
      </c>
      <c r="B990" s="3" t="str">
        <f>IF(ISBLANK(Table3[[#This Row],[Campaign_ID]]),"Invalid","Valid")</f>
        <v>Valid</v>
      </c>
      <c r="C990" s="3" t="str">
        <f>IF(COUNTA(Finance_Data!A986:R986)=18,"Valid","Missing")</f>
        <v>Valid</v>
      </c>
      <c r="D990" s="3" t="str">
        <f>IF(COUNTIF(Finance_Data!$T$2:$T$1001,Finance_Data!T986)&gt;1,"Duplicate","Valid")</f>
        <v>Valid</v>
      </c>
      <c r="E990" s="3" t="str">
        <f>IF(Finance_Data!H986&gt;Finance_Data!G986,"Valid","Invalid")</f>
        <v>Valid</v>
      </c>
      <c r="F990" s="3" t="str" cm="1">
        <f t="array" ref="F990">_xlfn.IFS(Finance_Data!S986&lt;7,"Short",Finance_Data!S986&lt;=30,"Normal",Finance_Data!S986&lt;=60,"Long",Finance_Data!S986&gt;60,"Very Long")</f>
        <v>Normal</v>
      </c>
      <c r="G990" s="3" t="str">
        <f>IF(ABS(Finance_Data!I986*Finance_Data!J986)-Finance_Data!K986&lt;1,"Valid","Invalid")</f>
        <v>Valid</v>
      </c>
      <c r="H990" s="3" t="str">
        <f>IF(Finance_Data!L986&gt;0,"Valid","Invalid")</f>
        <v>Valid</v>
      </c>
      <c r="I990" s="3" t="str">
        <f>IF(Finance_Data!L986&gt;=Finance_Data!M986,"Valid","Invalid")</f>
        <v>Valid</v>
      </c>
      <c r="J990" s="3" t="str">
        <f>IF(AND(Finance_Data!I986&gt;=0,Finance_Data!K986&gt;=0),"Valid","Invalid")</f>
        <v>Valid</v>
      </c>
      <c r="K990" s="3" t="str">
        <f>IF(Finance_Data!N986&gt;=0,"Valid","Invalid")</f>
        <v>Valid</v>
      </c>
      <c r="L990" s="3" t="str">
        <f>IF(TEXT(Finance_Data!G986,"mmmm")=Finance_Data!P986,"Valid","Invalid")</f>
        <v>Valid</v>
      </c>
      <c r="M990" s="3" t="str">
        <f>IF("Q"&amp;ROUNDUP(MONTH(Finance_Data!G986)/3,0)=Finance_Data!Q986,"Valid","Invalid")</f>
        <v>Valid</v>
      </c>
      <c r="N990" s="7" t="str">
        <f t="shared" si="15"/>
        <v>Pass</v>
      </c>
    </row>
    <row r="991" spans="1:14" x14ac:dyDescent="0.35">
      <c r="A991" s="17" t="s">
        <v>71</v>
      </c>
      <c r="B991" s="3" t="str">
        <f>IF(ISBLANK(Table3[[#This Row],[Campaign_ID]]),"Invalid","Valid")</f>
        <v>Valid</v>
      </c>
      <c r="C991" s="3" t="str">
        <f>IF(COUNTA(Finance_Data!A987:R987)=18,"Valid","Missing")</f>
        <v>Valid</v>
      </c>
      <c r="D991" s="3" t="str">
        <f>IF(COUNTIF(Finance_Data!$T$2:$T$1001,Finance_Data!T987)&gt;1,"Duplicate","Valid")</f>
        <v>Valid</v>
      </c>
      <c r="E991" s="3" t="str">
        <f>IF(Finance_Data!H987&gt;Finance_Data!G987,"Valid","Invalid")</f>
        <v>Valid</v>
      </c>
      <c r="F991" s="3" t="str" cm="1">
        <f t="array" ref="F991">_xlfn.IFS(Finance_Data!S987&lt;7,"Short",Finance_Data!S987&lt;=30,"Normal",Finance_Data!S987&lt;=60,"Long",Finance_Data!S987&gt;60,"Very Long")</f>
        <v>Normal</v>
      </c>
      <c r="G991" s="3" t="str">
        <f>IF(ABS(Finance_Data!I987*Finance_Data!J987)-Finance_Data!K987&lt;1,"Valid","Invalid")</f>
        <v>Valid</v>
      </c>
      <c r="H991" s="3" t="str">
        <f>IF(Finance_Data!L987&gt;0,"Valid","Invalid")</f>
        <v>Valid</v>
      </c>
      <c r="I991" s="3" t="str">
        <f>IF(Finance_Data!L987&gt;=Finance_Data!M987,"Valid","Invalid")</f>
        <v>Valid</v>
      </c>
      <c r="J991" s="3" t="str">
        <f>IF(AND(Finance_Data!I987&gt;=0,Finance_Data!K987&gt;=0),"Valid","Invalid")</f>
        <v>Valid</v>
      </c>
      <c r="K991" s="3" t="str">
        <f>IF(Finance_Data!N987&gt;=0,"Valid","Invalid")</f>
        <v>Valid</v>
      </c>
      <c r="L991" s="3" t="str">
        <f>IF(TEXT(Finance_Data!G987,"mmmm")=Finance_Data!P987,"Valid","Invalid")</f>
        <v>Valid</v>
      </c>
      <c r="M991" s="3" t="str">
        <f>IF("Q"&amp;ROUNDUP(MONTH(Finance_Data!G987)/3,0)=Finance_Data!Q987,"Valid","Invalid")</f>
        <v>Valid</v>
      </c>
      <c r="N991" s="7" t="str">
        <f t="shared" si="15"/>
        <v>Pass</v>
      </c>
    </row>
    <row r="992" spans="1:14" x14ac:dyDescent="0.35">
      <c r="A992" s="17" t="s">
        <v>103</v>
      </c>
      <c r="B992" s="3" t="str">
        <f>IF(ISBLANK(Table3[[#This Row],[Campaign_ID]]),"Invalid","Valid")</f>
        <v>Valid</v>
      </c>
      <c r="C992" s="3" t="str">
        <f>IF(COUNTA(Finance_Data!A988:R988)=18,"Valid","Missing")</f>
        <v>Valid</v>
      </c>
      <c r="D992" s="3" t="str">
        <f>IF(COUNTIF(Finance_Data!$T$2:$T$1001,Finance_Data!T988)&gt;1,"Duplicate","Valid")</f>
        <v>Valid</v>
      </c>
      <c r="E992" s="3" t="str">
        <f>IF(Finance_Data!H988&gt;Finance_Data!G988,"Valid","Invalid")</f>
        <v>Valid</v>
      </c>
      <c r="F992" s="3" t="str" cm="1">
        <f t="array" ref="F992">_xlfn.IFS(Finance_Data!S988&lt;7,"Short",Finance_Data!S988&lt;=30,"Normal",Finance_Data!S988&lt;=60,"Long",Finance_Data!S988&gt;60,"Very Long")</f>
        <v>Normal</v>
      </c>
      <c r="G992" s="3" t="str">
        <f>IF(ABS(Finance_Data!I988*Finance_Data!J988)-Finance_Data!K988&lt;1,"Valid","Invalid")</f>
        <v>Valid</v>
      </c>
      <c r="H992" s="3" t="str">
        <f>IF(Finance_Data!L988&gt;0,"Valid","Invalid")</f>
        <v>Valid</v>
      </c>
      <c r="I992" s="3" t="str">
        <f>IF(Finance_Data!L988&gt;=Finance_Data!M988,"Valid","Invalid")</f>
        <v>Valid</v>
      </c>
      <c r="J992" s="3" t="str">
        <f>IF(AND(Finance_Data!I988&gt;=0,Finance_Data!K988&gt;=0),"Valid","Invalid")</f>
        <v>Valid</v>
      </c>
      <c r="K992" s="3" t="str">
        <f>IF(Finance_Data!N988&gt;=0,"Valid","Invalid")</f>
        <v>Valid</v>
      </c>
      <c r="L992" s="3" t="str">
        <f>IF(TEXT(Finance_Data!G988,"mmmm")=Finance_Data!P988,"Valid","Invalid")</f>
        <v>Valid</v>
      </c>
      <c r="M992" s="3" t="str">
        <f>IF("Q"&amp;ROUNDUP(MONTH(Finance_Data!G988)/3,0)=Finance_Data!Q988,"Valid","Invalid")</f>
        <v>Valid</v>
      </c>
      <c r="N992" s="7" t="str">
        <f t="shared" si="15"/>
        <v>Pass</v>
      </c>
    </row>
    <row r="993" spans="1:14" x14ac:dyDescent="0.35">
      <c r="A993" s="17" t="s">
        <v>106</v>
      </c>
      <c r="B993" s="3" t="str">
        <f>IF(ISBLANK(Table3[[#This Row],[Campaign_ID]]),"Invalid","Valid")</f>
        <v>Valid</v>
      </c>
      <c r="C993" s="3" t="str">
        <f>IF(COUNTA(Finance_Data!A989:R989)=18,"Valid","Missing")</f>
        <v>Valid</v>
      </c>
      <c r="D993" s="3" t="str">
        <f>IF(COUNTIF(Finance_Data!$T$2:$T$1001,Finance_Data!T989)&gt;1,"Duplicate","Valid")</f>
        <v>Valid</v>
      </c>
      <c r="E993" s="3" t="str">
        <f>IF(Finance_Data!H989&gt;Finance_Data!G989,"Valid","Invalid")</f>
        <v>Valid</v>
      </c>
      <c r="F993" s="3" t="str" cm="1">
        <f t="array" ref="F993">_xlfn.IFS(Finance_Data!S989&lt;7,"Short",Finance_Data!S989&lt;=30,"Normal",Finance_Data!S989&lt;=60,"Long",Finance_Data!S989&gt;60,"Very Long")</f>
        <v>Long</v>
      </c>
      <c r="G993" s="3" t="str">
        <f>IF(ABS(Finance_Data!I989*Finance_Data!J989)-Finance_Data!K989&lt;1,"Valid","Invalid")</f>
        <v>Valid</v>
      </c>
      <c r="H993" s="3" t="str">
        <f>IF(Finance_Data!L989&gt;0,"Valid","Invalid")</f>
        <v>Valid</v>
      </c>
      <c r="I993" s="3" t="str">
        <f>IF(Finance_Data!L989&gt;=Finance_Data!M989,"Valid","Invalid")</f>
        <v>Valid</v>
      </c>
      <c r="J993" s="3" t="str">
        <f>IF(AND(Finance_Data!I989&gt;=0,Finance_Data!K989&gt;=0),"Valid","Invalid")</f>
        <v>Valid</v>
      </c>
      <c r="K993" s="3" t="str">
        <f>IF(Finance_Data!N989&gt;=0,"Valid","Invalid")</f>
        <v>Valid</v>
      </c>
      <c r="L993" s="3" t="str">
        <f>IF(TEXT(Finance_Data!G989,"mmmm")=Finance_Data!P989,"Valid","Invalid")</f>
        <v>Valid</v>
      </c>
      <c r="M993" s="3" t="str">
        <f>IF("Q"&amp;ROUNDUP(MONTH(Finance_Data!G989)/3,0)=Finance_Data!Q989,"Valid","Invalid")</f>
        <v>Valid</v>
      </c>
      <c r="N993" s="7" t="str">
        <f t="shared" si="15"/>
        <v>Pass</v>
      </c>
    </row>
    <row r="994" spans="1:14" x14ac:dyDescent="0.35">
      <c r="A994" s="17" t="s">
        <v>50</v>
      </c>
      <c r="B994" s="3" t="str">
        <f>IF(ISBLANK(Table3[[#This Row],[Campaign_ID]]),"Invalid","Valid")</f>
        <v>Valid</v>
      </c>
      <c r="C994" s="3" t="str">
        <f>IF(COUNTA(Finance_Data!A990:R990)=18,"Valid","Missing")</f>
        <v>Valid</v>
      </c>
      <c r="D994" s="3" t="str">
        <f>IF(COUNTIF(Finance_Data!$T$2:$T$1001,Finance_Data!T990)&gt;1,"Duplicate","Valid")</f>
        <v>Valid</v>
      </c>
      <c r="E994" s="3" t="str">
        <f>IF(Finance_Data!H990&gt;Finance_Data!G990,"Valid","Invalid")</f>
        <v>Valid</v>
      </c>
      <c r="F994" s="3" t="str" cm="1">
        <f t="array" ref="F994">_xlfn.IFS(Finance_Data!S990&lt;7,"Short",Finance_Data!S990&lt;=30,"Normal",Finance_Data!S990&lt;=60,"Long",Finance_Data!S990&gt;60,"Very Long")</f>
        <v>Long</v>
      </c>
      <c r="G994" s="3" t="str">
        <f>IF(ABS(Finance_Data!I990*Finance_Data!J990)-Finance_Data!K990&lt;1,"Valid","Invalid")</f>
        <v>Valid</v>
      </c>
      <c r="H994" s="3" t="str">
        <f>IF(Finance_Data!L990&gt;0,"Valid","Invalid")</f>
        <v>Valid</v>
      </c>
      <c r="I994" s="3" t="str">
        <f>IF(Finance_Data!L990&gt;=Finance_Data!M990,"Valid","Invalid")</f>
        <v>Valid</v>
      </c>
      <c r="J994" s="3" t="str">
        <f>IF(AND(Finance_Data!I990&gt;=0,Finance_Data!K990&gt;=0),"Valid","Invalid")</f>
        <v>Valid</v>
      </c>
      <c r="K994" s="3" t="str">
        <f>IF(Finance_Data!N990&gt;=0,"Valid","Invalid")</f>
        <v>Valid</v>
      </c>
      <c r="L994" s="3" t="str">
        <f>IF(TEXT(Finance_Data!G990,"mmmm")=Finance_Data!P990,"Valid","Invalid")</f>
        <v>Valid</v>
      </c>
      <c r="M994" s="3" t="str">
        <f>IF("Q"&amp;ROUNDUP(MONTH(Finance_Data!G990)/3,0)=Finance_Data!Q990,"Valid","Invalid")</f>
        <v>Valid</v>
      </c>
      <c r="N994" s="7" t="str">
        <f t="shared" si="15"/>
        <v>Pass</v>
      </c>
    </row>
    <row r="995" spans="1:14" x14ac:dyDescent="0.35">
      <c r="A995" s="17" t="s">
        <v>111</v>
      </c>
      <c r="B995" s="3" t="str">
        <f>IF(ISBLANK(Table3[[#This Row],[Campaign_ID]]),"Invalid","Valid")</f>
        <v>Valid</v>
      </c>
      <c r="C995" s="3" t="str">
        <f>IF(COUNTA(Finance_Data!A991:R991)=18,"Valid","Missing")</f>
        <v>Valid</v>
      </c>
      <c r="D995" s="3" t="str">
        <f>IF(COUNTIF(Finance_Data!$T$2:$T$1001,Finance_Data!T991)&gt;1,"Duplicate","Valid")</f>
        <v>Valid</v>
      </c>
      <c r="E995" s="3" t="str">
        <f>IF(Finance_Data!H991&gt;Finance_Data!G991,"Valid","Invalid")</f>
        <v>Valid</v>
      </c>
      <c r="F995" s="3" t="str" cm="1">
        <f t="array" ref="F995">_xlfn.IFS(Finance_Data!S991&lt;7,"Short",Finance_Data!S991&lt;=30,"Normal",Finance_Data!S991&lt;=60,"Long",Finance_Data!S991&gt;60,"Very Long")</f>
        <v>Normal</v>
      </c>
      <c r="G995" s="3" t="str">
        <f>IF(ABS(Finance_Data!I991*Finance_Data!J991)-Finance_Data!K991&lt;1,"Valid","Invalid")</f>
        <v>Valid</v>
      </c>
      <c r="H995" s="3" t="str">
        <f>IF(Finance_Data!L991&gt;0,"Valid","Invalid")</f>
        <v>Valid</v>
      </c>
      <c r="I995" s="3" t="str">
        <f>IF(Finance_Data!L991&gt;=Finance_Data!M991,"Valid","Invalid")</f>
        <v>Valid</v>
      </c>
      <c r="J995" s="3" t="str">
        <f>IF(AND(Finance_Data!I991&gt;=0,Finance_Data!K991&gt;=0),"Valid","Invalid")</f>
        <v>Valid</v>
      </c>
      <c r="K995" s="3" t="str">
        <f>IF(Finance_Data!N991&gt;=0,"Valid","Invalid")</f>
        <v>Valid</v>
      </c>
      <c r="L995" s="3" t="str">
        <f>IF(TEXT(Finance_Data!G991,"mmmm")=Finance_Data!P991,"Valid","Invalid")</f>
        <v>Valid</v>
      </c>
      <c r="M995" s="3" t="str">
        <f>IF("Q"&amp;ROUNDUP(MONTH(Finance_Data!G991)/3,0)=Finance_Data!Q991,"Valid","Invalid")</f>
        <v>Valid</v>
      </c>
      <c r="N995" s="7" t="str">
        <f t="shared" si="15"/>
        <v>Pass</v>
      </c>
    </row>
    <row r="996" spans="1:14" x14ac:dyDescent="0.35">
      <c r="A996" s="17" t="s">
        <v>100</v>
      </c>
      <c r="B996" s="3" t="str">
        <f>IF(ISBLANK(Table3[[#This Row],[Campaign_ID]]),"Invalid","Valid")</f>
        <v>Valid</v>
      </c>
      <c r="C996" s="3" t="str">
        <f>IF(COUNTA(Finance_Data!A992:R992)=18,"Valid","Missing")</f>
        <v>Valid</v>
      </c>
      <c r="D996" s="3" t="str">
        <f>IF(COUNTIF(Finance_Data!$T$2:$T$1001,Finance_Data!T992)&gt;1,"Duplicate","Valid")</f>
        <v>Valid</v>
      </c>
      <c r="E996" s="3" t="str">
        <f>IF(Finance_Data!H992&gt;Finance_Data!G992,"Valid","Invalid")</f>
        <v>Valid</v>
      </c>
      <c r="F996" s="3" t="str" cm="1">
        <f t="array" ref="F996">_xlfn.IFS(Finance_Data!S992&lt;7,"Short",Finance_Data!S992&lt;=30,"Normal",Finance_Data!S992&lt;=60,"Long",Finance_Data!S992&gt;60,"Very Long")</f>
        <v>Long</v>
      </c>
      <c r="G996" s="3" t="str">
        <f>IF(ABS(Finance_Data!I992*Finance_Data!J992)-Finance_Data!K992&lt;1,"Valid","Invalid")</f>
        <v>Valid</v>
      </c>
      <c r="H996" s="3" t="str">
        <f>IF(Finance_Data!L992&gt;0,"Valid","Invalid")</f>
        <v>Valid</v>
      </c>
      <c r="I996" s="3" t="str">
        <f>IF(Finance_Data!L992&gt;=Finance_Data!M992,"Valid","Invalid")</f>
        <v>Valid</v>
      </c>
      <c r="J996" s="3" t="str">
        <f>IF(AND(Finance_Data!I992&gt;=0,Finance_Data!K992&gt;=0),"Valid","Invalid")</f>
        <v>Valid</v>
      </c>
      <c r="K996" s="3" t="str">
        <f>IF(Finance_Data!N992&gt;=0,"Valid","Invalid")</f>
        <v>Valid</v>
      </c>
      <c r="L996" s="3" t="str">
        <f>IF(TEXT(Finance_Data!G992,"mmmm")=Finance_Data!P992,"Valid","Invalid")</f>
        <v>Valid</v>
      </c>
      <c r="M996" s="3" t="str">
        <f>IF("Q"&amp;ROUNDUP(MONTH(Finance_Data!G992)/3,0)=Finance_Data!Q992,"Valid","Invalid")</f>
        <v>Valid</v>
      </c>
      <c r="N996" s="7" t="str">
        <f t="shared" si="15"/>
        <v>Pass</v>
      </c>
    </row>
    <row r="997" spans="1:14" x14ac:dyDescent="0.35">
      <c r="A997" s="17" t="s">
        <v>102</v>
      </c>
      <c r="B997" s="3" t="str">
        <f>IF(ISBLANK(Table3[[#This Row],[Campaign_ID]]),"Invalid","Valid")</f>
        <v>Valid</v>
      </c>
      <c r="C997" s="3" t="str">
        <f>IF(COUNTA(Finance_Data!A993:R993)=18,"Valid","Missing")</f>
        <v>Valid</v>
      </c>
      <c r="D997" s="3" t="str">
        <f>IF(COUNTIF(Finance_Data!$T$2:$T$1001,Finance_Data!T993)&gt;1,"Duplicate","Valid")</f>
        <v>Valid</v>
      </c>
      <c r="E997" s="3" t="str">
        <f>IF(Finance_Data!H993&gt;Finance_Data!G993,"Valid","Invalid")</f>
        <v>Valid</v>
      </c>
      <c r="F997" s="3" t="str" cm="1">
        <f t="array" ref="F997">_xlfn.IFS(Finance_Data!S993&lt;7,"Short",Finance_Data!S993&lt;=30,"Normal",Finance_Data!S993&lt;=60,"Long",Finance_Data!S993&gt;60,"Very Long")</f>
        <v>Long</v>
      </c>
      <c r="G997" s="3" t="str">
        <f>IF(ABS(Finance_Data!I993*Finance_Data!J993)-Finance_Data!K993&lt;1,"Valid","Invalid")</f>
        <v>Valid</v>
      </c>
      <c r="H997" s="3" t="str">
        <f>IF(Finance_Data!L993&gt;0,"Valid","Invalid")</f>
        <v>Valid</v>
      </c>
      <c r="I997" s="3" t="str">
        <f>IF(Finance_Data!L993&gt;=Finance_Data!M993,"Valid","Invalid")</f>
        <v>Valid</v>
      </c>
      <c r="J997" s="3" t="str">
        <f>IF(AND(Finance_Data!I993&gt;=0,Finance_Data!K993&gt;=0),"Valid","Invalid")</f>
        <v>Valid</v>
      </c>
      <c r="K997" s="3" t="str">
        <f>IF(Finance_Data!N993&gt;=0,"Valid","Invalid")</f>
        <v>Valid</v>
      </c>
      <c r="L997" s="3" t="str">
        <f>IF(TEXT(Finance_Data!G993,"mmmm")=Finance_Data!P993,"Valid","Invalid")</f>
        <v>Valid</v>
      </c>
      <c r="M997" s="3" t="str">
        <f>IF("Q"&amp;ROUNDUP(MONTH(Finance_Data!G993)/3,0)=Finance_Data!Q993,"Valid","Invalid")</f>
        <v>Valid</v>
      </c>
      <c r="N997" s="7" t="str">
        <f t="shared" si="15"/>
        <v>Pass</v>
      </c>
    </row>
    <row r="998" spans="1:14" x14ac:dyDescent="0.35">
      <c r="A998" s="17" t="s">
        <v>104</v>
      </c>
      <c r="B998" s="3" t="str">
        <f>IF(ISBLANK(Table3[[#This Row],[Campaign_ID]]),"Invalid","Valid")</f>
        <v>Valid</v>
      </c>
      <c r="C998" s="3" t="str">
        <f>IF(COUNTA(Finance_Data!A994:R994)=18,"Valid","Missing")</f>
        <v>Valid</v>
      </c>
      <c r="D998" s="3" t="str">
        <f>IF(COUNTIF(Finance_Data!$T$2:$T$1001,Finance_Data!T994)&gt;1,"Duplicate","Valid")</f>
        <v>Valid</v>
      </c>
      <c r="E998" s="3" t="str">
        <f>IF(Finance_Data!H994&gt;Finance_Data!G994,"Valid","Invalid")</f>
        <v>Valid</v>
      </c>
      <c r="F998" s="3" t="str" cm="1">
        <f t="array" ref="F998">_xlfn.IFS(Finance_Data!S994&lt;7,"Short",Finance_Data!S994&lt;=30,"Normal",Finance_Data!S994&lt;=60,"Long",Finance_Data!S994&gt;60,"Very Long")</f>
        <v>Very Long</v>
      </c>
      <c r="G998" s="3" t="str">
        <f>IF(ABS(Finance_Data!I994*Finance_Data!J994)-Finance_Data!K994&lt;1,"Valid","Invalid")</f>
        <v>Valid</v>
      </c>
      <c r="H998" s="3" t="str">
        <f>IF(Finance_Data!L994&gt;0,"Valid","Invalid")</f>
        <v>Valid</v>
      </c>
      <c r="I998" s="3" t="str">
        <f>IF(Finance_Data!L994&gt;=Finance_Data!M994,"Valid","Invalid")</f>
        <v>Valid</v>
      </c>
      <c r="J998" s="3" t="str">
        <f>IF(AND(Finance_Data!I994&gt;=0,Finance_Data!K994&gt;=0),"Valid","Invalid")</f>
        <v>Valid</v>
      </c>
      <c r="K998" s="3" t="str">
        <f>IF(Finance_Data!N994&gt;=0,"Valid","Invalid")</f>
        <v>Valid</v>
      </c>
      <c r="L998" s="3" t="str">
        <f>IF(TEXT(Finance_Data!G994,"mmmm")=Finance_Data!P994,"Valid","Invalid")</f>
        <v>Valid</v>
      </c>
      <c r="M998" s="3" t="str">
        <f>IF("Q"&amp;ROUNDUP(MONTH(Finance_Data!G994)/3,0)=Finance_Data!Q994,"Valid","Invalid")</f>
        <v>Valid</v>
      </c>
      <c r="N998" s="7" t="str">
        <f t="shared" si="15"/>
        <v>Pass</v>
      </c>
    </row>
    <row r="999" spans="1:14" x14ac:dyDescent="0.35">
      <c r="A999" s="17" t="s">
        <v>89</v>
      </c>
      <c r="B999" s="3" t="str">
        <f>IF(ISBLANK(Table3[[#This Row],[Campaign_ID]]),"Invalid","Valid")</f>
        <v>Valid</v>
      </c>
      <c r="C999" s="3" t="str">
        <f>IF(COUNTA(Finance_Data!A995:R995)=18,"Valid","Missing")</f>
        <v>Valid</v>
      </c>
      <c r="D999" s="3" t="str">
        <f>IF(COUNTIF(Finance_Data!$T$2:$T$1001,Finance_Data!T995)&gt;1,"Duplicate","Valid")</f>
        <v>Valid</v>
      </c>
      <c r="E999" s="3" t="str">
        <f>IF(Finance_Data!H995&gt;Finance_Data!G995,"Valid","Invalid")</f>
        <v>Valid</v>
      </c>
      <c r="F999" s="3" t="str" cm="1">
        <f t="array" ref="F999">_xlfn.IFS(Finance_Data!S995&lt;7,"Short",Finance_Data!S995&lt;=30,"Normal",Finance_Data!S995&lt;=60,"Long",Finance_Data!S995&gt;60,"Very Long")</f>
        <v>Normal</v>
      </c>
      <c r="G999" s="3" t="str">
        <f>IF(ABS(Finance_Data!I995*Finance_Data!J995)-Finance_Data!K995&lt;1,"Valid","Invalid")</f>
        <v>Valid</v>
      </c>
      <c r="H999" s="3" t="str">
        <f>IF(Finance_Data!L995&gt;0,"Valid","Invalid")</f>
        <v>Valid</v>
      </c>
      <c r="I999" s="3" t="str">
        <f>IF(Finance_Data!L995&gt;=Finance_Data!M995,"Valid","Invalid")</f>
        <v>Valid</v>
      </c>
      <c r="J999" s="3" t="str">
        <f>IF(AND(Finance_Data!I995&gt;=0,Finance_Data!K995&gt;=0),"Valid","Invalid")</f>
        <v>Valid</v>
      </c>
      <c r="K999" s="3" t="str">
        <f>IF(Finance_Data!N995&gt;=0,"Valid","Invalid")</f>
        <v>Valid</v>
      </c>
      <c r="L999" s="3" t="str">
        <f>IF(TEXT(Finance_Data!G995,"mmmm")=Finance_Data!P995,"Valid","Invalid")</f>
        <v>Valid</v>
      </c>
      <c r="M999" s="3" t="str">
        <f>IF("Q"&amp;ROUNDUP(MONTH(Finance_Data!G995)/3,0)=Finance_Data!Q995,"Valid","Invalid")</f>
        <v>Valid</v>
      </c>
      <c r="N999" s="7" t="str">
        <f t="shared" si="15"/>
        <v>Pass</v>
      </c>
    </row>
    <row r="1000" spans="1:14" x14ac:dyDescent="0.35">
      <c r="A1000" s="17" t="s">
        <v>95</v>
      </c>
      <c r="B1000" s="3" t="str">
        <f>IF(ISBLANK(Table3[[#This Row],[Campaign_ID]]),"Invalid","Valid")</f>
        <v>Valid</v>
      </c>
      <c r="C1000" s="3" t="str">
        <f>IF(COUNTA(Finance_Data!A996:R996)=18,"Valid","Missing")</f>
        <v>Valid</v>
      </c>
      <c r="D1000" s="3" t="str">
        <f>IF(COUNTIF(Finance_Data!$T$2:$T$1001,Finance_Data!T996)&gt;1,"Duplicate","Valid")</f>
        <v>Valid</v>
      </c>
      <c r="E1000" s="3" t="str">
        <f>IF(Finance_Data!H996&gt;Finance_Data!G996,"Valid","Invalid")</f>
        <v>Valid</v>
      </c>
      <c r="F1000" s="3" t="str" cm="1">
        <f t="array" ref="F1000">_xlfn.IFS(Finance_Data!S996&lt;7,"Short",Finance_Data!S996&lt;=30,"Normal",Finance_Data!S996&lt;=60,"Long",Finance_Data!S996&gt;60,"Very Long")</f>
        <v>Normal</v>
      </c>
      <c r="G1000" s="3" t="str">
        <f>IF(ABS(Finance_Data!I996*Finance_Data!J996)-Finance_Data!K996&lt;1,"Valid","Invalid")</f>
        <v>Valid</v>
      </c>
      <c r="H1000" s="3" t="str">
        <f>IF(Finance_Data!L996&gt;0,"Valid","Invalid")</f>
        <v>Valid</v>
      </c>
      <c r="I1000" s="3" t="str">
        <f>IF(Finance_Data!L996&gt;=Finance_Data!M996,"Valid","Invalid")</f>
        <v>Valid</v>
      </c>
      <c r="J1000" s="3" t="str">
        <f>IF(AND(Finance_Data!I996&gt;=0,Finance_Data!K996&gt;=0),"Valid","Invalid")</f>
        <v>Valid</v>
      </c>
      <c r="K1000" s="3" t="str">
        <f>IF(Finance_Data!N996&gt;=0,"Valid","Invalid")</f>
        <v>Valid</v>
      </c>
      <c r="L1000" s="3" t="str">
        <f>IF(TEXT(Finance_Data!G996,"mmmm")=Finance_Data!P996,"Valid","Invalid")</f>
        <v>Valid</v>
      </c>
      <c r="M1000" s="3" t="str">
        <f>IF("Q"&amp;ROUNDUP(MONTH(Finance_Data!G996)/3,0)=Finance_Data!Q996,"Valid","Invalid")</f>
        <v>Valid</v>
      </c>
      <c r="N1000" s="7" t="str">
        <f t="shared" si="15"/>
        <v>Pass</v>
      </c>
    </row>
    <row r="1001" spans="1:14" x14ac:dyDescent="0.35">
      <c r="A1001" s="17" t="s">
        <v>96</v>
      </c>
      <c r="B1001" s="3" t="str">
        <f>IF(ISBLANK(Table3[[#This Row],[Campaign_ID]]),"Invalid","Valid")</f>
        <v>Valid</v>
      </c>
      <c r="C1001" s="3" t="str">
        <f>IF(COUNTA(Finance_Data!A997:R997)=18,"Valid","Missing")</f>
        <v>Valid</v>
      </c>
      <c r="D1001" s="3" t="str">
        <f>IF(COUNTIF(Finance_Data!$T$2:$T$1001,Finance_Data!T997)&gt;1,"Duplicate","Valid")</f>
        <v>Valid</v>
      </c>
      <c r="E1001" s="3" t="str">
        <f>IF(Finance_Data!H997&gt;Finance_Data!G997,"Valid","Invalid")</f>
        <v>Valid</v>
      </c>
      <c r="F1001" s="3" t="str" cm="1">
        <f t="array" ref="F1001">_xlfn.IFS(Finance_Data!S997&lt;7,"Short",Finance_Data!S997&lt;=30,"Normal",Finance_Data!S997&lt;=60,"Long",Finance_Data!S997&gt;60,"Very Long")</f>
        <v>Long</v>
      </c>
      <c r="G1001" s="3" t="str">
        <f>IF(ABS(Finance_Data!I997*Finance_Data!J997)-Finance_Data!K997&lt;1,"Valid","Invalid")</f>
        <v>Valid</v>
      </c>
      <c r="H1001" s="3" t="str">
        <f>IF(Finance_Data!L997&gt;0,"Valid","Invalid")</f>
        <v>Valid</v>
      </c>
      <c r="I1001" s="3" t="str">
        <f>IF(Finance_Data!L997&gt;=Finance_Data!M997,"Valid","Invalid")</f>
        <v>Valid</v>
      </c>
      <c r="J1001" s="3" t="str">
        <f>IF(AND(Finance_Data!I997&gt;=0,Finance_Data!K997&gt;=0),"Valid","Invalid")</f>
        <v>Valid</v>
      </c>
      <c r="K1001" s="3" t="str">
        <f>IF(Finance_Data!N997&gt;=0,"Valid","Invalid")</f>
        <v>Valid</v>
      </c>
      <c r="L1001" s="3" t="str">
        <f>IF(TEXT(Finance_Data!G997,"mmmm")=Finance_Data!P997,"Valid","Invalid")</f>
        <v>Valid</v>
      </c>
      <c r="M1001" s="3" t="str">
        <f>IF("Q"&amp;ROUNDUP(MONTH(Finance_Data!G997)/3,0)=Finance_Data!Q997,"Valid","Invalid")</f>
        <v>Valid</v>
      </c>
      <c r="N1001" s="7" t="str">
        <f t="shared" si="15"/>
        <v>Pass</v>
      </c>
    </row>
    <row r="1002" spans="1:14" x14ac:dyDescent="0.35">
      <c r="A1002" s="17" t="s">
        <v>97</v>
      </c>
      <c r="B1002" s="3" t="str">
        <f>IF(ISBLANK(Table3[[#This Row],[Campaign_ID]]),"Invalid","Valid")</f>
        <v>Valid</v>
      </c>
      <c r="C1002" s="3" t="str">
        <f>IF(COUNTA(Finance_Data!A998:R998)=18,"Valid","Missing")</f>
        <v>Valid</v>
      </c>
      <c r="D1002" s="3" t="str">
        <f>IF(COUNTIF(Finance_Data!$T$2:$T$1001,Finance_Data!T998)&gt;1,"Duplicate","Valid")</f>
        <v>Valid</v>
      </c>
      <c r="E1002" s="3" t="str">
        <f>IF(Finance_Data!H998&gt;Finance_Data!G998,"Valid","Invalid")</f>
        <v>Valid</v>
      </c>
      <c r="F1002" s="3" t="str" cm="1">
        <f t="array" ref="F1002">_xlfn.IFS(Finance_Data!S998&lt;7,"Short",Finance_Data!S998&lt;=30,"Normal",Finance_Data!S998&lt;=60,"Long",Finance_Data!S998&gt;60,"Very Long")</f>
        <v>Normal</v>
      </c>
      <c r="G1002" s="3" t="str">
        <f>IF(ABS(Finance_Data!I998*Finance_Data!J998)-Finance_Data!K998&lt;1,"Valid","Invalid")</f>
        <v>Valid</v>
      </c>
      <c r="H1002" s="3" t="str">
        <f>IF(Finance_Data!L998&gt;0,"Valid","Invalid")</f>
        <v>Valid</v>
      </c>
      <c r="I1002" s="3" t="str">
        <f>IF(Finance_Data!L998&gt;=Finance_Data!M998,"Valid","Invalid")</f>
        <v>Valid</v>
      </c>
      <c r="J1002" s="3" t="str">
        <f>IF(AND(Finance_Data!I998&gt;=0,Finance_Data!K998&gt;=0),"Valid","Invalid")</f>
        <v>Valid</v>
      </c>
      <c r="K1002" s="3" t="str">
        <f>IF(Finance_Data!N998&gt;=0,"Valid","Invalid")</f>
        <v>Valid</v>
      </c>
      <c r="L1002" s="3" t="str">
        <f>IF(TEXT(Finance_Data!G998,"mmmm")=Finance_Data!P998,"Valid","Invalid")</f>
        <v>Valid</v>
      </c>
      <c r="M1002" s="3" t="str">
        <f>IF("Q"&amp;ROUNDUP(MONTH(Finance_Data!G998)/3,0)=Finance_Data!Q998,"Valid","Invalid")</f>
        <v>Valid</v>
      </c>
      <c r="N1002" s="7" t="str">
        <f t="shared" si="15"/>
        <v>Pass</v>
      </c>
    </row>
    <row r="1003" spans="1:14" x14ac:dyDescent="0.35">
      <c r="A1003" s="17" t="s">
        <v>27</v>
      </c>
      <c r="B1003" s="3" t="str">
        <f>IF(ISBLANK(Table3[[#This Row],[Campaign_ID]]),"Invalid","Valid")</f>
        <v>Valid</v>
      </c>
      <c r="C1003" s="3" t="str">
        <f>IF(COUNTA(Finance_Data!A999:R999)=18,"Valid","Missing")</f>
        <v>Valid</v>
      </c>
      <c r="D1003" s="3" t="str">
        <f>IF(COUNTIF(Finance_Data!$T$2:$T$1001,Finance_Data!T999)&gt;1,"Duplicate","Valid")</f>
        <v>Valid</v>
      </c>
      <c r="E1003" s="3" t="str">
        <f>IF(Finance_Data!H999&gt;Finance_Data!G999,"Valid","Invalid")</f>
        <v>Valid</v>
      </c>
      <c r="F1003" s="3" t="str" cm="1">
        <f t="array" ref="F1003">_xlfn.IFS(Finance_Data!S999&lt;7,"Short",Finance_Data!S999&lt;=30,"Normal",Finance_Data!S999&lt;=60,"Long",Finance_Data!S999&gt;60,"Very Long")</f>
        <v>Long</v>
      </c>
      <c r="G1003" s="3" t="str">
        <f>IF(ABS(Finance_Data!I999*Finance_Data!J999)-Finance_Data!K999&lt;1,"Valid","Invalid")</f>
        <v>Valid</v>
      </c>
      <c r="H1003" s="3" t="str">
        <f>IF(Finance_Data!L999&gt;0,"Valid","Invalid")</f>
        <v>Valid</v>
      </c>
      <c r="I1003" s="3" t="str">
        <f>IF(Finance_Data!L999&gt;=Finance_Data!M999,"Valid","Invalid")</f>
        <v>Valid</v>
      </c>
      <c r="J1003" s="3" t="str">
        <f>IF(AND(Finance_Data!I999&gt;=0,Finance_Data!K999&gt;=0),"Valid","Invalid")</f>
        <v>Valid</v>
      </c>
      <c r="K1003" s="3" t="str">
        <f>IF(Finance_Data!N999&gt;=0,"Valid","Invalid")</f>
        <v>Valid</v>
      </c>
      <c r="L1003" s="3" t="str">
        <f>IF(TEXT(Finance_Data!G999,"mmmm")=Finance_Data!P999,"Valid","Invalid")</f>
        <v>Valid</v>
      </c>
      <c r="M1003" s="3" t="str">
        <f>IF("Q"&amp;ROUNDUP(MONTH(Finance_Data!G999)/3,0)=Finance_Data!Q999,"Valid","Invalid")</f>
        <v>Valid</v>
      </c>
      <c r="N1003" s="7" t="str">
        <f t="shared" si="15"/>
        <v>Pass</v>
      </c>
    </row>
    <row r="1004" spans="1:14" x14ac:dyDescent="0.35">
      <c r="A1004" s="17" t="s">
        <v>114</v>
      </c>
      <c r="B1004" s="3" t="str">
        <f>IF(ISBLANK(Table3[[#This Row],[Campaign_ID]]),"Invalid","Valid")</f>
        <v>Valid</v>
      </c>
      <c r="C1004" s="3" t="str">
        <f>IF(COUNTA(Finance_Data!A1000:R1000)=18,"Valid","Missing")</f>
        <v>Valid</v>
      </c>
      <c r="D1004" s="3" t="str">
        <f>IF(COUNTIF(Finance_Data!$T$2:$T$1001,Finance_Data!T1000)&gt;1,"Duplicate","Valid")</f>
        <v>Valid</v>
      </c>
      <c r="E1004" s="3" t="str">
        <f>IF(Finance_Data!H1000&gt;Finance_Data!G1000,"Valid","Invalid")</f>
        <v>Valid</v>
      </c>
      <c r="F1004" s="3" t="str" cm="1">
        <f t="array" ref="F1004">_xlfn.IFS(Finance_Data!S1000&lt;7,"Short",Finance_Data!S1000&lt;=30,"Normal",Finance_Data!S1000&lt;=60,"Long",Finance_Data!S1000&gt;60,"Very Long")</f>
        <v>Long</v>
      </c>
      <c r="G1004" s="3" t="str">
        <f>IF(ABS(Finance_Data!I1000*Finance_Data!J1000)-Finance_Data!K1000&lt;1,"Valid","Invalid")</f>
        <v>Valid</v>
      </c>
      <c r="H1004" s="3" t="str">
        <f>IF(Finance_Data!L1000&gt;0,"Valid","Invalid")</f>
        <v>Valid</v>
      </c>
      <c r="I1004" s="3" t="str">
        <f>IF(Finance_Data!L1000&gt;=Finance_Data!M1000,"Valid","Invalid")</f>
        <v>Valid</v>
      </c>
      <c r="J1004" s="3" t="str">
        <f>IF(AND(Finance_Data!I1000&gt;=0,Finance_Data!K1000&gt;=0),"Valid","Invalid")</f>
        <v>Valid</v>
      </c>
      <c r="K1004" s="3" t="str">
        <f>IF(Finance_Data!N1000&gt;=0,"Valid","Invalid")</f>
        <v>Valid</v>
      </c>
      <c r="L1004" s="3" t="str">
        <f>IF(TEXT(Finance_Data!G1000,"mmmm")=Finance_Data!P1000,"Valid","Invalid")</f>
        <v>Valid</v>
      </c>
      <c r="M1004" s="3" t="str">
        <f>IF("Q"&amp;ROUNDUP(MONTH(Finance_Data!G1000)/3,0)=Finance_Data!Q1000,"Valid","Invalid")</f>
        <v>Valid</v>
      </c>
      <c r="N1004" s="7" t="str">
        <f t="shared" si="15"/>
        <v>Pass</v>
      </c>
    </row>
    <row r="1005" spans="1:14" x14ac:dyDescent="0.35">
      <c r="A1005" s="21" t="s">
        <v>93</v>
      </c>
      <c r="B1005" s="3" t="str">
        <f>IF(ISBLANK(Table3[[#This Row],[Campaign_ID]]),"Invalid","Valid")</f>
        <v>Valid</v>
      </c>
      <c r="C1005" s="3" t="str">
        <f>IF(COUNTA(Finance_Data!A1001:R1001)=18,"Valid","Missing")</f>
        <v>Valid</v>
      </c>
      <c r="D1005" s="3" t="str">
        <f>IF(COUNTIF(Finance_Data!$T$2:$T$1001,Finance_Data!T1001)&gt;1,"Duplicate","Valid")</f>
        <v>Valid</v>
      </c>
      <c r="E1005" s="22" t="str">
        <f>IF(Finance_Data!H1001&gt;Finance_Data!G1001,"Valid","Invalid")</f>
        <v>Valid</v>
      </c>
      <c r="F1005" s="22" t="str" cm="1">
        <f t="array" ref="F1005">_xlfn.IFS(Finance_Data!S1001&lt;7,"Short",Finance_Data!S1001&lt;=30,"Normal",Finance_Data!S1001&lt;=60,"Long",Finance_Data!S1001&gt;60,"Very Long")</f>
        <v>Long</v>
      </c>
      <c r="G1005" s="22" t="str">
        <f>IF(ABS(Finance_Data!I1001*Finance_Data!J1001)-Finance_Data!K1001&lt;1,"Valid","Invalid")</f>
        <v>Valid</v>
      </c>
      <c r="H1005" s="22" t="str">
        <f>IF(Finance_Data!L1001&gt;0,"Valid","Invalid")</f>
        <v>Valid</v>
      </c>
      <c r="I1005" s="22" t="str">
        <f>IF(Finance_Data!L1001&gt;=Finance_Data!M1001,"Valid","Invalid")</f>
        <v>Valid</v>
      </c>
      <c r="J1005" s="22" t="str">
        <f>IF(AND(Finance_Data!I1001&gt;=0,Finance_Data!K1001&gt;=0),"Valid","Invalid")</f>
        <v>Valid</v>
      </c>
      <c r="K1005" s="22" t="str">
        <f>IF(Finance_Data!N1001&gt;=0,"Valid","Invalid")</f>
        <v>Valid</v>
      </c>
      <c r="L1005" s="22" t="str">
        <f>IF(TEXT(Finance_Data!G1001,"mmmm")=Finance_Data!P1001,"Valid","Invalid")</f>
        <v>Valid</v>
      </c>
      <c r="M1005" s="22" t="str">
        <f>IF("Q"&amp;ROUNDUP(MONTH(Finance_Data!G1001)/3,0)=Finance_Data!Q1001,"Valid","Invalid")</f>
        <v>Valid</v>
      </c>
      <c r="N1005" s="7" t="str">
        <f t="shared" si="15"/>
        <v>Pass</v>
      </c>
    </row>
  </sheetData>
  <mergeCells count="1">
    <mergeCell ref="D1:E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1EB1-1292-43B4-AEBF-2666535911D9}">
  <dimension ref="A1:AA1007"/>
  <sheetViews>
    <sheetView workbookViewId="0">
      <pane xSplit="1" ySplit="7" topLeftCell="B8" activePane="bottomRight" state="frozen"/>
      <selection pane="topRight" activeCell="B1" sqref="B1"/>
      <selection pane="bottomLeft" activeCell="A2" sqref="A2"/>
      <selection pane="bottomRight" activeCell="AA8" sqref="AA8"/>
    </sheetView>
  </sheetViews>
  <sheetFormatPr defaultRowHeight="14.5" x14ac:dyDescent="0.35"/>
  <cols>
    <col min="1" max="1" width="16.453125" bestFit="1" customWidth="1"/>
    <col min="2" max="2" width="15.81640625" bestFit="1" customWidth="1"/>
    <col min="3" max="3" width="12.08984375" bestFit="1" customWidth="1"/>
    <col min="4" max="4" width="14.81640625" customWidth="1"/>
    <col min="5" max="5" width="12.1796875" bestFit="1" customWidth="1"/>
    <col min="6" max="6" width="12.453125" customWidth="1"/>
    <col min="7" max="7" width="12.54296875" customWidth="1"/>
    <col min="8" max="8" width="10" bestFit="1" customWidth="1"/>
    <col min="9" max="9" width="9.81640625" bestFit="1" customWidth="1"/>
    <col min="10" max="10" width="12.81640625" bestFit="1" customWidth="1"/>
    <col min="11" max="11" width="10.81640625" bestFit="1" customWidth="1"/>
    <col min="12" max="12" width="8.6328125" bestFit="1" customWidth="1"/>
    <col min="13" max="13" width="9.26953125" bestFit="1" customWidth="1"/>
    <col min="14" max="14" width="9.90625" bestFit="1" customWidth="1"/>
    <col min="15" max="15" width="8.36328125" bestFit="1" customWidth="1"/>
    <col min="16" max="16" width="9.08984375" bestFit="1" customWidth="1"/>
    <col min="17" max="17" width="11.08984375" bestFit="1" customWidth="1"/>
    <col min="18" max="18" width="12" bestFit="1" customWidth="1"/>
    <col min="19" max="19" width="12" style="68" customWidth="1"/>
    <col min="20" max="20" width="20.1796875" bestFit="1" customWidth="1"/>
    <col min="21" max="21" width="25.81640625" bestFit="1" customWidth="1"/>
    <col min="22" max="22" width="15.08984375" bestFit="1" customWidth="1"/>
    <col min="23" max="23" width="17.08984375" bestFit="1" customWidth="1"/>
    <col min="24" max="24" width="14.54296875" bestFit="1" customWidth="1"/>
    <col min="25" max="25" width="20.08984375" bestFit="1" customWidth="1"/>
    <col min="26" max="26" width="20.81640625" bestFit="1" customWidth="1"/>
    <col min="27" max="27" width="17" bestFit="1" customWidth="1"/>
  </cols>
  <sheetData>
    <row r="1" spans="1:27" x14ac:dyDescent="0.35">
      <c r="E1" s="111" t="s">
        <v>155</v>
      </c>
      <c r="F1" s="112"/>
    </row>
    <row r="2" spans="1:27" ht="29" customHeight="1" x14ac:dyDescent="0.35">
      <c r="A2" s="25" t="s">
        <v>156</v>
      </c>
      <c r="B2" s="32" t="s">
        <v>157</v>
      </c>
      <c r="C2" s="28">
        <f>COUNTA(_xlfn.UNIQUE(Table2[Campaign_ID]))</f>
        <v>60</v>
      </c>
      <c r="D2" s="33" t="s">
        <v>158</v>
      </c>
      <c r="E2" s="28">
        <f>SUM(Table2[Impressions])</f>
        <v>508045081</v>
      </c>
      <c r="F2" s="33" t="s">
        <v>159</v>
      </c>
      <c r="G2" s="28">
        <f>SUM(Table2[Clicks])</f>
        <v>25220387</v>
      </c>
      <c r="H2" s="33" t="s">
        <v>160</v>
      </c>
      <c r="I2" s="28">
        <f>SUM(Table2[Sales])</f>
        <v>124560066.57999995</v>
      </c>
      <c r="J2" s="33" t="s">
        <v>161</v>
      </c>
      <c r="K2" s="31">
        <f>SUM(Table2[USD_Spend])</f>
        <v>15870820.479999982</v>
      </c>
      <c r="L2" s="26"/>
    </row>
    <row r="3" spans="1:27" ht="29" x14ac:dyDescent="0.35">
      <c r="A3" s="27" t="s">
        <v>162</v>
      </c>
      <c r="B3" s="32" t="s">
        <v>163</v>
      </c>
      <c r="C3" s="29">
        <f>G2/E2</f>
        <v>4.9642025763457789E-2</v>
      </c>
      <c r="D3" s="32" t="s">
        <v>164</v>
      </c>
      <c r="E3" s="30">
        <f>K2/G2</f>
        <v>0.62928536663612589</v>
      </c>
      <c r="F3" s="32" t="s">
        <v>165</v>
      </c>
      <c r="G3" s="30">
        <f>K2/E2*1000</f>
        <v>31.239000383117542</v>
      </c>
      <c r="H3" s="33" t="s">
        <v>166</v>
      </c>
      <c r="I3" s="30">
        <f>I2/K2</f>
        <v>7.8483697006696973</v>
      </c>
      <c r="J3" s="33" t="s">
        <v>167</v>
      </c>
      <c r="K3" s="30">
        <f>(I2-K2)/K2</f>
        <v>6.8483697006696964</v>
      </c>
      <c r="L3" s="26"/>
    </row>
    <row r="4" spans="1:27" ht="29" x14ac:dyDescent="0.35">
      <c r="A4" s="25" t="s">
        <v>168</v>
      </c>
      <c r="B4" s="33" t="s">
        <v>169</v>
      </c>
      <c r="C4" s="30">
        <f>AVERAGE(Table2[Duration])</f>
        <v>33.825000000000003</v>
      </c>
      <c r="D4" s="33" t="s">
        <v>170</v>
      </c>
      <c r="E4" s="31">
        <f>MAX(Table2[Duration])</f>
        <v>61</v>
      </c>
      <c r="F4" s="33" t="s">
        <v>171</v>
      </c>
      <c r="G4" s="31">
        <f>MIN(Table2[Duration])</f>
        <v>6</v>
      </c>
      <c r="H4" s="26"/>
      <c r="I4" s="26"/>
      <c r="J4" s="26"/>
      <c r="K4" s="26"/>
      <c r="L4" s="26"/>
    </row>
    <row r="5" spans="1:27" ht="29" x14ac:dyDescent="0.35">
      <c r="A5" s="25" t="s">
        <v>172</v>
      </c>
      <c r="B5" s="33" t="s">
        <v>173</v>
      </c>
      <c r="C5" s="30">
        <f>MAX(Table2[ROAS])</f>
        <v>1603.5389357151844</v>
      </c>
      <c r="D5" s="33" t="s">
        <v>174</v>
      </c>
      <c r="E5" s="30">
        <f>MIN(Table2[ROAS])</f>
        <v>0.11245927660956305</v>
      </c>
      <c r="F5" s="33" t="s">
        <v>175</v>
      </c>
      <c r="G5" s="30">
        <f>MAX(Table2[Sales])</f>
        <v>249994.27</v>
      </c>
      <c r="H5" s="33" t="s">
        <v>176</v>
      </c>
      <c r="I5" s="30">
        <f>MIN(Table2[Sales])</f>
        <v>5020.96</v>
      </c>
      <c r="J5" s="33" t="s">
        <v>177</v>
      </c>
      <c r="K5" s="30">
        <f>MAX(Table2[USD_Spend])</f>
        <v>58427.41</v>
      </c>
      <c r="L5" s="33" t="s">
        <v>176</v>
      </c>
      <c r="M5" s="30">
        <f>MIN(Table2[USD_Spend])</f>
        <v>53.48</v>
      </c>
    </row>
    <row r="7" spans="1:27" x14ac:dyDescent="0.35">
      <c r="A7" s="18" t="s">
        <v>0</v>
      </c>
      <c r="B7" s="19" t="s">
        <v>1</v>
      </c>
      <c r="C7" s="19" t="s">
        <v>2</v>
      </c>
      <c r="D7" s="19" t="s">
        <v>3</v>
      </c>
      <c r="E7" s="19" t="s">
        <v>4</v>
      </c>
      <c r="F7" s="19" t="s">
        <v>10</v>
      </c>
      <c r="G7" s="19" t="s">
        <v>11</v>
      </c>
      <c r="H7" s="19" t="s">
        <v>12</v>
      </c>
      <c r="I7" s="19" t="s">
        <v>13</v>
      </c>
      <c r="J7" s="19" t="s">
        <v>130</v>
      </c>
      <c r="K7" s="19" t="s">
        <v>142</v>
      </c>
      <c r="L7" s="19" t="s">
        <v>143</v>
      </c>
      <c r="M7" s="19" t="s">
        <v>144</v>
      </c>
      <c r="N7" s="19" t="s">
        <v>145</v>
      </c>
      <c r="O7" s="19" t="s">
        <v>146</v>
      </c>
      <c r="P7" s="19" t="s">
        <v>14</v>
      </c>
      <c r="Q7" s="19" t="s">
        <v>15</v>
      </c>
      <c r="R7" s="19" t="s">
        <v>16</v>
      </c>
      <c r="S7" s="69" t="s">
        <v>264</v>
      </c>
      <c r="T7" s="19" t="s">
        <v>153</v>
      </c>
      <c r="U7" s="19" t="s">
        <v>147</v>
      </c>
      <c r="V7" s="19" t="s">
        <v>148</v>
      </c>
      <c r="W7" s="19" t="s">
        <v>149</v>
      </c>
      <c r="X7" s="19" t="s">
        <v>150</v>
      </c>
      <c r="Y7" s="19" t="s">
        <v>151</v>
      </c>
      <c r="Z7" s="20" t="s">
        <v>152</v>
      </c>
      <c r="AA7" s="19" t="s">
        <v>335</v>
      </c>
    </row>
    <row r="8" spans="1:27" x14ac:dyDescent="0.35">
      <c r="A8" s="17" t="s">
        <v>103</v>
      </c>
      <c r="B8" s="3" t="s">
        <v>35</v>
      </c>
      <c r="C8" s="3" t="s">
        <v>36</v>
      </c>
      <c r="D8" s="3" t="s">
        <v>37</v>
      </c>
      <c r="E8" s="3" t="s">
        <v>22</v>
      </c>
      <c r="F8" s="3">
        <v>11480.43</v>
      </c>
      <c r="G8" s="3">
        <v>146828</v>
      </c>
      <c r="H8" s="3">
        <v>22431</v>
      </c>
      <c r="I8" s="3">
        <v>180649.72</v>
      </c>
      <c r="J8" s="3">
        <v>27</v>
      </c>
      <c r="K8" s="15">
        <f>H8/G8</f>
        <v>0.15277058871604871</v>
      </c>
      <c r="L8" s="16">
        <f>F8/H8</f>
        <v>0.51181088671927244</v>
      </c>
      <c r="M8" s="16">
        <f>F8/G8*1000</f>
        <v>78.189650475386173</v>
      </c>
      <c r="N8" s="16">
        <f>I8/F8</f>
        <v>15.735448933532977</v>
      </c>
      <c r="O8" s="16">
        <f>(I8-F8)/F8</f>
        <v>14.735448933532977</v>
      </c>
      <c r="P8" s="1">
        <v>2023</v>
      </c>
      <c r="Q8" s="1" t="s">
        <v>56</v>
      </c>
      <c r="R8" s="1" t="s">
        <v>40</v>
      </c>
      <c r="S8" s="70">
        <f>DATE(Table2[[#This Row],[Year]],MONTH(DATEVALUE("1-"&amp;Table2[[#This Row],[Month]]&amp;"-2000")),1)</f>
        <v>44927</v>
      </c>
      <c r="T8" s="16">
        <f>I8/H8</f>
        <v>8.0535740715973425</v>
      </c>
      <c r="U8" s="16">
        <f>I8/G8</f>
        <v>1.2303492521862316</v>
      </c>
      <c r="V8" s="16">
        <f>F8/J8</f>
        <v>425.20111111111112</v>
      </c>
      <c r="W8" s="16">
        <f>I8/J8</f>
        <v>6690.7303703703701</v>
      </c>
      <c r="X8" s="16">
        <f>H8/J8</f>
        <v>830.77777777777783</v>
      </c>
      <c r="Y8" s="16">
        <f>G8/J8</f>
        <v>5438.0740740740739</v>
      </c>
      <c r="Z8" s="7" t="str" cm="1">
        <f t="array" ref="Z8">_xlfn.IFS(K8&lt;2%,"Low",K8&lt;5%,"Medium",K8&lt;10%,"Good",K8&gt;10%,"Excellent")</f>
        <v>Excellent</v>
      </c>
      <c r="AA8" s="106" t="str">
        <f>Data_Validation!N6</f>
        <v>Pass</v>
      </c>
    </row>
    <row r="9" spans="1:27" x14ac:dyDescent="0.35">
      <c r="A9" s="17" t="s">
        <v>120</v>
      </c>
      <c r="B9" s="3" t="s">
        <v>19</v>
      </c>
      <c r="C9" s="3" t="s">
        <v>58</v>
      </c>
      <c r="D9" s="3" t="s">
        <v>63</v>
      </c>
      <c r="E9" s="3" t="s">
        <v>30</v>
      </c>
      <c r="F9" s="3">
        <v>23696.65</v>
      </c>
      <c r="G9" s="3">
        <v>313300</v>
      </c>
      <c r="H9" s="3">
        <v>42898</v>
      </c>
      <c r="I9" s="3">
        <v>243160.04</v>
      </c>
      <c r="J9" s="3">
        <v>58</v>
      </c>
      <c r="K9" s="15">
        <f t="shared" ref="K9:K72" si="0">H9/G9</f>
        <v>0.13692307692307693</v>
      </c>
      <c r="L9" s="16">
        <f>F9/H9</f>
        <v>0.55239521656021262</v>
      </c>
      <c r="M9" s="16">
        <f t="shared" ref="M9:M72" si="1">F9/G9*1000</f>
        <v>75.635652729013742</v>
      </c>
      <c r="N9" s="16">
        <f t="shared" ref="N9:N72" si="2">I9/F9</f>
        <v>10.261367746073812</v>
      </c>
      <c r="O9" s="16">
        <f t="shared" ref="O9:O72" si="3">(I9-F9)/F9</f>
        <v>9.2613677460738124</v>
      </c>
      <c r="P9" s="1">
        <v>2023</v>
      </c>
      <c r="Q9" s="1" t="s">
        <v>56</v>
      </c>
      <c r="R9" s="1" t="s">
        <v>40</v>
      </c>
      <c r="S9" s="70">
        <f>DATE(Table2[[#This Row],[Year]],MONTH(DATEVALUE("1-"&amp;Table2[[#This Row],[Month]]&amp;"-2000")),1)</f>
        <v>44927</v>
      </c>
      <c r="T9" s="16">
        <f t="shared" ref="T9:T72" si="4">I9/H9</f>
        <v>5.668330458296424</v>
      </c>
      <c r="U9" s="16">
        <f t="shared" ref="U9:U72" si="5">I9/G9</f>
        <v>0.77612524736674116</v>
      </c>
      <c r="V9" s="16">
        <f t="shared" ref="V9:V72" si="6">F9/J9</f>
        <v>408.5629310344828</v>
      </c>
      <c r="W9" s="16">
        <f t="shared" ref="W9:W72" si="7">I9/J9</f>
        <v>4192.4144827586206</v>
      </c>
      <c r="X9" s="16">
        <f t="shared" ref="X9:X72" si="8">H9/J9</f>
        <v>739.62068965517244</v>
      </c>
      <c r="Y9" s="16">
        <f t="shared" ref="Y9:Y72" si="9">G9/J9</f>
        <v>5401.7241379310344</v>
      </c>
      <c r="Z9" s="7" t="str" cm="1">
        <f t="array" ref="Z9">_xlfn.IFS(K9&lt;2%,"Low",K9&lt;5%,"Medium",K9&lt;10%,"Good",K9&gt;10%,"Excellent")</f>
        <v>Excellent</v>
      </c>
      <c r="AA9" s="16" t="str">
        <f>Data_Validation!N7</f>
        <v>Pass</v>
      </c>
    </row>
    <row r="10" spans="1:27" x14ac:dyDescent="0.35">
      <c r="A10" s="17" t="s">
        <v>96</v>
      </c>
      <c r="B10" s="3" t="s">
        <v>35</v>
      </c>
      <c r="C10" s="3" t="s">
        <v>36</v>
      </c>
      <c r="D10" s="3" t="s">
        <v>51</v>
      </c>
      <c r="E10" s="3" t="s">
        <v>30</v>
      </c>
      <c r="F10" s="3">
        <v>36694.839999999997</v>
      </c>
      <c r="G10" s="3">
        <v>64382</v>
      </c>
      <c r="H10" s="3">
        <v>21268</v>
      </c>
      <c r="I10" s="3">
        <v>110974.3</v>
      </c>
      <c r="J10" s="3">
        <v>33</v>
      </c>
      <c r="K10" s="15">
        <f t="shared" si="0"/>
        <v>0.33034077847845672</v>
      </c>
      <c r="L10" s="16">
        <f t="shared" ref="L10:L73" si="10">F10/H10</f>
        <v>1.7253545232273837</v>
      </c>
      <c r="M10" s="16">
        <f t="shared" si="1"/>
        <v>569.95495635426039</v>
      </c>
      <c r="N10" s="16">
        <f t="shared" si="2"/>
        <v>3.0242480959175735</v>
      </c>
      <c r="O10" s="16">
        <f t="shared" si="3"/>
        <v>2.0242480959175735</v>
      </c>
      <c r="P10" s="1">
        <v>2023</v>
      </c>
      <c r="Q10" s="1" t="s">
        <v>56</v>
      </c>
      <c r="R10" s="1" t="s">
        <v>40</v>
      </c>
      <c r="S10" s="70">
        <f>DATE(Table2[[#This Row],[Year]],MONTH(DATEVALUE("1-"&amp;Table2[[#This Row],[Month]]&amp;"-2000")),1)</f>
        <v>44927</v>
      </c>
      <c r="T10" s="16">
        <f t="shared" si="4"/>
        <v>5.2179001316531881</v>
      </c>
      <c r="U10" s="16">
        <f t="shared" si="5"/>
        <v>1.7236851915131559</v>
      </c>
      <c r="V10" s="16">
        <f t="shared" si="6"/>
        <v>1111.9648484848483</v>
      </c>
      <c r="W10" s="16">
        <f t="shared" si="7"/>
        <v>3362.8575757575759</v>
      </c>
      <c r="X10" s="16">
        <f t="shared" si="8"/>
        <v>644.4848484848485</v>
      </c>
      <c r="Y10" s="16">
        <f t="shared" si="9"/>
        <v>1950.969696969697</v>
      </c>
      <c r="Z10" s="7" t="str" cm="1">
        <f t="array" ref="Z10">_xlfn.IFS(K10&lt;2%,"Low",K10&lt;5%,"Medium",K10&lt;10%,"Good",K10&gt;10%,"Excellent")</f>
        <v>Excellent</v>
      </c>
      <c r="AA10" s="16" t="str">
        <f>Data_Validation!N8</f>
        <v>Pass</v>
      </c>
    </row>
    <row r="11" spans="1:27" x14ac:dyDescent="0.35">
      <c r="A11" s="17" t="s">
        <v>96</v>
      </c>
      <c r="B11" s="3" t="s">
        <v>35</v>
      </c>
      <c r="C11" s="3" t="s">
        <v>20</v>
      </c>
      <c r="D11" s="3" t="s">
        <v>21</v>
      </c>
      <c r="E11" s="3" t="s">
        <v>30</v>
      </c>
      <c r="F11" s="3">
        <v>2894.08</v>
      </c>
      <c r="G11" s="3">
        <v>228677</v>
      </c>
      <c r="H11" s="3">
        <v>46629</v>
      </c>
      <c r="I11" s="3">
        <v>48638.18</v>
      </c>
      <c r="J11" s="3">
        <v>33</v>
      </c>
      <c r="K11" s="15">
        <f t="shared" si="0"/>
        <v>0.20390769513331031</v>
      </c>
      <c r="L11" s="16">
        <f t="shared" si="10"/>
        <v>6.2066096206223595E-2</v>
      </c>
      <c r="M11" s="16">
        <f t="shared" si="1"/>
        <v>12.655754623333348</v>
      </c>
      <c r="N11" s="16">
        <f t="shared" si="2"/>
        <v>16.806093819106589</v>
      </c>
      <c r="O11" s="16">
        <f t="shared" si="3"/>
        <v>15.806093819106589</v>
      </c>
      <c r="P11" s="1">
        <v>2023</v>
      </c>
      <c r="Q11" s="1" t="s">
        <v>56</v>
      </c>
      <c r="R11" s="1" t="s">
        <v>40</v>
      </c>
      <c r="S11" s="70">
        <f>DATE(Table2[[#This Row],[Year]],MONTH(DATEVALUE("1-"&amp;Table2[[#This Row],[Month]]&amp;"-2000")),1)</f>
        <v>44927</v>
      </c>
      <c r="T11" s="16">
        <f t="shared" si="4"/>
        <v>1.0430886358274893</v>
      </c>
      <c r="U11" s="16">
        <f t="shared" si="5"/>
        <v>0.21269379955133222</v>
      </c>
      <c r="V11" s="16">
        <f t="shared" si="6"/>
        <v>87.699393939393943</v>
      </c>
      <c r="W11" s="16">
        <f t="shared" si="7"/>
        <v>1473.8842424242425</v>
      </c>
      <c r="X11" s="16">
        <f t="shared" si="8"/>
        <v>1413</v>
      </c>
      <c r="Y11" s="16">
        <f t="shared" si="9"/>
        <v>6929.606060606061</v>
      </c>
      <c r="Z11" s="7" t="str" cm="1">
        <f t="array" ref="Z11">_xlfn.IFS(K11&lt;2%,"Low",K11&lt;5%,"Medium",K11&lt;10%,"Good",K11&gt;10%,"Excellent")</f>
        <v>Excellent</v>
      </c>
      <c r="AA11" s="16" t="str">
        <f>Data_Validation!N9</f>
        <v>Pass</v>
      </c>
    </row>
    <row r="12" spans="1:27" x14ac:dyDescent="0.35">
      <c r="A12" s="17" t="s">
        <v>106</v>
      </c>
      <c r="B12" s="3" t="s">
        <v>28</v>
      </c>
      <c r="C12" s="3" t="s">
        <v>58</v>
      </c>
      <c r="D12" s="3" t="s">
        <v>51</v>
      </c>
      <c r="E12" s="3" t="s">
        <v>38</v>
      </c>
      <c r="F12" s="3">
        <v>37828.129999999997</v>
      </c>
      <c r="G12" s="3">
        <v>126041</v>
      </c>
      <c r="H12" s="3">
        <v>12523</v>
      </c>
      <c r="I12" s="3">
        <v>74800.44</v>
      </c>
      <c r="J12" s="3">
        <v>28</v>
      </c>
      <c r="K12" s="15">
        <f t="shared" si="0"/>
        <v>9.9356558580144555E-2</v>
      </c>
      <c r="L12" s="16">
        <f t="shared" si="10"/>
        <v>3.020692326119939</v>
      </c>
      <c r="M12" s="16">
        <f t="shared" si="1"/>
        <v>300.1255940527289</v>
      </c>
      <c r="N12" s="16">
        <f t="shared" si="2"/>
        <v>1.9773760955141058</v>
      </c>
      <c r="O12" s="16">
        <f t="shared" si="3"/>
        <v>0.97737609551410576</v>
      </c>
      <c r="P12" s="1">
        <v>2023</v>
      </c>
      <c r="Q12" s="1" t="s">
        <v>56</v>
      </c>
      <c r="R12" s="1" t="s">
        <v>40</v>
      </c>
      <c r="S12" s="70">
        <f>DATE(Table2[[#This Row],[Year]],MONTH(DATEVALUE("1-"&amp;Table2[[#This Row],[Month]]&amp;"-2000")),1)</f>
        <v>44927</v>
      </c>
      <c r="T12" s="16">
        <f t="shared" si="4"/>
        <v>5.9730447975724665</v>
      </c>
      <c r="U12" s="16">
        <f t="shared" si="5"/>
        <v>0.59346117533183651</v>
      </c>
      <c r="V12" s="16">
        <f t="shared" si="6"/>
        <v>1351.0046428571427</v>
      </c>
      <c r="W12" s="16">
        <f t="shared" si="7"/>
        <v>2671.4442857142858</v>
      </c>
      <c r="X12" s="16">
        <f t="shared" si="8"/>
        <v>447.25</v>
      </c>
      <c r="Y12" s="16">
        <f t="shared" si="9"/>
        <v>4501.4642857142853</v>
      </c>
      <c r="Z12" s="7" t="str" cm="1">
        <f t="array" ref="Z12">_xlfn.IFS(K12&lt;2%,"Low",K12&lt;5%,"Medium",K12&lt;10%,"Good",K12&gt;10%,"Excellent")</f>
        <v>Good</v>
      </c>
      <c r="AA12" s="16" t="str">
        <f>Data_Validation!N10</f>
        <v>Pass</v>
      </c>
    </row>
    <row r="13" spans="1:27" x14ac:dyDescent="0.35">
      <c r="A13" s="17" t="s">
        <v>115</v>
      </c>
      <c r="B13" s="3" t="s">
        <v>48</v>
      </c>
      <c r="C13" s="3" t="s">
        <v>58</v>
      </c>
      <c r="D13" s="3" t="s">
        <v>63</v>
      </c>
      <c r="E13" s="3" t="s">
        <v>22</v>
      </c>
      <c r="F13" s="3">
        <v>8598.43</v>
      </c>
      <c r="G13" s="3">
        <v>122369</v>
      </c>
      <c r="H13" s="3">
        <v>437</v>
      </c>
      <c r="I13" s="3">
        <v>90681.82</v>
      </c>
      <c r="J13" s="3">
        <v>45</v>
      </c>
      <c r="K13" s="15">
        <f t="shared" si="0"/>
        <v>3.5711658998602586E-3</v>
      </c>
      <c r="L13" s="16">
        <f t="shared" si="10"/>
        <v>19.67604118993135</v>
      </c>
      <c r="M13" s="16">
        <f t="shared" si="1"/>
        <v>70.266407341728709</v>
      </c>
      <c r="N13" s="16">
        <f t="shared" si="2"/>
        <v>10.546322991522871</v>
      </c>
      <c r="O13" s="16">
        <f t="shared" si="3"/>
        <v>9.5463229915228727</v>
      </c>
      <c r="P13" s="1">
        <v>2023</v>
      </c>
      <c r="Q13" s="1" t="s">
        <v>56</v>
      </c>
      <c r="R13" s="1" t="s">
        <v>40</v>
      </c>
      <c r="S13" s="70">
        <f>DATE(Table2[[#This Row],[Year]],MONTH(DATEVALUE("1-"&amp;Table2[[#This Row],[Month]]&amp;"-2000")),1)</f>
        <v>44927</v>
      </c>
      <c r="T13" s="16">
        <f t="shared" si="4"/>
        <v>207.50988558352404</v>
      </c>
      <c r="U13" s="16">
        <f t="shared" si="5"/>
        <v>0.74105222727978493</v>
      </c>
      <c r="V13" s="16">
        <f t="shared" si="6"/>
        <v>191.07622222222224</v>
      </c>
      <c r="W13" s="16">
        <f t="shared" si="7"/>
        <v>2015.1515555555557</v>
      </c>
      <c r="X13" s="16">
        <f t="shared" si="8"/>
        <v>9.7111111111111104</v>
      </c>
      <c r="Y13" s="16">
        <f t="shared" si="9"/>
        <v>2719.3111111111111</v>
      </c>
      <c r="Z13" s="7" t="str" cm="1">
        <f t="array" ref="Z13">_xlfn.IFS(K13&lt;2%,"Low",K13&lt;5%,"Medium",K13&lt;10%,"Good",K13&gt;10%,"Excellent")</f>
        <v>Low</v>
      </c>
      <c r="AA13" s="16" t="str">
        <f>Data_Validation!N11</f>
        <v>Pass</v>
      </c>
    </row>
    <row r="14" spans="1:27" x14ac:dyDescent="0.35">
      <c r="A14" s="17" t="s">
        <v>55</v>
      </c>
      <c r="B14" s="3" t="s">
        <v>28</v>
      </c>
      <c r="C14" s="3" t="s">
        <v>29</v>
      </c>
      <c r="D14" s="3" t="s">
        <v>37</v>
      </c>
      <c r="E14" s="3" t="s">
        <v>38</v>
      </c>
      <c r="F14" s="3">
        <v>24147.15</v>
      </c>
      <c r="G14" s="3">
        <v>290608</v>
      </c>
      <c r="H14" s="3">
        <v>43267</v>
      </c>
      <c r="I14" s="3">
        <v>69802.27</v>
      </c>
      <c r="J14" s="3">
        <v>29</v>
      </c>
      <c r="K14" s="15">
        <f t="shared" si="0"/>
        <v>0.1488844078621373</v>
      </c>
      <c r="L14" s="16">
        <f t="shared" si="10"/>
        <v>0.5580962396283542</v>
      </c>
      <c r="M14" s="16">
        <f t="shared" si="1"/>
        <v>83.091828167153011</v>
      </c>
      <c r="N14" s="16">
        <f t="shared" si="2"/>
        <v>2.8907042860130492</v>
      </c>
      <c r="O14" s="16">
        <f t="shared" si="3"/>
        <v>1.8907042860130492</v>
      </c>
      <c r="P14" s="1">
        <v>2023</v>
      </c>
      <c r="Q14" s="1" t="s">
        <v>56</v>
      </c>
      <c r="R14" s="1" t="s">
        <v>40</v>
      </c>
      <c r="S14" s="70">
        <f>DATE(Table2[[#This Row],[Year]],MONTH(DATEVALUE("1-"&amp;Table2[[#This Row],[Month]]&amp;"-2000")),1)</f>
        <v>44927</v>
      </c>
      <c r="T14" s="16">
        <f t="shared" si="4"/>
        <v>1.6132911919014492</v>
      </c>
      <c r="U14" s="16">
        <f t="shared" si="5"/>
        <v>0.240193903815449</v>
      </c>
      <c r="V14" s="16">
        <f t="shared" si="6"/>
        <v>832.6603448275863</v>
      </c>
      <c r="W14" s="16">
        <f t="shared" si="7"/>
        <v>2406.9748275862071</v>
      </c>
      <c r="X14" s="16">
        <f t="shared" si="8"/>
        <v>1491.9655172413793</v>
      </c>
      <c r="Y14" s="16">
        <f t="shared" si="9"/>
        <v>10020.965517241379</v>
      </c>
      <c r="Z14" s="7" t="str" cm="1">
        <f t="array" ref="Z14">_xlfn.IFS(K14&lt;2%,"Low",K14&lt;5%,"Medium",K14&lt;10%,"Good",K14&gt;10%,"Excellent")</f>
        <v>Excellent</v>
      </c>
      <c r="AA14" s="16" t="str">
        <f>Data_Validation!N12</f>
        <v>Pass</v>
      </c>
    </row>
    <row r="15" spans="1:27" x14ac:dyDescent="0.35">
      <c r="A15" s="17" t="s">
        <v>107</v>
      </c>
      <c r="B15" s="3" t="s">
        <v>35</v>
      </c>
      <c r="C15" s="3" t="s">
        <v>36</v>
      </c>
      <c r="D15" s="3" t="s">
        <v>63</v>
      </c>
      <c r="E15" s="3" t="s">
        <v>38</v>
      </c>
      <c r="F15" s="3">
        <v>6070.99</v>
      </c>
      <c r="G15" s="3">
        <v>354625</v>
      </c>
      <c r="H15" s="3">
        <v>23530</v>
      </c>
      <c r="I15" s="3">
        <v>224159.27</v>
      </c>
      <c r="J15" s="3">
        <v>60</v>
      </c>
      <c r="K15" s="15">
        <f t="shared" si="0"/>
        <v>6.63517800493479E-2</v>
      </c>
      <c r="L15" s="16">
        <f t="shared" si="10"/>
        <v>0.25801062473438163</v>
      </c>
      <c r="M15" s="16">
        <f t="shared" si="1"/>
        <v>17.119464222770532</v>
      </c>
      <c r="N15" s="16">
        <f t="shared" si="2"/>
        <v>36.923017497969852</v>
      </c>
      <c r="O15" s="16">
        <f t="shared" si="3"/>
        <v>35.923017497969852</v>
      </c>
      <c r="P15" s="1">
        <v>2023</v>
      </c>
      <c r="Q15" s="1" t="s">
        <v>56</v>
      </c>
      <c r="R15" s="1" t="s">
        <v>40</v>
      </c>
      <c r="S15" s="70">
        <f>DATE(Table2[[#This Row],[Year]],MONTH(DATEVALUE("1-"&amp;Table2[[#This Row],[Month]]&amp;"-2000")),1)</f>
        <v>44927</v>
      </c>
      <c r="T15" s="16">
        <f t="shared" si="4"/>
        <v>9.5265308117297067</v>
      </c>
      <c r="U15" s="16">
        <f t="shared" si="5"/>
        <v>0.63210227705322519</v>
      </c>
      <c r="V15" s="16">
        <f t="shared" si="6"/>
        <v>101.18316666666666</v>
      </c>
      <c r="W15" s="16">
        <f t="shared" si="7"/>
        <v>3735.9878333333331</v>
      </c>
      <c r="X15" s="16">
        <f t="shared" si="8"/>
        <v>392.16666666666669</v>
      </c>
      <c r="Y15" s="16">
        <f t="shared" si="9"/>
        <v>5910.416666666667</v>
      </c>
      <c r="Z15" s="7" t="str" cm="1">
        <f t="array" ref="Z15">_xlfn.IFS(K15&lt;2%,"Low",K15&lt;5%,"Medium",K15&lt;10%,"Good",K15&gt;10%,"Excellent")</f>
        <v>Good</v>
      </c>
      <c r="AA15" s="16" t="str">
        <f>Data_Validation!N13</f>
        <v>Pass</v>
      </c>
    </row>
    <row r="16" spans="1:27" x14ac:dyDescent="0.35">
      <c r="A16" s="17" t="s">
        <v>78</v>
      </c>
      <c r="B16" s="3" t="s">
        <v>35</v>
      </c>
      <c r="C16" s="3" t="s">
        <v>29</v>
      </c>
      <c r="D16" s="3" t="s">
        <v>59</v>
      </c>
      <c r="E16" s="3" t="s">
        <v>38</v>
      </c>
      <c r="F16" s="3">
        <v>34140.35</v>
      </c>
      <c r="G16" s="3">
        <v>723612</v>
      </c>
      <c r="H16" s="3">
        <v>46577</v>
      </c>
      <c r="I16" s="3">
        <v>92666.15</v>
      </c>
      <c r="J16" s="3">
        <v>20</v>
      </c>
      <c r="K16" s="15">
        <f t="shared" si="0"/>
        <v>6.4367368147570797E-2</v>
      </c>
      <c r="L16" s="16">
        <f t="shared" si="10"/>
        <v>0.73298731133392014</v>
      </c>
      <c r="M16" s="16">
        <f t="shared" si="1"/>
        <v>47.180464116128526</v>
      </c>
      <c r="N16" s="16">
        <f t="shared" si="2"/>
        <v>2.7142706504180536</v>
      </c>
      <c r="O16" s="16">
        <f t="shared" si="3"/>
        <v>1.7142706504180536</v>
      </c>
      <c r="P16" s="1">
        <v>2023</v>
      </c>
      <c r="Q16" s="1" t="s">
        <v>56</v>
      </c>
      <c r="R16" s="1" t="s">
        <v>40</v>
      </c>
      <c r="S16" s="70">
        <f>DATE(Table2[[#This Row],[Year]],MONTH(DATEVALUE("1-"&amp;Table2[[#This Row],[Month]]&amp;"-2000")),1)</f>
        <v>44927</v>
      </c>
      <c r="T16" s="16">
        <f t="shared" si="4"/>
        <v>1.9895259462824999</v>
      </c>
      <c r="U16" s="16">
        <f t="shared" si="5"/>
        <v>0.12806054902350983</v>
      </c>
      <c r="V16" s="16">
        <f t="shared" si="6"/>
        <v>1707.0174999999999</v>
      </c>
      <c r="W16" s="16">
        <f t="shared" si="7"/>
        <v>4633.3074999999999</v>
      </c>
      <c r="X16" s="16">
        <f t="shared" si="8"/>
        <v>2328.85</v>
      </c>
      <c r="Y16" s="16">
        <f t="shared" si="9"/>
        <v>36180.6</v>
      </c>
      <c r="Z16" s="7" t="str" cm="1">
        <f t="array" ref="Z16">_xlfn.IFS(K16&lt;2%,"Low",K16&lt;5%,"Medium",K16&lt;10%,"Good",K16&gt;10%,"Excellent")</f>
        <v>Good</v>
      </c>
      <c r="AA16" s="16" t="str">
        <f>Data_Validation!N14</f>
        <v>Pass</v>
      </c>
    </row>
    <row r="17" spans="1:27" x14ac:dyDescent="0.35">
      <c r="A17" s="17" t="s">
        <v>70</v>
      </c>
      <c r="B17" s="3" t="s">
        <v>19</v>
      </c>
      <c r="C17" s="3" t="s">
        <v>29</v>
      </c>
      <c r="D17" s="3" t="s">
        <v>43</v>
      </c>
      <c r="E17" s="3" t="s">
        <v>22</v>
      </c>
      <c r="F17" s="3">
        <v>16097.33</v>
      </c>
      <c r="G17" s="3">
        <v>707640</v>
      </c>
      <c r="H17" s="3">
        <v>38271</v>
      </c>
      <c r="I17" s="3">
        <v>198355.76</v>
      </c>
      <c r="J17" s="3">
        <v>9</v>
      </c>
      <c r="K17" s="15">
        <f t="shared" si="0"/>
        <v>5.4082584364931324E-2</v>
      </c>
      <c r="L17" s="16">
        <f t="shared" si="10"/>
        <v>0.42061430325834182</v>
      </c>
      <c r="M17" s="16">
        <f t="shared" si="1"/>
        <v>22.747908541066078</v>
      </c>
      <c r="N17" s="16">
        <f t="shared" si="2"/>
        <v>12.322277048429772</v>
      </c>
      <c r="O17" s="16">
        <f t="shared" si="3"/>
        <v>11.322277048429772</v>
      </c>
      <c r="P17" s="1">
        <v>2023</v>
      </c>
      <c r="Q17" s="1" t="s">
        <v>56</v>
      </c>
      <c r="R17" s="1" t="s">
        <v>40</v>
      </c>
      <c r="S17" s="70">
        <f>DATE(Table2[[#This Row],[Year]],MONTH(DATEVALUE("1-"&amp;Table2[[#This Row],[Month]]&amp;"-2000")),1)</f>
        <v>44927</v>
      </c>
      <c r="T17" s="16">
        <f t="shared" si="4"/>
        <v>5.1829259752815453</v>
      </c>
      <c r="U17" s="16">
        <f t="shared" si="5"/>
        <v>0.28030603131535808</v>
      </c>
      <c r="V17" s="16">
        <f t="shared" si="6"/>
        <v>1788.5922222222223</v>
      </c>
      <c r="W17" s="16">
        <f t="shared" si="7"/>
        <v>22039.52888888889</v>
      </c>
      <c r="X17" s="16">
        <f t="shared" si="8"/>
        <v>4252.333333333333</v>
      </c>
      <c r="Y17" s="16">
        <f t="shared" si="9"/>
        <v>78626.666666666672</v>
      </c>
      <c r="Z17" s="7" t="str" cm="1">
        <f t="array" ref="Z17">_xlfn.IFS(K17&lt;2%,"Low",K17&lt;5%,"Medium",K17&lt;10%,"Good",K17&gt;10%,"Excellent")</f>
        <v>Good</v>
      </c>
      <c r="AA17" s="16" t="str">
        <f>Data_Validation!N15</f>
        <v>Pass</v>
      </c>
    </row>
    <row r="18" spans="1:27" x14ac:dyDescent="0.35">
      <c r="A18" s="17" t="s">
        <v>106</v>
      </c>
      <c r="B18" s="3" t="s">
        <v>35</v>
      </c>
      <c r="C18" s="3" t="s">
        <v>58</v>
      </c>
      <c r="D18" s="3" t="s">
        <v>21</v>
      </c>
      <c r="E18" s="3" t="s">
        <v>30</v>
      </c>
      <c r="F18" s="3">
        <v>21094.81</v>
      </c>
      <c r="G18" s="3">
        <v>812598</v>
      </c>
      <c r="H18" s="3">
        <v>12055</v>
      </c>
      <c r="I18" s="3">
        <v>120092.36</v>
      </c>
      <c r="J18" s="3">
        <v>42</v>
      </c>
      <c r="K18" s="15">
        <f t="shared" si="0"/>
        <v>1.4835133731562224E-2</v>
      </c>
      <c r="L18" s="16">
        <f t="shared" si="10"/>
        <v>1.7498805474906678</v>
      </c>
      <c r="M18" s="16">
        <f t="shared" si="1"/>
        <v>25.95971193628338</v>
      </c>
      <c r="N18" s="16">
        <f t="shared" si="2"/>
        <v>5.6929813541814314</v>
      </c>
      <c r="O18" s="16">
        <f t="shared" si="3"/>
        <v>4.6929813541814314</v>
      </c>
      <c r="P18" s="1">
        <v>2023</v>
      </c>
      <c r="Q18" s="1" t="s">
        <v>56</v>
      </c>
      <c r="R18" s="1" t="s">
        <v>40</v>
      </c>
      <c r="S18" s="70">
        <f>DATE(Table2[[#This Row],[Year]],MONTH(DATEVALUE("1-"&amp;Table2[[#This Row],[Month]]&amp;"-2000")),1)</f>
        <v>44927</v>
      </c>
      <c r="T18" s="16">
        <f t="shared" si="4"/>
        <v>9.962037328909167</v>
      </c>
      <c r="U18" s="16">
        <f t="shared" si="5"/>
        <v>0.1477881560131824</v>
      </c>
      <c r="V18" s="16">
        <f t="shared" si="6"/>
        <v>502.25738095238097</v>
      </c>
      <c r="W18" s="16">
        <f t="shared" si="7"/>
        <v>2859.341904761905</v>
      </c>
      <c r="X18" s="16">
        <f t="shared" si="8"/>
        <v>287.02380952380952</v>
      </c>
      <c r="Y18" s="16">
        <f t="shared" si="9"/>
        <v>19347.571428571428</v>
      </c>
      <c r="Z18" s="7" t="str" cm="1">
        <f t="array" ref="Z18">_xlfn.IFS(K18&lt;2%,"Low",K18&lt;5%,"Medium",K18&lt;10%,"Good",K18&gt;10%,"Excellent")</f>
        <v>Low</v>
      </c>
      <c r="AA18" s="16" t="str">
        <f>Data_Validation!N16</f>
        <v>Pass</v>
      </c>
    </row>
    <row r="19" spans="1:27" x14ac:dyDescent="0.35">
      <c r="A19" s="17" t="s">
        <v>18</v>
      </c>
      <c r="B19" s="3" t="s">
        <v>19</v>
      </c>
      <c r="C19" s="3" t="s">
        <v>36</v>
      </c>
      <c r="D19" s="3" t="s">
        <v>43</v>
      </c>
      <c r="E19" s="3" t="s">
        <v>30</v>
      </c>
      <c r="F19" s="3">
        <v>25264.68</v>
      </c>
      <c r="G19" s="3">
        <v>721451</v>
      </c>
      <c r="H19" s="3">
        <v>20788</v>
      </c>
      <c r="I19" s="3">
        <v>240631.87</v>
      </c>
      <c r="J19" s="3">
        <v>24</v>
      </c>
      <c r="K19" s="15">
        <f t="shared" si="0"/>
        <v>2.8814153698587985E-2</v>
      </c>
      <c r="L19" s="16">
        <f t="shared" si="10"/>
        <v>1.2153492399461228</v>
      </c>
      <c r="M19" s="16">
        <f t="shared" si="1"/>
        <v>35.019259797269669</v>
      </c>
      <c r="N19" s="16">
        <f t="shared" si="2"/>
        <v>9.5244376734635061</v>
      </c>
      <c r="O19" s="16">
        <f t="shared" si="3"/>
        <v>8.5244376734635079</v>
      </c>
      <c r="P19" s="1">
        <v>2023</v>
      </c>
      <c r="Q19" s="1" t="s">
        <v>56</v>
      </c>
      <c r="R19" s="1" t="s">
        <v>40</v>
      </c>
      <c r="S19" s="70">
        <f>DATE(Table2[[#This Row],[Year]],MONTH(DATEVALUE("1-"&amp;Table2[[#This Row],[Month]]&amp;"-2000")),1)</f>
        <v>44927</v>
      </c>
      <c r="T19" s="16">
        <f t="shared" si="4"/>
        <v>11.575518087358091</v>
      </c>
      <c r="U19" s="16">
        <f t="shared" si="5"/>
        <v>0.33353875730992127</v>
      </c>
      <c r="V19" s="16">
        <f t="shared" si="6"/>
        <v>1052.6949999999999</v>
      </c>
      <c r="W19" s="16">
        <f t="shared" si="7"/>
        <v>10026.327916666667</v>
      </c>
      <c r="X19" s="16">
        <f t="shared" si="8"/>
        <v>866.16666666666663</v>
      </c>
      <c r="Y19" s="16">
        <f t="shared" si="9"/>
        <v>30060.458333333332</v>
      </c>
      <c r="Z19" s="7" t="str" cm="1">
        <f t="array" ref="Z19">_xlfn.IFS(K19&lt;2%,"Low",K19&lt;5%,"Medium",K19&lt;10%,"Good",K19&gt;10%,"Excellent")</f>
        <v>Medium</v>
      </c>
      <c r="AA19" s="16" t="str">
        <f>Data_Validation!N17</f>
        <v>Pass</v>
      </c>
    </row>
    <row r="20" spans="1:27" x14ac:dyDescent="0.35">
      <c r="A20" s="17" t="s">
        <v>99</v>
      </c>
      <c r="B20" s="3" t="s">
        <v>19</v>
      </c>
      <c r="C20" s="3" t="s">
        <v>69</v>
      </c>
      <c r="D20" s="3" t="s">
        <v>43</v>
      </c>
      <c r="E20" s="3" t="s">
        <v>30</v>
      </c>
      <c r="F20" s="3">
        <v>36935.24</v>
      </c>
      <c r="G20" s="3">
        <v>882496</v>
      </c>
      <c r="H20" s="3">
        <v>5340</v>
      </c>
      <c r="I20" s="3">
        <v>119674.49</v>
      </c>
      <c r="J20" s="3">
        <v>19</v>
      </c>
      <c r="K20" s="15">
        <f t="shared" si="0"/>
        <v>6.0510189281311189E-3</v>
      </c>
      <c r="L20" s="16">
        <f t="shared" si="10"/>
        <v>6.9167116104868906</v>
      </c>
      <c r="M20" s="16">
        <f t="shared" si="1"/>
        <v>41.853152875480454</v>
      </c>
      <c r="N20" s="16">
        <f t="shared" si="2"/>
        <v>3.2401167557053916</v>
      </c>
      <c r="O20" s="16">
        <f t="shared" si="3"/>
        <v>2.2401167557053916</v>
      </c>
      <c r="P20" s="1">
        <v>2023</v>
      </c>
      <c r="Q20" s="1" t="s">
        <v>56</v>
      </c>
      <c r="R20" s="1" t="s">
        <v>40</v>
      </c>
      <c r="S20" s="70">
        <f>DATE(Table2[[#This Row],[Year]],MONTH(DATEVALUE("1-"&amp;Table2[[#This Row],[Month]]&amp;"-2000")),1)</f>
        <v>44927</v>
      </c>
      <c r="T20" s="16">
        <f t="shared" si="4"/>
        <v>22.410953183520601</v>
      </c>
      <c r="U20" s="16">
        <f t="shared" si="5"/>
        <v>0.13560910191094352</v>
      </c>
      <c r="V20" s="16">
        <f t="shared" si="6"/>
        <v>1943.9599999999998</v>
      </c>
      <c r="W20" s="16">
        <f t="shared" si="7"/>
        <v>6298.6573684210525</v>
      </c>
      <c r="X20" s="16">
        <f t="shared" si="8"/>
        <v>281.05263157894734</v>
      </c>
      <c r="Y20" s="16">
        <f t="shared" si="9"/>
        <v>46447.15789473684</v>
      </c>
      <c r="Z20" s="7" t="str" cm="1">
        <f t="array" ref="Z20">_xlfn.IFS(K20&lt;2%,"Low",K20&lt;5%,"Medium",K20&lt;10%,"Good",K20&gt;10%,"Excellent")</f>
        <v>Low</v>
      </c>
      <c r="AA20" s="16" t="str">
        <f>Data_Validation!N18</f>
        <v>Pass</v>
      </c>
    </row>
    <row r="21" spans="1:27" x14ac:dyDescent="0.35">
      <c r="A21" s="17" t="s">
        <v>103</v>
      </c>
      <c r="B21" s="3" t="s">
        <v>48</v>
      </c>
      <c r="C21" s="3" t="s">
        <v>36</v>
      </c>
      <c r="D21" s="3" t="s">
        <v>59</v>
      </c>
      <c r="E21" s="3" t="s">
        <v>22</v>
      </c>
      <c r="F21" s="3">
        <v>11978.59</v>
      </c>
      <c r="G21" s="3">
        <v>518453</v>
      </c>
      <c r="H21" s="3">
        <v>27100</v>
      </c>
      <c r="I21" s="3">
        <v>88376.71</v>
      </c>
      <c r="J21" s="3">
        <v>14</v>
      </c>
      <c r="K21" s="15">
        <f t="shared" si="0"/>
        <v>5.2270890514665748E-2</v>
      </c>
      <c r="L21" s="16">
        <f t="shared" si="10"/>
        <v>0.44201439114391144</v>
      </c>
      <c r="M21" s="16">
        <f t="shared" si="1"/>
        <v>23.104485845390037</v>
      </c>
      <c r="N21" s="16">
        <f t="shared" si="2"/>
        <v>7.377889217345281</v>
      </c>
      <c r="O21" s="16">
        <f t="shared" si="3"/>
        <v>6.377889217345281</v>
      </c>
      <c r="P21" s="1">
        <v>2023</v>
      </c>
      <c r="Q21" s="1" t="s">
        <v>56</v>
      </c>
      <c r="R21" s="1" t="s">
        <v>40</v>
      </c>
      <c r="S21" s="70">
        <f>DATE(Table2[[#This Row],[Year]],MONTH(DATEVALUE("1-"&amp;Table2[[#This Row],[Month]]&amp;"-2000")),1)</f>
        <v>44927</v>
      </c>
      <c r="T21" s="16">
        <f t="shared" si="4"/>
        <v>3.2611332103321033</v>
      </c>
      <c r="U21" s="16">
        <f t="shared" si="5"/>
        <v>0.17046233699100979</v>
      </c>
      <c r="V21" s="16">
        <f t="shared" si="6"/>
        <v>855.61357142857139</v>
      </c>
      <c r="W21" s="16">
        <f t="shared" si="7"/>
        <v>6312.6221428571434</v>
      </c>
      <c r="X21" s="16">
        <f t="shared" si="8"/>
        <v>1935.7142857142858</v>
      </c>
      <c r="Y21" s="16">
        <f t="shared" si="9"/>
        <v>37032.357142857145</v>
      </c>
      <c r="Z21" s="7" t="str" cm="1">
        <f t="array" ref="Z21">_xlfn.IFS(K21&lt;2%,"Low",K21&lt;5%,"Medium",K21&lt;10%,"Good",K21&gt;10%,"Excellent")</f>
        <v>Good</v>
      </c>
      <c r="AA21" s="16" t="str">
        <f>Data_Validation!N19</f>
        <v>Pass</v>
      </c>
    </row>
    <row r="22" spans="1:27" x14ac:dyDescent="0.35">
      <c r="A22" s="17" t="s">
        <v>99</v>
      </c>
      <c r="B22" s="3" t="s">
        <v>28</v>
      </c>
      <c r="C22" s="3" t="s">
        <v>58</v>
      </c>
      <c r="D22" s="3" t="s">
        <v>51</v>
      </c>
      <c r="E22" s="3" t="s">
        <v>38</v>
      </c>
      <c r="F22" s="3">
        <v>12819.95</v>
      </c>
      <c r="G22" s="3">
        <v>837630</v>
      </c>
      <c r="H22" s="3">
        <v>26181</v>
      </c>
      <c r="I22" s="3">
        <v>129119.6</v>
      </c>
      <c r="J22" s="3">
        <v>22</v>
      </c>
      <c r="K22" s="15">
        <f t="shared" si="0"/>
        <v>3.1256043837971419E-2</v>
      </c>
      <c r="L22" s="16">
        <f t="shared" si="10"/>
        <v>0.48966617012337194</v>
      </c>
      <c r="M22" s="16">
        <f t="shared" si="1"/>
        <v>15.305027279347684</v>
      </c>
      <c r="N22" s="16">
        <f t="shared" si="2"/>
        <v>10.071770950744737</v>
      </c>
      <c r="O22" s="16">
        <f t="shared" si="3"/>
        <v>9.071770950744737</v>
      </c>
      <c r="P22" s="1">
        <v>2023</v>
      </c>
      <c r="Q22" s="1" t="s">
        <v>56</v>
      </c>
      <c r="R22" s="1" t="s">
        <v>40</v>
      </c>
      <c r="S22" s="70">
        <f>DATE(Table2[[#This Row],[Year]],MONTH(DATEVALUE("1-"&amp;Table2[[#This Row],[Month]]&amp;"-2000")),1)</f>
        <v>44927</v>
      </c>
      <c r="T22" s="16">
        <f t="shared" si="4"/>
        <v>4.9318055078110081</v>
      </c>
      <c r="U22" s="16">
        <f t="shared" si="5"/>
        <v>0.15414872915248978</v>
      </c>
      <c r="V22" s="16">
        <f t="shared" si="6"/>
        <v>582.72500000000002</v>
      </c>
      <c r="W22" s="16">
        <f t="shared" si="7"/>
        <v>5869.0727272727272</v>
      </c>
      <c r="X22" s="16">
        <f t="shared" si="8"/>
        <v>1190.0454545454545</v>
      </c>
      <c r="Y22" s="16">
        <f t="shared" si="9"/>
        <v>38074.090909090912</v>
      </c>
      <c r="Z22" s="7" t="str" cm="1">
        <f t="array" ref="Z22">_xlfn.IFS(K22&lt;2%,"Low",K22&lt;5%,"Medium",K22&lt;10%,"Good",K22&gt;10%,"Excellent")</f>
        <v>Medium</v>
      </c>
      <c r="AA22" s="16" t="str">
        <f>Data_Validation!N20</f>
        <v>Pass</v>
      </c>
    </row>
    <row r="23" spans="1:27" x14ac:dyDescent="0.35">
      <c r="A23" s="17" t="s">
        <v>87</v>
      </c>
      <c r="B23" s="3" t="s">
        <v>28</v>
      </c>
      <c r="C23" s="3" t="s">
        <v>69</v>
      </c>
      <c r="D23" s="3" t="s">
        <v>51</v>
      </c>
      <c r="E23" s="3" t="s">
        <v>30</v>
      </c>
      <c r="F23" s="3">
        <v>34633.21</v>
      </c>
      <c r="G23" s="3">
        <v>994630</v>
      </c>
      <c r="H23" s="3">
        <v>38324</v>
      </c>
      <c r="I23" s="3">
        <v>31078.47</v>
      </c>
      <c r="J23" s="3">
        <v>40</v>
      </c>
      <c r="K23" s="15">
        <f t="shared" si="0"/>
        <v>3.8530910992027184E-2</v>
      </c>
      <c r="L23" s="16">
        <f t="shared" si="10"/>
        <v>0.90369507358313328</v>
      </c>
      <c r="M23" s="16">
        <f t="shared" si="1"/>
        <v>34.820194444165168</v>
      </c>
      <c r="N23" s="16">
        <f t="shared" si="2"/>
        <v>0.89736036596087976</v>
      </c>
      <c r="O23" s="16">
        <f t="shared" si="3"/>
        <v>-0.1026396340391202</v>
      </c>
      <c r="P23" s="1">
        <v>2023</v>
      </c>
      <c r="Q23" s="1" t="s">
        <v>56</v>
      </c>
      <c r="R23" s="1" t="s">
        <v>40</v>
      </c>
      <c r="S23" s="70">
        <f>DATE(Table2[[#This Row],[Year]],MONTH(DATEVALUE("1-"&amp;Table2[[#This Row],[Month]]&amp;"-2000")),1)</f>
        <v>44927</v>
      </c>
      <c r="T23" s="16">
        <f t="shared" si="4"/>
        <v>0.81094014194760466</v>
      </c>
      <c r="U23" s="16">
        <f t="shared" si="5"/>
        <v>3.1246262429245046E-2</v>
      </c>
      <c r="V23" s="16">
        <f t="shared" si="6"/>
        <v>865.83024999999998</v>
      </c>
      <c r="W23" s="16">
        <f t="shared" si="7"/>
        <v>776.96175000000005</v>
      </c>
      <c r="X23" s="16">
        <f t="shared" si="8"/>
        <v>958.1</v>
      </c>
      <c r="Y23" s="16">
        <f t="shared" si="9"/>
        <v>24865.75</v>
      </c>
      <c r="Z23" s="7" t="str" cm="1">
        <f t="array" ref="Z23">_xlfn.IFS(K23&lt;2%,"Low",K23&lt;5%,"Medium",K23&lt;10%,"Good",K23&gt;10%,"Excellent")</f>
        <v>Medium</v>
      </c>
      <c r="AA23" s="16" t="str">
        <f>Data_Validation!N21</f>
        <v>Pass</v>
      </c>
    </row>
    <row r="24" spans="1:27" x14ac:dyDescent="0.35">
      <c r="A24" s="17" t="s">
        <v>114</v>
      </c>
      <c r="B24" s="3" t="s">
        <v>35</v>
      </c>
      <c r="C24" s="3" t="s">
        <v>29</v>
      </c>
      <c r="D24" s="3" t="s">
        <v>21</v>
      </c>
      <c r="E24" s="3" t="s">
        <v>30</v>
      </c>
      <c r="F24" s="3">
        <v>19819.150000000001</v>
      </c>
      <c r="G24" s="3">
        <v>764987</v>
      </c>
      <c r="H24" s="3">
        <v>27466</v>
      </c>
      <c r="I24" s="3">
        <v>77322.11</v>
      </c>
      <c r="J24" s="3">
        <v>22</v>
      </c>
      <c r="K24" s="15">
        <f t="shared" si="0"/>
        <v>3.5903878105118123E-2</v>
      </c>
      <c r="L24" s="16">
        <f t="shared" si="10"/>
        <v>0.72158850942984054</v>
      </c>
      <c r="M24" s="16">
        <f t="shared" si="1"/>
        <v>25.907825884622877</v>
      </c>
      <c r="N24" s="16">
        <f t="shared" si="2"/>
        <v>3.9013837626739791</v>
      </c>
      <c r="O24" s="16">
        <f t="shared" si="3"/>
        <v>2.9013837626739791</v>
      </c>
      <c r="P24" s="1">
        <v>2023</v>
      </c>
      <c r="Q24" s="1" t="s">
        <v>56</v>
      </c>
      <c r="R24" s="1" t="s">
        <v>40</v>
      </c>
      <c r="S24" s="70">
        <f>DATE(Table2[[#This Row],[Year]],MONTH(DATEVALUE("1-"&amp;Table2[[#This Row],[Month]]&amp;"-2000")),1)</f>
        <v>44927</v>
      </c>
      <c r="T24" s="16">
        <f t="shared" si="4"/>
        <v>2.8151936940216995</v>
      </c>
      <c r="U24" s="16">
        <f t="shared" si="5"/>
        <v>0.10107637123245232</v>
      </c>
      <c r="V24" s="16">
        <f t="shared" si="6"/>
        <v>900.87045454545466</v>
      </c>
      <c r="W24" s="16">
        <f t="shared" si="7"/>
        <v>3514.6413636363636</v>
      </c>
      <c r="X24" s="16">
        <f t="shared" si="8"/>
        <v>1248.4545454545455</v>
      </c>
      <c r="Y24" s="16">
        <f t="shared" si="9"/>
        <v>34772.13636363636</v>
      </c>
      <c r="Z24" s="7" t="str" cm="1">
        <f t="array" ref="Z24">_xlfn.IFS(K24&lt;2%,"Low",K24&lt;5%,"Medium",K24&lt;10%,"Good",K24&gt;10%,"Excellent")</f>
        <v>Medium</v>
      </c>
      <c r="AA24" s="16" t="str">
        <f>Data_Validation!N22</f>
        <v>Pass</v>
      </c>
    </row>
    <row r="25" spans="1:27" x14ac:dyDescent="0.35">
      <c r="A25" s="17" t="s">
        <v>50</v>
      </c>
      <c r="B25" s="3" t="s">
        <v>35</v>
      </c>
      <c r="C25" s="3" t="s">
        <v>29</v>
      </c>
      <c r="D25" s="3" t="s">
        <v>51</v>
      </c>
      <c r="E25" s="3" t="s">
        <v>38</v>
      </c>
      <c r="F25" s="3">
        <v>15035.05</v>
      </c>
      <c r="G25" s="3">
        <v>155766</v>
      </c>
      <c r="H25" s="3">
        <v>29062</v>
      </c>
      <c r="I25" s="3">
        <v>222982.96</v>
      </c>
      <c r="J25" s="3">
        <v>36</v>
      </c>
      <c r="K25" s="15">
        <f t="shared" si="0"/>
        <v>0.18657473389571536</v>
      </c>
      <c r="L25" s="16">
        <f t="shared" si="10"/>
        <v>0.51734395430459013</v>
      </c>
      <c r="M25" s="16">
        <f t="shared" si="1"/>
        <v>96.52331060693605</v>
      </c>
      <c r="N25" s="16">
        <f t="shared" si="2"/>
        <v>14.830875853422503</v>
      </c>
      <c r="O25" s="16">
        <f t="shared" si="3"/>
        <v>13.830875853422503</v>
      </c>
      <c r="P25" s="1">
        <v>2023</v>
      </c>
      <c r="Q25" s="1" t="s">
        <v>56</v>
      </c>
      <c r="R25" s="1" t="s">
        <v>40</v>
      </c>
      <c r="S25" s="70">
        <f>DATE(Table2[[#This Row],[Year]],MONTH(DATEVALUE("1-"&amp;Table2[[#This Row],[Month]]&amp;"-2000")),1)</f>
        <v>44927</v>
      </c>
      <c r="T25" s="16">
        <f t="shared" si="4"/>
        <v>7.6726639598100608</v>
      </c>
      <c r="U25" s="16">
        <f t="shared" si="5"/>
        <v>1.4315252365728079</v>
      </c>
      <c r="V25" s="16">
        <f t="shared" si="6"/>
        <v>417.64027777777778</v>
      </c>
      <c r="W25" s="16">
        <f t="shared" si="7"/>
        <v>6193.971111111111</v>
      </c>
      <c r="X25" s="16">
        <f t="shared" si="8"/>
        <v>807.27777777777783</v>
      </c>
      <c r="Y25" s="16">
        <f t="shared" si="9"/>
        <v>4326.833333333333</v>
      </c>
      <c r="Z25" s="7" t="str" cm="1">
        <f t="array" ref="Z25">_xlfn.IFS(K25&lt;2%,"Low",K25&lt;5%,"Medium",K25&lt;10%,"Good",K25&gt;10%,"Excellent")</f>
        <v>Excellent</v>
      </c>
      <c r="AA25" s="16" t="str">
        <f>Data_Validation!N23</f>
        <v>Pass</v>
      </c>
    </row>
    <row r="26" spans="1:27" x14ac:dyDescent="0.35">
      <c r="A26" s="17" t="s">
        <v>108</v>
      </c>
      <c r="B26" s="3" t="s">
        <v>19</v>
      </c>
      <c r="C26" s="3" t="s">
        <v>36</v>
      </c>
      <c r="D26" s="3" t="s">
        <v>63</v>
      </c>
      <c r="E26" s="3" t="s">
        <v>38</v>
      </c>
      <c r="F26" s="3">
        <v>19207.099999999999</v>
      </c>
      <c r="G26" s="3">
        <v>176309</v>
      </c>
      <c r="H26" s="3">
        <v>11550</v>
      </c>
      <c r="I26" s="3">
        <v>207847.43</v>
      </c>
      <c r="J26" s="3">
        <v>28</v>
      </c>
      <c r="K26" s="15">
        <f t="shared" si="0"/>
        <v>6.5509985309882085E-2</v>
      </c>
      <c r="L26" s="16">
        <f t="shared" si="10"/>
        <v>1.6629523809523807</v>
      </c>
      <c r="M26" s="16">
        <f t="shared" si="1"/>
        <v>108.9399860472239</v>
      </c>
      <c r="N26" s="16">
        <f t="shared" si="2"/>
        <v>10.821385321053153</v>
      </c>
      <c r="O26" s="16">
        <f t="shared" si="3"/>
        <v>9.8213853210531514</v>
      </c>
      <c r="P26" s="1">
        <v>2023</v>
      </c>
      <c r="Q26" s="1" t="s">
        <v>56</v>
      </c>
      <c r="R26" s="1" t="s">
        <v>40</v>
      </c>
      <c r="S26" s="70">
        <f>DATE(Table2[[#This Row],[Year]],MONTH(DATEVALUE("1-"&amp;Table2[[#This Row],[Month]]&amp;"-2000")),1)</f>
        <v>44927</v>
      </c>
      <c r="T26" s="16">
        <f t="shared" si="4"/>
        <v>17.995448484848485</v>
      </c>
      <c r="U26" s="16">
        <f t="shared" si="5"/>
        <v>1.1788815658871639</v>
      </c>
      <c r="V26" s="16">
        <f t="shared" si="6"/>
        <v>685.96785714285704</v>
      </c>
      <c r="W26" s="16">
        <f t="shared" si="7"/>
        <v>7423.1224999999995</v>
      </c>
      <c r="X26" s="16">
        <f t="shared" si="8"/>
        <v>412.5</v>
      </c>
      <c r="Y26" s="16">
        <f t="shared" si="9"/>
        <v>6296.75</v>
      </c>
      <c r="Z26" s="7" t="str" cm="1">
        <f t="array" ref="Z26">_xlfn.IFS(K26&lt;2%,"Low",K26&lt;5%,"Medium",K26&lt;10%,"Good",K26&gt;10%,"Excellent")</f>
        <v>Good</v>
      </c>
      <c r="AA26" s="16" t="str">
        <f>Data_Validation!N24</f>
        <v>Pass</v>
      </c>
    </row>
    <row r="27" spans="1:27" x14ac:dyDescent="0.35">
      <c r="A27" s="17" t="s">
        <v>109</v>
      </c>
      <c r="B27" s="3" t="s">
        <v>28</v>
      </c>
      <c r="C27" s="3" t="s">
        <v>69</v>
      </c>
      <c r="D27" s="3" t="s">
        <v>37</v>
      </c>
      <c r="E27" s="3" t="s">
        <v>38</v>
      </c>
      <c r="F27" s="3">
        <v>47793.279999999999</v>
      </c>
      <c r="G27" s="3">
        <v>613727</v>
      </c>
      <c r="H27" s="3">
        <v>28233</v>
      </c>
      <c r="I27" s="3">
        <v>145482.92000000001</v>
      </c>
      <c r="J27" s="3">
        <v>35</v>
      </c>
      <c r="K27" s="15">
        <f t="shared" si="0"/>
        <v>4.6002538588004113E-2</v>
      </c>
      <c r="L27" s="16">
        <f t="shared" si="10"/>
        <v>1.6928162079835654</v>
      </c>
      <c r="M27" s="16">
        <f t="shared" si="1"/>
        <v>77.873842930162752</v>
      </c>
      <c r="N27" s="16">
        <f t="shared" si="2"/>
        <v>3.0440036758305773</v>
      </c>
      <c r="O27" s="16">
        <f t="shared" si="3"/>
        <v>2.0440036758305773</v>
      </c>
      <c r="P27" s="1">
        <v>2023</v>
      </c>
      <c r="Q27" s="1" t="s">
        <v>56</v>
      </c>
      <c r="R27" s="1" t="s">
        <v>40</v>
      </c>
      <c r="S27" s="70">
        <f>DATE(Table2[[#This Row],[Year]],MONTH(DATEVALUE("1-"&amp;Table2[[#This Row],[Month]]&amp;"-2000")),1)</f>
        <v>44927</v>
      </c>
      <c r="T27" s="16">
        <f t="shared" si="4"/>
        <v>5.1529387596075518</v>
      </c>
      <c r="U27" s="16">
        <f t="shared" si="5"/>
        <v>0.23704826413046845</v>
      </c>
      <c r="V27" s="16">
        <f t="shared" si="6"/>
        <v>1365.5222857142858</v>
      </c>
      <c r="W27" s="16">
        <f t="shared" si="7"/>
        <v>4156.6548571428575</v>
      </c>
      <c r="X27" s="16">
        <f t="shared" si="8"/>
        <v>806.65714285714284</v>
      </c>
      <c r="Y27" s="16">
        <f t="shared" si="9"/>
        <v>17535.057142857142</v>
      </c>
      <c r="Z27" s="7" t="str" cm="1">
        <f t="array" ref="Z27">_xlfn.IFS(K27&lt;2%,"Low",K27&lt;5%,"Medium",K27&lt;10%,"Good",K27&gt;10%,"Excellent")</f>
        <v>Medium</v>
      </c>
      <c r="AA27" s="16" t="str">
        <f>Data_Validation!N25</f>
        <v>Pass</v>
      </c>
    </row>
    <row r="28" spans="1:27" x14ac:dyDescent="0.35">
      <c r="A28" s="17" t="s">
        <v>72</v>
      </c>
      <c r="B28" s="3" t="s">
        <v>48</v>
      </c>
      <c r="C28" s="3" t="s">
        <v>69</v>
      </c>
      <c r="D28" s="3" t="s">
        <v>43</v>
      </c>
      <c r="E28" s="3" t="s">
        <v>38</v>
      </c>
      <c r="F28" s="3">
        <v>19915.91</v>
      </c>
      <c r="G28" s="3">
        <v>116440</v>
      </c>
      <c r="H28" s="3">
        <v>16242</v>
      </c>
      <c r="I28" s="3">
        <v>191929.68</v>
      </c>
      <c r="J28" s="3">
        <v>23</v>
      </c>
      <c r="K28" s="15">
        <f t="shared" si="0"/>
        <v>0.13948814840261078</v>
      </c>
      <c r="L28" s="16">
        <f t="shared" si="10"/>
        <v>1.2261981283093215</v>
      </c>
      <c r="M28" s="16">
        <f t="shared" si="1"/>
        <v>171.04010649261423</v>
      </c>
      <c r="N28" s="16">
        <f t="shared" si="2"/>
        <v>9.6370027781808609</v>
      </c>
      <c r="O28" s="16">
        <f t="shared" si="3"/>
        <v>8.6370027781808609</v>
      </c>
      <c r="P28" s="1">
        <v>2023</v>
      </c>
      <c r="Q28" s="1" t="s">
        <v>56</v>
      </c>
      <c r="R28" s="1" t="s">
        <v>40</v>
      </c>
      <c r="S28" s="70">
        <f>DATE(Table2[[#This Row],[Year]],MONTH(DATEVALUE("1-"&amp;Table2[[#This Row],[Month]]&amp;"-2000")),1)</f>
        <v>44927</v>
      </c>
      <c r="T28" s="16">
        <f t="shared" si="4"/>
        <v>11.816874769117103</v>
      </c>
      <c r="U28" s="16">
        <f t="shared" si="5"/>
        <v>1.6483139814496737</v>
      </c>
      <c r="V28" s="16">
        <f t="shared" si="6"/>
        <v>865.90913043478258</v>
      </c>
      <c r="W28" s="16">
        <f t="shared" si="7"/>
        <v>8344.7686956521738</v>
      </c>
      <c r="X28" s="16">
        <f t="shared" si="8"/>
        <v>706.17391304347825</v>
      </c>
      <c r="Y28" s="16">
        <f t="shared" si="9"/>
        <v>5062.608695652174</v>
      </c>
      <c r="Z28" s="7" t="str" cm="1">
        <f t="array" ref="Z28">_xlfn.IFS(K28&lt;2%,"Low",K28&lt;5%,"Medium",K28&lt;10%,"Good",K28&gt;10%,"Excellent")</f>
        <v>Excellent</v>
      </c>
      <c r="AA28" s="16" t="str">
        <f>Data_Validation!N26</f>
        <v>Pass</v>
      </c>
    </row>
    <row r="29" spans="1:27" x14ac:dyDescent="0.35">
      <c r="A29" s="17" t="s">
        <v>105</v>
      </c>
      <c r="B29" s="3" t="s">
        <v>19</v>
      </c>
      <c r="C29" s="3" t="s">
        <v>20</v>
      </c>
      <c r="D29" s="3" t="s">
        <v>21</v>
      </c>
      <c r="E29" s="3" t="s">
        <v>22</v>
      </c>
      <c r="F29" s="3">
        <v>2154.7800000000002</v>
      </c>
      <c r="G29" s="3">
        <v>215703</v>
      </c>
      <c r="H29" s="3">
        <v>35108</v>
      </c>
      <c r="I29" s="3">
        <v>153994.03</v>
      </c>
      <c r="J29" s="3">
        <v>9</v>
      </c>
      <c r="K29" s="15">
        <f t="shared" si="0"/>
        <v>0.16276083318266321</v>
      </c>
      <c r="L29" s="16">
        <f t="shared" si="10"/>
        <v>6.1375754813717674E-2</v>
      </c>
      <c r="M29" s="16">
        <f t="shared" si="1"/>
        <v>9.9895689906955401</v>
      </c>
      <c r="N29" s="16">
        <f t="shared" si="2"/>
        <v>71.466242493433199</v>
      </c>
      <c r="O29" s="16">
        <f t="shared" si="3"/>
        <v>70.466242493433199</v>
      </c>
      <c r="P29" s="1">
        <v>2023</v>
      </c>
      <c r="Q29" s="1" t="s">
        <v>56</v>
      </c>
      <c r="R29" s="1" t="s">
        <v>40</v>
      </c>
      <c r="S29" s="70">
        <f>DATE(Table2[[#This Row],[Year]],MONTH(DATEVALUE("1-"&amp;Table2[[#This Row],[Month]]&amp;"-2000")),1)</f>
        <v>44927</v>
      </c>
      <c r="T29" s="16">
        <f t="shared" si="4"/>
        <v>4.3862945767346471</v>
      </c>
      <c r="U29" s="16">
        <f t="shared" si="5"/>
        <v>0.71391695989392823</v>
      </c>
      <c r="V29" s="16">
        <f t="shared" si="6"/>
        <v>239.42000000000002</v>
      </c>
      <c r="W29" s="16">
        <f t="shared" si="7"/>
        <v>17110.447777777779</v>
      </c>
      <c r="X29" s="16">
        <f t="shared" si="8"/>
        <v>3900.8888888888887</v>
      </c>
      <c r="Y29" s="16">
        <f t="shared" si="9"/>
        <v>23967</v>
      </c>
      <c r="Z29" s="7" t="str" cm="1">
        <f t="array" ref="Z29">_xlfn.IFS(K29&lt;2%,"Low",K29&lt;5%,"Medium",K29&lt;10%,"Good",K29&gt;10%,"Excellent")</f>
        <v>Excellent</v>
      </c>
      <c r="AA29" s="16" t="str">
        <f>Data_Validation!N27</f>
        <v>Pass</v>
      </c>
    </row>
    <row r="30" spans="1:27" x14ac:dyDescent="0.35">
      <c r="A30" s="17" t="s">
        <v>114</v>
      </c>
      <c r="B30" s="3" t="s">
        <v>35</v>
      </c>
      <c r="C30" s="3" t="s">
        <v>29</v>
      </c>
      <c r="D30" s="3" t="s">
        <v>37</v>
      </c>
      <c r="E30" s="3" t="s">
        <v>38</v>
      </c>
      <c r="F30" s="3">
        <v>24717.61</v>
      </c>
      <c r="G30" s="3">
        <v>960895</v>
      </c>
      <c r="H30" s="3">
        <v>5931</v>
      </c>
      <c r="I30" s="3">
        <v>243661.26</v>
      </c>
      <c r="J30" s="3">
        <v>41</v>
      </c>
      <c r="K30" s="15">
        <f t="shared" si="0"/>
        <v>6.1723705503723093E-3</v>
      </c>
      <c r="L30" s="16">
        <f t="shared" si="10"/>
        <v>4.1675282414432644</v>
      </c>
      <c r="M30" s="16">
        <f t="shared" si="1"/>
        <v>25.723528585329301</v>
      </c>
      <c r="N30" s="16">
        <f t="shared" si="2"/>
        <v>9.8578001675728366</v>
      </c>
      <c r="O30" s="16">
        <f t="shared" si="3"/>
        <v>8.8578001675728366</v>
      </c>
      <c r="P30" s="1">
        <v>2023</v>
      </c>
      <c r="Q30" s="1" t="s">
        <v>56</v>
      </c>
      <c r="R30" s="1" t="s">
        <v>40</v>
      </c>
      <c r="S30" s="70">
        <f>DATE(Table2[[#This Row],[Year]],MONTH(DATEVALUE("1-"&amp;Table2[[#This Row],[Month]]&amp;"-2000")),1)</f>
        <v>44927</v>
      </c>
      <c r="T30" s="16">
        <f t="shared" si="4"/>
        <v>41.082660596863938</v>
      </c>
      <c r="U30" s="16">
        <f t="shared" si="5"/>
        <v>0.25357740439902382</v>
      </c>
      <c r="V30" s="16">
        <f t="shared" si="6"/>
        <v>602.86853658536586</v>
      </c>
      <c r="W30" s="16">
        <f t="shared" si="7"/>
        <v>5942.9575609756102</v>
      </c>
      <c r="X30" s="16">
        <f t="shared" si="8"/>
        <v>144.65853658536585</v>
      </c>
      <c r="Y30" s="16">
        <f t="shared" si="9"/>
        <v>23436.463414634145</v>
      </c>
      <c r="Z30" s="7" t="str" cm="1">
        <f t="array" ref="Z30">_xlfn.IFS(K30&lt;2%,"Low",K30&lt;5%,"Medium",K30&lt;10%,"Good",K30&gt;10%,"Excellent")</f>
        <v>Low</v>
      </c>
      <c r="AA30" s="16" t="str">
        <f>Data_Validation!N28</f>
        <v>Pass</v>
      </c>
    </row>
    <row r="31" spans="1:27" x14ac:dyDescent="0.35">
      <c r="A31" s="17" t="s">
        <v>70</v>
      </c>
      <c r="B31" s="3" t="s">
        <v>35</v>
      </c>
      <c r="C31" s="3" t="s">
        <v>29</v>
      </c>
      <c r="D31" s="3" t="s">
        <v>63</v>
      </c>
      <c r="E31" s="3" t="s">
        <v>30</v>
      </c>
      <c r="F31" s="3">
        <v>18833.46</v>
      </c>
      <c r="G31" s="3">
        <v>851814</v>
      </c>
      <c r="H31" s="3">
        <v>33440</v>
      </c>
      <c r="I31" s="3">
        <v>114161.44</v>
      </c>
      <c r="J31" s="3">
        <v>39</v>
      </c>
      <c r="K31" s="15">
        <f t="shared" si="0"/>
        <v>3.9257396567795318E-2</v>
      </c>
      <c r="L31" s="16">
        <f t="shared" si="10"/>
        <v>0.56320155502392344</v>
      </c>
      <c r="M31" s="16">
        <f t="shared" si="1"/>
        <v>22.109826793173159</v>
      </c>
      <c r="N31" s="16">
        <f t="shared" si="2"/>
        <v>6.0616286120553529</v>
      </c>
      <c r="O31" s="16">
        <f t="shared" si="3"/>
        <v>5.0616286120553537</v>
      </c>
      <c r="P31" s="1">
        <v>2023</v>
      </c>
      <c r="Q31" s="1" t="s">
        <v>56</v>
      </c>
      <c r="R31" s="1" t="s">
        <v>40</v>
      </c>
      <c r="S31" s="70">
        <f>DATE(Table2[[#This Row],[Year]],MONTH(DATEVALUE("1-"&amp;Table2[[#This Row],[Month]]&amp;"-2000")),1)</f>
        <v>44927</v>
      </c>
      <c r="T31" s="16">
        <f t="shared" si="4"/>
        <v>3.4139186602870812</v>
      </c>
      <c r="U31" s="16">
        <f t="shared" si="5"/>
        <v>0.13402155869708646</v>
      </c>
      <c r="V31" s="16">
        <f t="shared" si="6"/>
        <v>482.90923076923076</v>
      </c>
      <c r="W31" s="16">
        <f t="shared" si="7"/>
        <v>2927.2164102564102</v>
      </c>
      <c r="X31" s="16">
        <f t="shared" si="8"/>
        <v>857.43589743589746</v>
      </c>
      <c r="Y31" s="16">
        <f t="shared" si="9"/>
        <v>21841.384615384617</v>
      </c>
      <c r="Z31" s="7" t="str" cm="1">
        <f t="array" ref="Z31">_xlfn.IFS(K31&lt;2%,"Low",K31&lt;5%,"Medium",K31&lt;10%,"Good",K31&gt;10%,"Excellent")</f>
        <v>Medium</v>
      </c>
      <c r="AA31" s="16" t="str">
        <f>Data_Validation!N29</f>
        <v>Pass</v>
      </c>
    </row>
    <row r="32" spans="1:27" x14ac:dyDescent="0.35">
      <c r="A32" s="17" t="s">
        <v>96</v>
      </c>
      <c r="B32" s="3" t="s">
        <v>19</v>
      </c>
      <c r="C32" s="3" t="s">
        <v>69</v>
      </c>
      <c r="D32" s="3" t="s">
        <v>51</v>
      </c>
      <c r="E32" s="3" t="s">
        <v>22</v>
      </c>
      <c r="F32" s="3">
        <v>4350.42</v>
      </c>
      <c r="G32" s="3">
        <v>567286</v>
      </c>
      <c r="H32" s="3">
        <v>7308</v>
      </c>
      <c r="I32" s="3">
        <v>172574.92</v>
      </c>
      <c r="J32" s="3">
        <v>44</v>
      </c>
      <c r="K32" s="15">
        <f t="shared" si="0"/>
        <v>1.2882390892777188E-2</v>
      </c>
      <c r="L32" s="16">
        <f t="shared" si="10"/>
        <v>0.59529556650246307</v>
      </c>
      <c r="M32" s="16">
        <f t="shared" si="1"/>
        <v>7.6688301844219673</v>
      </c>
      <c r="N32" s="16">
        <f t="shared" si="2"/>
        <v>39.668565333921784</v>
      </c>
      <c r="O32" s="16">
        <f t="shared" si="3"/>
        <v>38.668565333921784</v>
      </c>
      <c r="P32" s="1">
        <v>2023</v>
      </c>
      <c r="Q32" s="1" t="s">
        <v>56</v>
      </c>
      <c r="R32" s="1" t="s">
        <v>40</v>
      </c>
      <c r="S32" s="70">
        <f>DATE(Table2[[#This Row],[Year]],MONTH(DATEVALUE("1-"&amp;Table2[[#This Row],[Month]]&amp;"-2000")),1)</f>
        <v>44927</v>
      </c>
      <c r="T32" s="16">
        <f t="shared" si="4"/>
        <v>23.614521072796936</v>
      </c>
      <c r="U32" s="16">
        <f t="shared" si="5"/>
        <v>0.30421149120549423</v>
      </c>
      <c r="V32" s="16">
        <f t="shared" si="6"/>
        <v>98.87318181818182</v>
      </c>
      <c r="W32" s="16">
        <f t="shared" si="7"/>
        <v>3922.1572727272728</v>
      </c>
      <c r="X32" s="16">
        <f t="shared" si="8"/>
        <v>166.09090909090909</v>
      </c>
      <c r="Y32" s="16">
        <f t="shared" si="9"/>
        <v>12892.863636363636</v>
      </c>
      <c r="Z32" s="7" t="str" cm="1">
        <f t="array" ref="Z32">_xlfn.IFS(K32&lt;2%,"Low",K32&lt;5%,"Medium",K32&lt;10%,"Good",K32&gt;10%,"Excellent")</f>
        <v>Low</v>
      </c>
      <c r="AA32" s="16" t="str">
        <f>Data_Validation!N30</f>
        <v>Pass</v>
      </c>
    </row>
    <row r="33" spans="1:27" x14ac:dyDescent="0.35">
      <c r="A33" s="17" t="s">
        <v>81</v>
      </c>
      <c r="B33" s="3" t="s">
        <v>19</v>
      </c>
      <c r="C33" s="3" t="s">
        <v>36</v>
      </c>
      <c r="D33" s="3" t="s">
        <v>63</v>
      </c>
      <c r="E33" s="3" t="s">
        <v>38</v>
      </c>
      <c r="F33" s="3">
        <v>12638.03</v>
      </c>
      <c r="G33" s="3">
        <v>852700</v>
      </c>
      <c r="H33" s="3">
        <v>36252</v>
      </c>
      <c r="I33" s="3">
        <v>36793.949999999997</v>
      </c>
      <c r="J33" s="3">
        <v>29</v>
      </c>
      <c r="K33" s="15">
        <f t="shared" si="0"/>
        <v>4.2514366131112938E-2</v>
      </c>
      <c r="L33" s="16">
        <f t="shared" si="10"/>
        <v>0.34861607635440806</v>
      </c>
      <c r="M33" s="16">
        <f t="shared" si="1"/>
        <v>14.821191509323327</v>
      </c>
      <c r="N33" s="16">
        <f t="shared" si="2"/>
        <v>2.9113675153485152</v>
      </c>
      <c r="O33" s="16">
        <f t="shared" si="3"/>
        <v>1.9113675153485152</v>
      </c>
      <c r="P33" s="1">
        <v>2023</v>
      </c>
      <c r="Q33" s="1" t="s">
        <v>56</v>
      </c>
      <c r="R33" s="1" t="s">
        <v>40</v>
      </c>
      <c r="S33" s="70">
        <f>DATE(Table2[[#This Row],[Year]],MONTH(DATEVALUE("1-"&amp;Table2[[#This Row],[Month]]&amp;"-2000")),1)</f>
        <v>44927</v>
      </c>
      <c r="T33" s="16">
        <f t="shared" si="4"/>
        <v>1.0149495200264813</v>
      </c>
      <c r="U33" s="16">
        <f t="shared" si="5"/>
        <v>4.3149935499003166E-2</v>
      </c>
      <c r="V33" s="16">
        <f t="shared" si="6"/>
        <v>435.79413793103453</v>
      </c>
      <c r="W33" s="16">
        <f t="shared" si="7"/>
        <v>1268.7568965517241</v>
      </c>
      <c r="X33" s="16">
        <f t="shared" si="8"/>
        <v>1250.0689655172414</v>
      </c>
      <c r="Y33" s="16">
        <f t="shared" si="9"/>
        <v>29403.448275862069</v>
      </c>
      <c r="Z33" s="7" t="str" cm="1">
        <f t="array" ref="Z33">_xlfn.IFS(K33&lt;2%,"Low",K33&lt;5%,"Medium",K33&lt;10%,"Good",K33&gt;10%,"Excellent")</f>
        <v>Medium</v>
      </c>
      <c r="AA33" s="16" t="str">
        <f>Data_Validation!N31</f>
        <v>Pass</v>
      </c>
    </row>
    <row r="34" spans="1:27" x14ac:dyDescent="0.35">
      <c r="A34" s="17" t="s">
        <v>102</v>
      </c>
      <c r="B34" s="3" t="s">
        <v>48</v>
      </c>
      <c r="C34" s="3" t="s">
        <v>20</v>
      </c>
      <c r="D34" s="3" t="s">
        <v>21</v>
      </c>
      <c r="E34" s="3" t="s">
        <v>22</v>
      </c>
      <c r="F34" s="3">
        <v>40152.22</v>
      </c>
      <c r="G34" s="3">
        <v>554172</v>
      </c>
      <c r="H34" s="3">
        <v>48678</v>
      </c>
      <c r="I34" s="3">
        <v>151986.69</v>
      </c>
      <c r="J34" s="3">
        <v>15</v>
      </c>
      <c r="K34" s="15">
        <f t="shared" si="0"/>
        <v>8.7839154630692279E-2</v>
      </c>
      <c r="L34" s="16">
        <f t="shared" si="10"/>
        <v>0.82485352726077488</v>
      </c>
      <c r="M34" s="16">
        <f t="shared" si="1"/>
        <v>72.454436528731151</v>
      </c>
      <c r="N34" s="16">
        <f t="shared" si="2"/>
        <v>3.7852624338081431</v>
      </c>
      <c r="O34" s="16">
        <f t="shared" si="3"/>
        <v>2.7852624338081431</v>
      </c>
      <c r="P34" s="1">
        <v>2023</v>
      </c>
      <c r="Q34" s="1" t="s">
        <v>56</v>
      </c>
      <c r="R34" s="1" t="s">
        <v>40</v>
      </c>
      <c r="S34" s="70">
        <f>DATE(Table2[[#This Row],[Year]],MONTH(DATEVALUE("1-"&amp;Table2[[#This Row],[Month]]&amp;"-2000")),1)</f>
        <v>44927</v>
      </c>
      <c r="T34" s="16">
        <f t="shared" si="4"/>
        <v>3.1222870701343521</v>
      </c>
      <c r="U34" s="16">
        <f t="shared" si="5"/>
        <v>0.2742590567549425</v>
      </c>
      <c r="V34" s="16">
        <f t="shared" si="6"/>
        <v>2676.8146666666667</v>
      </c>
      <c r="W34" s="16">
        <f t="shared" si="7"/>
        <v>10132.446</v>
      </c>
      <c r="X34" s="16">
        <f t="shared" si="8"/>
        <v>3245.2</v>
      </c>
      <c r="Y34" s="16">
        <f t="shared" si="9"/>
        <v>36944.800000000003</v>
      </c>
      <c r="Z34" s="7" t="str" cm="1">
        <f t="array" ref="Z34">_xlfn.IFS(K34&lt;2%,"Low",K34&lt;5%,"Medium",K34&lt;10%,"Good",K34&gt;10%,"Excellent")</f>
        <v>Good</v>
      </c>
      <c r="AA34" s="16" t="str">
        <f>Data_Validation!N32</f>
        <v>Pass</v>
      </c>
    </row>
    <row r="35" spans="1:27" x14ac:dyDescent="0.35">
      <c r="A35" s="17" t="s">
        <v>72</v>
      </c>
      <c r="B35" s="3" t="s">
        <v>48</v>
      </c>
      <c r="C35" s="3" t="s">
        <v>29</v>
      </c>
      <c r="D35" s="3" t="s">
        <v>63</v>
      </c>
      <c r="E35" s="3" t="s">
        <v>30</v>
      </c>
      <c r="F35" s="3">
        <v>3522.16</v>
      </c>
      <c r="G35" s="3">
        <v>827711</v>
      </c>
      <c r="H35" s="3">
        <v>14145</v>
      </c>
      <c r="I35" s="3">
        <v>214992.24</v>
      </c>
      <c r="J35" s="3">
        <v>30</v>
      </c>
      <c r="K35" s="15">
        <f t="shared" si="0"/>
        <v>1.7089298076260917E-2</v>
      </c>
      <c r="L35" s="16">
        <f t="shared" si="10"/>
        <v>0.24900388829975256</v>
      </c>
      <c r="M35" s="16">
        <f t="shared" si="1"/>
        <v>4.2553016693024501</v>
      </c>
      <c r="N35" s="16">
        <f t="shared" si="2"/>
        <v>61.039884616258206</v>
      </c>
      <c r="O35" s="16">
        <f t="shared" si="3"/>
        <v>60.039884616258206</v>
      </c>
      <c r="P35" s="1">
        <v>2023</v>
      </c>
      <c r="Q35" s="1" t="s">
        <v>56</v>
      </c>
      <c r="R35" s="1" t="s">
        <v>40</v>
      </c>
      <c r="S35" s="70">
        <f>DATE(Table2[[#This Row],[Year]],MONTH(DATEVALUE("1-"&amp;Table2[[#This Row],[Month]]&amp;"-2000")),1)</f>
        <v>44927</v>
      </c>
      <c r="T35" s="16">
        <f t="shared" si="4"/>
        <v>15.199168610816542</v>
      </c>
      <c r="U35" s="16">
        <f t="shared" si="5"/>
        <v>0.25974312290159246</v>
      </c>
      <c r="V35" s="16">
        <f t="shared" si="6"/>
        <v>117.40533333333333</v>
      </c>
      <c r="W35" s="16">
        <f t="shared" si="7"/>
        <v>7166.4079999999994</v>
      </c>
      <c r="X35" s="16">
        <f t="shared" si="8"/>
        <v>471.5</v>
      </c>
      <c r="Y35" s="16">
        <f t="shared" si="9"/>
        <v>27590.366666666665</v>
      </c>
      <c r="Z35" s="7" t="str" cm="1">
        <f t="array" ref="Z35">_xlfn.IFS(K35&lt;2%,"Low",K35&lt;5%,"Medium",K35&lt;10%,"Good",K35&gt;10%,"Excellent")</f>
        <v>Low</v>
      </c>
      <c r="AA35" s="16" t="str">
        <f>Data_Validation!N33</f>
        <v>Pass</v>
      </c>
    </row>
    <row r="36" spans="1:27" x14ac:dyDescent="0.35">
      <c r="A36" s="17" t="s">
        <v>78</v>
      </c>
      <c r="B36" s="3" t="s">
        <v>35</v>
      </c>
      <c r="C36" s="3" t="s">
        <v>58</v>
      </c>
      <c r="D36" s="3" t="s">
        <v>59</v>
      </c>
      <c r="E36" s="3" t="s">
        <v>22</v>
      </c>
      <c r="F36" s="3">
        <v>18341.009999999998</v>
      </c>
      <c r="G36" s="3">
        <v>288479</v>
      </c>
      <c r="H36" s="3">
        <v>7854</v>
      </c>
      <c r="I36" s="3">
        <v>232097.29</v>
      </c>
      <c r="J36" s="3">
        <v>36</v>
      </c>
      <c r="K36" s="15">
        <f t="shared" si="0"/>
        <v>2.7225551946588832E-2</v>
      </c>
      <c r="L36" s="16">
        <f t="shared" si="10"/>
        <v>2.335244461420932</v>
      </c>
      <c r="M36" s="16">
        <f t="shared" si="1"/>
        <v>63.578319392399443</v>
      </c>
      <c r="N36" s="16">
        <f t="shared" si="2"/>
        <v>12.654553375195807</v>
      </c>
      <c r="O36" s="16">
        <f t="shared" si="3"/>
        <v>11.654553375195805</v>
      </c>
      <c r="P36" s="1">
        <v>2023</v>
      </c>
      <c r="Q36" s="1" t="s">
        <v>56</v>
      </c>
      <c r="R36" s="1" t="s">
        <v>40</v>
      </c>
      <c r="S36" s="70">
        <f>DATE(Table2[[#This Row],[Year]],MONTH(DATEVALUE("1-"&amp;Table2[[#This Row],[Month]]&amp;"-2000")),1)</f>
        <v>44927</v>
      </c>
      <c r="T36" s="16">
        <f t="shared" si="4"/>
        <v>29.551475681181564</v>
      </c>
      <c r="U36" s="16">
        <f t="shared" si="5"/>
        <v>0.80455523625636527</v>
      </c>
      <c r="V36" s="16">
        <f t="shared" si="6"/>
        <v>509.47249999999997</v>
      </c>
      <c r="W36" s="16">
        <f t="shared" si="7"/>
        <v>6447.1469444444447</v>
      </c>
      <c r="X36" s="16">
        <f t="shared" si="8"/>
        <v>218.16666666666666</v>
      </c>
      <c r="Y36" s="16">
        <f t="shared" si="9"/>
        <v>8013.3055555555557</v>
      </c>
      <c r="Z36" s="7" t="str" cm="1">
        <f t="array" ref="Z36">_xlfn.IFS(K36&lt;2%,"Low",K36&lt;5%,"Medium",K36&lt;10%,"Good",K36&gt;10%,"Excellent")</f>
        <v>Medium</v>
      </c>
      <c r="AA36" s="16" t="str">
        <f>Data_Validation!N34</f>
        <v>Pass</v>
      </c>
    </row>
    <row r="37" spans="1:27" x14ac:dyDescent="0.35">
      <c r="A37" s="17" t="s">
        <v>91</v>
      </c>
      <c r="B37" s="3" t="s">
        <v>48</v>
      </c>
      <c r="C37" s="3" t="s">
        <v>20</v>
      </c>
      <c r="D37" s="3" t="s">
        <v>43</v>
      </c>
      <c r="E37" s="3" t="s">
        <v>22</v>
      </c>
      <c r="F37" s="3">
        <v>14294.24</v>
      </c>
      <c r="G37" s="3">
        <v>433956</v>
      </c>
      <c r="H37" s="3">
        <v>47559</v>
      </c>
      <c r="I37" s="3">
        <v>45435.96</v>
      </c>
      <c r="J37" s="3">
        <v>30</v>
      </c>
      <c r="K37" s="15">
        <f t="shared" si="0"/>
        <v>0.10959406022730415</v>
      </c>
      <c r="L37" s="16">
        <f t="shared" si="10"/>
        <v>0.30055804369309697</v>
      </c>
      <c r="M37" s="16">
        <f t="shared" si="1"/>
        <v>32.939376342301983</v>
      </c>
      <c r="N37" s="16">
        <f t="shared" si="2"/>
        <v>3.1786201994649592</v>
      </c>
      <c r="O37" s="16">
        <f t="shared" si="3"/>
        <v>2.1786201994649592</v>
      </c>
      <c r="P37" s="1">
        <v>2023</v>
      </c>
      <c r="Q37" s="1" t="s">
        <v>56</v>
      </c>
      <c r="R37" s="1" t="s">
        <v>40</v>
      </c>
      <c r="S37" s="70">
        <f>DATE(Table2[[#This Row],[Year]],MONTH(DATEVALUE("1-"&amp;Table2[[#This Row],[Month]]&amp;"-2000")),1)</f>
        <v>44927</v>
      </c>
      <c r="T37" s="16">
        <f t="shared" si="4"/>
        <v>0.95535986879454993</v>
      </c>
      <c r="U37" s="16">
        <f t="shared" si="5"/>
        <v>0.1047017669994193</v>
      </c>
      <c r="V37" s="16">
        <f t="shared" si="6"/>
        <v>476.47466666666668</v>
      </c>
      <c r="W37" s="16">
        <f t="shared" si="7"/>
        <v>1514.5319999999999</v>
      </c>
      <c r="X37" s="16">
        <f t="shared" si="8"/>
        <v>1585.3</v>
      </c>
      <c r="Y37" s="16">
        <f t="shared" si="9"/>
        <v>14465.2</v>
      </c>
      <c r="Z37" s="7" t="str" cm="1">
        <f t="array" ref="Z37">_xlfn.IFS(K37&lt;2%,"Low",K37&lt;5%,"Medium",K37&lt;10%,"Good",K37&gt;10%,"Excellent")</f>
        <v>Excellent</v>
      </c>
      <c r="AA37" s="16" t="str">
        <f>Data_Validation!N35</f>
        <v>Pass</v>
      </c>
    </row>
    <row r="38" spans="1:27" x14ac:dyDescent="0.35">
      <c r="A38" s="17" t="s">
        <v>72</v>
      </c>
      <c r="B38" s="3" t="s">
        <v>28</v>
      </c>
      <c r="C38" s="3" t="s">
        <v>36</v>
      </c>
      <c r="D38" s="3" t="s">
        <v>21</v>
      </c>
      <c r="E38" s="3" t="s">
        <v>30</v>
      </c>
      <c r="F38" s="3">
        <v>7572.34</v>
      </c>
      <c r="G38" s="3">
        <v>731403</v>
      </c>
      <c r="H38" s="3">
        <v>39169</v>
      </c>
      <c r="I38" s="3">
        <v>238866.06</v>
      </c>
      <c r="J38" s="3">
        <v>13</v>
      </c>
      <c r="K38" s="15">
        <f t="shared" si="0"/>
        <v>5.3553239458957645E-2</v>
      </c>
      <c r="L38" s="16">
        <f t="shared" si="10"/>
        <v>0.19332482320202202</v>
      </c>
      <c r="M38" s="16">
        <f t="shared" si="1"/>
        <v>10.353170550298536</v>
      </c>
      <c r="N38" s="16">
        <f t="shared" si="2"/>
        <v>31.544550297530222</v>
      </c>
      <c r="O38" s="16">
        <f t="shared" si="3"/>
        <v>30.544550297530222</v>
      </c>
      <c r="P38" s="1">
        <v>2023</v>
      </c>
      <c r="Q38" s="1" t="s">
        <v>39</v>
      </c>
      <c r="R38" s="1" t="s">
        <v>40</v>
      </c>
      <c r="S38" s="70">
        <f>DATE(Table2[[#This Row],[Year]],MONTH(DATEVALUE("1-"&amp;Table2[[#This Row],[Month]]&amp;"-2000")),1)</f>
        <v>44958</v>
      </c>
      <c r="T38" s="16">
        <f t="shared" si="4"/>
        <v>6.098344609257321</v>
      </c>
      <c r="U38" s="16">
        <f t="shared" si="5"/>
        <v>0.32658610916280079</v>
      </c>
      <c r="V38" s="16">
        <f t="shared" si="6"/>
        <v>582.48769230769233</v>
      </c>
      <c r="W38" s="16">
        <f t="shared" si="7"/>
        <v>18374.312307692308</v>
      </c>
      <c r="X38" s="16">
        <f t="shared" si="8"/>
        <v>3013</v>
      </c>
      <c r="Y38" s="16">
        <f t="shared" si="9"/>
        <v>56261.769230769234</v>
      </c>
      <c r="Z38" s="7" t="str" cm="1">
        <f t="array" ref="Z38">_xlfn.IFS(K38&lt;2%,"Low",K38&lt;5%,"Medium",K38&lt;10%,"Good",K38&gt;10%,"Excellent")</f>
        <v>Good</v>
      </c>
      <c r="AA38" s="16" t="str">
        <f>Data_Validation!N36</f>
        <v>Pass</v>
      </c>
    </row>
    <row r="39" spans="1:27" x14ac:dyDescent="0.35">
      <c r="A39" s="17" t="s">
        <v>103</v>
      </c>
      <c r="B39" s="3" t="s">
        <v>19</v>
      </c>
      <c r="C39" s="3" t="s">
        <v>36</v>
      </c>
      <c r="D39" s="3" t="s">
        <v>37</v>
      </c>
      <c r="E39" s="3" t="s">
        <v>38</v>
      </c>
      <c r="F39" s="3">
        <v>34428.61</v>
      </c>
      <c r="G39" s="3">
        <v>888721</v>
      </c>
      <c r="H39" s="3">
        <v>39636</v>
      </c>
      <c r="I39" s="3">
        <v>78118.179999999993</v>
      </c>
      <c r="J39" s="3">
        <v>15</v>
      </c>
      <c r="K39" s="15">
        <f t="shared" si="0"/>
        <v>4.4598923621699045E-2</v>
      </c>
      <c r="L39" s="16">
        <f t="shared" si="10"/>
        <v>0.86861968917146026</v>
      </c>
      <c r="M39" s="16">
        <f t="shared" si="1"/>
        <v>38.73950317366193</v>
      </c>
      <c r="N39" s="16">
        <f t="shared" si="2"/>
        <v>2.268990238060729</v>
      </c>
      <c r="O39" s="16">
        <f t="shared" si="3"/>
        <v>1.268990238060729</v>
      </c>
      <c r="P39" s="1">
        <v>2023</v>
      </c>
      <c r="Q39" s="1" t="s">
        <v>39</v>
      </c>
      <c r="R39" s="1" t="s">
        <v>40</v>
      </c>
      <c r="S39" s="70">
        <f>DATE(Table2[[#This Row],[Year]],MONTH(DATEVALUE("1-"&amp;Table2[[#This Row],[Month]]&amp;"-2000")),1)</f>
        <v>44958</v>
      </c>
      <c r="T39" s="16">
        <f t="shared" si="4"/>
        <v>1.9708895953173882</v>
      </c>
      <c r="U39" s="16">
        <f t="shared" si="5"/>
        <v>8.789955452836154E-2</v>
      </c>
      <c r="V39" s="16">
        <f t="shared" si="6"/>
        <v>2295.2406666666666</v>
      </c>
      <c r="W39" s="16">
        <f t="shared" si="7"/>
        <v>5207.8786666666665</v>
      </c>
      <c r="X39" s="16">
        <f t="shared" si="8"/>
        <v>2642.4</v>
      </c>
      <c r="Y39" s="16">
        <f t="shared" si="9"/>
        <v>59248.066666666666</v>
      </c>
      <c r="Z39" s="7" t="str" cm="1">
        <f t="array" ref="Z39">_xlfn.IFS(K39&lt;2%,"Low",K39&lt;5%,"Medium",K39&lt;10%,"Good",K39&gt;10%,"Excellent")</f>
        <v>Medium</v>
      </c>
      <c r="AA39" s="16" t="str">
        <f>Data_Validation!N37</f>
        <v>Pass</v>
      </c>
    </row>
    <row r="40" spans="1:27" x14ac:dyDescent="0.35">
      <c r="A40" s="17" t="s">
        <v>86</v>
      </c>
      <c r="B40" s="3" t="s">
        <v>48</v>
      </c>
      <c r="C40" s="3" t="s">
        <v>69</v>
      </c>
      <c r="D40" s="3" t="s">
        <v>37</v>
      </c>
      <c r="E40" s="3" t="s">
        <v>30</v>
      </c>
      <c r="F40" s="3">
        <v>20209.64</v>
      </c>
      <c r="G40" s="3">
        <v>402505</v>
      </c>
      <c r="H40" s="3">
        <v>39849</v>
      </c>
      <c r="I40" s="3">
        <v>159667.04</v>
      </c>
      <c r="J40" s="3">
        <v>60</v>
      </c>
      <c r="K40" s="15">
        <f t="shared" si="0"/>
        <v>9.9002496863393005E-2</v>
      </c>
      <c r="L40" s="16">
        <f t="shared" si="10"/>
        <v>0.50715551205801901</v>
      </c>
      <c r="M40" s="16">
        <f t="shared" si="1"/>
        <v>50.2096619917765</v>
      </c>
      <c r="N40" s="16">
        <f t="shared" si="2"/>
        <v>7.9005385548678753</v>
      </c>
      <c r="O40" s="16">
        <f t="shared" si="3"/>
        <v>6.9005385548678762</v>
      </c>
      <c r="P40" s="1">
        <v>2023</v>
      </c>
      <c r="Q40" s="1" t="s">
        <v>39</v>
      </c>
      <c r="R40" s="1" t="s">
        <v>40</v>
      </c>
      <c r="S40" s="70">
        <f>DATE(Table2[[#This Row],[Year]],MONTH(DATEVALUE("1-"&amp;Table2[[#This Row],[Month]]&amp;"-2000")),1)</f>
        <v>44958</v>
      </c>
      <c r="T40" s="16">
        <f t="shared" si="4"/>
        <v>4.0068016763281387</v>
      </c>
      <c r="U40" s="16">
        <f t="shared" si="5"/>
        <v>0.3966833703929144</v>
      </c>
      <c r="V40" s="16">
        <f t="shared" si="6"/>
        <v>336.82733333333334</v>
      </c>
      <c r="W40" s="16">
        <f t="shared" si="7"/>
        <v>2661.1173333333336</v>
      </c>
      <c r="X40" s="16">
        <f t="shared" si="8"/>
        <v>664.15</v>
      </c>
      <c r="Y40" s="16">
        <f t="shared" si="9"/>
        <v>6708.416666666667</v>
      </c>
      <c r="Z40" s="7" t="str" cm="1">
        <f t="array" ref="Z40">_xlfn.IFS(K40&lt;2%,"Low",K40&lt;5%,"Medium",K40&lt;10%,"Good",K40&gt;10%,"Excellent")</f>
        <v>Good</v>
      </c>
      <c r="AA40" s="16" t="str">
        <f>Data_Validation!N38</f>
        <v>Pass</v>
      </c>
    </row>
    <row r="41" spans="1:27" x14ac:dyDescent="0.35">
      <c r="A41" s="17" t="s">
        <v>104</v>
      </c>
      <c r="B41" s="3" t="s">
        <v>48</v>
      </c>
      <c r="C41" s="3" t="s">
        <v>36</v>
      </c>
      <c r="D41" s="3" t="s">
        <v>51</v>
      </c>
      <c r="E41" s="3" t="s">
        <v>22</v>
      </c>
      <c r="F41" s="3">
        <v>4890.17</v>
      </c>
      <c r="G41" s="3">
        <v>24760</v>
      </c>
      <c r="H41" s="3">
        <v>21216</v>
      </c>
      <c r="I41" s="3">
        <v>190427.7</v>
      </c>
      <c r="J41" s="3">
        <v>40</v>
      </c>
      <c r="K41" s="15">
        <f t="shared" si="0"/>
        <v>0.85686591276252022</v>
      </c>
      <c r="L41" s="16">
        <f t="shared" si="10"/>
        <v>0.23049443815987933</v>
      </c>
      <c r="M41" s="16">
        <f t="shared" si="1"/>
        <v>197.5028271405493</v>
      </c>
      <c r="N41" s="16">
        <f t="shared" si="2"/>
        <v>38.940916164468725</v>
      </c>
      <c r="O41" s="16">
        <f t="shared" si="3"/>
        <v>37.940916164468717</v>
      </c>
      <c r="P41" s="1">
        <v>2023</v>
      </c>
      <c r="Q41" s="1" t="s">
        <v>39</v>
      </c>
      <c r="R41" s="1" t="s">
        <v>40</v>
      </c>
      <c r="S41" s="70">
        <f>DATE(Table2[[#This Row],[Year]],MONTH(DATEVALUE("1-"&amp;Table2[[#This Row],[Month]]&amp;"-2000")),1)</f>
        <v>44958</v>
      </c>
      <c r="T41" s="16">
        <f t="shared" si="4"/>
        <v>8.9756645927601824</v>
      </c>
      <c r="U41" s="16">
        <f t="shared" si="5"/>
        <v>7.6909410339256867</v>
      </c>
      <c r="V41" s="16">
        <f t="shared" si="6"/>
        <v>122.25425</v>
      </c>
      <c r="W41" s="16">
        <f t="shared" si="7"/>
        <v>4760.6925000000001</v>
      </c>
      <c r="X41" s="16">
        <f t="shared" si="8"/>
        <v>530.4</v>
      </c>
      <c r="Y41" s="16">
        <f t="shared" si="9"/>
        <v>619</v>
      </c>
      <c r="Z41" s="7" t="str" cm="1">
        <f t="array" ref="Z41">_xlfn.IFS(K41&lt;2%,"Low",K41&lt;5%,"Medium",K41&lt;10%,"Good",K41&gt;10%,"Excellent")</f>
        <v>Excellent</v>
      </c>
      <c r="AA41" s="16" t="str">
        <f>Data_Validation!N39</f>
        <v>Pass</v>
      </c>
    </row>
    <row r="42" spans="1:27" x14ac:dyDescent="0.35">
      <c r="A42" s="17" t="s">
        <v>89</v>
      </c>
      <c r="B42" s="3" t="s">
        <v>28</v>
      </c>
      <c r="C42" s="3" t="s">
        <v>20</v>
      </c>
      <c r="D42" s="3" t="s">
        <v>37</v>
      </c>
      <c r="E42" s="3" t="s">
        <v>38</v>
      </c>
      <c r="F42" s="3">
        <v>17037.34</v>
      </c>
      <c r="G42" s="3">
        <v>549764</v>
      </c>
      <c r="H42" s="3">
        <v>27701</v>
      </c>
      <c r="I42" s="3">
        <v>70321.63</v>
      </c>
      <c r="J42" s="3">
        <v>35</v>
      </c>
      <c r="K42" s="15">
        <f t="shared" si="0"/>
        <v>5.0387075181350542E-2</v>
      </c>
      <c r="L42" s="16">
        <f t="shared" si="10"/>
        <v>0.61504422223024435</v>
      </c>
      <c r="M42" s="16">
        <f t="shared" si="1"/>
        <v>30.990279465370595</v>
      </c>
      <c r="N42" s="16">
        <f t="shared" si="2"/>
        <v>4.127500537055667</v>
      </c>
      <c r="O42" s="16">
        <f t="shared" si="3"/>
        <v>3.1275005370556674</v>
      </c>
      <c r="P42" s="1">
        <v>2023</v>
      </c>
      <c r="Q42" s="1" t="s">
        <v>39</v>
      </c>
      <c r="R42" s="1" t="s">
        <v>40</v>
      </c>
      <c r="S42" s="70">
        <f>DATE(Table2[[#This Row],[Year]],MONTH(DATEVALUE("1-"&amp;Table2[[#This Row],[Month]]&amp;"-2000")),1)</f>
        <v>44958</v>
      </c>
      <c r="T42" s="16">
        <f t="shared" si="4"/>
        <v>2.5385953575683189</v>
      </c>
      <c r="U42" s="16">
        <f t="shared" si="5"/>
        <v>0.12791239513682234</v>
      </c>
      <c r="V42" s="16">
        <f t="shared" si="6"/>
        <v>486.78114285714287</v>
      </c>
      <c r="W42" s="16">
        <f t="shared" si="7"/>
        <v>2009.1894285714286</v>
      </c>
      <c r="X42" s="16">
        <f t="shared" si="8"/>
        <v>791.45714285714291</v>
      </c>
      <c r="Y42" s="16">
        <f t="shared" si="9"/>
        <v>15707.542857142857</v>
      </c>
      <c r="Z42" s="7" t="str" cm="1">
        <f t="array" ref="Z42">_xlfn.IFS(K42&lt;2%,"Low",K42&lt;5%,"Medium",K42&lt;10%,"Good",K42&gt;10%,"Excellent")</f>
        <v>Good</v>
      </c>
      <c r="AA42" s="16" t="str">
        <f>Data_Validation!N40</f>
        <v>Pass</v>
      </c>
    </row>
    <row r="43" spans="1:27" x14ac:dyDescent="0.35">
      <c r="A43" s="17" t="s">
        <v>70</v>
      </c>
      <c r="B43" s="3" t="s">
        <v>28</v>
      </c>
      <c r="C43" s="3" t="s">
        <v>69</v>
      </c>
      <c r="D43" s="3" t="s">
        <v>51</v>
      </c>
      <c r="E43" s="3" t="s">
        <v>22</v>
      </c>
      <c r="F43" s="3">
        <v>2626.55</v>
      </c>
      <c r="G43" s="3">
        <v>648221</v>
      </c>
      <c r="H43" s="3">
        <v>44717</v>
      </c>
      <c r="I43" s="3">
        <v>174947.01</v>
      </c>
      <c r="J43" s="3">
        <v>17</v>
      </c>
      <c r="K43" s="15">
        <f t="shared" si="0"/>
        <v>6.8984189034295401E-2</v>
      </c>
      <c r="L43" s="16">
        <f t="shared" si="10"/>
        <v>5.8737169309211266E-2</v>
      </c>
      <c r="M43" s="16">
        <f t="shared" si="1"/>
        <v>4.0519359909660437</v>
      </c>
      <c r="N43" s="16">
        <f t="shared" si="2"/>
        <v>66.607150063771869</v>
      </c>
      <c r="O43" s="16">
        <f t="shared" si="3"/>
        <v>65.607150063771869</v>
      </c>
      <c r="P43" s="1">
        <v>2023</v>
      </c>
      <c r="Q43" s="1" t="s">
        <v>39</v>
      </c>
      <c r="R43" s="1" t="s">
        <v>40</v>
      </c>
      <c r="S43" s="70">
        <f>DATE(Table2[[#This Row],[Year]],MONTH(DATEVALUE("1-"&amp;Table2[[#This Row],[Month]]&amp;"-2000")),1)</f>
        <v>44958</v>
      </c>
      <c r="T43" s="16">
        <f t="shared" si="4"/>
        <v>3.9123154504998103</v>
      </c>
      <c r="U43" s="16">
        <f t="shared" si="5"/>
        <v>0.26988790859907347</v>
      </c>
      <c r="V43" s="16">
        <f t="shared" si="6"/>
        <v>154.50294117647059</v>
      </c>
      <c r="W43" s="16">
        <f t="shared" si="7"/>
        <v>10291.000588235294</v>
      </c>
      <c r="X43" s="16">
        <f t="shared" si="8"/>
        <v>2630.4117647058824</v>
      </c>
      <c r="Y43" s="16">
        <f t="shared" si="9"/>
        <v>38130.647058823532</v>
      </c>
      <c r="Z43" s="7" t="str" cm="1">
        <f t="array" ref="Z43">_xlfn.IFS(K43&lt;2%,"Low",K43&lt;5%,"Medium",K43&lt;10%,"Good",K43&gt;10%,"Excellent")</f>
        <v>Good</v>
      </c>
      <c r="AA43" s="16" t="str">
        <f>Data_Validation!N41</f>
        <v>Pass</v>
      </c>
    </row>
    <row r="44" spans="1:27" x14ac:dyDescent="0.35">
      <c r="A44" s="17" t="s">
        <v>113</v>
      </c>
      <c r="B44" s="3" t="s">
        <v>48</v>
      </c>
      <c r="C44" s="3" t="s">
        <v>36</v>
      </c>
      <c r="D44" s="3" t="s">
        <v>21</v>
      </c>
      <c r="E44" s="3" t="s">
        <v>22</v>
      </c>
      <c r="F44" s="3">
        <v>2592.06</v>
      </c>
      <c r="G44" s="3">
        <v>170633</v>
      </c>
      <c r="H44" s="3">
        <v>46344</v>
      </c>
      <c r="I44" s="3">
        <v>185368.06</v>
      </c>
      <c r="J44" s="3">
        <v>29</v>
      </c>
      <c r="K44" s="15">
        <f t="shared" si="0"/>
        <v>0.27160045243299946</v>
      </c>
      <c r="L44" s="16">
        <f t="shared" si="10"/>
        <v>5.5930864836872089E-2</v>
      </c>
      <c r="M44" s="16">
        <f t="shared" si="1"/>
        <v>15.190848194663399</v>
      </c>
      <c r="N44" s="16">
        <f t="shared" si="2"/>
        <v>71.513799834880359</v>
      </c>
      <c r="O44" s="16">
        <f t="shared" si="3"/>
        <v>70.513799834880373</v>
      </c>
      <c r="P44" s="1">
        <v>2023</v>
      </c>
      <c r="Q44" s="1" t="s">
        <v>39</v>
      </c>
      <c r="R44" s="1" t="s">
        <v>40</v>
      </c>
      <c r="S44" s="70">
        <f>DATE(Table2[[#This Row],[Year]],MONTH(DATEVALUE("1-"&amp;Table2[[#This Row],[Month]]&amp;"-2000")),1)</f>
        <v>44958</v>
      </c>
      <c r="T44" s="16">
        <f t="shared" si="4"/>
        <v>3.999828672535819</v>
      </c>
      <c r="U44" s="16">
        <f t="shared" si="5"/>
        <v>1.0863552771152121</v>
      </c>
      <c r="V44" s="16">
        <f t="shared" si="6"/>
        <v>89.381379310344826</v>
      </c>
      <c r="W44" s="16">
        <f t="shared" si="7"/>
        <v>6392.0020689655175</v>
      </c>
      <c r="X44" s="16">
        <f t="shared" si="8"/>
        <v>1598.0689655172414</v>
      </c>
      <c r="Y44" s="16">
        <f t="shared" si="9"/>
        <v>5883.8965517241377</v>
      </c>
      <c r="Z44" s="7" t="str" cm="1">
        <f t="array" ref="Z44">_xlfn.IFS(K44&lt;2%,"Low",K44&lt;5%,"Medium",K44&lt;10%,"Good",K44&gt;10%,"Excellent")</f>
        <v>Excellent</v>
      </c>
      <c r="AA44" s="16" t="str">
        <f>Data_Validation!N42</f>
        <v>Pass</v>
      </c>
    </row>
    <row r="45" spans="1:27" x14ac:dyDescent="0.35">
      <c r="A45" s="17" t="s">
        <v>119</v>
      </c>
      <c r="B45" s="3" t="s">
        <v>19</v>
      </c>
      <c r="C45" s="3" t="s">
        <v>36</v>
      </c>
      <c r="D45" s="3" t="s">
        <v>43</v>
      </c>
      <c r="E45" s="3" t="s">
        <v>30</v>
      </c>
      <c r="F45" s="3">
        <v>51451.97</v>
      </c>
      <c r="G45" s="3">
        <v>867115</v>
      </c>
      <c r="H45" s="3">
        <v>12580</v>
      </c>
      <c r="I45" s="3">
        <v>52267.24</v>
      </c>
      <c r="J45" s="3">
        <v>43</v>
      </c>
      <c r="K45" s="15">
        <f t="shared" si="0"/>
        <v>1.4507879577680008E-2</v>
      </c>
      <c r="L45" s="16">
        <f t="shared" si="10"/>
        <v>4.0899817170111286</v>
      </c>
      <c r="M45" s="16">
        <f t="shared" si="1"/>
        <v>59.336962225310366</v>
      </c>
      <c r="N45" s="16">
        <f t="shared" si="2"/>
        <v>1.0158452630676726</v>
      </c>
      <c r="O45" s="16">
        <f t="shared" si="3"/>
        <v>1.5845263067672564E-2</v>
      </c>
      <c r="P45" s="1">
        <v>2023</v>
      </c>
      <c r="Q45" s="1" t="s">
        <v>39</v>
      </c>
      <c r="R45" s="1" t="s">
        <v>40</v>
      </c>
      <c r="S45" s="70">
        <f>DATE(Table2[[#This Row],[Year]],MONTH(DATEVALUE("1-"&amp;Table2[[#This Row],[Month]]&amp;"-2000")),1)</f>
        <v>44958</v>
      </c>
      <c r="T45" s="16">
        <f t="shared" si="4"/>
        <v>4.1547885532591415</v>
      </c>
      <c r="U45" s="16">
        <f t="shared" si="5"/>
        <v>6.0277172001406962E-2</v>
      </c>
      <c r="V45" s="16">
        <f t="shared" si="6"/>
        <v>1196.5574418604651</v>
      </c>
      <c r="W45" s="16">
        <f t="shared" si="7"/>
        <v>1215.5172093023255</v>
      </c>
      <c r="X45" s="16">
        <f t="shared" si="8"/>
        <v>292.55813953488371</v>
      </c>
      <c r="Y45" s="16">
        <f t="shared" si="9"/>
        <v>20165.465116279069</v>
      </c>
      <c r="Z45" s="7" t="str" cm="1">
        <f t="array" ref="Z45">_xlfn.IFS(K45&lt;2%,"Low",K45&lt;5%,"Medium",K45&lt;10%,"Good",K45&gt;10%,"Excellent")</f>
        <v>Low</v>
      </c>
      <c r="AA45" s="16" t="str">
        <f>Data_Validation!N43</f>
        <v>Pass</v>
      </c>
    </row>
    <row r="46" spans="1:27" x14ac:dyDescent="0.35">
      <c r="A46" s="17" t="s">
        <v>87</v>
      </c>
      <c r="B46" s="3" t="s">
        <v>35</v>
      </c>
      <c r="C46" s="3" t="s">
        <v>29</v>
      </c>
      <c r="D46" s="3" t="s">
        <v>21</v>
      </c>
      <c r="E46" s="3" t="s">
        <v>30</v>
      </c>
      <c r="F46" s="3">
        <v>13921.28</v>
      </c>
      <c r="G46" s="3">
        <v>584122</v>
      </c>
      <c r="H46" s="3">
        <v>5678</v>
      </c>
      <c r="I46" s="3">
        <v>79649.33</v>
      </c>
      <c r="J46" s="3">
        <v>6</v>
      </c>
      <c r="K46" s="15">
        <f t="shared" si="0"/>
        <v>9.7205720722725736E-3</v>
      </c>
      <c r="L46" s="16">
        <f t="shared" si="10"/>
        <v>2.4517928848185981</v>
      </c>
      <c r="M46" s="16">
        <f t="shared" si="1"/>
        <v>23.832829443164272</v>
      </c>
      <c r="N46" s="16">
        <f t="shared" si="2"/>
        <v>5.7214085199062152</v>
      </c>
      <c r="O46" s="16">
        <f t="shared" si="3"/>
        <v>4.7214085199062152</v>
      </c>
      <c r="P46" s="1">
        <v>2023</v>
      </c>
      <c r="Q46" s="1" t="s">
        <v>39</v>
      </c>
      <c r="R46" s="1" t="s">
        <v>40</v>
      </c>
      <c r="S46" s="70">
        <f>DATE(Table2[[#This Row],[Year]],MONTH(DATEVALUE("1-"&amp;Table2[[#This Row],[Month]]&amp;"-2000")),1)</f>
        <v>44958</v>
      </c>
      <c r="T46" s="16">
        <f t="shared" si="4"/>
        <v>14.027708700246565</v>
      </c>
      <c r="U46" s="16">
        <f t="shared" si="5"/>
        <v>0.13635735342959177</v>
      </c>
      <c r="V46" s="16">
        <f t="shared" si="6"/>
        <v>2320.2133333333336</v>
      </c>
      <c r="W46" s="16">
        <f t="shared" si="7"/>
        <v>13274.888333333334</v>
      </c>
      <c r="X46" s="16">
        <f t="shared" si="8"/>
        <v>946.33333333333337</v>
      </c>
      <c r="Y46" s="16">
        <f t="shared" si="9"/>
        <v>97353.666666666672</v>
      </c>
      <c r="Z46" s="7" t="str" cm="1">
        <f t="array" ref="Z46">_xlfn.IFS(K46&lt;2%,"Low",K46&lt;5%,"Medium",K46&lt;10%,"Good",K46&gt;10%,"Excellent")</f>
        <v>Low</v>
      </c>
      <c r="AA46" s="16" t="str">
        <f>Data_Validation!N44</f>
        <v>Pass</v>
      </c>
    </row>
    <row r="47" spans="1:27" x14ac:dyDescent="0.35">
      <c r="A47" s="17" t="s">
        <v>91</v>
      </c>
      <c r="B47" s="3" t="s">
        <v>48</v>
      </c>
      <c r="C47" s="3" t="s">
        <v>36</v>
      </c>
      <c r="D47" s="3" t="s">
        <v>37</v>
      </c>
      <c r="E47" s="3" t="s">
        <v>22</v>
      </c>
      <c r="F47" s="3">
        <v>41618.93</v>
      </c>
      <c r="G47" s="3">
        <v>328677</v>
      </c>
      <c r="H47" s="3">
        <v>32481</v>
      </c>
      <c r="I47" s="3">
        <v>142023.85999999999</v>
      </c>
      <c r="J47" s="3">
        <v>58</v>
      </c>
      <c r="K47" s="15">
        <f t="shared" si="0"/>
        <v>9.882346498233828E-2</v>
      </c>
      <c r="L47" s="16">
        <f t="shared" si="10"/>
        <v>1.2813315476740248</v>
      </c>
      <c r="M47" s="16">
        <f t="shared" si="1"/>
        <v>126.6256233323293</v>
      </c>
      <c r="N47" s="16">
        <f t="shared" si="2"/>
        <v>3.4124822526672354</v>
      </c>
      <c r="O47" s="16">
        <f t="shared" si="3"/>
        <v>2.4124822526672358</v>
      </c>
      <c r="P47" s="1">
        <v>2023</v>
      </c>
      <c r="Q47" s="1" t="s">
        <v>39</v>
      </c>
      <c r="R47" s="1" t="s">
        <v>40</v>
      </c>
      <c r="S47" s="70">
        <f>DATE(Table2[[#This Row],[Year]],MONTH(DATEVALUE("1-"&amp;Table2[[#This Row],[Month]]&amp;"-2000")),1)</f>
        <v>44958</v>
      </c>
      <c r="T47" s="16">
        <f t="shared" si="4"/>
        <v>4.3725211662202517</v>
      </c>
      <c r="U47" s="16">
        <f t="shared" si="5"/>
        <v>0.43210769235449997</v>
      </c>
      <c r="V47" s="16">
        <f t="shared" si="6"/>
        <v>717.56775862068969</v>
      </c>
      <c r="W47" s="16">
        <f t="shared" si="7"/>
        <v>2448.6872413793103</v>
      </c>
      <c r="X47" s="16">
        <f t="shared" si="8"/>
        <v>560.01724137931035</v>
      </c>
      <c r="Y47" s="16">
        <f t="shared" si="9"/>
        <v>5666.8448275862065</v>
      </c>
      <c r="Z47" s="7" t="str" cm="1">
        <f t="array" ref="Z47">_xlfn.IFS(K47&lt;2%,"Low",K47&lt;5%,"Medium",K47&lt;10%,"Good",K47&gt;10%,"Excellent")</f>
        <v>Good</v>
      </c>
      <c r="AA47" s="16" t="str">
        <f>Data_Validation!N45</f>
        <v>Pass</v>
      </c>
    </row>
    <row r="48" spans="1:27" x14ac:dyDescent="0.35">
      <c r="A48" s="17" t="s">
        <v>94</v>
      </c>
      <c r="B48" s="3" t="s">
        <v>48</v>
      </c>
      <c r="C48" s="3" t="s">
        <v>69</v>
      </c>
      <c r="D48" s="3" t="s">
        <v>37</v>
      </c>
      <c r="E48" s="3" t="s">
        <v>30</v>
      </c>
      <c r="F48" s="3">
        <v>22158.26</v>
      </c>
      <c r="G48" s="3">
        <v>814829</v>
      </c>
      <c r="H48" s="3">
        <v>39347</v>
      </c>
      <c r="I48" s="3">
        <v>127396.13</v>
      </c>
      <c r="J48" s="3">
        <v>10</v>
      </c>
      <c r="K48" s="15">
        <f t="shared" si="0"/>
        <v>4.8288659338339701E-2</v>
      </c>
      <c r="L48" s="16">
        <f t="shared" si="10"/>
        <v>0.56314992248456042</v>
      </c>
      <c r="M48" s="16">
        <f t="shared" si="1"/>
        <v>27.193754763269347</v>
      </c>
      <c r="N48" s="16">
        <f t="shared" si="2"/>
        <v>5.7493742739727765</v>
      </c>
      <c r="O48" s="16">
        <f t="shared" si="3"/>
        <v>4.7493742739727765</v>
      </c>
      <c r="P48" s="1">
        <v>2023</v>
      </c>
      <c r="Q48" s="1" t="s">
        <v>39</v>
      </c>
      <c r="R48" s="1" t="s">
        <v>40</v>
      </c>
      <c r="S48" s="70">
        <f>DATE(Table2[[#This Row],[Year]],MONTH(DATEVALUE("1-"&amp;Table2[[#This Row],[Month]]&amp;"-2000")),1)</f>
        <v>44958</v>
      </c>
      <c r="T48" s="16">
        <f t="shared" si="4"/>
        <v>3.237759676722495</v>
      </c>
      <c r="U48" s="16">
        <f t="shared" si="5"/>
        <v>0.15634707404866544</v>
      </c>
      <c r="V48" s="16">
        <f t="shared" si="6"/>
        <v>2215.826</v>
      </c>
      <c r="W48" s="16">
        <f t="shared" si="7"/>
        <v>12739.613000000001</v>
      </c>
      <c r="X48" s="16">
        <f t="shared" si="8"/>
        <v>3934.7</v>
      </c>
      <c r="Y48" s="16">
        <f t="shared" si="9"/>
        <v>81482.899999999994</v>
      </c>
      <c r="Z48" s="7" t="str" cm="1">
        <f t="array" ref="Z48">_xlfn.IFS(K48&lt;2%,"Low",K48&lt;5%,"Medium",K48&lt;10%,"Good",K48&gt;10%,"Excellent")</f>
        <v>Medium</v>
      </c>
      <c r="AA48" s="16" t="str">
        <f>Data_Validation!N46</f>
        <v>Pass</v>
      </c>
    </row>
    <row r="49" spans="1:27" x14ac:dyDescent="0.35">
      <c r="A49" s="17" t="s">
        <v>84</v>
      </c>
      <c r="B49" s="3" t="s">
        <v>28</v>
      </c>
      <c r="C49" s="3" t="s">
        <v>20</v>
      </c>
      <c r="D49" s="3" t="s">
        <v>37</v>
      </c>
      <c r="E49" s="3" t="s">
        <v>22</v>
      </c>
      <c r="F49" s="3">
        <v>2873.95</v>
      </c>
      <c r="G49" s="3">
        <v>284680</v>
      </c>
      <c r="H49" s="3">
        <v>10689</v>
      </c>
      <c r="I49" s="3">
        <v>186601.57</v>
      </c>
      <c r="J49" s="3">
        <v>6</v>
      </c>
      <c r="K49" s="15">
        <f t="shared" si="0"/>
        <v>3.7547421666432483E-2</v>
      </c>
      <c r="L49" s="16">
        <f t="shared" si="10"/>
        <v>0.26886986621760689</v>
      </c>
      <c r="M49" s="16">
        <f t="shared" si="1"/>
        <v>10.095370240269776</v>
      </c>
      <c r="N49" s="16">
        <f t="shared" si="2"/>
        <v>64.928606969501914</v>
      </c>
      <c r="O49" s="16">
        <f t="shared" si="3"/>
        <v>63.928606969501907</v>
      </c>
      <c r="P49" s="1">
        <v>2023</v>
      </c>
      <c r="Q49" s="1" t="s">
        <v>39</v>
      </c>
      <c r="R49" s="1" t="s">
        <v>40</v>
      </c>
      <c r="S49" s="70">
        <f>DATE(Table2[[#This Row],[Year]],MONTH(DATEVALUE("1-"&amp;Table2[[#This Row],[Month]]&amp;"-2000")),1)</f>
        <v>44958</v>
      </c>
      <c r="T49" s="16">
        <f t="shared" si="4"/>
        <v>17.457345869585556</v>
      </c>
      <c r="U49" s="16">
        <f t="shared" si="5"/>
        <v>0.65547832654208238</v>
      </c>
      <c r="V49" s="16">
        <f t="shared" si="6"/>
        <v>478.99166666666662</v>
      </c>
      <c r="W49" s="16">
        <f t="shared" si="7"/>
        <v>31100.261666666669</v>
      </c>
      <c r="X49" s="16">
        <f t="shared" si="8"/>
        <v>1781.5</v>
      </c>
      <c r="Y49" s="16">
        <f t="shared" si="9"/>
        <v>47446.666666666664</v>
      </c>
      <c r="Z49" s="7" t="str" cm="1">
        <f t="array" ref="Z49">_xlfn.IFS(K49&lt;2%,"Low",K49&lt;5%,"Medium",K49&lt;10%,"Good",K49&gt;10%,"Excellent")</f>
        <v>Medium</v>
      </c>
      <c r="AA49" s="16" t="str">
        <f>Data_Validation!N47</f>
        <v>Pass</v>
      </c>
    </row>
    <row r="50" spans="1:27" x14ac:dyDescent="0.35">
      <c r="A50" s="17" t="s">
        <v>57</v>
      </c>
      <c r="B50" s="3" t="s">
        <v>19</v>
      </c>
      <c r="C50" s="3" t="s">
        <v>29</v>
      </c>
      <c r="D50" s="3" t="s">
        <v>21</v>
      </c>
      <c r="E50" s="3" t="s">
        <v>30</v>
      </c>
      <c r="F50" s="3">
        <v>4644.1499999999996</v>
      </c>
      <c r="G50" s="3">
        <v>209429</v>
      </c>
      <c r="H50" s="3">
        <v>48643</v>
      </c>
      <c r="I50" s="3">
        <v>204560.71</v>
      </c>
      <c r="J50" s="3">
        <v>42</v>
      </c>
      <c r="K50" s="15">
        <f t="shared" si="0"/>
        <v>0.23226487258211614</v>
      </c>
      <c r="L50" s="16">
        <f t="shared" si="10"/>
        <v>9.5474168945171967E-2</v>
      </c>
      <c r="M50" s="16">
        <f t="shared" si="1"/>
        <v>22.175295684933793</v>
      </c>
      <c r="N50" s="16">
        <f t="shared" si="2"/>
        <v>44.046964460665571</v>
      </c>
      <c r="O50" s="16">
        <f t="shared" si="3"/>
        <v>43.046964460665571</v>
      </c>
      <c r="P50" s="1">
        <v>2023</v>
      </c>
      <c r="Q50" s="1" t="s">
        <v>39</v>
      </c>
      <c r="R50" s="1" t="s">
        <v>40</v>
      </c>
      <c r="S50" s="70">
        <f>DATE(Table2[[#This Row],[Year]],MONTH(DATEVALUE("1-"&amp;Table2[[#This Row],[Month]]&amp;"-2000")),1)</f>
        <v>44958</v>
      </c>
      <c r="T50" s="16">
        <f t="shared" si="4"/>
        <v>4.2053473264395693</v>
      </c>
      <c r="U50" s="16">
        <f t="shared" si="5"/>
        <v>0.9767544609390294</v>
      </c>
      <c r="V50" s="16">
        <f t="shared" si="6"/>
        <v>110.57499999999999</v>
      </c>
      <c r="W50" s="16">
        <f t="shared" si="7"/>
        <v>4870.4930952380946</v>
      </c>
      <c r="X50" s="16">
        <f t="shared" si="8"/>
        <v>1158.1666666666667</v>
      </c>
      <c r="Y50" s="16">
        <f t="shared" si="9"/>
        <v>4986.4047619047615</v>
      </c>
      <c r="Z50" s="7" t="str" cm="1">
        <f t="array" ref="Z50">_xlfn.IFS(K50&lt;2%,"Low",K50&lt;5%,"Medium",K50&lt;10%,"Good",K50&gt;10%,"Excellent")</f>
        <v>Excellent</v>
      </c>
      <c r="AA50" s="16" t="str">
        <f>Data_Validation!N48</f>
        <v>Pass</v>
      </c>
    </row>
    <row r="51" spans="1:27" x14ac:dyDescent="0.35">
      <c r="A51" s="17" t="s">
        <v>117</v>
      </c>
      <c r="B51" s="3" t="s">
        <v>19</v>
      </c>
      <c r="C51" s="3" t="s">
        <v>69</v>
      </c>
      <c r="D51" s="3" t="s">
        <v>21</v>
      </c>
      <c r="E51" s="3" t="s">
        <v>22</v>
      </c>
      <c r="F51" s="3">
        <v>1536.06</v>
      </c>
      <c r="G51" s="3">
        <v>73182</v>
      </c>
      <c r="H51" s="3">
        <v>4623</v>
      </c>
      <c r="I51" s="3">
        <v>246603.63</v>
      </c>
      <c r="J51" s="3">
        <v>33</v>
      </c>
      <c r="K51" s="15">
        <f t="shared" si="0"/>
        <v>6.3171271624169884E-2</v>
      </c>
      <c r="L51" s="16">
        <f t="shared" si="10"/>
        <v>0.33226476314081765</v>
      </c>
      <c r="M51" s="16">
        <f t="shared" si="1"/>
        <v>20.989587603509058</v>
      </c>
      <c r="N51" s="16">
        <f t="shared" si="2"/>
        <v>160.54296707159878</v>
      </c>
      <c r="O51" s="16">
        <f t="shared" si="3"/>
        <v>159.54296707159878</v>
      </c>
      <c r="P51" s="1">
        <v>2023</v>
      </c>
      <c r="Q51" s="1" t="s">
        <v>39</v>
      </c>
      <c r="R51" s="1" t="s">
        <v>40</v>
      </c>
      <c r="S51" s="70">
        <f>DATE(Table2[[#This Row],[Year]],MONTH(DATEVALUE("1-"&amp;Table2[[#This Row],[Month]]&amp;"-2000")),1)</f>
        <v>44958</v>
      </c>
      <c r="T51" s="16">
        <f t="shared" si="4"/>
        <v>53.34277092796885</v>
      </c>
      <c r="U51" s="16">
        <f t="shared" si="5"/>
        <v>3.3697306714765927</v>
      </c>
      <c r="V51" s="16">
        <f t="shared" si="6"/>
        <v>46.547272727272727</v>
      </c>
      <c r="W51" s="16">
        <f t="shared" si="7"/>
        <v>7472.8372727272726</v>
      </c>
      <c r="X51" s="16">
        <f t="shared" si="8"/>
        <v>140.09090909090909</v>
      </c>
      <c r="Y51" s="16">
        <f t="shared" si="9"/>
        <v>2217.6363636363635</v>
      </c>
      <c r="Z51" s="7" t="str" cm="1">
        <f t="array" ref="Z51">_xlfn.IFS(K51&lt;2%,"Low",K51&lt;5%,"Medium",K51&lt;10%,"Good",K51&gt;10%,"Excellent")</f>
        <v>Good</v>
      </c>
      <c r="AA51" s="16" t="str">
        <f>Data_Validation!N49</f>
        <v>Pass</v>
      </c>
    </row>
    <row r="52" spans="1:27" x14ac:dyDescent="0.35">
      <c r="A52" s="17" t="s">
        <v>50</v>
      </c>
      <c r="B52" s="3" t="s">
        <v>48</v>
      </c>
      <c r="C52" s="3" t="s">
        <v>69</v>
      </c>
      <c r="D52" s="3" t="s">
        <v>43</v>
      </c>
      <c r="E52" s="3" t="s">
        <v>38</v>
      </c>
      <c r="F52" s="3">
        <v>3134.52</v>
      </c>
      <c r="G52" s="3">
        <v>506756</v>
      </c>
      <c r="H52" s="3">
        <v>34134</v>
      </c>
      <c r="I52" s="3">
        <v>116962.2</v>
      </c>
      <c r="J52" s="3">
        <v>8</v>
      </c>
      <c r="K52" s="15">
        <f t="shared" si="0"/>
        <v>6.7357860587738475E-2</v>
      </c>
      <c r="L52" s="16">
        <f t="shared" si="10"/>
        <v>9.1829847073299345E-2</v>
      </c>
      <c r="M52" s="16">
        <f t="shared" si="1"/>
        <v>6.1854620369566415</v>
      </c>
      <c r="N52" s="16">
        <f t="shared" si="2"/>
        <v>37.314229929941426</v>
      </c>
      <c r="O52" s="16">
        <f t="shared" si="3"/>
        <v>36.314229929941426</v>
      </c>
      <c r="P52" s="1">
        <v>2023</v>
      </c>
      <c r="Q52" s="1" t="s">
        <v>39</v>
      </c>
      <c r="R52" s="1" t="s">
        <v>40</v>
      </c>
      <c r="S52" s="70">
        <f>DATE(Table2[[#This Row],[Year]],MONTH(DATEVALUE("1-"&amp;Table2[[#This Row],[Month]]&amp;"-2000")),1)</f>
        <v>44958</v>
      </c>
      <c r="T52" s="16">
        <f t="shared" si="4"/>
        <v>3.4265600281244506</v>
      </c>
      <c r="U52" s="16">
        <f t="shared" si="5"/>
        <v>0.23080575266992398</v>
      </c>
      <c r="V52" s="16">
        <f t="shared" si="6"/>
        <v>391.815</v>
      </c>
      <c r="W52" s="16">
        <f t="shared" si="7"/>
        <v>14620.275</v>
      </c>
      <c r="X52" s="16">
        <f t="shared" si="8"/>
        <v>4266.75</v>
      </c>
      <c r="Y52" s="16">
        <f t="shared" si="9"/>
        <v>63344.5</v>
      </c>
      <c r="Z52" s="7" t="str" cm="1">
        <f t="array" ref="Z52">_xlfn.IFS(K52&lt;2%,"Low",K52&lt;5%,"Medium",K52&lt;10%,"Good",K52&gt;10%,"Excellent")</f>
        <v>Good</v>
      </c>
      <c r="AA52" s="16" t="str">
        <f>Data_Validation!N50</f>
        <v>Pass</v>
      </c>
    </row>
    <row r="53" spans="1:27" x14ac:dyDescent="0.35">
      <c r="A53" s="17" t="s">
        <v>88</v>
      </c>
      <c r="B53" s="3" t="s">
        <v>48</v>
      </c>
      <c r="C53" s="3" t="s">
        <v>36</v>
      </c>
      <c r="D53" s="3" t="s">
        <v>51</v>
      </c>
      <c r="E53" s="3" t="s">
        <v>38</v>
      </c>
      <c r="F53" s="3">
        <v>7328.56</v>
      </c>
      <c r="G53" s="3">
        <v>571479</v>
      </c>
      <c r="H53" s="3">
        <v>19379</v>
      </c>
      <c r="I53" s="3">
        <v>198449.01</v>
      </c>
      <c r="J53" s="3">
        <v>54</v>
      </c>
      <c r="K53" s="15">
        <f t="shared" si="0"/>
        <v>3.3910257419782701E-2</v>
      </c>
      <c r="L53" s="16">
        <f t="shared" si="10"/>
        <v>0.37817018422003201</v>
      </c>
      <c r="M53" s="16">
        <f t="shared" si="1"/>
        <v>12.823848295387933</v>
      </c>
      <c r="N53" s="16">
        <f t="shared" si="2"/>
        <v>27.078854508934906</v>
      </c>
      <c r="O53" s="16">
        <f t="shared" si="3"/>
        <v>26.078854508934906</v>
      </c>
      <c r="P53" s="1">
        <v>2023</v>
      </c>
      <c r="Q53" s="1" t="s">
        <v>39</v>
      </c>
      <c r="R53" s="1" t="s">
        <v>40</v>
      </c>
      <c r="S53" s="70">
        <f>DATE(Table2[[#This Row],[Year]],MONTH(DATEVALUE("1-"&amp;Table2[[#This Row],[Month]]&amp;"-2000")),1)</f>
        <v>44958</v>
      </c>
      <c r="T53" s="16">
        <f t="shared" si="4"/>
        <v>10.240415398111358</v>
      </c>
      <c r="U53" s="16">
        <f t="shared" si="5"/>
        <v>0.34725512223546273</v>
      </c>
      <c r="V53" s="16">
        <f t="shared" si="6"/>
        <v>135.71407407407409</v>
      </c>
      <c r="W53" s="16">
        <f t="shared" si="7"/>
        <v>3674.981666666667</v>
      </c>
      <c r="X53" s="16">
        <f t="shared" si="8"/>
        <v>358.87037037037038</v>
      </c>
      <c r="Y53" s="16">
        <f t="shared" si="9"/>
        <v>10582.944444444445</v>
      </c>
      <c r="Z53" s="7" t="str" cm="1">
        <f t="array" ref="Z53">_xlfn.IFS(K53&lt;2%,"Low",K53&lt;5%,"Medium",K53&lt;10%,"Good",K53&gt;10%,"Excellent")</f>
        <v>Medium</v>
      </c>
      <c r="AA53" s="16" t="str">
        <f>Data_Validation!N51</f>
        <v>Pass</v>
      </c>
    </row>
    <row r="54" spans="1:27" x14ac:dyDescent="0.35">
      <c r="A54" s="17" t="s">
        <v>104</v>
      </c>
      <c r="B54" s="3" t="s">
        <v>28</v>
      </c>
      <c r="C54" s="3" t="s">
        <v>20</v>
      </c>
      <c r="D54" s="3" t="s">
        <v>51</v>
      </c>
      <c r="E54" s="3" t="s">
        <v>22</v>
      </c>
      <c r="F54" s="3">
        <v>14367.96</v>
      </c>
      <c r="G54" s="3">
        <v>403049</v>
      </c>
      <c r="H54" s="3">
        <v>28325</v>
      </c>
      <c r="I54" s="3">
        <v>40664.6</v>
      </c>
      <c r="J54" s="3">
        <v>26</v>
      </c>
      <c r="K54" s="15">
        <f t="shared" si="0"/>
        <v>7.0276814977831475E-2</v>
      </c>
      <c r="L54" s="16">
        <f t="shared" si="10"/>
        <v>0.50725366284201234</v>
      </c>
      <c r="M54" s="16">
        <f t="shared" si="1"/>
        <v>35.648171810375409</v>
      </c>
      <c r="N54" s="16">
        <f t="shared" si="2"/>
        <v>2.8302278124382307</v>
      </c>
      <c r="O54" s="16">
        <f t="shared" si="3"/>
        <v>1.8302278124382307</v>
      </c>
      <c r="P54" s="1">
        <v>2023</v>
      </c>
      <c r="Q54" s="1" t="s">
        <v>39</v>
      </c>
      <c r="R54" s="1" t="s">
        <v>40</v>
      </c>
      <c r="S54" s="70">
        <f>DATE(Table2[[#This Row],[Year]],MONTH(DATEVALUE("1-"&amp;Table2[[#This Row],[Month]]&amp;"-2000")),1)</f>
        <v>44958</v>
      </c>
      <c r="T54" s="16">
        <f t="shared" si="4"/>
        <v>1.4356434245366283</v>
      </c>
      <c r="U54" s="16">
        <f t="shared" si="5"/>
        <v>0.100892447320301</v>
      </c>
      <c r="V54" s="16">
        <f t="shared" si="6"/>
        <v>552.61384615384611</v>
      </c>
      <c r="W54" s="16">
        <f t="shared" si="7"/>
        <v>1564.0230769230768</v>
      </c>
      <c r="X54" s="16">
        <f t="shared" si="8"/>
        <v>1089.4230769230769</v>
      </c>
      <c r="Y54" s="16">
        <f t="shared" si="9"/>
        <v>15501.884615384615</v>
      </c>
      <c r="Z54" s="7" t="str" cm="1">
        <f t="array" ref="Z54">_xlfn.IFS(K54&lt;2%,"Low",K54&lt;5%,"Medium",K54&lt;10%,"Good",K54&gt;10%,"Excellent")</f>
        <v>Good</v>
      </c>
      <c r="AA54" s="16" t="str">
        <f>Data_Validation!N52</f>
        <v>Pass</v>
      </c>
    </row>
    <row r="55" spans="1:27" x14ac:dyDescent="0.35">
      <c r="A55" s="17" t="s">
        <v>62</v>
      </c>
      <c r="B55" s="3" t="s">
        <v>48</v>
      </c>
      <c r="C55" s="3" t="s">
        <v>36</v>
      </c>
      <c r="D55" s="3" t="s">
        <v>59</v>
      </c>
      <c r="E55" s="3" t="s">
        <v>30</v>
      </c>
      <c r="F55" s="3">
        <v>203.92</v>
      </c>
      <c r="G55" s="3">
        <v>348542</v>
      </c>
      <c r="H55" s="3">
        <v>45162</v>
      </c>
      <c r="I55" s="3">
        <v>182442.07</v>
      </c>
      <c r="J55" s="3">
        <v>58</v>
      </c>
      <c r="K55" s="15">
        <f t="shared" si="0"/>
        <v>0.1295740542029368</v>
      </c>
      <c r="L55" s="16">
        <f t="shared" si="10"/>
        <v>4.5153004738496963E-3</v>
      </c>
      <c r="M55" s="16">
        <f t="shared" si="1"/>
        <v>0.58506578834114675</v>
      </c>
      <c r="N55" s="16">
        <f t="shared" si="2"/>
        <v>894.67472538250308</v>
      </c>
      <c r="O55" s="16">
        <f t="shared" si="3"/>
        <v>893.67472538250297</v>
      </c>
      <c r="P55" s="1">
        <v>2023</v>
      </c>
      <c r="Q55" s="1" t="s">
        <v>39</v>
      </c>
      <c r="R55" s="1" t="s">
        <v>40</v>
      </c>
      <c r="S55" s="70">
        <f>DATE(Table2[[#This Row],[Year]],MONTH(DATEVALUE("1-"&amp;Table2[[#This Row],[Month]]&amp;"-2000")),1)</f>
        <v>44958</v>
      </c>
      <c r="T55" s="16">
        <f t="shared" si="4"/>
        <v>4.0397252114609632</v>
      </c>
      <c r="U55" s="16">
        <f t="shared" si="5"/>
        <v>0.52344357351481319</v>
      </c>
      <c r="V55" s="16">
        <f t="shared" si="6"/>
        <v>3.5158620689655171</v>
      </c>
      <c r="W55" s="16">
        <f t="shared" si="7"/>
        <v>3145.5529310344828</v>
      </c>
      <c r="X55" s="16">
        <f t="shared" si="8"/>
        <v>778.65517241379314</v>
      </c>
      <c r="Y55" s="16">
        <f t="shared" si="9"/>
        <v>6009.3448275862065</v>
      </c>
      <c r="Z55" s="7" t="str" cm="1">
        <f t="array" ref="Z55">_xlfn.IFS(K55&lt;2%,"Low",K55&lt;5%,"Medium",K55&lt;10%,"Good",K55&gt;10%,"Excellent")</f>
        <v>Excellent</v>
      </c>
      <c r="AA55" s="16" t="str">
        <f>Data_Validation!N53</f>
        <v>Pass</v>
      </c>
    </row>
    <row r="56" spans="1:27" x14ac:dyDescent="0.35">
      <c r="A56" s="17" t="s">
        <v>105</v>
      </c>
      <c r="B56" s="3" t="s">
        <v>35</v>
      </c>
      <c r="C56" s="3" t="s">
        <v>20</v>
      </c>
      <c r="D56" s="3" t="s">
        <v>21</v>
      </c>
      <c r="E56" s="3" t="s">
        <v>22</v>
      </c>
      <c r="F56" s="3">
        <v>11447.64</v>
      </c>
      <c r="G56" s="3">
        <v>184418</v>
      </c>
      <c r="H56" s="3">
        <v>27233</v>
      </c>
      <c r="I56" s="3">
        <v>125805.09</v>
      </c>
      <c r="J56" s="3">
        <v>30</v>
      </c>
      <c r="K56" s="15">
        <f t="shared" si="0"/>
        <v>0.14766996713986705</v>
      </c>
      <c r="L56" s="16">
        <f t="shared" si="10"/>
        <v>0.42035912312268203</v>
      </c>
      <c r="M56" s="16">
        <f t="shared" si="1"/>
        <v>62.074417898469775</v>
      </c>
      <c r="N56" s="16">
        <f t="shared" si="2"/>
        <v>10.989609212029729</v>
      </c>
      <c r="O56" s="16">
        <f t="shared" si="3"/>
        <v>9.9896092120297286</v>
      </c>
      <c r="P56" s="1">
        <v>2023</v>
      </c>
      <c r="Q56" s="1" t="s">
        <v>39</v>
      </c>
      <c r="R56" s="1" t="s">
        <v>40</v>
      </c>
      <c r="S56" s="70">
        <f>DATE(Table2[[#This Row],[Year]],MONTH(DATEVALUE("1-"&amp;Table2[[#This Row],[Month]]&amp;"-2000")),1)</f>
        <v>44958</v>
      </c>
      <c r="T56" s="16">
        <f t="shared" si="4"/>
        <v>4.6195824918297657</v>
      </c>
      <c r="U56" s="16">
        <f t="shared" si="5"/>
        <v>0.68217359476840655</v>
      </c>
      <c r="V56" s="16">
        <f t="shared" si="6"/>
        <v>381.58799999999997</v>
      </c>
      <c r="W56" s="16">
        <f t="shared" si="7"/>
        <v>4193.5029999999997</v>
      </c>
      <c r="X56" s="16">
        <f t="shared" si="8"/>
        <v>907.76666666666665</v>
      </c>
      <c r="Y56" s="16">
        <f t="shared" si="9"/>
        <v>6147.2666666666664</v>
      </c>
      <c r="Z56" s="7" t="str" cm="1">
        <f t="array" ref="Z56">_xlfn.IFS(K56&lt;2%,"Low",K56&lt;5%,"Medium",K56&lt;10%,"Good",K56&gt;10%,"Excellent")</f>
        <v>Excellent</v>
      </c>
      <c r="AA56" s="16" t="str">
        <f>Data_Validation!N54</f>
        <v>Pass</v>
      </c>
    </row>
    <row r="57" spans="1:27" x14ac:dyDescent="0.35">
      <c r="A57" s="17" t="s">
        <v>119</v>
      </c>
      <c r="B57" s="3" t="s">
        <v>48</v>
      </c>
      <c r="C57" s="3" t="s">
        <v>20</v>
      </c>
      <c r="D57" s="3" t="s">
        <v>63</v>
      </c>
      <c r="E57" s="3" t="s">
        <v>30</v>
      </c>
      <c r="F57" s="3">
        <v>1655.82</v>
      </c>
      <c r="G57" s="3">
        <v>297745</v>
      </c>
      <c r="H57" s="3">
        <v>27706</v>
      </c>
      <c r="I57" s="3">
        <v>34218.46</v>
      </c>
      <c r="J57" s="3">
        <v>57</v>
      </c>
      <c r="K57" s="15">
        <f t="shared" si="0"/>
        <v>9.3052780063477142E-2</v>
      </c>
      <c r="L57" s="16">
        <f t="shared" si="10"/>
        <v>5.9763950046921241E-2</v>
      </c>
      <c r="M57" s="16">
        <f t="shared" si="1"/>
        <v>5.5612016994407965</v>
      </c>
      <c r="N57" s="16">
        <f t="shared" si="2"/>
        <v>20.665567513377059</v>
      </c>
      <c r="O57" s="16">
        <f t="shared" si="3"/>
        <v>19.665567513377059</v>
      </c>
      <c r="P57" s="1">
        <v>2023</v>
      </c>
      <c r="Q57" s="1" t="s">
        <v>39</v>
      </c>
      <c r="R57" s="1" t="s">
        <v>40</v>
      </c>
      <c r="S57" s="70">
        <f>DATE(Table2[[#This Row],[Year]],MONTH(DATEVALUE("1-"&amp;Table2[[#This Row],[Month]]&amp;"-2000")),1)</f>
        <v>44958</v>
      </c>
      <c r="T57" s="16">
        <f t="shared" si="4"/>
        <v>1.235055944560745</v>
      </c>
      <c r="U57" s="16">
        <f t="shared" si="5"/>
        <v>0.11492538917530101</v>
      </c>
      <c r="V57" s="16">
        <f t="shared" si="6"/>
        <v>29.049473684210525</v>
      </c>
      <c r="W57" s="16">
        <f t="shared" si="7"/>
        <v>600.32385964912282</v>
      </c>
      <c r="X57" s="16">
        <f t="shared" si="8"/>
        <v>486.07017543859649</v>
      </c>
      <c r="Y57" s="16">
        <f t="shared" si="9"/>
        <v>5223.5964912280706</v>
      </c>
      <c r="Z57" s="7" t="str" cm="1">
        <f t="array" ref="Z57">_xlfn.IFS(K57&lt;2%,"Low",K57&lt;5%,"Medium",K57&lt;10%,"Good",K57&gt;10%,"Excellent")</f>
        <v>Good</v>
      </c>
      <c r="AA57" s="16" t="str">
        <f>Data_Validation!N55</f>
        <v>Pass</v>
      </c>
    </row>
    <row r="58" spans="1:27" x14ac:dyDescent="0.35">
      <c r="A58" s="17" t="s">
        <v>77</v>
      </c>
      <c r="B58" s="3" t="s">
        <v>19</v>
      </c>
      <c r="C58" s="3" t="s">
        <v>29</v>
      </c>
      <c r="D58" s="3" t="s">
        <v>21</v>
      </c>
      <c r="E58" s="3" t="s">
        <v>38</v>
      </c>
      <c r="F58" s="3">
        <v>17594.61</v>
      </c>
      <c r="G58" s="3">
        <v>477262</v>
      </c>
      <c r="H58" s="3">
        <v>49438</v>
      </c>
      <c r="I58" s="3">
        <v>150807.39000000001</v>
      </c>
      <c r="J58" s="3">
        <v>49</v>
      </c>
      <c r="K58" s="15">
        <f t="shared" si="0"/>
        <v>0.10358670918698744</v>
      </c>
      <c r="L58" s="16">
        <f t="shared" si="10"/>
        <v>0.35589243092358108</v>
      </c>
      <c r="M58" s="16">
        <f t="shared" si="1"/>
        <v>36.865725743931009</v>
      </c>
      <c r="N58" s="16">
        <f t="shared" si="2"/>
        <v>8.571226642704783</v>
      </c>
      <c r="O58" s="16">
        <f t="shared" si="3"/>
        <v>7.5712266427047838</v>
      </c>
      <c r="P58" s="1">
        <v>2023</v>
      </c>
      <c r="Q58" s="1" t="s">
        <v>39</v>
      </c>
      <c r="R58" s="1" t="s">
        <v>40</v>
      </c>
      <c r="S58" s="70">
        <f>DATE(Table2[[#This Row],[Year]],MONTH(DATEVALUE("1-"&amp;Table2[[#This Row],[Month]]&amp;"-2000")),1)</f>
        <v>44958</v>
      </c>
      <c r="T58" s="16">
        <f t="shared" si="4"/>
        <v>3.0504346858691695</v>
      </c>
      <c r="U58" s="16">
        <f t="shared" si="5"/>
        <v>0.31598449069902906</v>
      </c>
      <c r="V58" s="16">
        <f t="shared" si="6"/>
        <v>359.07367346938776</v>
      </c>
      <c r="W58" s="16">
        <f t="shared" si="7"/>
        <v>3077.7018367346941</v>
      </c>
      <c r="X58" s="16">
        <f t="shared" si="8"/>
        <v>1008.9387755102041</v>
      </c>
      <c r="Y58" s="16">
        <f t="shared" si="9"/>
        <v>9740.0408163265311</v>
      </c>
      <c r="Z58" s="7" t="str" cm="1">
        <f t="array" ref="Z58">_xlfn.IFS(K58&lt;2%,"Low",K58&lt;5%,"Medium",K58&lt;10%,"Good",K58&gt;10%,"Excellent")</f>
        <v>Excellent</v>
      </c>
      <c r="AA58" s="16" t="str">
        <f>Data_Validation!N56</f>
        <v>Pass</v>
      </c>
    </row>
    <row r="59" spans="1:27" x14ac:dyDescent="0.35">
      <c r="A59" s="17" t="s">
        <v>72</v>
      </c>
      <c r="B59" s="3" t="s">
        <v>19</v>
      </c>
      <c r="C59" s="3" t="s">
        <v>20</v>
      </c>
      <c r="D59" s="3" t="s">
        <v>51</v>
      </c>
      <c r="E59" s="3" t="s">
        <v>22</v>
      </c>
      <c r="F59" s="3">
        <v>11143.39</v>
      </c>
      <c r="G59" s="3">
        <v>52859</v>
      </c>
      <c r="H59" s="3">
        <v>24058</v>
      </c>
      <c r="I59" s="3">
        <v>94776.08</v>
      </c>
      <c r="J59" s="3">
        <v>13</v>
      </c>
      <c r="K59" s="15">
        <f t="shared" si="0"/>
        <v>0.45513536010896916</v>
      </c>
      <c r="L59" s="16">
        <f t="shared" si="10"/>
        <v>0.46318854435115137</v>
      </c>
      <c r="M59" s="16">
        <f t="shared" si="1"/>
        <v>210.8134849316105</v>
      </c>
      <c r="N59" s="16">
        <f t="shared" si="2"/>
        <v>8.5051389209208335</v>
      </c>
      <c r="O59" s="16">
        <f t="shared" si="3"/>
        <v>7.5051389209208335</v>
      </c>
      <c r="P59" s="1">
        <v>2023</v>
      </c>
      <c r="Q59" s="1" t="s">
        <v>39</v>
      </c>
      <c r="R59" s="1" t="s">
        <v>40</v>
      </c>
      <c r="S59" s="70">
        <f>DATE(Table2[[#This Row],[Year]],MONTH(DATEVALUE("1-"&amp;Table2[[#This Row],[Month]]&amp;"-2000")),1)</f>
        <v>44958</v>
      </c>
      <c r="T59" s="16">
        <f t="shared" si="4"/>
        <v>3.9394829162856433</v>
      </c>
      <c r="U59" s="16">
        <f t="shared" si="5"/>
        <v>1.7929979757467982</v>
      </c>
      <c r="V59" s="16">
        <f t="shared" si="6"/>
        <v>857.18384615384616</v>
      </c>
      <c r="W59" s="16">
        <f t="shared" si="7"/>
        <v>7290.4676923076922</v>
      </c>
      <c r="X59" s="16">
        <f t="shared" si="8"/>
        <v>1850.6153846153845</v>
      </c>
      <c r="Y59" s="16">
        <f t="shared" si="9"/>
        <v>4066.0769230769229</v>
      </c>
      <c r="Z59" s="7" t="str" cm="1">
        <f t="array" ref="Z59">_xlfn.IFS(K59&lt;2%,"Low",K59&lt;5%,"Medium",K59&lt;10%,"Good",K59&gt;10%,"Excellent")</f>
        <v>Excellent</v>
      </c>
      <c r="AA59" s="16" t="str">
        <f>Data_Validation!N57</f>
        <v>Pass</v>
      </c>
    </row>
    <row r="60" spans="1:27" x14ac:dyDescent="0.35">
      <c r="A60" s="17" t="s">
        <v>95</v>
      </c>
      <c r="B60" s="3" t="s">
        <v>35</v>
      </c>
      <c r="C60" s="3" t="s">
        <v>20</v>
      </c>
      <c r="D60" s="3" t="s">
        <v>43</v>
      </c>
      <c r="E60" s="3" t="s">
        <v>22</v>
      </c>
      <c r="F60" s="3">
        <v>23750.9</v>
      </c>
      <c r="G60" s="3">
        <v>791886</v>
      </c>
      <c r="H60" s="3">
        <v>4265</v>
      </c>
      <c r="I60" s="3">
        <v>121680.26</v>
      </c>
      <c r="J60" s="3">
        <v>14</v>
      </c>
      <c r="K60" s="15">
        <f t="shared" si="0"/>
        <v>5.3858762498642477E-3</v>
      </c>
      <c r="L60" s="16">
        <f t="shared" si="10"/>
        <v>5.5687924970691682</v>
      </c>
      <c r="M60" s="16">
        <f t="shared" si="1"/>
        <v>29.992827250387052</v>
      </c>
      <c r="N60" s="16">
        <f t="shared" si="2"/>
        <v>5.1231852266650941</v>
      </c>
      <c r="O60" s="16">
        <f t="shared" si="3"/>
        <v>4.1231852266650941</v>
      </c>
      <c r="P60" s="1">
        <v>2023</v>
      </c>
      <c r="Q60" s="1" t="s">
        <v>39</v>
      </c>
      <c r="R60" s="1" t="s">
        <v>40</v>
      </c>
      <c r="S60" s="70">
        <f>DATE(Table2[[#This Row],[Year]],MONTH(DATEVALUE("1-"&amp;Table2[[#This Row],[Month]]&amp;"-2000")),1)</f>
        <v>44958</v>
      </c>
      <c r="T60" s="16">
        <f t="shared" si="4"/>
        <v>28.529955451348183</v>
      </c>
      <c r="U60" s="16">
        <f t="shared" si="5"/>
        <v>0.15365880947510122</v>
      </c>
      <c r="V60" s="16">
        <f t="shared" si="6"/>
        <v>1696.4928571428572</v>
      </c>
      <c r="W60" s="16">
        <f t="shared" si="7"/>
        <v>8691.4471428571433</v>
      </c>
      <c r="X60" s="16">
        <f t="shared" si="8"/>
        <v>304.64285714285717</v>
      </c>
      <c r="Y60" s="16">
        <f t="shared" si="9"/>
        <v>56563.285714285717</v>
      </c>
      <c r="Z60" s="7" t="str" cm="1">
        <f t="array" ref="Z60">_xlfn.IFS(K60&lt;2%,"Low",K60&lt;5%,"Medium",K60&lt;10%,"Good",K60&gt;10%,"Excellent")</f>
        <v>Low</v>
      </c>
      <c r="AA60" s="16" t="str">
        <f>Data_Validation!N58</f>
        <v>Pass</v>
      </c>
    </row>
    <row r="61" spans="1:27" x14ac:dyDescent="0.35">
      <c r="A61" s="17" t="s">
        <v>64</v>
      </c>
      <c r="B61" s="3" t="s">
        <v>19</v>
      </c>
      <c r="C61" s="3" t="s">
        <v>36</v>
      </c>
      <c r="D61" s="3" t="s">
        <v>51</v>
      </c>
      <c r="E61" s="3" t="s">
        <v>38</v>
      </c>
      <c r="F61" s="3">
        <v>1223.3900000000001</v>
      </c>
      <c r="G61" s="3">
        <v>894769</v>
      </c>
      <c r="H61" s="3">
        <v>31191</v>
      </c>
      <c r="I61" s="3">
        <v>126891.14</v>
      </c>
      <c r="J61" s="3">
        <v>18</v>
      </c>
      <c r="K61" s="15">
        <f t="shared" si="0"/>
        <v>3.4859276528355361E-2</v>
      </c>
      <c r="L61" s="16">
        <f t="shared" si="10"/>
        <v>3.922253214068161E-2</v>
      </c>
      <c r="M61" s="16">
        <f t="shared" si="1"/>
        <v>1.3672690940343264</v>
      </c>
      <c r="N61" s="16">
        <f t="shared" si="2"/>
        <v>103.72092300901592</v>
      </c>
      <c r="O61" s="16">
        <f t="shared" si="3"/>
        <v>102.72092300901592</v>
      </c>
      <c r="P61" s="1">
        <v>2023</v>
      </c>
      <c r="Q61" s="1" t="s">
        <v>39</v>
      </c>
      <c r="R61" s="1" t="s">
        <v>40</v>
      </c>
      <c r="S61" s="70">
        <f>DATE(Table2[[#This Row],[Year]],MONTH(DATEVALUE("1-"&amp;Table2[[#This Row],[Month]]&amp;"-2000")),1)</f>
        <v>44958</v>
      </c>
      <c r="T61" s="16">
        <f t="shared" si="4"/>
        <v>4.0681972363822894</v>
      </c>
      <c r="U61" s="16">
        <f t="shared" si="5"/>
        <v>0.14181441243494131</v>
      </c>
      <c r="V61" s="16">
        <f t="shared" si="6"/>
        <v>67.966111111111118</v>
      </c>
      <c r="W61" s="16">
        <f t="shared" si="7"/>
        <v>7049.5077777777778</v>
      </c>
      <c r="X61" s="16">
        <f t="shared" si="8"/>
        <v>1732.8333333333333</v>
      </c>
      <c r="Y61" s="16">
        <f t="shared" si="9"/>
        <v>49709.388888888891</v>
      </c>
      <c r="Z61" s="7" t="str" cm="1">
        <f t="array" ref="Z61">_xlfn.IFS(K61&lt;2%,"Low",K61&lt;5%,"Medium",K61&lt;10%,"Good",K61&gt;10%,"Excellent")</f>
        <v>Medium</v>
      </c>
      <c r="AA61" s="16" t="str">
        <f>Data_Validation!N59</f>
        <v>Pass</v>
      </c>
    </row>
    <row r="62" spans="1:27" x14ac:dyDescent="0.35">
      <c r="A62" s="17" t="s">
        <v>109</v>
      </c>
      <c r="B62" s="3" t="s">
        <v>28</v>
      </c>
      <c r="C62" s="3" t="s">
        <v>58</v>
      </c>
      <c r="D62" s="3" t="s">
        <v>37</v>
      </c>
      <c r="E62" s="3" t="s">
        <v>38</v>
      </c>
      <c r="F62" s="3">
        <v>2348.0700000000002</v>
      </c>
      <c r="G62" s="3">
        <v>47604</v>
      </c>
      <c r="H62" s="3">
        <v>30918</v>
      </c>
      <c r="I62" s="3">
        <v>68754.87</v>
      </c>
      <c r="J62" s="3">
        <v>18</v>
      </c>
      <c r="K62" s="15">
        <f t="shared" si="0"/>
        <v>0.64948323670279806</v>
      </c>
      <c r="L62" s="16">
        <f t="shared" si="10"/>
        <v>7.5945080535610332E-2</v>
      </c>
      <c r="M62" s="16">
        <f t="shared" si="1"/>
        <v>49.325056717922863</v>
      </c>
      <c r="N62" s="16">
        <f t="shared" si="2"/>
        <v>29.281439650436312</v>
      </c>
      <c r="O62" s="16">
        <f t="shared" si="3"/>
        <v>28.281439650436308</v>
      </c>
      <c r="P62" s="1">
        <v>2023</v>
      </c>
      <c r="Q62" s="1" t="s">
        <v>39</v>
      </c>
      <c r="R62" s="1" t="s">
        <v>40</v>
      </c>
      <c r="S62" s="70">
        <f>DATE(Table2[[#This Row],[Year]],MONTH(DATEVALUE("1-"&amp;Table2[[#This Row],[Month]]&amp;"-2000")),1)</f>
        <v>44958</v>
      </c>
      <c r="T62" s="16">
        <f t="shared" si="4"/>
        <v>2.2237812924509992</v>
      </c>
      <c r="U62" s="16">
        <f t="shared" si="5"/>
        <v>1.4443086715402067</v>
      </c>
      <c r="V62" s="16">
        <f t="shared" si="6"/>
        <v>130.44833333333335</v>
      </c>
      <c r="W62" s="16">
        <f t="shared" si="7"/>
        <v>3819.7149999999997</v>
      </c>
      <c r="X62" s="16">
        <f t="shared" si="8"/>
        <v>1717.6666666666667</v>
      </c>
      <c r="Y62" s="16">
        <f t="shared" si="9"/>
        <v>2644.6666666666665</v>
      </c>
      <c r="Z62" s="7" t="str" cm="1">
        <f t="array" ref="Z62">_xlfn.IFS(K62&lt;2%,"Low",K62&lt;5%,"Medium",K62&lt;10%,"Good",K62&gt;10%,"Excellent")</f>
        <v>Excellent</v>
      </c>
      <c r="AA62" s="16" t="str">
        <f>Data_Validation!N60</f>
        <v>Pass</v>
      </c>
    </row>
    <row r="63" spans="1:27" x14ac:dyDescent="0.35">
      <c r="A63" s="17" t="s">
        <v>86</v>
      </c>
      <c r="B63" s="3" t="s">
        <v>48</v>
      </c>
      <c r="C63" s="3" t="s">
        <v>69</v>
      </c>
      <c r="D63" s="3" t="s">
        <v>59</v>
      </c>
      <c r="E63" s="3" t="s">
        <v>22</v>
      </c>
      <c r="F63" s="3">
        <v>4349.1400000000003</v>
      </c>
      <c r="G63" s="3">
        <v>509988</v>
      </c>
      <c r="H63" s="3">
        <v>39023</v>
      </c>
      <c r="I63" s="3">
        <v>218266.86</v>
      </c>
      <c r="J63" s="3">
        <v>50</v>
      </c>
      <c r="K63" s="15">
        <f t="shared" si="0"/>
        <v>7.6517486685961242E-2</v>
      </c>
      <c r="L63" s="16">
        <f t="shared" si="10"/>
        <v>0.11145068293057941</v>
      </c>
      <c r="M63" s="16">
        <f t="shared" si="1"/>
        <v>8.5279261472818959</v>
      </c>
      <c r="N63" s="16">
        <f t="shared" si="2"/>
        <v>50.186211526876569</v>
      </c>
      <c r="O63" s="16">
        <f t="shared" si="3"/>
        <v>49.186211526876569</v>
      </c>
      <c r="P63" s="1">
        <v>2023</v>
      </c>
      <c r="Q63" s="1" t="s">
        <v>39</v>
      </c>
      <c r="R63" s="1" t="s">
        <v>40</v>
      </c>
      <c r="S63" s="70">
        <f>DATE(Table2[[#This Row],[Year]],MONTH(DATEVALUE("1-"&amp;Table2[[#This Row],[Month]]&amp;"-2000")),1)</f>
        <v>44958</v>
      </c>
      <c r="T63" s="16">
        <f t="shared" si="4"/>
        <v>5.5932875483689104</v>
      </c>
      <c r="U63" s="16">
        <f t="shared" si="5"/>
        <v>0.42798430551307087</v>
      </c>
      <c r="V63" s="16">
        <f t="shared" si="6"/>
        <v>86.982800000000012</v>
      </c>
      <c r="W63" s="16">
        <f t="shared" si="7"/>
        <v>4365.3371999999999</v>
      </c>
      <c r="X63" s="16">
        <f t="shared" si="8"/>
        <v>780.46</v>
      </c>
      <c r="Y63" s="16">
        <f t="shared" si="9"/>
        <v>10199.76</v>
      </c>
      <c r="Z63" s="7" t="str" cm="1">
        <f t="array" ref="Z63">_xlfn.IFS(K63&lt;2%,"Low",K63&lt;5%,"Medium",K63&lt;10%,"Good",K63&gt;10%,"Excellent")</f>
        <v>Good</v>
      </c>
      <c r="AA63" s="16" t="str">
        <f>Data_Validation!N61</f>
        <v>Pass</v>
      </c>
    </row>
    <row r="64" spans="1:27" x14ac:dyDescent="0.35">
      <c r="A64" s="17" t="s">
        <v>99</v>
      </c>
      <c r="B64" s="3" t="s">
        <v>19</v>
      </c>
      <c r="C64" s="3" t="s">
        <v>69</v>
      </c>
      <c r="D64" s="3" t="s">
        <v>37</v>
      </c>
      <c r="E64" s="3" t="s">
        <v>22</v>
      </c>
      <c r="F64" s="3">
        <v>3061.39</v>
      </c>
      <c r="G64" s="3">
        <v>435151</v>
      </c>
      <c r="H64" s="3">
        <v>39379</v>
      </c>
      <c r="I64" s="3">
        <v>242464.7</v>
      </c>
      <c r="J64" s="3">
        <v>16</v>
      </c>
      <c r="K64" s="15">
        <f t="shared" si="0"/>
        <v>9.0495023566532079E-2</v>
      </c>
      <c r="L64" s="16">
        <f t="shared" si="10"/>
        <v>7.7741689733106481E-2</v>
      </c>
      <c r="M64" s="16">
        <f t="shared" si="1"/>
        <v>7.0352360444994959</v>
      </c>
      <c r="N64" s="16">
        <f t="shared" si="2"/>
        <v>79.200853207203266</v>
      </c>
      <c r="O64" s="16">
        <f t="shared" si="3"/>
        <v>78.200853207203266</v>
      </c>
      <c r="P64" s="1">
        <v>2023</v>
      </c>
      <c r="Q64" s="1" t="s">
        <v>39</v>
      </c>
      <c r="R64" s="1" t="s">
        <v>40</v>
      </c>
      <c r="S64" s="70">
        <f>DATE(Table2[[#This Row],[Year]],MONTH(DATEVALUE("1-"&amp;Table2[[#This Row],[Month]]&amp;"-2000")),1)</f>
        <v>44958</v>
      </c>
      <c r="T64" s="16">
        <f t="shared" si="4"/>
        <v>6.1572081566317074</v>
      </c>
      <c r="U64" s="16">
        <f t="shared" si="5"/>
        <v>0.55719669723842991</v>
      </c>
      <c r="V64" s="16">
        <f t="shared" si="6"/>
        <v>191.33687499999999</v>
      </c>
      <c r="W64" s="16">
        <f t="shared" si="7"/>
        <v>15154.043750000001</v>
      </c>
      <c r="X64" s="16">
        <f t="shared" si="8"/>
        <v>2461.1875</v>
      </c>
      <c r="Y64" s="16">
        <f t="shared" si="9"/>
        <v>27196.9375</v>
      </c>
      <c r="Z64" s="7" t="str" cm="1">
        <f t="array" ref="Z64">_xlfn.IFS(K64&lt;2%,"Low",K64&lt;5%,"Medium",K64&lt;10%,"Good",K64&gt;10%,"Excellent")</f>
        <v>Good</v>
      </c>
      <c r="AA64" s="16" t="str">
        <f>Data_Validation!N62</f>
        <v>Pass</v>
      </c>
    </row>
    <row r="65" spans="1:27" x14ac:dyDescent="0.35">
      <c r="A65" s="17" t="s">
        <v>81</v>
      </c>
      <c r="B65" s="3" t="s">
        <v>48</v>
      </c>
      <c r="C65" s="3" t="s">
        <v>69</v>
      </c>
      <c r="D65" s="3" t="s">
        <v>59</v>
      </c>
      <c r="E65" s="3" t="s">
        <v>30</v>
      </c>
      <c r="F65" s="3">
        <v>7788.02</v>
      </c>
      <c r="G65" s="3">
        <v>339384</v>
      </c>
      <c r="H65" s="3">
        <v>23015</v>
      </c>
      <c r="I65" s="3">
        <v>152591.92000000001</v>
      </c>
      <c r="J65" s="3">
        <v>14</v>
      </c>
      <c r="K65" s="15">
        <f t="shared" si="0"/>
        <v>6.7814039554015507E-2</v>
      </c>
      <c r="L65" s="16">
        <f t="shared" si="10"/>
        <v>0.33838887681946561</v>
      </c>
      <c r="M65" s="16">
        <f t="shared" si="1"/>
        <v>22.94751667727412</v>
      </c>
      <c r="N65" s="16">
        <f t="shared" si="2"/>
        <v>19.593159750488571</v>
      </c>
      <c r="O65" s="16">
        <f t="shared" si="3"/>
        <v>18.593159750488574</v>
      </c>
      <c r="P65" s="1">
        <v>2023</v>
      </c>
      <c r="Q65" s="1" t="s">
        <v>39</v>
      </c>
      <c r="R65" s="1" t="s">
        <v>40</v>
      </c>
      <c r="S65" s="70">
        <f>DATE(Table2[[#This Row],[Year]],MONTH(DATEVALUE("1-"&amp;Table2[[#This Row],[Month]]&amp;"-2000")),1)</f>
        <v>44958</v>
      </c>
      <c r="T65" s="16">
        <f t="shared" si="4"/>
        <v>6.6301073213121882</v>
      </c>
      <c r="U65" s="16">
        <f t="shared" si="5"/>
        <v>0.44961436013483258</v>
      </c>
      <c r="V65" s="16">
        <f t="shared" si="6"/>
        <v>556.28714285714284</v>
      </c>
      <c r="W65" s="16">
        <f t="shared" si="7"/>
        <v>10899.422857142858</v>
      </c>
      <c r="X65" s="16">
        <f t="shared" si="8"/>
        <v>1643.9285714285713</v>
      </c>
      <c r="Y65" s="16">
        <f t="shared" si="9"/>
        <v>24241.714285714286</v>
      </c>
      <c r="Z65" s="7" t="str" cm="1">
        <f t="array" ref="Z65">_xlfn.IFS(K65&lt;2%,"Low",K65&lt;5%,"Medium",K65&lt;10%,"Good",K65&gt;10%,"Excellent")</f>
        <v>Good</v>
      </c>
      <c r="AA65" s="16" t="str">
        <f>Data_Validation!N63</f>
        <v>Pass</v>
      </c>
    </row>
    <row r="66" spans="1:27" x14ac:dyDescent="0.35">
      <c r="A66" s="17" t="s">
        <v>83</v>
      </c>
      <c r="B66" s="3" t="s">
        <v>48</v>
      </c>
      <c r="C66" s="3" t="s">
        <v>69</v>
      </c>
      <c r="D66" s="3" t="s">
        <v>51</v>
      </c>
      <c r="E66" s="3" t="s">
        <v>22</v>
      </c>
      <c r="F66" s="3">
        <v>10729.44</v>
      </c>
      <c r="G66" s="3">
        <v>565736</v>
      </c>
      <c r="H66" s="3">
        <v>8887</v>
      </c>
      <c r="I66" s="3">
        <v>100162.67</v>
      </c>
      <c r="J66" s="3">
        <v>41</v>
      </c>
      <c r="K66" s="15">
        <f t="shared" si="0"/>
        <v>1.5708740472587922E-2</v>
      </c>
      <c r="L66" s="16">
        <f t="shared" si="10"/>
        <v>1.2073185551929786</v>
      </c>
      <c r="M66" s="16">
        <f t="shared" si="1"/>
        <v>18.965453851266314</v>
      </c>
      <c r="N66" s="16">
        <f t="shared" si="2"/>
        <v>9.3353120013719249</v>
      </c>
      <c r="O66" s="16">
        <f t="shared" si="3"/>
        <v>8.3353120013719249</v>
      </c>
      <c r="P66" s="1">
        <v>2023</v>
      </c>
      <c r="Q66" s="1" t="s">
        <v>60</v>
      </c>
      <c r="R66" s="1" t="s">
        <v>40</v>
      </c>
      <c r="S66" s="70">
        <f>DATE(Table2[[#This Row],[Year]],MONTH(DATEVALUE("1-"&amp;Table2[[#This Row],[Month]]&amp;"-2000")),1)</f>
        <v>44986</v>
      </c>
      <c r="T66" s="16">
        <f t="shared" si="4"/>
        <v>11.270695397772027</v>
      </c>
      <c r="U66" s="16">
        <f t="shared" si="5"/>
        <v>0.17704842894919184</v>
      </c>
      <c r="V66" s="16">
        <f t="shared" si="6"/>
        <v>261.69365853658536</v>
      </c>
      <c r="W66" s="16">
        <f t="shared" si="7"/>
        <v>2442.991951219512</v>
      </c>
      <c r="X66" s="16">
        <f t="shared" si="8"/>
        <v>216.7560975609756</v>
      </c>
      <c r="Y66" s="16">
        <f t="shared" si="9"/>
        <v>13798.439024390244</v>
      </c>
      <c r="Z66" s="7" t="str" cm="1">
        <f t="array" ref="Z66">_xlfn.IFS(K66&lt;2%,"Low",K66&lt;5%,"Medium",K66&lt;10%,"Good",K66&gt;10%,"Excellent")</f>
        <v>Low</v>
      </c>
      <c r="AA66" s="16" t="str">
        <f>Data_Validation!N64</f>
        <v>Pass</v>
      </c>
    </row>
    <row r="67" spans="1:27" x14ac:dyDescent="0.35">
      <c r="A67" s="17" t="s">
        <v>70</v>
      </c>
      <c r="B67" s="3" t="s">
        <v>48</v>
      </c>
      <c r="C67" s="3" t="s">
        <v>29</v>
      </c>
      <c r="D67" s="3" t="s">
        <v>21</v>
      </c>
      <c r="E67" s="3" t="s">
        <v>22</v>
      </c>
      <c r="F67" s="3">
        <v>20017.939999999999</v>
      </c>
      <c r="G67" s="3">
        <v>29764</v>
      </c>
      <c r="H67" s="3">
        <v>25173</v>
      </c>
      <c r="I67" s="3">
        <v>99242.5</v>
      </c>
      <c r="J67" s="3">
        <v>23</v>
      </c>
      <c r="K67" s="15">
        <f t="shared" si="0"/>
        <v>0.84575325897056852</v>
      </c>
      <c r="L67" s="16">
        <f t="shared" si="10"/>
        <v>0.79521471417788892</v>
      </c>
      <c r="M67" s="16">
        <f t="shared" si="1"/>
        <v>672.55543609729875</v>
      </c>
      <c r="N67" s="16">
        <f t="shared" si="2"/>
        <v>4.957677962867308</v>
      </c>
      <c r="O67" s="16">
        <f t="shared" si="3"/>
        <v>3.957677962867308</v>
      </c>
      <c r="P67" s="1">
        <v>2023</v>
      </c>
      <c r="Q67" s="1" t="s">
        <v>60</v>
      </c>
      <c r="R67" s="1" t="s">
        <v>40</v>
      </c>
      <c r="S67" s="70">
        <f>DATE(Table2[[#This Row],[Year]],MONTH(DATEVALUE("1-"&amp;Table2[[#This Row],[Month]]&amp;"-2000")),1)</f>
        <v>44986</v>
      </c>
      <c r="T67" s="16">
        <f t="shared" si="4"/>
        <v>3.9424184642275453</v>
      </c>
      <c r="U67" s="16">
        <f t="shared" si="5"/>
        <v>3.3343132643461901</v>
      </c>
      <c r="V67" s="16">
        <f t="shared" si="6"/>
        <v>870.34521739130435</v>
      </c>
      <c r="W67" s="16">
        <f t="shared" si="7"/>
        <v>4314.891304347826</v>
      </c>
      <c r="X67" s="16">
        <f t="shared" si="8"/>
        <v>1094.4782608695652</v>
      </c>
      <c r="Y67" s="16">
        <f t="shared" si="9"/>
        <v>1294.0869565217392</v>
      </c>
      <c r="Z67" s="7" t="str" cm="1">
        <f t="array" ref="Z67">_xlfn.IFS(K67&lt;2%,"Low",K67&lt;5%,"Medium",K67&lt;10%,"Good",K67&gt;10%,"Excellent")</f>
        <v>Excellent</v>
      </c>
      <c r="AA67" s="16" t="str">
        <f>Data_Validation!N65</f>
        <v>Pass</v>
      </c>
    </row>
    <row r="68" spans="1:27" x14ac:dyDescent="0.35">
      <c r="A68" s="17" t="s">
        <v>113</v>
      </c>
      <c r="B68" s="3" t="s">
        <v>19</v>
      </c>
      <c r="C68" s="3" t="s">
        <v>58</v>
      </c>
      <c r="D68" s="3" t="s">
        <v>63</v>
      </c>
      <c r="E68" s="3" t="s">
        <v>38</v>
      </c>
      <c r="F68" s="3">
        <v>9764.52</v>
      </c>
      <c r="G68" s="3">
        <v>506405</v>
      </c>
      <c r="H68" s="3">
        <v>14086</v>
      </c>
      <c r="I68" s="3">
        <v>18248.990000000002</v>
      </c>
      <c r="J68" s="3">
        <v>57</v>
      </c>
      <c r="K68" s="15">
        <f t="shared" si="0"/>
        <v>2.7815681124791422E-2</v>
      </c>
      <c r="L68" s="16">
        <f t="shared" si="10"/>
        <v>0.69320744001135881</v>
      </c>
      <c r="M68" s="16">
        <f t="shared" si="1"/>
        <v>19.282037104688936</v>
      </c>
      <c r="N68" s="16">
        <f t="shared" si="2"/>
        <v>1.8689080466832984</v>
      </c>
      <c r="O68" s="16">
        <f t="shared" si="3"/>
        <v>0.86890804668329835</v>
      </c>
      <c r="P68" s="1">
        <v>2023</v>
      </c>
      <c r="Q68" s="1" t="s">
        <v>60</v>
      </c>
      <c r="R68" s="1" t="s">
        <v>40</v>
      </c>
      <c r="S68" s="70">
        <f>DATE(Table2[[#This Row],[Year]],MONTH(DATEVALUE("1-"&amp;Table2[[#This Row],[Month]]&amp;"-2000")),1)</f>
        <v>44986</v>
      </c>
      <c r="T68" s="16">
        <f t="shared" si="4"/>
        <v>1.2955409626579584</v>
      </c>
      <c r="U68" s="16">
        <f t="shared" si="5"/>
        <v>3.6036354301399079E-2</v>
      </c>
      <c r="V68" s="16">
        <f t="shared" si="6"/>
        <v>171.30736842105264</v>
      </c>
      <c r="W68" s="16">
        <f t="shared" si="7"/>
        <v>320.15771929824564</v>
      </c>
      <c r="X68" s="16">
        <f t="shared" si="8"/>
        <v>247.12280701754386</v>
      </c>
      <c r="Y68" s="16">
        <f t="shared" si="9"/>
        <v>8884.2982456140344</v>
      </c>
      <c r="Z68" s="7" t="str" cm="1">
        <f t="array" ref="Z68">_xlfn.IFS(K68&lt;2%,"Low",K68&lt;5%,"Medium",K68&lt;10%,"Good",K68&gt;10%,"Excellent")</f>
        <v>Medium</v>
      </c>
      <c r="AA68" s="16" t="str">
        <f>Data_Validation!N66</f>
        <v>Pass</v>
      </c>
    </row>
    <row r="69" spans="1:27" x14ac:dyDescent="0.35">
      <c r="A69" s="17" t="s">
        <v>86</v>
      </c>
      <c r="B69" s="3" t="s">
        <v>28</v>
      </c>
      <c r="C69" s="3" t="s">
        <v>20</v>
      </c>
      <c r="D69" s="3" t="s">
        <v>43</v>
      </c>
      <c r="E69" s="3" t="s">
        <v>30</v>
      </c>
      <c r="F69" s="3">
        <v>43545.26</v>
      </c>
      <c r="G69" s="3">
        <v>203871</v>
      </c>
      <c r="H69" s="3">
        <v>26663</v>
      </c>
      <c r="I69" s="3">
        <v>204152.64</v>
      </c>
      <c r="J69" s="3">
        <v>51</v>
      </c>
      <c r="K69" s="15">
        <f t="shared" si="0"/>
        <v>0.13078368183802502</v>
      </c>
      <c r="L69" s="16">
        <f t="shared" si="10"/>
        <v>1.6331718111240296</v>
      </c>
      <c r="M69" s="16">
        <f t="shared" si="1"/>
        <v>213.59222253287618</v>
      </c>
      <c r="N69" s="16">
        <f t="shared" si="2"/>
        <v>4.6882861647857883</v>
      </c>
      <c r="O69" s="16">
        <f t="shared" si="3"/>
        <v>3.6882861647857883</v>
      </c>
      <c r="P69" s="1">
        <v>2023</v>
      </c>
      <c r="Q69" s="1" t="s">
        <v>60</v>
      </c>
      <c r="R69" s="1" t="s">
        <v>40</v>
      </c>
      <c r="S69" s="70">
        <f>DATE(Table2[[#This Row],[Year]],MONTH(DATEVALUE("1-"&amp;Table2[[#This Row],[Month]]&amp;"-2000")),1)</f>
        <v>44986</v>
      </c>
      <c r="T69" s="16">
        <f t="shared" si="4"/>
        <v>7.656776806810937</v>
      </c>
      <c r="U69" s="16">
        <f t="shared" si="5"/>
        <v>1.0013814618067307</v>
      </c>
      <c r="V69" s="16">
        <f t="shared" si="6"/>
        <v>853.82862745098043</v>
      </c>
      <c r="W69" s="16">
        <f t="shared" si="7"/>
        <v>4002.992941176471</v>
      </c>
      <c r="X69" s="16">
        <f t="shared" si="8"/>
        <v>522.8039215686274</v>
      </c>
      <c r="Y69" s="16">
        <f t="shared" si="9"/>
        <v>3997.4705882352941</v>
      </c>
      <c r="Z69" s="7" t="str" cm="1">
        <f t="array" ref="Z69">_xlfn.IFS(K69&lt;2%,"Low",K69&lt;5%,"Medium",K69&lt;10%,"Good",K69&gt;10%,"Excellent")</f>
        <v>Excellent</v>
      </c>
      <c r="AA69" s="16" t="str">
        <f>Data_Validation!N67</f>
        <v>Pass</v>
      </c>
    </row>
    <row r="70" spans="1:27" x14ac:dyDescent="0.35">
      <c r="A70" s="17" t="s">
        <v>78</v>
      </c>
      <c r="B70" s="3" t="s">
        <v>19</v>
      </c>
      <c r="C70" s="3" t="s">
        <v>69</v>
      </c>
      <c r="D70" s="3" t="s">
        <v>43</v>
      </c>
      <c r="E70" s="3" t="s">
        <v>22</v>
      </c>
      <c r="F70" s="3">
        <v>1153.95</v>
      </c>
      <c r="G70" s="3">
        <v>426297</v>
      </c>
      <c r="H70" s="3">
        <v>34439</v>
      </c>
      <c r="I70" s="3">
        <v>192424.11</v>
      </c>
      <c r="J70" s="3">
        <v>36</v>
      </c>
      <c r="K70" s="15">
        <f t="shared" si="0"/>
        <v>8.0786400091954674E-2</v>
      </c>
      <c r="L70" s="16">
        <f t="shared" si="10"/>
        <v>3.3507070472429512E-2</v>
      </c>
      <c r="M70" s="16">
        <f t="shared" si="1"/>
        <v>2.7069156010950115</v>
      </c>
      <c r="N70" s="16">
        <f t="shared" si="2"/>
        <v>166.75255427011567</v>
      </c>
      <c r="O70" s="16">
        <f t="shared" si="3"/>
        <v>165.75255427011567</v>
      </c>
      <c r="P70" s="1">
        <v>2023</v>
      </c>
      <c r="Q70" s="1" t="s">
        <v>60</v>
      </c>
      <c r="R70" s="1" t="s">
        <v>40</v>
      </c>
      <c r="S70" s="70">
        <f>DATE(Table2[[#This Row],[Year]],MONTH(DATEVALUE("1-"&amp;Table2[[#This Row],[Month]]&amp;"-2000")),1)</f>
        <v>44986</v>
      </c>
      <c r="T70" s="16">
        <f t="shared" si="4"/>
        <v>5.5873895873863928</v>
      </c>
      <c r="U70" s="16">
        <f t="shared" si="5"/>
        <v>0.45138509067621868</v>
      </c>
      <c r="V70" s="16">
        <f t="shared" si="6"/>
        <v>32.054166666666667</v>
      </c>
      <c r="W70" s="16">
        <f t="shared" si="7"/>
        <v>5345.1141666666663</v>
      </c>
      <c r="X70" s="16">
        <f t="shared" si="8"/>
        <v>956.63888888888891</v>
      </c>
      <c r="Y70" s="16">
        <f t="shared" si="9"/>
        <v>11841.583333333334</v>
      </c>
      <c r="Z70" s="7" t="str" cm="1">
        <f t="array" ref="Z70">_xlfn.IFS(K70&lt;2%,"Low",K70&lt;5%,"Medium",K70&lt;10%,"Good",K70&gt;10%,"Excellent")</f>
        <v>Good</v>
      </c>
      <c r="AA70" s="16" t="str">
        <f>Data_Validation!N68</f>
        <v>Pass</v>
      </c>
    </row>
    <row r="71" spans="1:27" x14ac:dyDescent="0.35">
      <c r="A71" s="17" t="s">
        <v>86</v>
      </c>
      <c r="B71" s="3" t="s">
        <v>48</v>
      </c>
      <c r="C71" s="3" t="s">
        <v>29</v>
      </c>
      <c r="D71" s="3" t="s">
        <v>59</v>
      </c>
      <c r="E71" s="3" t="s">
        <v>22</v>
      </c>
      <c r="F71" s="3">
        <v>17526.759999999998</v>
      </c>
      <c r="G71" s="3">
        <v>828430</v>
      </c>
      <c r="H71" s="3">
        <v>34459</v>
      </c>
      <c r="I71" s="3">
        <v>220436.48000000001</v>
      </c>
      <c r="J71" s="3">
        <v>25</v>
      </c>
      <c r="K71" s="15">
        <f t="shared" si="0"/>
        <v>4.1595548205642E-2</v>
      </c>
      <c r="L71" s="16">
        <f t="shared" si="10"/>
        <v>0.50862648364723295</v>
      </c>
      <c r="M71" s="16">
        <f t="shared" si="1"/>
        <v>21.156597419214659</v>
      </c>
      <c r="N71" s="16">
        <f t="shared" si="2"/>
        <v>12.577138044909614</v>
      </c>
      <c r="O71" s="16">
        <f t="shared" si="3"/>
        <v>11.577138044909614</v>
      </c>
      <c r="P71" s="1">
        <v>2023</v>
      </c>
      <c r="Q71" s="1" t="s">
        <v>60</v>
      </c>
      <c r="R71" s="1" t="s">
        <v>40</v>
      </c>
      <c r="S71" s="70">
        <f>DATE(Table2[[#This Row],[Year]],MONTH(DATEVALUE("1-"&amp;Table2[[#This Row],[Month]]&amp;"-2000")),1)</f>
        <v>44986</v>
      </c>
      <c r="T71" s="16">
        <f t="shared" si="4"/>
        <v>6.3970654981282102</v>
      </c>
      <c r="U71" s="16">
        <f t="shared" si="5"/>
        <v>0.26608944630204123</v>
      </c>
      <c r="V71" s="16">
        <f t="shared" si="6"/>
        <v>701.07039999999995</v>
      </c>
      <c r="W71" s="16">
        <f t="shared" si="7"/>
        <v>8817.4592000000011</v>
      </c>
      <c r="X71" s="16">
        <f t="shared" si="8"/>
        <v>1378.36</v>
      </c>
      <c r="Y71" s="16">
        <f t="shared" si="9"/>
        <v>33137.199999999997</v>
      </c>
      <c r="Z71" s="7" t="str" cm="1">
        <f t="array" ref="Z71">_xlfn.IFS(K71&lt;2%,"Low",K71&lt;5%,"Medium",K71&lt;10%,"Good",K71&gt;10%,"Excellent")</f>
        <v>Medium</v>
      </c>
      <c r="AA71" s="16" t="str">
        <f>Data_Validation!N69</f>
        <v>Pass</v>
      </c>
    </row>
    <row r="72" spans="1:27" x14ac:dyDescent="0.35">
      <c r="A72" s="17" t="s">
        <v>57</v>
      </c>
      <c r="B72" s="3" t="s">
        <v>28</v>
      </c>
      <c r="C72" s="3" t="s">
        <v>58</v>
      </c>
      <c r="D72" s="3" t="s">
        <v>59</v>
      </c>
      <c r="E72" s="3" t="s">
        <v>38</v>
      </c>
      <c r="F72" s="3">
        <v>31329.84</v>
      </c>
      <c r="G72" s="3">
        <v>762787</v>
      </c>
      <c r="H72" s="3">
        <v>20722</v>
      </c>
      <c r="I72" s="3">
        <v>57093.5</v>
      </c>
      <c r="J72" s="3">
        <v>19</v>
      </c>
      <c r="K72" s="15">
        <f t="shared" si="0"/>
        <v>2.716616827502304E-2</v>
      </c>
      <c r="L72" s="16">
        <f t="shared" si="10"/>
        <v>1.511911977608339</v>
      </c>
      <c r="M72" s="16">
        <f t="shared" si="1"/>
        <v>41.072855200731006</v>
      </c>
      <c r="N72" s="16">
        <f t="shared" si="2"/>
        <v>1.8223361498175541</v>
      </c>
      <c r="O72" s="16">
        <f t="shared" si="3"/>
        <v>0.8223361498175541</v>
      </c>
      <c r="P72" s="1">
        <v>2023</v>
      </c>
      <c r="Q72" s="1" t="s">
        <v>60</v>
      </c>
      <c r="R72" s="1" t="s">
        <v>40</v>
      </c>
      <c r="S72" s="70">
        <f>DATE(Table2[[#This Row],[Year]],MONTH(DATEVALUE("1-"&amp;Table2[[#This Row],[Month]]&amp;"-2000")),1)</f>
        <v>44986</v>
      </c>
      <c r="T72" s="16">
        <f t="shared" si="4"/>
        <v>2.7552118521378244</v>
      </c>
      <c r="U72" s="16">
        <f t="shared" si="5"/>
        <v>7.4848548808514034E-2</v>
      </c>
      <c r="V72" s="16">
        <f t="shared" si="6"/>
        <v>1648.9389473684212</v>
      </c>
      <c r="W72" s="16">
        <f t="shared" si="7"/>
        <v>3004.9210526315787</v>
      </c>
      <c r="X72" s="16">
        <f t="shared" si="8"/>
        <v>1090.6315789473683</v>
      </c>
      <c r="Y72" s="16">
        <f t="shared" si="9"/>
        <v>40146.684210526313</v>
      </c>
      <c r="Z72" s="7" t="str" cm="1">
        <f t="array" ref="Z72">_xlfn.IFS(K72&lt;2%,"Low",K72&lt;5%,"Medium",K72&lt;10%,"Good",K72&gt;10%,"Excellent")</f>
        <v>Medium</v>
      </c>
      <c r="AA72" s="16" t="str">
        <f>Data_Validation!N70</f>
        <v>Pass</v>
      </c>
    </row>
    <row r="73" spans="1:27" x14ac:dyDescent="0.35">
      <c r="A73" s="17" t="s">
        <v>107</v>
      </c>
      <c r="B73" s="3" t="s">
        <v>28</v>
      </c>
      <c r="C73" s="3" t="s">
        <v>29</v>
      </c>
      <c r="D73" s="3" t="s">
        <v>43</v>
      </c>
      <c r="E73" s="3" t="s">
        <v>30</v>
      </c>
      <c r="F73" s="3">
        <v>23102.55</v>
      </c>
      <c r="G73" s="3">
        <v>319242</v>
      </c>
      <c r="H73" s="3">
        <v>25099</v>
      </c>
      <c r="I73" s="3">
        <v>103412.35</v>
      </c>
      <c r="J73" s="3">
        <v>12</v>
      </c>
      <c r="K73" s="15">
        <f t="shared" ref="K73:K136" si="11">H73/G73</f>
        <v>7.8620607564167624E-2</v>
      </c>
      <c r="L73" s="16">
        <f t="shared" si="10"/>
        <v>0.92045699031833939</v>
      </c>
      <c r="M73" s="16">
        <f t="shared" ref="M73:M136" si="12">F73/G73*1000</f>
        <v>72.366887815512996</v>
      </c>
      <c r="N73" s="16">
        <f t="shared" ref="N73:N136" si="13">I73/F73</f>
        <v>4.4762309788313415</v>
      </c>
      <c r="O73" s="16">
        <f t="shared" ref="O73:O136" si="14">(I73-F73)/F73</f>
        <v>3.4762309788313415</v>
      </c>
      <c r="P73" s="1">
        <v>2023</v>
      </c>
      <c r="Q73" s="1" t="s">
        <v>60</v>
      </c>
      <c r="R73" s="1" t="s">
        <v>40</v>
      </c>
      <c r="S73" s="70">
        <f>DATE(Table2[[#This Row],[Year]],MONTH(DATEVALUE("1-"&amp;Table2[[#This Row],[Month]]&amp;"-2000")),1)</f>
        <v>44986</v>
      </c>
      <c r="T73" s="16">
        <f t="shared" ref="T73:T136" si="15">I73/H73</f>
        <v>4.1201780947448112</v>
      </c>
      <c r="U73" s="16">
        <f t="shared" ref="U73:U136" si="16">I73/G73</f>
        <v>0.32393090508141159</v>
      </c>
      <c r="V73" s="16">
        <f t="shared" ref="V73:V136" si="17">F73/J73</f>
        <v>1925.2124999999999</v>
      </c>
      <c r="W73" s="16">
        <f t="shared" ref="W73:W136" si="18">I73/J73</f>
        <v>8617.6958333333332</v>
      </c>
      <c r="X73" s="16">
        <f t="shared" ref="X73:X136" si="19">H73/J73</f>
        <v>2091.5833333333335</v>
      </c>
      <c r="Y73" s="16">
        <f t="shared" ref="Y73:Y136" si="20">G73/J73</f>
        <v>26603.5</v>
      </c>
      <c r="Z73" s="7" t="str" cm="1">
        <f t="array" ref="Z73">_xlfn.IFS(K73&lt;2%,"Low",K73&lt;5%,"Medium",K73&lt;10%,"Good",K73&gt;10%,"Excellent")</f>
        <v>Good</v>
      </c>
      <c r="AA73" s="16" t="str">
        <f>Data_Validation!N71</f>
        <v>Pass</v>
      </c>
    </row>
    <row r="74" spans="1:27" x14ac:dyDescent="0.35">
      <c r="A74" s="17" t="s">
        <v>94</v>
      </c>
      <c r="B74" s="3" t="s">
        <v>28</v>
      </c>
      <c r="C74" s="3" t="s">
        <v>36</v>
      </c>
      <c r="D74" s="3" t="s">
        <v>43</v>
      </c>
      <c r="E74" s="3" t="s">
        <v>38</v>
      </c>
      <c r="F74" s="3">
        <v>8983.32</v>
      </c>
      <c r="G74" s="3">
        <v>555073</v>
      </c>
      <c r="H74" s="3">
        <v>6448</v>
      </c>
      <c r="I74" s="3">
        <v>65565.490000000005</v>
      </c>
      <c r="J74" s="3">
        <v>6</v>
      </c>
      <c r="K74" s="15">
        <f t="shared" si="11"/>
        <v>1.1616490083286343E-2</v>
      </c>
      <c r="L74" s="16">
        <f t="shared" ref="L74:L137" si="21">F74/H74</f>
        <v>1.3931947890818859</v>
      </c>
      <c r="M74" s="16">
        <f t="shared" si="12"/>
        <v>16.184033451455935</v>
      </c>
      <c r="N74" s="16">
        <f t="shared" si="13"/>
        <v>7.2985811481723912</v>
      </c>
      <c r="O74" s="16">
        <f t="shared" si="14"/>
        <v>6.2985811481723912</v>
      </c>
      <c r="P74" s="1">
        <v>2023</v>
      </c>
      <c r="Q74" s="1" t="s">
        <v>60</v>
      </c>
      <c r="R74" s="1" t="s">
        <v>40</v>
      </c>
      <c r="S74" s="70">
        <f>DATE(Table2[[#This Row],[Year]],MONTH(DATEVALUE("1-"&amp;Table2[[#This Row],[Month]]&amp;"-2000")),1)</f>
        <v>44986</v>
      </c>
      <c r="T74" s="16">
        <f t="shared" si="15"/>
        <v>10.168345223325062</v>
      </c>
      <c r="U74" s="16">
        <f t="shared" si="16"/>
        <v>0.11812048145018764</v>
      </c>
      <c r="V74" s="16">
        <f t="shared" si="17"/>
        <v>1497.22</v>
      </c>
      <c r="W74" s="16">
        <f t="shared" si="18"/>
        <v>10927.581666666667</v>
      </c>
      <c r="X74" s="16">
        <f t="shared" si="19"/>
        <v>1074.6666666666667</v>
      </c>
      <c r="Y74" s="16">
        <f t="shared" si="20"/>
        <v>92512.166666666672</v>
      </c>
      <c r="Z74" s="7" t="str" cm="1">
        <f t="array" ref="Z74">_xlfn.IFS(K74&lt;2%,"Low",K74&lt;5%,"Medium",K74&lt;10%,"Good",K74&gt;10%,"Excellent")</f>
        <v>Low</v>
      </c>
      <c r="AA74" s="16" t="str">
        <f>Data_Validation!N72</f>
        <v>Pass</v>
      </c>
    </row>
    <row r="75" spans="1:27" x14ac:dyDescent="0.35">
      <c r="A75" s="17" t="s">
        <v>102</v>
      </c>
      <c r="B75" s="3" t="s">
        <v>28</v>
      </c>
      <c r="C75" s="3" t="s">
        <v>58</v>
      </c>
      <c r="D75" s="3" t="s">
        <v>51</v>
      </c>
      <c r="E75" s="3" t="s">
        <v>30</v>
      </c>
      <c r="F75" s="3">
        <v>1858.17</v>
      </c>
      <c r="G75" s="3">
        <v>334745</v>
      </c>
      <c r="H75" s="3">
        <v>37177</v>
      </c>
      <c r="I75" s="3">
        <v>115831.73</v>
      </c>
      <c r="J75" s="3">
        <v>61</v>
      </c>
      <c r="K75" s="15">
        <f t="shared" si="11"/>
        <v>0.1110606581128919</v>
      </c>
      <c r="L75" s="16">
        <f t="shared" si="21"/>
        <v>4.9981709121230872E-2</v>
      </c>
      <c r="M75" s="16">
        <f t="shared" si="12"/>
        <v>5.5510015086110327</v>
      </c>
      <c r="N75" s="16">
        <f t="shared" si="13"/>
        <v>62.33645468390943</v>
      </c>
      <c r="O75" s="16">
        <f t="shared" si="14"/>
        <v>61.336454683909437</v>
      </c>
      <c r="P75" s="1">
        <v>2023</v>
      </c>
      <c r="Q75" s="1" t="s">
        <v>60</v>
      </c>
      <c r="R75" s="1" t="s">
        <v>40</v>
      </c>
      <c r="S75" s="70">
        <f>DATE(Table2[[#This Row],[Year]],MONTH(DATEVALUE("1-"&amp;Table2[[#This Row],[Month]]&amp;"-2000")),1)</f>
        <v>44986</v>
      </c>
      <c r="T75" s="16">
        <f t="shared" si="15"/>
        <v>3.1156825456599511</v>
      </c>
      <c r="U75" s="16">
        <f t="shared" si="16"/>
        <v>0.34602975399184455</v>
      </c>
      <c r="V75" s="16">
        <f t="shared" si="17"/>
        <v>30.461803278688524</v>
      </c>
      <c r="W75" s="16">
        <f t="shared" si="18"/>
        <v>1898.8808196721311</v>
      </c>
      <c r="X75" s="16">
        <f t="shared" si="19"/>
        <v>609.45901639344265</v>
      </c>
      <c r="Y75" s="16">
        <f t="shared" si="20"/>
        <v>5487.622950819672</v>
      </c>
      <c r="Z75" s="7" t="str" cm="1">
        <f t="array" ref="Z75">_xlfn.IFS(K75&lt;2%,"Low",K75&lt;5%,"Medium",K75&lt;10%,"Good",K75&gt;10%,"Excellent")</f>
        <v>Excellent</v>
      </c>
      <c r="AA75" s="16" t="str">
        <f>Data_Validation!N73</f>
        <v>Pass</v>
      </c>
    </row>
    <row r="76" spans="1:27" x14ac:dyDescent="0.35">
      <c r="A76" s="17" t="s">
        <v>113</v>
      </c>
      <c r="B76" s="3" t="s">
        <v>28</v>
      </c>
      <c r="C76" s="3" t="s">
        <v>36</v>
      </c>
      <c r="D76" s="3" t="s">
        <v>51</v>
      </c>
      <c r="E76" s="3" t="s">
        <v>38</v>
      </c>
      <c r="F76" s="3">
        <v>26160.85</v>
      </c>
      <c r="G76" s="3">
        <v>542280</v>
      </c>
      <c r="H76" s="3">
        <v>36416</v>
      </c>
      <c r="I76" s="3">
        <v>9981.91</v>
      </c>
      <c r="J76" s="3">
        <v>39</v>
      </c>
      <c r="K76" s="15">
        <f t="shared" si="11"/>
        <v>6.7153500036881322E-2</v>
      </c>
      <c r="L76" s="16">
        <f t="shared" si="21"/>
        <v>0.71838889499121261</v>
      </c>
      <c r="M76" s="16">
        <f t="shared" si="12"/>
        <v>48.242328686287522</v>
      </c>
      <c r="N76" s="16">
        <f t="shared" si="13"/>
        <v>0.38155908542727013</v>
      </c>
      <c r="O76" s="16">
        <f t="shared" si="14"/>
        <v>-0.61844091457272987</v>
      </c>
      <c r="P76" s="1">
        <v>2023</v>
      </c>
      <c r="Q76" s="1" t="s">
        <v>60</v>
      </c>
      <c r="R76" s="1" t="s">
        <v>40</v>
      </c>
      <c r="S76" s="70">
        <f>DATE(Table2[[#This Row],[Year]],MONTH(DATEVALUE("1-"&amp;Table2[[#This Row],[Month]]&amp;"-2000")),1)</f>
        <v>44986</v>
      </c>
      <c r="T76" s="16">
        <f t="shared" si="15"/>
        <v>0.27410780975395432</v>
      </c>
      <c r="U76" s="16">
        <f t="shared" si="16"/>
        <v>1.8407298812421626E-2</v>
      </c>
      <c r="V76" s="16">
        <f t="shared" si="17"/>
        <v>670.79102564102561</v>
      </c>
      <c r="W76" s="16">
        <f t="shared" si="18"/>
        <v>255.94641025641025</v>
      </c>
      <c r="X76" s="16">
        <f t="shared" si="19"/>
        <v>933.74358974358972</v>
      </c>
      <c r="Y76" s="16">
        <f t="shared" si="20"/>
        <v>13904.615384615385</v>
      </c>
      <c r="Z76" s="7" t="str" cm="1">
        <f t="array" ref="Z76">_xlfn.IFS(K76&lt;2%,"Low",K76&lt;5%,"Medium",K76&lt;10%,"Good",K76&gt;10%,"Excellent")</f>
        <v>Good</v>
      </c>
      <c r="AA76" s="16" t="str">
        <f>Data_Validation!N74</f>
        <v>Pass</v>
      </c>
    </row>
    <row r="77" spans="1:27" x14ac:dyDescent="0.35">
      <c r="A77" s="17" t="s">
        <v>66</v>
      </c>
      <c r="B77" s="3" t="s">
        <v>19</v>
      </c>
      <c r="C77" s="3" t="s">
        <v>69</v>
      </c>
      <c r="D77" s="3" t="s">
        <v>59</v>
      </c>
      <c r="E77" s="3" t="s">
        <v>22</v>
      </c>
      <c r="F77" s="3">
        <v>9873.3799999999992</v>
      </c>
      <c r="G77" s="3">
        <v>236441</v>
      </c>
      <c r="H77" s="3">
        <v>15369</v>
      </c>
      <c r="I77" s="3">
        <v>85497.09</v>
      </c>
      <c r="J77" s="3">
        <v>59</v>
      </c>
      <c r="K77" s="15">
        <f t="shared" si="11"/>
        <v>6.500141684394839E-2</v>
      </c>
      <c r="L77" s="16">
        <f t="shared" si="21"/>
        <v>0.64242175808445567</v>
      </c>
      <c r="M77" s="16">
        <f t="shared" si="12"/>
        <v>41.758324486869867</v>
      </c>
      <c r="N77" s="16">
        <f t="shared" si="13"/>
        <v>8.6593537370181242</v>
      </c>
      <c r="O77" s="16">
        <f t="shared" si="14"/>
        <v>7.6593537370181233</v>
      </c>
      <c r="P77" s="1">
        <v>2023</v>
      </c>
      <c r="Q77" s="1" t="s">
        <v>60</v>
      </c>
      <c r="R77" s="1" t="s">
        <v>40</v>
      </c>
      <c r="S77" s="70">
        <f>DATE(Table2[[#This Row],[Year]],MONTH(DATEVALUE("1-"&amp;Table2[[#This Row],[Month]]&amp;"-2000")),1)</f>
        <v>44986</v>
      </c>
      <c r="T77" s="16">
        <f t="shared" si="15"/>
        <v>5.562957251610384</v>
      </c>
      <c r="U77" s="16">
        <f t="shared" si="16"/>
        <v>0.36160010319699204</v>
      </c>
      <c r="V77" s="16">
        <f t="shared" si="17"/>
        <v>167.34542372881356</v>
      </c>
      <c r="W77" s="16">
        <f t="shared" si="18"/>
        <v>1449.103220338983</v>
      </c>
      <c r="X77" s="16">
        <f t="shared" si="19"/>
        <v>260.49152542372883</v>
      </c>
      <c r="Y77" s="16">
        <f t="shared" si="20"/>
        <v>4007.4745762711864</v>
      </c>
      <c r="Z77" s="7" t="str" cm="1">
        <f t="array" ref="Z77">_xlfn.IFS(K77&lt;2%,"Low",K77&lt;5%,"Medium",K77&lt;10%,"Good",K77&gt;10%,"Excellent")</f>
        <v>Good</v>
      </c>
      <c r="AA77" s="16" t="str">
        <f>Data_Validation!N75</f>
        <v>Pass</v>
      </c>
    </row>
    <row r="78" spans="1:27" x14ac:dyDescent="0.35">
      <c r="A78" s="17" t="s">
        <v>120</v>
      </c>
      <c r="B78" s="3" t="s">
        <v>28</v>
      </c>
      <c r="C78" s="3" t="s">
        <v>29</v>
      </c>
      <c r="D78" s="3" t="s">
        <v>37</v>
      </c>
      <c r="E78" s="3" t="s">
        <v>30</v>
      </c>
      <c r="F78" s="3">
        <v>3110.98</v>
      </c>
      <c r="G78" s="3">
        <v>286141</v>
      </c>
      <c r="H78" s="3">
        <v>35594</v>
      </c>
      <c r="I78" s="3">
        <v>94942.61</v>
      </c>
      <c r="J78" s="3">
        <v>39</v>
      </c>
      <c r="K78" s="15">
        <f t="shared" si="11"/>
        <v>0.12439321872782999</v>
      </c>
      <c r="L78" s="16">
        <f t="shared" si="21"/>
        <v>8.7401809293701185E-2</v>
      </c>
      <c r="M78" s="16">
        <f t="shared" si="12"/>
        <v>10.872192380679456</v>
      </c>
      <c r="N78" s="16">
        <f t="shared" si="13"/>
        <v>30.518553639046218</v>
      </c>
      <c r="O78" s="16">
        <f t="shared" si="14"/>
        <v>29.518553639046218</v>
      </c>
      <c r="P78" s="1">
        <v>2023</v>
      </c>
      <c r="Q78" s="1" t="s">
        <v>60</v>
      </c>
      <c r="R78" s="1" t="s">
        <v>40</v>
      </c>
      <c r="S78" s="70">
        <f>DATE(Table2[[#This Row],[Year]],MONTH(DATEVALUE("1-"&amp;Table2[[#This Row],[Month]]&amp;"-2000")),1)</f>
        <v>44986</v>
      </c>
      <c r="T78" s="16">
        <f t="shared" si="15"/>
        <v>2.6673768050795079</v>
      </c>
      <c r="U78" s="16">
        <f t="shared" si="16"/>
        <v>0.33180358634379553</v>
      </c>
      <c r="V78" s="16">
        <f t="shared" si="17"/>
        <v>79.768717948717949</v>
      </c>
      <c r="W78" s="16">
        <f t="shared" si="18"/>
        <v>2434.4258974358972</v>
      </c>
      <c r="X78" s="16">
        <f t="shared" si="19"/>
        <v>912.66666666666663</v>
      </c>
      <c r="Y78" s="16">
        <f t="shared" si="20"/>
        <v>7336.9487179487178</v>
      </c>
      <c r="Z78" s="7" t="str" cm="1">
        <f t="array" ref="Z78">_xlfn.IFS(K78&lt;2%,"Low",K78&lt;5%,"Medium",K78&lt;10%,"Good",K78&gt;10%,"Excellent")</f>
        <v>Excellent</v>
      </c>
      <c r="AA78" s="16" t="str">
        <f>Data_Validation!N76</f>
        <v>Pass</v>
      </c>
    </row>
    <row r="79" spans="1:27" x14ac:dyDescent="0.35">
      <c r="A79" s="17" t="s">
        <v>105</v>
      </c>
      <c r="B79" s="3" t="s">
        <v>28</v>
      </c>
      <c r="C79" s="3" t="s">
        <v>58</v>
      </c>
      <c r="D79" s="3" t="s">
        <v>63</v>
      </c>
      <c r="E79" s="3" t="s">
        <v>22</v>
      </c>
      <c r="F79" s="3">
        <v>43519.18</v>
      </c>
      <c r="G79" s="3">
        <v>106214</v>
      </c>
      <c r="H79" s="3">
        <v>48997</v>
      </c>
      <c r="I79" s="3">
        <v>134968.26</v>
      </c>
      <c r="J79" s="3">
        <v>15</v>
      </c>
      <c r="K79" s="15">
        <f t="shared" si="11"/>
        <v>0.46130453612518124</v>
      </c>
      <c r="L79" s="16">
        <f t="shared" si="21"/>
        <v>0.88820091025981185</v>
      </c>
      <c r="M79" s="16">
        <f t="shared" si="12"/>
        <v>409.73110889336624</v>
      </c>
      <c r="N79" s="16">
        <f t="shared" si="13"/>
        <v>3.1013511743557669</v>
      </c>
      <c r="O79" s="16">
        <f t="shared" si="14"/>
        <v>2.1013511743557673</v>
      </c>
      <c r="P79" s="1">
        <v>2023</v>
      </c>
      <c r="Q79" s="1" t="s">
        <v>60</v>
      </c>
      <c r="R79" s="1" t="s">
        <v>40</v>
      </c>
      <c r="S79" s="70">
        <f>DATE(Table2[[#This Row],[Year]],MONTH(DATEVALUE("1-"&amp;Table2[[#This Row],[Month]]&amp;"-2000")),1)</f>
        <v>44986</v>
      </c>
      <c r="T79" s="16">
        <f t="shared" si="15"/>
        <v>2.7546229360981287</v>
      </c>
      <c r="U79" s="16">
        <f t="shared" si="16"/>
        <v>1.2707200557365319</v>
      </c>
      <c r="V79" s="16">
        <f t="shared" si="17"/>
        <v>2901.2786666666666</v>
      </c>
      <c r="W79" s="16">
        <f t="shared" si="18"/>
        <v>8997.884</v>
      </c>
      <c r="X79" s="16">
        <f t="shared" si="19"/>
        <v>3266.4666666666667</v>
      </c>
      <c r="Y79" s="16">
        <f t="shared" si="20"/>
        <v>7080.9333333333334</v>
      </c>
      <c r="Z79" s="7" t="str" cm="1">
        <f t="array" ref="Z79">_xlfn.IFS(K79&lt;2%,"Low",K79&lt;5%,"Medium",K79&lt;10%,"Good",K79&gt;10%,"Excellent")</f>
        <v>Excellent</v>
      </c>
      <c r="AA79" s="16" t="str">
        <f>Data_Validation!N77</f>
        <v>Pass</v>
      </c>
    </row>
    <row r="80" spans="1:27" x14ac:dyDescent="0.35">
      <c r="A80" s="17" t="s">
        <v>111</v>
      </c>
      <c r="B80" s="3" t="s">
        <v>48</v>
      </c>
      <c r="C80" s="3" t="s">
        <v>58</v>
      </c>
      <c r="D80" s="3" t="s">
        <v>59</v>
      </c>
      <c r="E80" s="3" t="s">
        <v>38</v>
      </c>
      <c r="F80" s="3">
        <v>44078.33</v>
      </c>
      <c r="G80" s="3">
        <v>740650</v>
      </c>
      <c r="H80" s="3">
        <v>42408</v>
      </c>
      <c r="I80" s="3">
        <v>52193.72</v>
      </c>
      <c r="J80" s="3">
        <v>46</v>
      </c>
      <c r="K80" s="15">
        <f t="shared" si="11"/>
        <v>5.7257814082225071E-2</v>
      </c>
      <c r="L80" s="16">
        <f t="shared" si="21"/>
        <v>1.0393871439351066</v>
      </c>
      <c r="M80" s="16">
        <f t="shared" si="12"/>
        <v>59.513035846891242</v>
      </c>
      <c r="N80" s="16">
        <f t="shared" si="13"/>
        <v>1.1841129189785546</v>
      </c>
      <c r="O80" s="16">
        <f t="shared" si="14"/>
        <v>0.18411291897855475</v>
      </c>
      <c r="P80" s="1">
        <v>2023</v>
      </c>
      <c r="Q80" s="1" t="s">
        <v>60</v>
      </c>
      <c r="R80" s="1" t="s">
        <v>40</v>
      </c>
      <c r="S80" s="70">
        <f>DATE(Table2[[#This Row],[Year]],MONTH(DATEVALUE("1-"&amp;Table2[[#This Row],[Month]]&amp;"-2000")),1)</f>
        <v>44986</v>
      </c>
      <c r="T80" s="16">
        <f t="shared" si="15"/>
        <v>1.2307517449537824</v>
      </c>
      <c r="U80" s="16">
        <f t="shared" si="16"/>
        <v>7.0470154593937753E-2</v>
      </c>
      <c r="V80" s="16">
        <f t="shared" si="17"/>
        <v>958.22456521739139</v>
      </c>
      <c r="W80" s="16">
        <f t="shared" si="18"/>
        <v>1134.6460869565217</v>
      </c>
      <c r="X80" s="16">
        <f t="shared" si="19"/>
        <v>921.91304347826087</v>
      </c>
      <c r="Y80" s="16">
        <f t="shared" si="20"/>
        <v>16101.08695652174</v>
      </c>
      <c r="Z80" s="7" t="str" cm="1">
        <f t="array" ref="Z80">_xlfn.IFS(K80&lt;2%,"Low",K80&lt;5%,"Medium",K80&lt;10%,"Good",K80&gt;10%,"Excellent")</f>
        <v>Good</v>
      </c>
      <c r="AA80" s="16" t="str">
        <f>Data_Validation!N78</f>
        <v>Pass</v>
      </c>
    </row>
    <row r="81" spans="1:27" x14ac:dyDescent="0.35">
      <c r="A81" s="17" t="s">
        <v>81</v>
      </c>
      <c r="B81" s="3" t="s">
        <v>35</v>
      </c>
      <c r="C81" s="3" t="s">
        <v>29</v>
      </c>
      <c r="D81" s="3" t="s">
        <v>21</v>
      </c>
      <c r="E81" s="3" t="s">
        <v>22</v>
      </c>
      <c r="F81" s="3">
        <v>17390.07</v>
      </c>
      <c r="G81" s="3">
        <v>117402</v>
      </c>
      <c r="H81" s="3">
        <v>6863</v>
      </c>
      <c r="I81" s="3">
        <v>81771.11</v>
      </c>
      <c r="J81" s="3">
        <v>20</v>
      </c>
      <c r="K81" s="15">
        <f t="shared" si="11"/>
        <v>5.845726648609053E-2</v>
      </c>
      <c r="L81" s="16">
        <f t="shared" si="21"/>
        <v>2.5338875127495264</v>
      </c>
      <c r="M81" s="16">
        <f t="shared" si="12"/>
        <v>148.12413757857618</v>
      </c>
      <c r="N81" s="16">
        <f t="shared" si="13"/>
        <v>4.7021725616975667</v>
      </c>
      <c r="O81" s="16">
        <f t="shared" si="14"/>
        <v>3.7021725616975667</v>
      </c>
      <c r="P81" s="1">
        <v>2023</v>
      </c>
      <c r="Q81" s="1" t="s">
        <v>60</v>
      </c>
      <c r="R81" s="1" t="s">
        <v>40</v>
      </c>
      <c r="S81" s="70">
        <f>DATE(Table2[[#This Row],[Year]],MONTH(DATEVALUE("1-"&amp;Table2[[#This Row],[Month]]&amp;"-2000")),1)</f>
        <v>44986</v>
      </c>
      <c r="T81" s="16">
        <f t="shared" si="15"/>
        <v>11.914776336878916</v>
      </c>
      <c r="U81" s="16">
        <f t="shared" si="16"/>
        <v>0.69650525544709629</v>
      </c>
      <c r="V81" s="16">
        <f t="shared" si="17"/>
        <v>869.50350000000003</v>
      </c>
      <c r="W81" s="16">
        <f t="shared" si="18"/>
        <v>4088.5554999999999</v>
      </c>
      <c r="X81" s="16">
        <f t="shared" si="19"/>
        <v>343.15</v>
      </c>
      <c r="Y81" s="16">
        <f t="shared" si="20"/>
        <v>5870.1</v>
      </c>
      <c r="Z81" s="7" t="str" cm="1">
        <f t="array" ref="Z81">_xlfn.IFS(K81&lt;2%,"Low",K81&lt;5%,"Medium",K81&lt;10%,"Good",K81&gt;10%,"Excellent")</f>
        <v>Good</v>
      </c>
      <c r="AA81" s="16" t="str">
        <f>Data_Validation!N79</f>
        <v>Pass</v>
      </c>
    </row>
    <row r="82" spans="1:27" x14ac:dyDescent="0.35">
      <c r="A82" s="17" t="s">
        <v>112</v>
      </c>
      <c r="B82" s="3" t="s">
        <v>19</v>
      </c>
      <c r="C82" s="3" t="s">
        <v>36</v>
      </c>
      <c r="D82" s="3" t="s">
        <v>63</v>
      </c>
      <c r="E82" s="3" t="s">
        <v>30</v>
      </c>
      <c r="F82" s="3">
        <v>2037.1</v>
      </c>
      <c r="G82" s="3">
        <v>986292</v>
      </c>
      <c r="H82" s="3">
        <v>15490</v>
      </c>
      <c r="I82" s="3">
        <v>120378.44</v>
      </c>
      <c r="J82" s="3">
        <v>12</v>
      </c>
      <c r="K82" s="15">
        <f t="shared" si="11"/>
        <v>1.5705288089125736E-2</v>
      </c>
      <c r="L82" s="16">
        <f t="shared" si="21"/>
        <v>0.13151065203357004</v>
      </c>
      <c r="M82" s="16">
        <f t="shared" si="12"/>
        <v>2.0654126769759866</v>
      </c>
      <c r="N82" s="16">
        <f t="shared" si="13"/>
        <v>59.093044033184434</v>
      </c>
      <c r="O82" s="16">
        <f t="shared" si="14"/>
        <v>58.093044033184427</v>
      </c>
      <c r="P82" s="1">
        <v>2023</v>
      </c>
      <c r="Q82" s="1" t="s">
        <v>60</v>
      </c>
      <c r="R82" s="1" t="s">
        <v>40</v>
      </c>
      <c r="S82" s="70">
        <f>DATE(Table2[[#This Row],[Year]],MONTH(DATEVALUE("1-"&amp;Table2[[#This Row],[Month]]&amp;"-2000")),1)</f>
        <v>44986</v>
      </c>
      <c r="T82" s="16">
        <f t="shared" si="15"/>
        <v>7.7713647514525501</v>
      </c>
      <c r="U82" s="16">
        <f t="shared" si="16"/>
        <v>0.12205152226723932</v>
      </c>
      <c r="V82" s="16">
        <f t="shared" si="17"/>
        <v>169.75833333333333</v>
      </c>
      <c r="W82" s="16">
        <f t="shared" si="18"/>
        <v>10031.536666666667</v>
      </c>
      <c r="X82" s="16">
        <f t="shared" si="19"/>
        <v>1290.8333333333333</v>
      </c>
      <c r="Y82" s="16">
        <f t="shared" si="20"/>
        <v>82191</v>
      </c>
      <c r="Z82" s="7" t="str" cm="1">
        <f t="array" ref="Z82">_xlfn.IFS(K82&lt;2%,"Low",K82&lt;5%,"Medium",K82&lt;10%,"Good",K82&gt;10%,"Excellent")</f>
        <v>Low</v>
      </c>
      <c r="AA82" s="16" t="str">
        <f>Data_Validation!N80</f>
        <v>Pass</v>
      </c>
    </row>
    <row r="83" spans="1:27" x14ac:dyDescent="0.35">
      <c r="A83" s="17" t="s">
        <v>87</v>
      </c>
      <c r="B83" s="3" t="s">
        <v>28</v>
      </c>
      <c r="C83" s="3" t="s">
        <v>69</v>
      </c>
      <c r="D83" s="3" t="s">
        <v>21</v>
      </c>
      <c r="E83" s="3" t="s">
        <v>30</v>
      </c>
      <c r="F83" s="3">
        <v>52590.07</v>
      </c>
      <c r="G83" s="3">
        <v>964911</v>
      </c>
      <c r="H83" s="3">
        <v>26896</v>
      </c>
      <c r="I83" s="3">
        <v>159553.84</v>
      </c>
      <c r="J83" s="3">
        <v>53</v>
      </c>
      <c r="K83" s="15">
        <f t="shared" si="11"/>
        <v>2.7874073360133731E-2</v>
      </c>
      <c r="L83" s="16">
        <f t="shared" si="21"/>
        <v>1.9553119422962522</v>
      </c>
      <c r="M83" s="16">
        <f t="shared" si="12"/>
        <v>54.502508521511309</v>
      </c>
      <c r="N83" s="16">
        <f t="shared" si="13"/>
        <v>3.0339157183095593</v>
      </c>
      <c r="O83" s="16">
        <f t="shared" si="14"/>
        <v>2.0339157183095589</v>
      </c>
      <c r="P83" s="1">
        <v>2023</v>
      </c>
      <c r="Q83" s="1" t="s">
        <v>60</v>
      </c>
      <c r="R83" s="1" t="s">
        <v>40</v>
      </c>
      <c r="S83" s="70">
        <f>DATE(Table2[[#This Row],[Year]],MONTH(DATEVALUE("1-"&amp;Table2[[#This Row],[Month]]&amp;"-2000")),1)</f>
        <v>44986</v>
      </c>
      <c r="T83" s="16">
        <f t="shared" si="15"/>
        <v>5.9322516359309931</v>
      </c>
      <c r="U83" s="16">
        <f t="shared" si="16"/>
        <v>0.16535601729071386</v>
      </c>
      <c r="V83" s="16">
        <f t="shared" si="17"/>
        <v>992.26547169811317</v>
      </c>
      <c r="W83" s="16">
        <f t="shared" si="18"/>
        <v>3010.4498113207546</v>
      </c>
      <c r="X83" s="16">
        <f t="shared" si="19"/>
        <v>507.47169811320754</v>
      </c>
      <c r="Y83" s="16">
        <f t="shared" si="20"/>
        <v>18205.867924528302</v>
      </c>
      <c r="Z83" s="7" t="str" cm="1">
        <f t="array" ref="Z83">_xlfn.IFS(K83&lt;2%,"Low",K83&lt;5%,"Medium",K83&lt;10%,"Good",K83&gt;10%,"Excellent")</f>
        <v>Medium</v>
      </c>
      <c r="AA83" s="16" t="str">
        <f>Data_Validation!N81</f>
        <v>Pass</v>
      </c>
    </row>
    <row r="84" spans="1:27" x14ac:dyDescent="0.35">
      <c r="A84" s="17" t="s">
        <v>81</v>
      </c>
      <c r="B84" s="3" t="s">
        <v>48</v>
      </c>
      <c r="C84" s="3" t="s">
        <v>69</v>
      </c>
      <c r="D84" s="3" t="s">
        <v>63</v>
      </c>
      <c r="E84" s="3" t="s">
        <v>22</v>
      </c>
      <c r="F84" s="3">
        <v>3726.35</v>
      </c>
      <c r="G84" s="3">
        <v>988593</v>
      </c>
      <c r="H84" s="3">
        <v>22972</v>
      </c>
      <c r="I84" s="3">
        <v>220811.72</v>
      </c>
      <c r="J84" s="3">
        <v>40</v>
      </c>
      <c r="K84" s="15">
        <f t="shared" si="11"/>
        <v>2.3237065202767974E-2</v>
      </c>
      <c r="L84" s="16">
        <f t="shared" si="21"/>
        <v>0.1622126937140867</v>
      </c>
      <c r="M84" s="16">
        <f t="shared" si="12"/>
        <v>3.7693469405508635</v>
      </c>
      <c r="N84" s="16">
        <f t="shared" si="13"/>
        <v>59.256838461228817</v>
      </c>
      <c r="O84" s="16">
        <f t="shared" si="14"/>
        <v>58.256838461228817</v>
      </c>
      <c r="P84" s="1">
        <v>2023</v>
      </c>
      <c r="Q84" s="1" t="s">
        <v>60</v>
      </c>
      <c r="R84" s="1" t="s">
        <v>40</v>
      </c>
      <c r="S84" s="70">
        <f>DATE(Table2[[#This Row],[Year]],MONTH(DATEVALUE("1-"&amp;Table2[[#This Row],[Month]]&amp;"-2000")),1)</f>
        <v>44986</v>
      </c>
      <c r="T84" s="16">
        <f t="shared" si="15"/>
        <v>9.6122113877764228</v>
      </c>
      <c r="U84" s="16">
        <f t="shared" si="16"/>
        <v>0.2233595827605496</v>
      </c>
      <c r="V84" s="16">
        <f t="shared" si="17"/>
        <v>93.158749999999998</v>
      </c>
      <c r="W84" s="16">
        <f t="shared" si="18"/>
        <v>5520.2929999999997</v>
      </c>
      <c r="X84" s="16">
        <f t="shared" si="19"/>
        <v>574.29999999999995</v>
      </c>
      <c r="Y84" s="16">
        <f t="shared" si="20"/>
        <v>24714.825000000001</v>
      </c>
      <c r="Z84" s="7" t="str" cm="1">
        <f t="array" ref="Z84">_xlfn.IFS(K84&lt;2%,"Low",K84&lt;5%,"Medium",K84&lt;10%,"Good",K84&gt;10%,"Excellent")</f>
        <v>Medium</v>
      </c>
      <c r="AA84" s="16" t="str">
        <f>Data_Validation!N82</f>
        <v>Pass</v>
      </c>
    </row>
    <row r="85" spans="1:27" x14ac:dyDescent="0.35">
      <c r="A85" s="17" t="s">
        <v>78</v>
      </c>
      <c r="B85" s="3" t="s">
        <v>35</v>
      </c>
      <c r="C85" s="3" t="s">
        <v>58</v>
      </c>
      <c r="D85" s="3" t="s">
        <v>51</v>
      </c>
      <c r="E85" s="3" t="s">
        <v>22</v>
      </c>
      <c r="F85" s="3">
        <v>6264.99</v>
      </c>
      <c r="G85" s="3">
        <v>957556</v>
      </c>
      <c r="H85" s="3">
        <v>10803</v>
      </c>
      <c r="I85" s="3">
        <v>103014.55</v>
      </c>
      <c r="J85" s="3">
        <v>41</v>
      </c>
      <c r="K85" s="15">
        <f t="shared" si="11"/>
        <v>1.1281846701393965E-2</v>
      </c>
      <c r="L85" s="16">
        <f t="shared" si="21"/>
        <v>0.57993057484032207</v>
      </c>
      <c r="M85" s="16">
        <f t="shared" si="12"/>
        <v>6.5426878427997943</v>
      </c>
      <c r="N85" s="16">
        <f t="shared" si="13"/>
        <v>16.442891369339776</v>
      </c>
      <c r="O85" s="16">
        <f t="shared" si="14"/>
        <v>15.442891369339776</v>
      </c>
      <c r="P85" s="1">
        <v>2023</v>
      </c>
      <c r="Q85" s="1" t="s">
        <v>60</v>
      </c>
      <c r="R85" s="1" t="s">
        <v>40</v>
      </c>
      <c r="S85" s="70">
        <f>DATE(Table2[[#This Row],[Year]],MONTH(DATEVALUE("1-"&amp;Table2[[#This Row],[Month]]&amp;"-2000")),1)</f>
        <v>44986</v>
      </c>
      <c r="T85" s="16">
        <f t="shared" si="15"/>
        <v>9.5357354438581883</v>
      </c>
      <c r="U85" s="16">
        <f t="shared" si="16"/>
        <v>0.10758070546265702</v>
      </c>
      <c r="V85" s="16">
        <f t="shared" si="17"/>
        <v>152.80463414634147</v>
      </c>
      <c r="W85" s="16">
        <f t="shared" si="18"/>
        <v>2512.5500000000002</v>
      </c>
      <c r="X85" s="16">
        <f t="shared" si="19"/>
        <v>263.48780487804879</v>
      </c>
      <c r="Y85" s="16">
        <f t="shared" si="20"/>
        <v>23355.024390243903</v>
      </c>
      <c r="Z85" s="7" t="str" cm="1">
        <f t="array" ref="Z85">_xlfn.IFS(K85&lt;2%,"Low",K85&lt;5%,"Medium",K85&lt;10%,"Good",K85&gt;10%,"Excellent")</f>
        <v>Low</v>
      </c>
      <c r="AA85" s="16" t="str">
        <f>Data_Validation!N83</f>
        <v>Pass</v>
      </c>
    </row>
    <row r="86" spans="1:27" x14ac:dyDescent="0.35">
      <c r="A86" s="17" t="s">
        <v>83</v>
      </c>
      <c r="B86" s="3" t="s">
        <v>48</v>
      </c>
      <c r="C86" s="3" t="s">
        <v>20</v>
      </c>
      <c r="D86" s="3" t="s">
        <v>37</v>
      </c>
      <c r="E86" s="3" t="s">
        <v>38</v>
      </c>
      <c r="F86" s="3">
        <v>5677.06</v>
      </c>
      <c r="G86" s="3">
        <v>351849</v>
      </c>
      <c r="H86" s="3">
        <v>26976</v>
      </c>
      <c r="I86" s="3">
        <v>115479.32</v>
      </c>
      <c r="J86" s="3">
        <v>54</v>
      </c>
      <c r="K86" s="15">
        <f t="shared" si="11"/>
        <v>7.6669253003419077E-2</v>
      </c>
      <c r="L86" s="16">
        <f t="shared" si="21"/>
        <v>0.21044854685646502</v>
      </c>
      <c r="M86" s="16">
        <f t="shared" si="12"/>
        <v>16.134932883140213</v>
      </c>
      <c r="N86" s="16">
        <f t="shared" si="13"/>
        <v>20.341395017843745</v>
      </c>
      <c r="O86" s="16">
        <f t="shared" si="14"/>
        <v>19.341395017843745</v>
      </c>
      <c r="P86" s="1">
        <v>2023</v>
      </c>
      <c r="Q86" s="1" t="s">
        <v>60</v>
      </c>
      <c r="R86" s="1" t="s">
        <v>40</v>
      </c>
      <c r="S86" s="70">
        <f>DATE(Table2[[#This Row],[Year]],MONTH(DATEVALUE("1-"&amp;Table2[[#This Row],[Month]]&amp;"-2000")),1)</f>
        <v>44986</v>
      </c>
      <c r="T86" s="16">
        <f t="shared" si="15"/>
        <v>4.2808170225385531</v>
      </c>
      <c r="U86" s="16">
        <f t="shared" si="16"/>
        <v>0.32820704336235146</v>
      </c>
      <c r="V86" s="16">
        <f t="shared" si="17"/>
        <v>105.13074074074075</v>
      </c>
      <c r="W86" s="16">
        <f t="shared" si="18"/>
        <v>2138.505925925926</v>
      </c>
      <c r="X86" s="16">
        <f t="shared" si="19"/>
        <v>499.55555555555554</v>
      </c>
      <c r="Y86" s="16">
        <f t="shared" si="20"/>
        <v>6515.7222222222226</v>
      </c>
      <c r="Z86" s="7" t="str" cm="1">
        <f t="array" ref="Z86">_xlfn.IFS(K86&lt;2%,"Low",K86&lt;5%,"Medium",K86&lt;10%,"Good",K86&gt;10%,"Excellent")</f>
        <v>Good</v>
      </c>
      <c r="AA86" s="16" t="str">
        <f>Data_Validation!N84</f>
        <v>Pass</v>
      </c>
    </row>
    <row r="87" spans="1:27" x14ac:dyDescent="0.35">
      <c r="A87" s="17" t="s">
        <v>91</v>
      </c>
      <c r="B87" s="3" t="s">
        <v>19</v>
      </c>
      <c r="C87" s="3" t="s">
        <v>58</v>
      </c>
      <c r="D87" s="3" t="s">
        <v>43</v>
      </c>
      <c r="E87" s="3" t="s">
        <v>30</v>
      </c>
      <c r="F87" s="3">
        <v>44553.33</v>
      </c>
      <c r="G87" s="3">
        <v>654883</v>
      </c>
      <c r="H87" s="3">
        <v>39033</v>
      </c>
      <c r="I87" s="3">
        <v>129231.62</v>
      </c>
      <c r="J87" s="3">
        <v>47</v>
      </c>
      <c r="K87" s="15">
        <f t="shared" si="11"/>
        <v>5.96030130572942E-2</v>
      </c>
      <c r="L87" s="16">
        <f t="shared" si="21"/>
        <v>1.1414272538621166</v>
      </c>
      <c r="M87" s="16">
        <f t="shared" si="12"/>
        <v>68.032503515895215</v>
      </c>
      <c r="N87" s="16">
        <f t="shared" si="13"/>
        <v>2.9006051848425245</v>
      </c>
      <c r="O87" s="16">
        <f t="shared" si="14"/>
        <v>1.9006051848425245</v>
      </c>
      <c r="P87" s="1">
        <v>2023</v>
      </c>
      <c r="Q87" s="1" t="s">
        <v>60</v>
      </c>
      <c r="R87" s="1" t="s">
        <v>40</v>
      </c>
      <c r="S87" s="70">
        <f>DATE(Table2[[#This Row],[Year]],MONTH(DATEVALUE("1-"&amp;Table2[[#This Row],[Month]]&amp;"-2000")),1)</f>
        <v>44986</v>
      </c>
      <c r="T87" s="16">
        <f t="shared" si="15"/>
        <v>3.3108298106730203</v>
      </c>
      <c r="U87" s="16">
        <f t="shared" si="16"/>
        <v>0.19733543243602292</v>
      </c>
      <c r="V87" s="16">
        <f t="shared" si="17"/>
        <v>947.94319148936177</v>
      </c>
      <c r="W87" s="16">
        <f t="shared" si="18"/>
        <v>2749.6089361702125</v>
      </c>
      <c r="X87" s="16">
        <f t="shared" si="19"/>
        <v>830.48936170212767</v>
      </c>
      <c r="Y87" s="16">
        <f t="shared" si="20"/>
        <v>13933.680851063829</v>
      </c>
      <c r="Z87" s="7" t="str" cm="1">
        <f t="array" ref="Z87">_xlfn.IFS(K87&lt;2%,"Low",K87&lt;5%,"Medium",K87&lt;10%,"Good",K87&gt;10%,"Excellent")</f>
        <v>Good</v>
      </c>
      <c r="AA87" s="16" t="str">
        <f>Data_Validation!N85</f>
        <v>Pass</v>
      </c>
    </row>
    <row r="88" spans="1:27" x14ac:dyDescent="0.35">
      <c r="A88" s="17" t="s">
        <v>116</v>
      </c>
      <c r="B88" s="3" t="s">
        <v>19</v>
      </c>
      <c r="C88" s="3" t="s">
        <v>69</v>
      </c>
      <c r="D88" s="3" t="s">
        <v>21</v>
      </c>
      <c r="E88" s="3" t="s">
        <v>30</v>
      </c>
      <c r="F88" s="3">
        <v>1300.24</v>
      </c>
      <c r="G88" s="3">
        <v>165141</v>
      </c>
      <c r="H88" s="3">
        <v>32627</v>
      </c>
      <c r="I88" s="3">
        <v>41872.03</v>
      </c>
      <c r="J88" s="3">
        <v>12</v>
      </c>
      <c r="K88" s="15">
        <f t="shared" si="11"/>
        <v>0.19757056091461236</v>
      </c>
      <c r="L88" s="16">
        <f t="shared" si="21"/>
        <v>3.9851656603426613E-2</v>
      </c>
      <c r="M88" s="16">
        <f t="shared" si="12"/>
        <v>7.8735141485155102</v>
      </c>
      <c r="N88" s="16">
        <f t="shared" si="13"/>
        <v>32.203308619947087</v>
      </c>
      <c r="O88" s="16">
        <f t="shared" si="14"/>
        <v>31.203308619947087</v>
      </c>
      <c r="P88" s="1">
        <v>2023</v>
      </c>
      <c r="Q88" s="1" t="s">
        <v>60</v>
      </c>
      <c r="R88" s="1" t="s">
        <v>40</v>
      </c>
      <c r="S88" s="70">
        <f>DATE(Table2[[#This Row],[Year]],MONTH(DATEVALUE("1-"&amp;Table2[[#This Row],[Month]]&amp;"-2000")),1)</f>
        <v>44986</v>
      </c>
      <c r="T88" s="16">
        <f t="shared" si="15"/>
        <v>1.2833551966162993</v>
      </c>
      <c r="U88" s="16">
        <f t="shared" si="16"/>
        <v>0.25355320604816489</v>
      </c>
      <c r="V88" s="16">
        <f t="shared" si="17"/>
        <v>108.35333333333334</v>
      </c>
      <c r="W88" s="16">
        <f t="shared" si="18"/>
        <v>3489.3358333333331</v>
      </c>
      <c r="X88" s="16">
        <f t="shared" si="19"/>
        <v>2718.9166666666665</v>
      </c>
      <c r="Y88" s="16">
        <f t="shared" si="20"/>
        <v>13761.75</v>
      </c>
      <c r="Z88" s="7" t="str" cm="1">
        <f t="array" ref="Z88">_xlfn.IFS(K88&lt;2%,"Low",K88&lt;5%,"Medium",K88&lt;10%,"Good",K88&gt;10%,"Excellent")</f>
        <v>Excellent</v>
      </c>
      <c r="AA88" s="16" t="str">
        <f>Data_Validation!N86</f>
        <v>Pass</v>
      </c>
    </row>
    <row r="89" spans="1:27" x14ac:dyDescent="0.35">
      <c r="A89" s="17" t="s">
        <v>94</v>
      </c>
      <c r="B89" s="3" t="s">
        <v>48</v>
      </c>
      <c r="C89" s="3" t="s">
        <v>20</v>
      </c>
      <c r="D89" s="3" t="s">
        <v>43</v>
      </c>
      <c r="E89" s="3" t="s">
        <v>30</v>
      </c>
      <c r="F89" s="3">
        <v>7448.2</v>
      </c>
      <c r="G89" s="3">
        <v>303586</v>
      </c>
      <c r="H89" s="3">
        <v>11786</v>
      </c>
      <c r="I89" s="3">
        <v>69419.72</v>
      </c>
      <c r="J89" s="3">
        <v>43</v>
      </c>
      <c r="K89" s="15">
        <f t="shared" si="11"/>
        <v>3.8822607103094348E-2</v>
      </c>
      <c r="L89" s="16">
        <f t="shared" si="21"/>
        <v>0.63195316477176311</v>
      </c>
      <c r="M89" s="16">
        <f t="shared" si="12"/>
        <v>24.534069423491204</v>
      </c>
      <c r="N89" s="16">
        <f t="shared" si="13"/>
        <v>9.3203351145243154</v>
      </c>
      <c r="O89" s="16">
        <f t="shared" si="14"/>
        <v>8.3203351145243154</v>
      </c>
      <c r="P89" s="1">
        <v>2023</v>
      </c>
      <c r="Q89" s="1" t="s">
        <v>60</v>
      </c>
      <c r="R89" s="1" t="s">
        <v>40</v>
      </c>
      <c r="S89" s="70">
        <f>DATE(Table2[[#This Row],[Year]],MONTH(DATEVALUE("1-"&amp;Table2[[#This Row],[Month]]&amp;"-2000")),1)</f>
        <v>44986</v>
      </c>
      <c r="T89" s="16">
        <f t="shared" si="15"/>
        <v>5.8900152723570338</v>
      </c>
      <c r="U89" s="16">
        <f t="shared" si="16"/>
        <v>0.22866574874994236</v>
      </c>
      <c r="V89" s="16">
        <f t="shared" si="17"/>
        <v>173.21395348837208</v>
      </c>
      <c r="W89" s="16">
        <f t="shared" si="18"/>
        <v>1614.4120930232559</v>
      </c>
      <c r="X89" s="16">
        <f t="shared" si="19"/>
        <v>274.09302325581393</v>
      </c>
      <c r="Y89" s="16">
        <f t="shared" si="20"/>
        <v>7060.1395348837214</v>
      </c>
      <c r="Z89" s="7" t="str" cm="1">
        <f t="array" ref="Z89">_xlfn.IFS(K89&lt;2%,"Low",K89&lt;5%,"Medium",K89&lt;10%,"Good",K89&gt;10%,"Excellent")</f>
        <v>Medium</v>
      </c>
      <c r="AA89" s="16" t="str">
        <f>Data_Validation!N87</f>
        <v>Pass</v>
      </c>
    </row>
    <row r="90" spans="1:27" x14ac:dyDescent="0.35">
      <c r="A90" s="17" t="s">
        <v>113</v>
      </c>
      <c r="B90" s="3" t="s">
        <v>19</v>
      </c>
      <c r="C90" s="3" t="s">
        <v>29</v>
      </c>
      <c r="D90" s="3" t="s">
        <v>51</v>
      </c>
      <c r="E90" s="3" t="s">
        <v>30</v>
      </c>
      <c r="F90" s="3">
        <v>3468.67</v>
      </c>
      <c r="G90" s="3">
        <v>374831</v>
      </c>
      <c r="H90" s="3">
        <v>28562</v>
      </c>
      <c r="I90" s="3">
        <v>107047.82</v>
      </c>
      <c r="J90" s="3">
        <v>55</v>
      </c>
      <c r="K90" s="15">
        <f t="shared" si="11"/>
        <v>7.619967398640988E-2</v>
      </c>
      <c r="L90" s="16">
        <f t="shared" si="21"/>
        <v>0.12144352636370002</v>
      </c>
      <c r="M90" s="16">
        <f t="shared" si="12"/>
        <v>9.253957116673913</v>
      </c>
      <c r="N90" s="16">
        <f t="shared" si="13"/>
        <v>30.861344549928361</v>
      </c>
      <c r="O90" s="16">
        <f t="shared" si="14"/>
        <v>29.861344549928361</v>
      </c>
      <c r="P90" s="1">
        <v>2023</v>
      </c>
      <c r="Q90" s="1" t="s">
        <v>60</v>
      </c>
      <c r="R90" s="1" t="s">
        <v>40</v>
      </c>
      <c r="S90" s="70">
        <f>DATE(Table2[[#This Row],[Year]],MONTH(DATEVALUE("1-"&amp;Table2[[#This Row],[Month]]&amp;"-2000")),1)</f>
        <v>44986</v>
      </c>
      <c r="T90" s="16">
        <f t="shared" si="15"/>
        <v>3.7479105104684547</v>
      </c>
      <c r="U90" s="16">
        <f t="shared" si="16"/>
        <v>0.28558955902793526</v>
      </c>
      <c r="V90" s="16">
        <f t="shared" si="17"/>
        <v>63.066727272727277</v>
      </c>
      <c r="W90" s="16">
        <f t="shared" si="18"/>
        <v>1946.3240000000001</v>
      </c>
      <c r="X90" s="16">
        <f t="shared" si="19"/>
        <v>519.30909090909086</v>
      </c>
      <c r="Y90" s="16">
        <f t="shared" si="20"/>
        <v>6815.1090909090908</v>
      </c>
      <c r="Z90" s="7" t="str" cm="1">
        <f t="array" ref="Z90">_xlfn.IFS(K90&lt;2%,"Low",K90&lt;5%,"Medium",K90&lt;10%,"Good",K90&gt;10%,"Excellent")</f>
        <v>Good</v>
      </c>
      <c r="AA90" s="16" t="str">
        <f>Data_Validation!N88</f>
        <v>Pass</v>
      </c>
    </row>
    <row r="91" spans="1:27" x14ac:dyDescent="0.35">
      <c r="A91" s="17" t="s">
        <v>66</v>
      </c>
      <c r="B91" s="3" t="s">
        <v>48</v>
      </c>
      <c r="C91" s="3" t="s">
        <v>58</v>
      </c>
      <c r="D91" s="3" t="s">
        <v>51</v>
      </c>
      <c r="E91" s="3" t="s">
        <v>38</v>
      </c>
      <c r="F91" s="3">
        <v>32644.18</v>
      </c>
      <c r="G91" s="3">
        <v>262528</v>
      </c>
      <c r="H91" s="3">
        <v>32715</v>
      </c>
      <c r="I91" s="3">
        <v>228643.11</v>
      </c>
      <c r="J91" s="3">
        <v>45</v>
      </c>
      <c r="K91" s="15">
        <f t="shared" si="11"/>
        <v>0.12461527913213066</v>
      </c>
      <c r="L91" s="16">
        <f t="shared" si="21"/>
        <v>0.99783524377197008</v>
      </c>
      <c r="M91" s="16">
        <f t="shared" si="12"/>
        <v>124.34551743052171</v>
      </c>
      <c r="N91" s="16">
        <f t="shared" si="13"/>
        <v>7.0041002714725868</v>
      </c>
      <c r="O91" s="16">
        <f t="shared" si="14"/>
        <v>6.0041002714725868</v>
      </c>
      <c r="P91" s="1">
        <v>2023</v>
      </c>
      <c r="Q91" s="1" t="s">
        <v>60</v>
      </c>
      <c r="R91" s="1" t="s">
        <v>40</v>
      </c>
      <c r="S91" s="70">
        <f>DATE(Table2[[#This Row],[Year]],MONTH(DATEVALUE("1-"&amp;Table2[[#This Row],[Month]]&amp;"-2000")),1)</f>
        <v>44986</v>
      </c>
      <c r="T91" s="16">
        <f t="shared" si="15"/>
        <v>6.98893810178817</v>
      </c>
      <c r="U91" s="16">
        <f t="shared" si="16"/>
        <v>0.87092847239151627</v>
      </c>
      <c r="V91" s="16">
        <f t="shared" si="17"/>
        <v>725.42622222222224</v>
      </c>
      <c r="W91" s="16">
        <f t="shared" si="18"/>
        <v>5080.9579999999996</v>
      </c>
      <c r="X91" s="16">
        <f t="shared" si="19"/>
        <v>727</v>
      </c>
      <c r="Y91" s="16">
        <f t="shared" si="20"/>
        <v>5833.9555555555553</v>
      </c>
      <c r="Z91" s="7" t="str" cm="1">
        <f t="array" ref="Z91">_xlfn.IFS(K91&lt;2%,"Low",K91&lt;5%,"Medium",K91&lt;10%,"Good",K91&gt;10%,"Excellent")</f>
        <v>Excellent</v>
      </c>
      <c r="AA91" s="16" t="str">
        <f>Data_Validation!N89</f>
        <v>Pass</v>
      </c>
    </row>
    <row r="92" spans="1:27" x14ac:dyDescent="0.35">
      <c r="A92" s="17" t="s">
        <v>72</v>
      </c>
      <c r="B92" s="3" t="s">
        <v>35</v>
      </c>
      <c r="C92" s="3" t="s">
        <v>29</v>
      </c>
      <c r="D92" s="3" t="s">
        <v>21</v>
      </c>
      <c r="E92" s="3" t="s">
        <v>38</v>
      </c>
      <c r="F92" s="3">
        <v>6650.27</v>
      </c>
      <c r="G92" s="3">
        <v>897240</v>
      </c>
      <c r="H92" s="3">
        <v>39730</v>
      </c>
      <c r="I92" s="3">
        <v>119847.06</v>
      </c>
      <c r="J92" s="3">
        <v>50</v>
      </c>
      <c r="K92" s="15">
        <f t="shared" si="11"/>
        <v>4.4280237171771208E-2</v>
      </c>
      <c r="L92" s="16">
        <f t="shared" si="21"/>
        <v>0.16738660961490059</v>
      </c>
      <c r="M92" s="16">
        <f t="shared" si="12"/>
        <v>7.4119187731264766</v>
      </c>
      <c r="N92" s="16">
        <f t="shared" si="13"/>
        <v>18.021382590481288</v>
      </c>
      <c r="O92" s="16">
        <f t="shared" si="14"/>
        <v>17.021382590481288</v>
      </c>
      <c r="P92" s="1">
        <v>2023</v>
      </c>
      <c r="Q92" s="1" t="s">
        <v>60</v>
      </c>
      <c r="R92" s="1" t="s">
        <v>40</v>
      </c>
      <c r="S92" s="70">
        <f>DATE(Table2[[#This Row],[Year]],MONTH(DATEVALUE("1-"&amp;Table2[[#This Row],[Month]]&amp;"-2000")),1)</f>
        <v>44986</v>
      </c>
      <c r="T92" s="16">
        <f t="shared" si="15"/>
        <v>3.0165381323936571</v>
      </c>
      <c r="U92" s="16">
        <f t="shared" si="16"/>
        <v>0.13357302394008291</v>
      </c>
      <c r="V92" s="16">
        <f t="shared" si="17"/>
        <v>133.00540000000001</v>
      </c>
      <c r="W92" s="16">
        <f t="shared" si="18"/>
        <v>2396.9411999999998</v>
      </c>
      <c r="X92" s="16">
        <f t="shared" si="19"/>
        <v>794.6</v>
      </c>
      <c r="Y92" s="16">
        <f t="shared" si="20"/>
        <v>17944.8</v>
      </c>
      <c r="Z92" s="7" t="str" cm="1">
        <f t="array" ref="Z92">_xlfn.IFS(K92&lt;2%,"Low",K92&lt;5%,"Medium",K92&lt;10%,"Good",K92&gt;10%,"Excellent")</f>
        <v>Medium</v>
      </c>
      <c r="AA92" s="16" t="str">
        <f>Data_Validation!N90</f>
        <v>Pass</v>
      </c>
    </row>
    <row r="93" spans="1:27" x14ac:dyDescent="0.35">
      <c r="A93" s="17" t="s">
        <v>62</v>
      </c>
      <c r="B93" s="3" t="s">
        <v>28</v>
      </c>
      <c r="C93" s="3" t="s">
        <v>58</v>
      </c>
      <c r="D93" s="3" t="s">
        <v>59</v>
      </c>
      <c r="E93" s="3" t="s">
        <v>30</v>
      </c>
      <c r="F93" s="3">
        <v>2874.7</v>
      </c>
      <c r="G93" s="3">
        <v>389895</v>
      </c>
      <c r="H93" s="3">
        <v>42916</v>
      </c>
      <c r="I93" s="3">
        <v>123617.86</v>
      </c>
      <c r="J93" s="3">
        <v>28</v>
      </c>
      <c r="K93" s="15">
        <f t="shared" si="11"/>
        <v>0.1100706600495005</v>
      </c>
      <c r="L93" s="16">
        <f t="shared" si="21"/>
        <v>6.698434150433405E-2</v>
      </c>
      <c r="M93" s="16">
        <f t="shared" si="12"/>
        <v>7.3730106823631996</v>
      </c>
      <c r="N93" s="16">
        <f t="shared" si="13"/>
        <v>43.002003687341293</v>
      </c>
      <c r="O93" s="16">
        <f t="shared" si="14"/>
        <v>42.002003687341293</v>
      </c>
      <c r="P93" s="1">
        <v>2023</v>
      </c>
      <c r="Q93" s="1" t="s">
        <v>60</v>
      </c>
      <c r="R93" s="1" t="s">
        <v>40</v>
      </c>
      <c r="S93" s="70">
        <f>DATE(Table2[[#This Row],[Year]],MONTH(DATEVALUE("1-"&amp;Table2[[#This Row],[Month]]&amp;"-2000")),1)</f>
        <v>44986</v>
      </c>
      <c r="T93" s="16">
        <f t="shared" si="15"/>
        <v>2.8804609003635009</v>
      </c>
      <c r="U93" s="16">
        <f t="shared" si="16"/>
        <v>0.31705423254978904</v>
      </c>
      <c r="V93" s="16">
        <f t="shared" si="17"/>
        <v>102.66785714285713</v>
      </c>
      <c r="W93" s="16">
        <f t="shared" si="18"/>
        <v>4414.9235714285714</v>
      </c>
      <c r="X93" s="16">
        <f t="shared" si="19"/>
        <v>1532.7142857142858</v>
      </c>
      <c r="Y93" s="16">
        <f t="shared" si="20"/>
        <v>13924.821428571429</v>
      </c>
      <c r="Z93" s="7" t="str" cm="1">
        <f t="array" ref="Z93">_xlfn.IFS(K93&lt;2%,"Low",K93&lt;5%,"Medium",K93&lt;10%,"Good",K93&gt;10%,"Excellent")</f>
        <v>Excellent</v>
      </c>
      <c r="AA93" s="16" t="str">
        <f>Data_Validation!N91</f>
        <v>Pass</v>
      </c>
    </row>
    <row r="94" spans="1:27" x14ac:dyDescent="0.35">
      <c r="A94" s="17" t="s">
        <v>98</v>
      </c>
      <c r="B94" s="3" t="s">
        <v>48</v>
      </c>
      <c r="C94" s="3" t="s">
        <v>29</v>
      </c>
      <c r="D94" s="3" t="s">
        <v>59</v>
      </c>
      <c r="E94" s="3" t="s">
        <v>38</v>
      </c>
      <c r="F94" s="3">
        <v>48220.480000000003</v>
      </c>
      <c r="G94" s="3">
        <v>246588</v>
      </c>
      <c r="H94" s="3">
        <v>45290</v>
      </c>
      <c r="I94" s="3">
        <v>108835.96</v>
      </c>
      <c r="J94" s="3">
        <v>42</v>
      </c>
      <c r="K94" s="15">
        <f t="shared" si="11"/>
        <v>0.18366668288805618</v>
      </c>
      <c r="L94" s="16">
        <f t="shared" si="21"/>
        <v>1.0647047913446677</v>
      </c>
      <c r="M94" s="16">
        <f t="shared" si="12"/>
        <v>195.55079728129513</v>
      </c>
      <c r="N94" s="16">
        <f t="shared" si="13"/>
        <v>2.2570484574189225</v>
      </c>
      <c r="O94" s="16">
        <f t="shared" si="14"/>
        <v>1.2570484574189225</v>
      </c>
      <c r="P94" s="1">
        <v>2023</v>
      </c>
      <c r="Q94" s="1" t="s">
        <v>60</v>
      </c>
      <c r="R94" s="1" t="s">
        <v>40</v>
      </c>
      <c r="S94" s="70">
        <f>DATE(Table2[[#This Row],[Year]],MONTH(DATEVALUE("1-"&amp;Table2[[#This Row],[Month]]&amp;"-2000")),1)</f>
        <v>44986</v>
      </c>
      <c r="T94" s="16">
        <f t="shared" si="15"/>
        <v>2.4030903069110181</v>
      </c>
      <c r="U94" s="16">
        <f t="shared" si="16"/>
        <v>0.44136762535078755</v>
      </c>
      <c r="V94" s="16">
        <f t="shared" si="17"/>
        <v>1148.1066666666668</v>
      </c>
      <c r="W94" s="16">
        <f t="shared" si="18"/>
        <v>2591.3323809523813</v>
      </c>
      <c r="X94" s="16">
        <f t="shared" si="19"/>
        <v>1078.3333333333333</v>
      </c>
      <c r="Y94" s="16">
        <f t="shared" si="20"/>
        <v>5871.1428571428569</v>
      </c>
      <c r="Z94" s="7" t="str" cm="1">
        <f t="array" ref="Z94">_xlfn.IFS(K94&lt;2%,"Low",K94&lt;5%,"Medium",K94&lt;10%,"Good",K94&gt;10%,"Excellent")</f>
        <v>Excellent</v>
      </c>
      <c r="AA94" s="16" t="str">
        <f>Data_Validation!N92</f>
        <v>Pass</v>
      </c>
    </row>
    <row r="95" spans="1:27" x14ac:dyDescent="0.35">
      <c r="A95" s="17" t="s">
        <v>111</v>
      </c>
      <c r="B95" s="3" t="s">
        <v>28</v>
      </c>
      <c r="C95" s="3" t="s">
        <v>20</v>
      </c>
      <c r="D95" s="3" t="s">
        <v>43</v>
      </c>
      <c r="E95" s="3" t="s">
        <v>30</v>
      </c>
      <c r="F95" s="3">
        <v>4319.8900000000003</v>
      </c>
      <c r="G95" s="3">
        <v>509387</v>
      </c>
      <c r="H95" s="3">
        <v>14176</v>
      </c>
      <c r="I95" s="3">
        <v>114310.2</v>
      </c>
      <c r="J95" s="3">
        <v>11</v>
      </c>
      <c r="K95" s="15">
        <f t="shared" si="11"/>
        <v>2.7829528433195194E-2</v>
      </c>
      <c r="L95" s="16">
        <f t="shared" si="21"/>
        <v>0.30473264672686234</v>
      </c>
      <c r="M95" s="16">
        <f t="shared" si="12"/>
        <v>8.4805658566080417</v>
      </c>
      <c r="N95" s="16">
        <f t="shared" si="13"/>
        <v>26.461368229283615</v>
      </c>
      <c r="O95" s="16">
        <f t="shared" si="14"/>
        <v>25.461368229283615</v>
      </c>
      <c r="P95" s="1">
        <v>2023</v>
      </c>
      <c r="Q95" s="1" t="s">
        <v>60</v>
      </c>
      <c r="R95" s="1" t="s">
        <v>40</v>
      </c>
      <c r="S95" s="70">
        <f>DATE(Table2[[#This Row],[Year]],MONTH(DATEVALUE("1-"&amp;Table2[[#This Row],[Month]]&amp;"-2000")),1)</f>
        <v>44986</v>
      </c>
      <c r="T95" s="16">
        <f t="shared" si="15"/>
        <v>8.063642776523702</v>
      </c>
      <c r="U95" s="16">
        <f t="shared" si="16"/>
        <v>0.22440737592439539</v>
      </c>
      <c r="V95" s="16">
        <f t="shared" si="17"/>
        <v>392.71727272727276</v>
      </c>
      <c r="W95" s="16">
        <f t="shared" si="18"/>
        <v>10391.836363636363</v>
      </c>
      <c r="X95" s="16">
        <f t="shared" si="19"/>
        <v>1288.7272727272727</v>
      </c>
      <c r="Y95" s="16">
        <f t="shared" si="20"/>
        <v>46307.909090909088</v>
      </c>
      <c r="Z95" s="7" t="str" cm="1">
        <f t="array" ref="Z95">_xlfn.IFS(K95&lt;2%,"Low",K95&lt;5%,"Medium",K95&lt;10%,"Good",K95&gt;10%,"Excellent")</f>
        <v>Medium</v>
      </c>
      <c r="AA95" s="16" t="str">
        <f>Data_Validation!N93</f>
        <v>Pass</v>
      </c>
    </row>
    <row r="96" spans="1:27" x14ac:dyDescent="0.35">
      <c r="A96" s="17" t="s">
        <v>42</v>
      </c>
      <c r="B96" s="3" t="s">
        <v>19</v>
      </c>
      <c r="C96" s="3" t="s">
        <v>36</v>
      </c>
      <c r="D96" s="3" t="s">
        <v>59</v>
      </c>
      <c r="E96" s="3" t="s">
        <v>38</v>
      </c>
      <c r="F96" s="3">
        <v>24433.71</v>
      </c>
      <c r="G96" s="3">
        <v>617497</v>
      </c>
      <c r="H96" s="3">
        <v>6877</v>
      </c>
      <c r="I96" s="3">
        <v>32178.22</v>
      </c>
      <c r="J96" s="3">
        <v>15</v>
      </c>
      <c r="K96" s="15">
        <f t="shared" si="11"/>
        <v>1.1136896211641514E-2</v>
      </c>
      <c r="L96" s="16">
        <f t="shared" si="21"/>
        <v>3.5529605932819543</v>
      </c>
      <c r="M96" s="16">
        <f t="shared" si="12"/>
        <v>39.568953371433381</v>
      </c>
      <c r="N96" s="16">
        <f t="shared" si="13"/>
        <v>1.316960052321158</v>
      </c>
      <c r="O96" s="16">
        <f t="shared" si="14"/>
        <v>0.31696005232115804</v>
      </c>
      <c r="P96" s="1">
        <v>2023</v>
      </c>
      <c r="Q96" s="1" t="s">
        <v>60</v>
      </c>
      <c r="R96" s="1" t="s">
        <v>40</v>
      </c>
      <c r="S96" s="70">
        <f>DATE(Table2[[#This Row],[Year]],MONTH(DATEVALUE("1-"&amp;Table2[[#This Row],[Month]]&amp;"-2000")),1)</f>
        <v>44986</v>
      </c>
      <c r="T96" s="16">
        <f t="shared" si="15"/>
        <v>4.6791071688236148</v>
      </c>
      <c r="U96" s="16">
        <f t="shared" si="16"/>
        <v>5.2110730902336366E-2</v>
      </c>
      <c r="V96" s="16">
        <f t="shared" si="17"/>
        <v>1628.914</v>
      </c>
      <c r="W96" s="16">
        <f t="shared" si="18"/>
        <v>2145.2146666666667</v>
      </c>
      <c r="X96" s="16">
        <f t="shared" si="19"/>
        <v>458.46666666666664</v>
      </c>
      <c r="Y96" s="16">
        <f t="shared" si="20"/>
        <v>41166.466666666667</v>
      </c>
      <c r="Z96" s="7" t="str" cm="1">
        <f t="array" ref="Z96">_xlfn.IFS(K96&lt;2%,"Low",K96&lt;5%,"Medium",K96&lt;10%,"Good",K96&gt;10%,"Excellent")</f>
        <v>Low</v>
      </c>
      <c r="AA96" s="16" t="str">
        <f>Data_Validation!N94</f>
        <v>Pass</v>
      </c>
    </row>
    <row r="97" spans="1:27" x14ac:dyDescent="0.35">
      <c r="A97" s="17" t="s">
        <v>88</v>
      </c>
      <c r="B97" s="3" t="s">
        <v>48</v>
      </c>
      <c r="C97" s="3" t="s">
        <v>58</v>
      </c>
      <c r="D97" s="3" t="s">
        <v>63</v>
      </c>
      <c r="E97" s="3" t="s">
        <v>38</v>
      </c>
      <c r="F97" s="3">
        <v>22917.31</v>
      </c>
      <c r="G97" s="3">
        <v>200556</v>
      </c>
      <c r="H97" s="3">
        <v>3395</v>
      </c>
      <c r="I97" s="3">
        <v>68738.3</v>
      </c>
      <c r="J97" s="3">
        <v>47</v>
      </c>
      <c r="K97" s="15">
        <f t="shared" si="11"/>
        <v>1.6927940325894016E-2</v>
      </c>
      <c r="L97" s="16">
        <f t="shared" si="21"/>
        <v>6.7503122238586162</v>
      </c>
      <c r="M97" s="16">
        <f t="shared" si="12"/>
        <v>114.26888250663157</v>
      </c>
      <c r="N97" s="16">
        <f t="shared" si="13"/>
        <v>2.999405253059805</v>
      </c>
      <c r="O97" s="16">
        <f t="shared" si="14"/>
        <v>1.9994052530598052</v>
      </c>
      <c r="P97" s="1">
        <v>2023</v>
      </c>
      <c r="Q97" s="1" t="s">
        <v>60</v>
      </c>
      <c r="R97" s="1" t="s">
        <v>40</v>
      </c>
      <c r="S97" s="70">
        <f>DATE(Table2[[#This Row],[Year]],MONTH(DATEVALUE("1-"&amp;Table2[[#This Row],[Month]]&amp;"-2000")),1)</f>
        <v>44986</v>
      </c>
      <c r="T97" s="16">
        <f t="shared" si="15"/>
        <v>20.246921944035346</v>
      </c>
      <c r="U97" s="16">
        <f t="shared" si="16"/>
        <v>0.34273868645166439</v>
      </c>
      <c r="V97" s="16">
        <f t="shared" si="17"/>
        <v>487.60234042553196</v>
      </c>
      <c r="W97" s="16">
        <f t="shared" si="18"/>
        <v>1462.5170212765959</v>
      </c>
      <c r="X97" s="16">
        <f t="shared" si="19"/>
        <v>72.234042553191486</v>
      </c>
      <c r="Y97" s="16">
        <f t="shared" si="20"/>
        <v>4267.1489361702124</v>
      </c>
      <c r="Z97" s="7" t="str" cm="1">
        <f t="array" ref="Z97">_xlfn.IFS(K97&lt;2%,"Low",K97&lt;5%,"Medium",K97&lt;10%,"Good",K97&gt;10%,"Excellent")</f>
        <v>Low</v>
      </c>
      <c r="AA97" s="16" t="str">
        <f>Data_Validation!N95</f>
        <v>Pass</v>
      </c>
    </row>
    <row r="98" spans="1:27" x14ac:dyDescent="0.35">
      <c r="A98" s="17" t="s">
        <v>104</v>
      </c>
      <c r="B98" s="3" t="s">
        <v>35</v>
      </c>
      <c r="C98" s="3" t="s">
        <v>29</v>
      </c>
      <c r="D98" s="3" t="s">
        <v>37</v>
      </c>
      <c r="E98" s="3" t="s">
        <v>30</v>
      </c>
      <c r="F98" s="3">
        <v>12959.16</v>
      </c>
      <c r="G98" s="3">
        <v>763800</v>
      </c>
      <c r="H98" s="3">
        <v>48600</v>
      </c>
      <c r="I98" s="3">
        <v>220569.53</v>
      </c>
      <c r="J98" s="3">
        <v>8</v>
      </c>
      <c r="K98" s="15">
        <f t="shared" si="11"/>
        <v>6.3629222309505101E-2</v>
      </c>
      <c r="L98" s="16">
        <f t="shared" si="21"/>
        <v>0.26664938271604938</v>
      </c>
      <c r="M98" s="16">
        <f t="shared" si="12"/>
        <v>16.966692851531814</v>
      </c>
      <c r="N98" s="16">
        <f t="shared" si="13"/>
        <v>17.020357029313629</v>
      </c>
      <c r="O98" s="16">
        <f t="shared" si="14"/>
        <v>16.020357029313629</v>
      </c>
      <c r="P98" s="1">
        <v>2023</v>
      </c>
      <c r="Q98" s="1" t="s">
        <v>60</v>
      </c>
      <c r="R98" s="1" t="s">
        <v>40</v>
      </c>
      <c r="S98" s="70">
        <f>DATE(Table2[[#This Row],[Year]],MONTH(DATEVALUE("1-"&amp;Table2[[#This Row],[Month]]&amp;"-2000")),1)</f>
        <v>44986</v>
      </c>
      <c r="T98" s="16">
        <f t="shared" si="15"/>
        <v>4.5384676954732512</v>
      </c>
      <c r="U98" s="16">
        <f t="shared" si="16"/>
        <v>0.28877916993977482</v>
      </c>
      <c r="V98" s="16">
        <f t="shared" si="17"/>
        <v>1619.895</v>
      </c>
      <c r="W98" s="16">
        <f t="shared" si="18"/>
        <v>27571.19125</v>
      </c>
      <c r="X98" s="16">
        <f t="shared" si="19"/>
        <v>6075</v>
      </c>
      <c r="Y98" s="16">
        <f t="shared" si="20"/>
        <v>95475</v>
      </c>
      <c r="Z98" s="7" t="str" cm="1">
        <f t="array" ref="Z98">_xlfn.IFS(K98&lt;2%,"Low",K98&lt;5%,"Medium",K98&lt;10%,"Good",K98&gt;10%,"Excellent")</f>
        <v>Good</v>
      </c>
      <c r="AA98" s="16" t="str">
        <f>Data_Validation!N96</f>
        <v>Pass</v>
      </c>
    </row>
    <row r="99" spans="1:27" x14ac:dyDescent="0.35">
      <c r="A99" s="17" t="s">
        <v>105</v>
      </c>
      <c r="B99" s="3" t="s">
        <v>28</v>
      </c>
      <c r="C99" s="3" t="s">
        <v>36</v>
      </c>
      <c r="D99" s="3" t="s">
        <v>59</v>
      </c>
      <c r="E99" s="3" t="s">
        <v>38</v>
      </c>
      <c r="F99" s="3">
        <v>31199.599999999999</v>
      </c>
      <c r="G99" s="3">
        <v>546521</v>
      </c>
      <c r="H99" s="3">
        <v>40212</v>
      </c>
      <c r="I99" s="3">
        <v>237689.7</v>
      </c>
      <c r="J99" s="3">
        <v>39</v>
      </c>
      <c r="K99" s="15">
        <f t="shared" si="11"/>
        <v>7.357814246845043E-2</v>
      </c>
      <c r="L99" s="16">
        <f t="shared" si="21"/>
        <v>0.77587784740873367</v>
      </c>
      <c r="M99" s="16">
        <f t="shared" si="12"/>
        <v>57.087650794754452</v>
      </c>
      <c r="N99" s="16">
        <f t="shared" si="13"/>
        <v>7.6183572866318805</v>
      </c>
      <c r="O99" s="16">
        <f t="shared" si="14"/>
        <v>6.6183572866318805</v>
      </c>
      <c r="P99" s="1">
        <v>2023</v>
      </c>
      <c r="Q99" s="1" t="s">
        <v>60</v>
      </c>
      <c r="R99" s="1" t="s">
        <v>40</v>
      </c>
      <c r="S99" s="70">
        <f>DATE(Table2[[#This Row],[Year]],MONTH(DATEVALUE("1-"&amp;Table2[[#This Row],[Month]]&amp;"-2000")),1)</f>
        <v>44986</v>
      </c>
      <c r="T99" s="16">
        <f t="shared" si="15"/>
        <v>5.9109146523425844</v>
      </c>
      <c r="U99" s="16">
        <f t="shared" si="16"/>
        <v>0.43491412040891386</v>
      </c>
      <c r="V99" s="16">
        <f t="shared" si="17"/>
        <v>799.98974358974351</v>
      </c>
      <c r="W99" s="16">
        <f t="shared" si="18"/>
        <v>6094.6076923076926</v>
      </c>
      <c r="X99" s="16">
        <f t="shared" si="19"/>
        <v>1031.0769230769231</v>
      </c>
      <c r="Y99" s="16">
        <f t="shared" si="20"/>
        <v>14013.358974358975</v>
      </c>
      <c r="Z99" s="7" t="str" cm="1">
        <f t="array" ref="Z99">_xlfn.IFS(K99&lt;2%,"Low",K99&lt;5%,"Medium",K99&lt;10%,"Good",K99&gt;10%,"Excellent")</f>
        <v>Good</v>
      </c>
      <c r="AA99" s="16" t="str">
        <f>Data_Validation!N97</f>
        <v>Pass</v>
      </c>
    </row>
    <row r="100" spans="1:27" x14ac:dyDescent="0.35">
      <c r="A100" s="17" t="s">
        <v>114</v>
      </c>
      <c r="B100" s="3" t="s">
        <v>28</v>
      </c>
      <c r="C100" s="3" t="s">
        <v>69</v>
      </c>
      <c r="D100" s="3" t="s">
        <v>37</v>
      </c>
      <c r="E100" s="3" t="s">
        <v>38</v>
      </c>
      <c r="F100" s="3">
        <v>40609.19</v>
      </c>
      <c r="G100" s="3">
        <v>977301</v>
      </c>
      <c r="H100" s="3">
        <v>26114</v>
      </c>
      <c r="I100" s="3">
        <v>193213.08</v>
      </c>
      <c r="J100" s="3">
        <v>17</v>
      </c>
      <c r="K100" s="15">
        <f t="shared" si="11"/>
        <v>2.6720529294454832E-2</v>
      </c>
      <c r="L100" s="16">
        <f t="shared" si="21"/>
        <v>1.5550735237803477</v>
      </c>
      <c r="M100" s="16">
        <f t="shared" si="12"/>
        <v>41.552387647203886</v>
      </c>
      <c r="N100" s="16">
        <f t="shared" si="13"/>
        <v>4.7578658919323429</v>
      </c>
      <c r="O100" s="16">
        <f t="shared" si="14"/>
        <v>3.7578658919323429</v>
      </c>
      <c r="P100" s="1">
        <v>2023</v>
      </c>
      <c r="Q100" s="1" t="s">
        <v>60</v>
      </c>
      <c r="R100" s="1" t="s">
        <v>40</v>
      </c>
      <c r="S100" s="70">
        <f>DATE(Table2[[#This Row],[Year]],MONTH(DATEVALUE("1-"&amp;Table2[[#This Row],[Month]]&amp;"-2000")),1)</f>
        <v>44986</v>
      </c>
      <c r="T100" s="16">
        <f t="shared" si="15"/>
        <v>7.3988312782415555</v>
      </c>
      <c r="U100" s="16">
        <f t="shared" si="16"/>
        <v>0.19770068791498216</v>
      </c>
      <c r="V100" s="16">
        <f t="shared" si="17"/>
        <v>2388.7758823529412</v>
      </c>
      <c r="W100" s="16">
        <f t="shared" si="18"/>
        <v>11365.475294117647</v>
      </c>
      <c r="X100" s="16">
        <f t="shared" si="19"/>
        <v>1536.1176470588234</v>
      </c>
      <c r="Y100" s="16">
        <f t="shared" si="20"/>
        <v>57488.294117647056</v>
      </c>
      <c r="Z100" s="7" t="str" cm="1">
        <f t="array" ref="Z100">_xlfn.IFS(K100&lt;2%,"Low",K100&lt;5%,"Medium",K100&lt;10%,"Good",K100&gt;10%,"Excellent")</f>
        <v>Medium</v>
      </c>
      <c r="AA100" s="16" t="str">
        <f>Data_Validation!N98</f>
        <v>Pass</v>
      </c>
    </row>
    <row r="101" spans="1:27" x14ac:dyDescent="0.35">
      <c r="A101" s="17" t="s">
        <v>106</v>
      </c>
      <c r="B101" s="3" t="s">
        <v>19</v>
      </c>
      <c r="C101" s="3" t="s">
        <v>58</v>
      </c>
      <c r="D101" s="3" t="s">
        <v>37</v>
      </c>
      <c r="E101" s="3" t="s">
        <v>38</v>
      </c>
      <c r="F101" s="3">
        <v>21081.41</v>
      </c>
      <c r="G101" s="3">
        <v>943320</v>
      </c>
      <c r="H101" s="3">
        <v>45540</v>
      </c>
      <c r="I101" s="3">
        <v>20931.91</v>
      </c>
      <c r="J101" s="3">
        <v>9</v>
      </c>
      <c r="K101" s="15">
        <f t="shared" si="11"/>
        <v>4.8276300725098586E-2</v>
      </c>
      <c r="L101" s="16">
        <f t="shared" si="21"/>
        <v>0.46292072902942466</v>
      </c>
      <c r="M101" s="16">
        <f t="shared" si="12"/>
        <v>22.34810032650638</v>
      </c>
      <c r="N101" s="16">
        <f t="shared" si="13"/>
        <v>0.99290844397979072</v>
      </c>
      <c r="O101" s="16">
        <f t="shared" si="14"/>
        <v>-7.0915560202092741E-3</v>
      </c>
      <c r="P101" s="1">
        <v>2023</v>
      </c>
      <c r="Q101" s="1" t="s">
        <v>60</v>
      </c>
      <c r="R101" s="1" t="s">
        <v>40</v>
      </c>
      <c r="S101" s="70">
        <f>DATE(Table2[[#This Row],[Year]],MONTH(DATEVALUE("1-"&amp;Table2[[#This Row],[Month]]&amp;"-2000")),1)</f>
        <v>44986</v>
      </c>
      <c r="T101" s="16">
        <f t="shared" si="15"/>
        <v>0.45963790074659638</v>
      </c>
      <c r="U101" s="16">
        <f t="shared" si="16"/>
        <v>2.2189617521095703E-2</v>
      </c>
      <c r="V101" s="16">
        <f t="shared" si="17"/>
        <v>2342.3788888888889</v>
      </c>
      <c r="W101" s="16">
        <f t="shared" si="18"/>
        <v>2325.7677777777776</v>
      </c>
      <c r="X101" s="16">
        <f t="shared" si="19"/>
        <v>5060</v>
      </c>
      <c r="Y101" s="16">
        <f t="shared" si="20"/>
        <v>104813.33333333333</v>
      </c>
      <c r="Z101" s="7" t="str" cm="1">
        <f t="array" ref="Z101">_xlfn.IFS(K101&lt;2%,"Low",K101&lt;5%,"Medium",K101&lt;10%,"Good",K101&gt;10%,"Excellent")</f>
        <v>Medium</v>
      </c>
      <c r="AA101" s="16" t="str">
        <f>Data_Validation!N99</f>
        <v>Pass</v>
      </c>
    </row>
    <row r="102" spans="1:27" x14ac:dyDescent="0.35">
      <c r="A102" s="17" t="s">
        <v>106</v>
      </c>
      <c r="B102" s="3" t="s">
        <v>19</v>
      </c>
      <c r="C102" s="3" t="s">
        <v>69</v>
      </c>
      <c r="D102" s="3" t="s">
        <v>21</v>
      </c>
      <c r="E102" s="3" t="s">
        <v>30</v>
      </c>
      <c r="F102" s="3">
        <v>2520.91</v>
      </c>
      <c r="G102" s="3">
        <v>110879</v>
      </c>
      <c r="H102" s="3">
        <v>13439</v>
      </c>
      <c r="I102" s="3">
        <v>13143.6</v>
      </c>
      <c r="J102" s="3">
        <v>43</v>
      </c>
      <c r="K102" s="15">
        <f t="shared" si="11"/>
        <v>0.12120419556453431</v>
      </c>
      <c r="L102" s="16">
        <f t="shared" si="21"/>
        <v>0.18758166530247786</v>
      </c>
      <c r="M102" s="16">
        <f t="shared" si="12"/>
        <v>22.735684845642545</v>
      </c>
      <c r="N102" s="16">
        <f t="shared" si="13"/>
        <v>5.2138315132233997</v>
      </c>
      <c r="O102" s="16">
        <f t="shared" si="14"/>
        <v>4.2138315132233997</v>
      </c>
      <c r="P102" s="1">
        <v>2023</v>
      </c>
      <c r="Q102" s="1" t="s">
        <v>60</v>
      </c>
      <c r="R102" s="1" t="s">
        <v>40</v>
      </c>
      <c r="S102" s="70">
        <f>DATE(Table2[[#This Row],[Year]],MONTH(DATEVALUE("1-"&amp;Table2[[#This Row],[Month]]&amp;"-2000")),1)</f>
        <v>44986</v>
      </c>
      <c r="T102" s="16">
        <f t="shared" si="15"/>
        <v>0.97801919785698344</v>
      </c>
      <c r="U102" s="16">
        <f t="shared" si="16"/>
        <v>0.1185400301229268</v>
      </c>
      <c r="V102" s="16">
        <f t="shared" si="17"/>
        <v>58.625813953488368</v>
      </c>
      <c r="W102" s="16">
        <f t="shared" si="18"/>
        <v>305.66511627906976</v>
      </c>
      <c r="X102" s="16">
        <f t="shared" si="19"/>
        <v>312.53488372093022</v>
      </c>
      <c r="Y102" s="16">
        <f t="shared" si="20"/>
        <v>2578.5813953488373</v>
      </c>
      <c r="Z102" s="7" t="str" cm="1">
        <f t="array" ref="Z102">_xlfn.IFS(K102&lt;2%,"Low",K102&lt;5%,"Medium",K102&lt;10%,"Good",K102&gt;10%,"Excellent")</f>
        <v>Excellent</v>
      </c>
      <c r="AA102" s="16" t="str">
        <f>Data_Validation!N100</f>
        <v>Pass</v>
      </c>
    </row>
    <row r="103" spans="1:27" x14ac:dyDescent="0.35">
      <c r="A103" s="17" t="s">
        <v>79</v>
      </c>
      <c r="B103" s="3" t="s">
        <v>48</v>
      </c>
      <c r="C103" s="3" t="s">
        <v>36</v>
      </c>
      <c r="D103" s="3" t="s">
        <v>63</v>
      </c>
      <c r="E103" s="3" t="s">
        <v>22</v>
      </c>
      <c r="F103" s="3">
        <v>19885.669999999998</v>
      </c>
      <c r="G103" s="3">
        <v>879749</v>
      </c>
      <c r="H103" s="3">
        <v>19933</v>
      </c>
      <c r="I103" s="3">
        <v>57954.27</v>
      </c>
      <c r="J103" s="3">
        <v>37</v>
      </c>
      <c r="K103" s="15">
        <f t="shared" si="11"/>
        <v>2.2657598928785369E-2</v>
      </c>
      <c r="L103" s="16">
        <f t="shared" si="21"/>
        <v>0.99762554557768512</v>
      </c>
      <c r="M103" s="16">
        <f t="shared" si="12"/>
        <v>22.60379949280988</v>
      </c>
      <c r="N103" s="16">
        <f t="shared" si="13"/>
        <v>2.9143735162053881</v>
      </c>
      <c r="O103" s="16">
        <f t="shared" si="14"/>
        <v>1.9143735162053881</v>
      </c>
      <c r="P103" s="1">
        <v>2023</v>
      </c>
      <c r="Q103" s="1" t="s">
        <v>60</v>
      </c>
      <c r="R103" s="1" t="s">
        <v>40</v>
      </c>
      <c r="S103" s="70">
        <f>DATE(Table2[[#This Row],[Year]],MONTH(DATEVALUE("1-"&amp;Table2[[#This Row],[Month]]&amp;"-2000")),1)</f>
        <v>44986</v>
      </c>
      <c r="T103" s="16">
        <f t="shared" si="15"/>
        <v>2.907453469121557</v>
      </c>
      <c r="U103" s="16">
        <f t="shared" si="16"/>
        <v>6.5875914607461894E-2</v>
      </c>
      <c r="V103" s="16">
        <f t="shared" si="17"/>
        <v>537.45054054054049</v>
      </c>
      <c r="W103" s="16">
        <f t="shared" si="18"/>
        <v>1566.3316216216215</v>
      </c>
      <c r="X103" s="16">
        <f t="shared" si="19"/>
        <v>538.72972972972968</v>
      </c>
      <c r="Y103" s="16">
        <f t="shared" si="20"/>
        <v>23777</v>
      </c>
      <c r="Z103" s="7" t="str" cm="1">
        <f t="array" ref="Z103">_xlfn.IFS(K103&lt;2%,"Low",K103&lt;5%,"Medium",K103&lt;10%,"Good",K103&gt;10%,"Excellent")</f>
        <v>Medium</v>
      </c>
      <c r="AA103" s="16" t="str">
        <f>Data_Validation!N101</f>
        <v>Pass</v>
      </c>
    </row>
    <row r="104" spans="1:27" x14ac:dyDescent="0.35">
      <c r="A104" s="17" t="s">
        <v>104</v>
      </c>
      <c r="B104" s="3" t="s">
        <v>19</v>
      </c>
      <c r="C104" s="3" t="s">
        <v>36</v>
      </c>
      <c r="D104" s="3" t="s">
        <v>37</v>
      </c>
      <c r="E104" s="3" t="s">
        <v>30</v>
      </c>
      <c r="F104" s="3">
        <v>16865.55</v>
      </c>
      <c r="G104" s="3">
        <v>424337</v>
      </c>
      <c r="H104" s="3">
        <v>26671</v>
      </c>
      <c r="I104" s="3">
        <v>148589.64000000001</v>
      </c>
      <c r="J104" s="3">
        <v>23</v>
      </c>
      <c r="K104" s="15">
        <f t="shared" si="11"/>
        <v>6.2853345336371796E-2</v>
      </c>
      <c r="L104" s="16">
        <f t="shared" si="21"/>
        <v>0.63235536725282138</v>
      </c>
      <c r="M104" s="16">
        <f t="shared" si="12"/>
        <v>39.745650273249801</v>
      </c>
      <c r="N104" s="16">
        <f t="shared" si="13"/>
        <v>8.8102457376130641</v>
      </c>
      <c r="O104" s="16">
        <f t="shared" si="14"/>
        <v>7.810245737613065</v>
      </c>
      <c r="P104" s="1">
        <v>2023</v>
      </c>
      <c r="Q104" s="1" t="s">
        <v>60</v>
      </c>
      <c r="R104" s="1" t="s">
        <v>40</v>
      </c>
      <c r="S104" s="70">
        <f>DATE(Table2[[#This Row],[Year]],MONTH(DATEVALUE("1-"&amp;Table2[[#This Row],[Month]]&amp;"-2000")),1)</f>
        <v>44986</v>
      </c>
      <c r="T104" s="16">
        <f t="shared" si="15"/>
        <v>5.5712061789959133</v>
      </c>
      <c r="U104" s="16">
        <f t="shared" si="16"/>
        <v>0.35016894590855857</v>
      </c>
      <c r="V104" s="16">
        <f t="shared" si="17"/>
        <v>733.28478260869565</v>
      </c>
      <c r="W104" s="16">
        <f t="shared" si="18"/>
        <v>6460.4191304347833</v>
      </c>
      <c r="X104" s="16">
        <f t="shared" si="19"/>
        <v>1159.608695652174</v>
      </c>
      <c r="Y104" s="16">
        <f t="shared" si="20"/>
        <v>18449.434782608696</v>
      </c>
      <c r="Z104" s="7" t="str" cm="1">
        <f t="array" ref="Z104">_xlfn.IFS(K104&lt;2%,"Low",K104&lt;5%,"Medium",K104&lt;10%,"Good",K104&gt;10%,"Excellent")</f>
        <v>Good</v>
      </c>
      <c r="AA104" s="16" t="str">
        <f>Data_Validation!N102</f>
        <v>Pass</v>
      </c>
    </row>
    <row r="105" spans="1:27" x14ac:dyDescent="0.35">
      <c r="A105" s="17" t="s">
        <v>68</v>
      </c>
      <c r="B105" s="3" t="s">
        <v>35</v>
      </c>
      <c r="C105" s="3" t="s">
        <v>29</v>
      </c>
      <c r="D105" s="3" t="s">
        <v>59</v>
      </c>
      <c r="E105" s="3" t="s">
        <v>38</v>
      </c>
      <c r="F105" s="3">
        <v>1230.98</v>
      </c>
      <c r="G105" s="3">
        <v>775470</v>
      </c>
      <c r="H105" s="3">
        <v>25267</v>
      </c>
      <c r="I105" s="3">
        <v>91126.23</v>
      </c>
      <c r="J105" s="3">
        <v>12</v>
      </c>
      <c r="K105" s="15">
        <f t="shared" si="11"/>
        <v>3.2582820740969992E-2</v>
      </c>
      <c r="L105" s="16">
        <f t="shared" si="21"/>
        <v>4.8718882336644634E-2</v>
      </c>
      <c r="M105" s="16">
        <f t="shared" si="12"/>
        <v>1.5873986098753015</v>
      </c>
      <c r="N105" s="16">
        <f t="shared" si="13"/>
        <v>74.027384685372624</v>
      </c>
      <c r="O105" s="16">
        <f t="shared" si="14"/>
        <v>73.027384685372624</v>
      </c>
      <c r="P105" s="1">
        <v>2023</v>
      </c>
      <c r="Q105" s="1" t="s">
        <v>60</v>
      </c>
      <c r="R105" s="1" t="s">
        <v>40</v>
      </c>
      <c r="S105" s="70">
        <f>DATE(Table2[[#This Row],[Year]],MONTH(DATEVALUE("1-"&amp;Table2[[#This Row],[Month]]&amp;"-2000")),1)</f>
        <v>44986</v>
      </c>
      <c r="T105" s="16">
        <f t="shared" si="15"/>
        <v>3.606531444176198</v>
      </c>
      <c r="U105" s="16">
        <f t="shared" si="16"/>
        <v>0.11751096754226469</v>
      </c>
      <c r="V105" s="16">
        <f t="shared" si="17"/>
        <v>102.58166666666666</v>
      </c>
      <c r="W105" s="16">
        <f t="shared" si="18"/>
        <v>7593.8525</v>
      </c>
      <c r="X105" s="16">
        <f t="shared" si="19"/>
        <v>2105.5833333333335</v>
      </c>
      <c r="Y105" s="16">
        <f t="shared" si="20"/>
        <v>64622.5</v>
      </c>
      <c r="Z105" s="7" t="str" cm="1">
        <f t="array" ref="Z105">_xlfn.IFS(K105&lt;2%,"Low",K105&lt;5%,"Medium",K105&lt;10%,"Good",K105&gt;10%,"Excellent")</f>
        <v>Medium</v>
      </c>
      <c r="AA105" s="16" t="str">
        <f>Data_Validation!N103</f>
        <v>Pass</v>
      </c>
    </row>
    <row r="106" spans="1:27" x14ac:dyDescent="0.35">
      <c r="A106" s="17" t="s">
        <v>93</v>
      </c>
      <c r="B106" s="3" t="s">
        <v>35</v>
      </c>
      <c r="C106" s="3" t="s">
        <v>29</v>
      </c>
      <c r="D106" s="3" t="s">
        <v>63</v>
      </c>
      <c r="E106" s="3" t="s">
        <v>38</v>
      </c>
      <c r="F106" s="3">
        <v>4784.3500000000004</v>
      </c>
      <c r="G106" s="3">
        <v>992736</v>
      </c>
      <c r="H106" s="3">
        <v>12431</v>
      </c>
      <c r="I106" s="3">
        <v>187431.35</v>
      </c>
      <c r="J106" s="3">
        <v>13</v>
      </c>
      <c r="K106" s="15">
        <f t="shared" si="11"/>
        <v>1.2521959513909036E-2</v>
      </c>
      <c r="L106" s="16">
        <f t="shared" si="21"/>
        <v>0.38487249617890762</v>
      </c>
      <c r="M106" s="16">
        <f t="shared" si="12"/>
        <v>4.8193578151693908</v>
      </c>
      <c r="N106" s="16">
        <f t="shared" si="13"/>
        <v>39.175927764482111</v>
      </c>
      <c r="O106" s="16">
        <f t="shared" si="14"/>
        <v>38.175927764482111</v>
      </c>
      <c r="P106" s="1">
        <v>2023</v>
      </c>
      <c r="Q106" s="1" t="s">
        <v>60</v>
      </c>
      <c r="R106" s="1" t="s">
        <v>40</v>
      </c>
      <c r="S106" s="70">
        <f>DATE(Table2[[#This Row],[Year]],MONTH(DATEVALUE("1-"&amp;Table2[[#This Row],[Month]]&amp;"-2000")),1)</f>
        <v>44986</v>
      </c>
      <c r="T106" s="16">
        <f t="shared" si="15"/>
        <v>15.077737108840802</v>
      </c>
      <c r="U106" s="16">
        <f t="shared" si="16"/>
        <v>0.1888028136382684</v>
      </c>
      <c r="V106" s="16">
        <f t="shared" si="17"/>
        <v>368.02692307692308</v>
      </c>
      <c r="W106" s="16">
        <f t="shared" si="18"/>
        <v>14417.796153846155</v>
      </c>
      <c r="X106" s="16">
        <f t="shared" si="19"/>
        <v>956.23076923076928</v>
      </c>
      <c r="Y106" s="16">
        <f t="shared" si="20"/>
        <v>76364.307692307688</v>
      </c>
      <c r="Z106" s="7" t="str" cm="1">
        <f t="array" ref="Z106">_xlfn.IFS(K106&lt;2%,"Low",K106&lt;5%,"Medium",K106&lt;10%,"Good",K106&gt;10%,"Excellent")</f>
        <v>Low</v>
      </c>
      <c r="AA106" s="16" t="str">
        <f>Data_Validation!N104</f>
        <v>Pass</v>
      </c>
    </row>
    <row r="107" spans="1:27" x14ac:dyDescent="0.35">
      <c r="A107" s="17" t="s">
        <v>87</v>
      </c>
      <c r="B107" s="3" t="s">
        <v>35</v>
      </c>
      <c r="C107" s="3" t="s">
        <v>20</v>
      </c>
      <c r="D107" s="3" t="s">
        <v>21</v>
      </c>
      <c r="E107" s="3" t="s">
        <v>30</v>
      </c>
      <c r="F107" s="3">
        <v>6602.5</v>
      </c>
      <c r="G107" s="3">
        <v>139592</v>
      </c>
      <c r="H107" s="3">
        <v>29904</v>
      </c>
      <c r="I107" s="3">
        <v>95303.49</v>
      </c>
      <c r="J107" s="3">
        <v>56</v>
      </c>
      <c r="K107" s="15">
        <f t="shared" si="11"/>
        <v>0.21422431084875923</v>
      </c>
      <c r="L107" s="16">
        <f t="shared" si="21"/>
        <v>0.22078986088817548</v>
      </c>
      <c r="M107" s="16">
        <f t="shared" si="12"/>
        <v>47.298555791162812</v>
      </c>
      <c r="N107" s="16">
        <f t="shared" si="13"/>
        <v>14.434455130632337</v>
      </c>
      <c r="O107" s="16">
        <f t="shared" si="14"/>
        <v>13.434455130632337</v>
      </c>
      <c r="P107" s="1">
        <v>2023</v>
      </c>
      <c r="Q107" s="1" t="s">
        <v>76</v>
      </c>
      <c r="R107" s="1" t="s">
        <v>46</v>
      </c>
      <c r="S107" s="70">
        <f>DATE(Table2[[#This Row],[Year]],MONTH(DATEVALUE("1-"&amp;Table2[[#This Row],[Month]]&amp;"-2000")),1)</f>
        <v>45017</v>
      </c>
      <c r="T107" s="16">
        <f t="shared" si="15"/>
        <v>3.1869813402889249</v>
      </c>
      <c r="U107" s="16">
        <f t="shared" si="16"/>
        <v>0.68272888131124998</v>
      </c>
      <c r="V107" s="16">
        <f t="shared" si="17"/>
        <v>117.90178571428571</v>
      </c>
      <c r="W107" s="16">
        <f t="shared" si="18"/>
        <v>1701.8480357142857</v>
      </c>
      <c r="X107" s="16">
        <f t="shared" si="19"/>
        <v>534</v>
      </c>
      <c r="Y107" s="16">
        <f t="shared" si="20"/>
        <v>2492.7142857142858</v>
      </c>
      <c r="Z107" s="7" t="str" cm="1">
        <f t="array" ref="Z107">_xlfn.IFS(K107&lt;2%,"Low",K107&lt;5%,"Medium",K107&lt;10%,"Good",K107&gt;10%,"Excellent")</f>
        <v>Excellent</v>
      </c>
      <c r="AA107" s="16" t="str">
        <f>Data_Validation!N105</f>
        <v>Pass</v>
      </c>
    </row>
    <row r="108" spans="1:27" x14ac:dyDescent="0.35">
      <c r="A108" s="17" t="s">
        <v>116</v>
      </c>
      <c r="B108" s="3" t="s">
        <v>35</v>
      </c>
      <c r="C108" s="3" t="s">
        <v>29</v>
      </c>
      <c r="D108" s="3" t="s">
        <v>37</v>
      </c>
      <c r="E108" s="3" t="s">
        <v>30</v>
      </c>
      <c r="F108" s="3">
        <v>15092.88</v>
      </c>
      <c r="G108" s="3">
        <v>748936</v>
      </c>
      <c r="H108" s="3">
        <v>45770</v>
      </c>
      <c r="I108" s="3">
        <v>152809.10999999999</v>
      </c>
      <c r="J108" s="3">
        <v>16</v>
      </c>
      <c r="K108" s="15">
        <f t="shared" si="11"/>
        <v>6.1113366162128674E-2</v>
      </c>
      <c r="L108" s="16">
        <f t="shared" si="21"/>
        <v>0.32975486126283587</v>
      </c>
      <c r="M108" s="16">
        <f t="shared" si="12"/>
        <v>20.152429580097628</v>
      </c>
      <c r="N108" s="16">
        <f t="shared" si="13"/>
        <v>10.124582584635935</v>
      </c>
      <c r="O108" s="16">
        <f t="shared" si="14"/>
        <v>9.1245825846359327</v>
      </c>
      <c r="P108" s="1">
        <v>2023</v>
      </c>
      <c r="Q108" s="1" t="s">
        <v>76</v>
      </c>
      <c r="R108" s="1" t="s">
        <v>46</v>
      </c>
      <c r="S108" s="70">
        <f>DATE(Table2[[#This Row],[Year]],MONTH(DATEVALUE("1-"&amp;Table2[[#This Row],[Month]]&amp;"-2000")),1)</f>
        <v>45017</v>
      </c>
      <c r="T108" s="16">
        <f t="shared" si="15"/>
        <v>3.338630325540747</v>
      </c>
      <c r="U108" s="16">
        <f t="shared" si="16"/>
        <v>0.20403493756475852</v>
      </c>
      <c r="V108" s="16">
        <f t="shared" si="17"/>
        <v>943.30499999999995</v>
      </c>
      <c r="W108" s="16">
        <f t="shared" si="18"/>
        <v>9550.5693749999991</v>
      </c>
      <c r="X108" s="16">
        <f t="shared" si="19"/>
        <v>2860.625</v>
      </c>
      <c r="Y108" s="16">
        <f t="shared" si="20"/>
        <v>46808.5</v>
      </c>
      <c r="Z108" s="7" t="str" cm="1">
        <f t="array" ref="Z108">_xlfn.IFS(K108&lt;2%,"Low",K108&lt;5%,"Medium",K108&lt;10%,"Good",K108&gt;10%,"Excellent")</f>
        <v>Good</v>
      </c>
      <c r="AA108" s="16" t="str">
        <f>Data_Validation!N106</f>
        <v>Pass</v>
      </c>
    </row>
    <row r="109" spans="1:27" x14ac:dyDescent="0.35">
      <c r="A109" s="17" t="s">
        <v>57</v>
      </c>
      <c r="B109" s="3" t="s">
        <v>35</v>
      </c>
      <c r="C109" s="3" t="s">
        <v>58</v>
      </c>
      <c r="D109" s="3" t="s">
        <v>51</v>
      </c>
      <c r="E109" s="3" t="s">
        <v>22</v>
      </c>
      <c r="F109" s="3">
        <v>462.23</v>
      </c>
      <c r="G109" s="3">
        <v>450656</v>
      </c>
      <c r="H109" s="3">
        <v>20519</v>
      </c>
      <c r="I109" s="3">
        <v>197502.71</v>
      </c>
      <c r="J109" s="3">
        <v>15</v>
      </c>
      <c r="K109" s="15">
        <f t="shared" si="11"/>
        <v>4.5531403110132783E-2</v>
      </c>
      <c r="L109" s="16">
        <f t="shared" si="21"/>
        <v>2.2526926263463132E-2</v>
      </c>
      <c r="M109" s="16">
        <f t="shared" si="12"/>
        <v>1.025682560533977</v>
      </c>
      <c r="N109" s="16">
        <f t="shared" si="13"/>
        <v>427.2823269800748</v>
      </c>
      <c r="O109" s="16">
        <f t="shared" si="14"/>
        <v>426.2823269800748</v>
      </c>
      <c r="P109" s="1">
        <v>2023</v>
      </c>
      <c r="Q109" s="1" t="s">
        <v>76</v>
      </c>
      <c r="R109" s="1" t="s">
        <v>46</v>
      </c>
      <c r="S109" s="70">
        <f>DATE(Table2[[#This Row],[Year]],MONTH(DATEVALUE("1-"&amp;Table2[[#This Row],[Month]]&amp;"-2000")),1)</f>
        <v>45017</v>
      </c>
      <c r="T109" s="16">
        <f t="shared" si="15"/>
        <v>9.6253574735610901</v>
      </c>
      <c r="U109" s="16">
        <f t="shared" si="16"/>
        <v>0.43825603120783924</v>
      </c>
      <c r="V109" s="16">
        <f t="shared" si="17"/>
        <v>30.815333333333335</v>
      </c>
      <c r="W109" s="16">
        <f t="shared" si="18"/>
        <v>13166.847333333333</v>
      </c>
      <c r="X109" s="16">
        <f t="shared" si="19"/>
        <v>1367.9333333333334</v>
      </c>
      <c r="Y109" s="16">
        <f t="shared" si="20"/>
        <v>30043.733333333334</v>
      </c>
      <c r="Z109" s="7" t="str" cm="1">
        <f t="array" ref="Z109">_xlfn.IFS(K109&lt;2%,"Low",K109&lt;5%,"Medium",K109&lt;10%,"Good",K109&gt;10%,"Excellent")</f>
        <v>Medium</v>
      </c>
      <c r="AA109" s="16" t="str">
        <f>Data_Validation!N107</f>
        <v>Pass</v>
      </c>
    </row>
    <row r="110" spans="1:27" x14ac:dyDescent="0.35">
      <c r="A110" s="17" t="s">
        <v>106</v>
      </c>
      <c r="B110" s="3" t="s">
        <v>19</v>
      </c>
      <c r="C110" s="3" t="s">
        <v>20</v>
      </c>
      <c r="D110" s="3" t="s">
        <v>43</v>
      </c>
      <c r="E110" s="3" t="s">
        <v>30</v>
      </c>
      <c r="F110" s="3">
        <v>2715.3</v>
      </c>
      <c r="G110" s="3">
        <v>790758</v>
      </c>
      <c r="H110" s="3">
        <v>48517</v>
      </c>
      <c r="I110" s="3">
        <v>96298.48</v>
      </c>
      <c r="J110" s="3">
        <v>59</v>
      </c>
      <c r="K110" s="15">
        <f t="shared" si="11"/>
        <v>6.1355054264389357E-2</v>
      </c>
      <c r="L110" s="16">
        <f t="shared" si="21"/>
        <v>5.5965950079353635E-2</v>
      </c>
      <c r="M110" s="16">
        <f t="shared" si="12"/>
        <v>3.4337939040768481</v>
      </c>
      <c r="N110" s="16">
        <f t="shared" si="13"/>
        <v>35.465134607594003</v>
      </c>
      <c r="O110" s="16">
        <f t="shared" si="14"/>
        <v>34.465134607594003</v>
      </c>
      <c r="P110" s="1">
        <v>2023</v>
      </c>
      <c r="Q110" s="1" t="s">
        <v>76</v>
      </c>
      <c r="R110" s="1" t="s">
        <v>46</v>
      </c>
      <c r="S110" s="70">
        <f>DATE(Table2[[#This Row],[Year]],MONTH(DATEVALUE("1-"&amp;Table2[[#This Row],[Month]]&amp;"-2000")),1)</f>
        <v>45017</v>
      </c>
      <c r="T110" s="16">
        <f t="shared" si="15"/>
        <v>1.9848399530061627</v>
      </c>
      <c r="U110" s="16">
        <f t="shared" si="16"/>
        <v>0.12177996302282114</v>
      </c>
      <c r="V110" s="16">
        <f t="shared" si="17"/>
        <v>46.022033898305089</v>
      </c>
      <c r="W110" s="16">
        <f t="shared" si="18"/>
        <v>1632.1776271186441</v>
      </c>
      <c r="X110" s="16">
        <f t="shared" si="19"/>
        <v>822.32203389830511</v>
      </c>
      <c r="Y110" s="16">
        <f t="shared" si="20"/>
        <v>13402.677966101695</v>
      </c>
      <c r="Z110" s="7" t="str" cm="1">
        <f t="array" ref="Z110">_xlfn.IFS(K110&lt;2%,"Low",K110&lt;5%,"Medium",K110&lt;10%,"Good",K110&gt;10%,"Excellent")</f>
        <v>Good</v>
      </c>
      <c r="AA110" s="16" t="str">
        <f>Data_Validation!N108</f>
        <v>Pass</v>
      </c>
    </row>
    <row r="111" spans="1:27" x14ac:dyDescent="0.35">
      <c r="A111" s="17" t="s">
        <v>108</v>
      </c>
      <c r="B111" s="3" t="s">
        <v>19</v>
      </c>
      <c r="C111" s="3" t="s">
        <v>29</v>
      </c>
      <c r="D111" s="3" t="s">
        <v>43</v>
      </c>
      <c r="E111" s="3" t="s">
        <v>38</v>
      </c>
      <c r="F111" s="3">
        <v>5622.31</v>
      </c>
      <c r="G111" s="3">
        <v>508560</v>
      </c>
      <c r="H111" s="3">
        <v>116</v>
      </c>
      <c r="I111" s="3">
        <v>84217.78</v>
      </c>
      <c r="J111" s="3">
        <v>57</v>
      </c>
      <c r="K111" s="15">
        <f t="shared" si="11"/>
        <v>2.28095013371087E-4</v>
      </c>
      <c r="L111" s="16">
        <f t="shared" si="21"/>
        <v>48.468189655172417</v>
      </c>
      <c r="M111" s="16">
        <f t="shared" si="12"/>
        <v>11.055352367468933</v>
      </c>
      <c r="N111" s="16">
        <f t="shared" si="13"/>
        <v>14.97921317038726</v>
      </c>
      <c r="O111" s="16">
        <f t="shared" si="14"/>
        <v>13.97921317038726</v>
      </c>
      <c r="P111" s="1">
        <v>2023</v>
      </c>
      <c r="Q111" s="1" t="s">
        <v>76</v>
      </c>
      <c r="R111" s="1" t="s">
        <v>46</v>
      </c>
      <c r="S111" s="70">
        <f>DATE(Table2[[#This Row],[Year]],MONTH(DATEVALUE("1-"&amp;Table2[[#This Row],[Month]]&amp;"-2000")),1)</f>
        <v>45017</v>
      </c>
      <c r="T111" s="16">
        <f t="shared" si="15"/>
        <v>726.0153448275862</v>
      </c>
      <c r="U111" s="16">
        <f t="shared" si="16"/>
        <v>0.1656004797860626</v>
      </c>
      <c r="V111" s="16">
        <f t="shared" si="17"/>
        <v>98.637017543859656</v>
      </c>
      <c r="W111" s="16">
        <f t="shared" si="18"/>
        <v>1477.5049122807018</v>
      </c>
      <c r="X111" s="16">
        <f t="shared" si="19"/>
        <v>2.0350877192982457</v>
      </c>
      <c r="Y111" s="16">
        <f t="shared" si="20"/>
        <v>8922.105263157895</v>
      </c>
      <c r="Z111" s="7" t="str" cm="1">
        <f t="array" ref="Z111">_xlfn.IFS(K111&lt;2%,"Low",K111&lt;5%,"Medium",K111&lt;10%,"Good",K111&gt;10%,"Excellent")</f>
        <v>Low</v>
      </c>
      <c r="AA111" s="16" t="str">
        <f>Data_Validation!N109</f>
        <v>Pass</v>
      </c>
    </row>
    <row r="112" spans="1:27" x14ac:dyDescent="0.35">
      <c r="A112" s="17" t="s">
        <v>112</v>
      </c>
      <c r="B112" s="3" t="s">
        <v>48</v>
      </c>
      <c r="C112" s="3" t="s">
        <v>20</v>
      </c>
      <c r="D112" s="3" t="s">
        <v>37</v>
      </c>
      <c r="E112" s="3" t="s">
        <v>22</v>
      </c>
      <c r="F112" s="3">
        <v>34999.21</v>
      </c>
      <c r="G112" s="3">
        <v>806456</v>
      </c>
      <c r="H112" s="3">
        <v>41068</v>
      </c>
      <c r="I112" s="3">
        <v>19712.82</v>
      </c>
      <c r="J112" s="3">
        <v>49</v>
      </c>
      <c r="K112" s="15">
        <f t="shared" si="11"/>
        <v>5.0924042973206227E-2</v>
      </c>
      <c r="L112" s="16">
        <f t="shared" si="21"/>
        <v>0.85222582059024055</v>
      </c>
      <c r="M112" s="16">
        <f t="shared" si="12"/>
        <v>43.398784310613351</v>
      </c>
      <c r="N112" s="16">
        <f t="shared" si="13"/>
        <v>0.56323614161576785</v>
      </c>
      <c r="O112" s="16">
        <f t="shared" si="14"/>
        <v>-0.4367638583842321</v>
      </c>
      <c r="P112" s="1">
        <v>2023</v>
      </c>
      <c r="Q112" s="1" t="s">
        <v>76</v>
      </c>
      <c r="R112" s="1" t="s">
        <v>46</v>
      </c>
      <c r="S112" s="70">
        <f>DATE(Table2[[#This Row],[Year]],MONTH(DATEVALUE("1-"&amp;Table2[[#This Row],[Month]]&amp;"-2000")),1)</f>
        <v>45017</v>
      </c>
      <c r="T112" s="16">
        <f t="shared" si="15"/>
        <v>0.48000438297457876</v>
      </c>
      <c r="U112" s="16">
        <f t="shared" si="16"/>
        <v>2.4443763825924787E-2</v>
      </c>
      <c r="V112" s="16">
        <f t="shared" si="17"/>
        <v>714.26959183673466</v>
      </c>
      <c r="W112" s="16">
        <f t="shared" si="18"/>
        <v>402.30244897959182</v>
      </c>
      <c r="X112" s="16">
        <f t="shared" si="19"/>
        <v>838.12244897959181</v>
      </c>
      <c r="Y112" s="16">
        <f t="shared" si="20"/>
        <v>16458.285714285714</v>
      </c>
      <c r="Z112" s="7" t="str" cm="1">
        <f t="array" ref="Z112">_xlfn.IFS(K112&lt;2%,"Low",K112&lt;5%,"Medium",K112&lt;10%,"Good",K112&gt;10%,"Excellent")</f>
        <v>Good</v>
      </c>
      <c r="AA112" s="16" t="str">
        <f>Data_Validation!N110</f>
        <v>Pass</v>
      </c>
    </row>
    <row r="113" spans="1:27" x14ac:dyDescent="0.35">
      <c r="A113" s="17" t="s">
        <v>50</v>
      </c>
      <c r="B113" s="3" t="s">
        <v>19</v>
      </c>
      <c r="C113" s="3" t="s">
        <v>36</v>
      </c>
      <c r="D113" s="3" t="s">
        <v>59</v>
      </c>
      <c r="E113" s="3" t="s">
        <v>30</v>
      </c>
      <c r="F113" s="3">
        <v>8640.65</v>
      </c>
      <c r="G113" s="3">
        <v>291502</v>
      </c>
      <c r="H113" s="3">
        <v>24818</v>
      </c>
      <c r="I113" s="3">
        <v>170049.62</v>
      </c>
      <c r="J113" s="3">
        <v>40</v>
      </c>
      <c r="K113" s="15">
        <f t="shared" si="11"/>
        <v>8.5138352395523878E-2</v>
      </c>
      <c r="L113" s="16">
        <f t="shared" si="21"/>
        <v>0.34816060923523245</v>
      </c>
      <c r="M113" s="16">
        <f t="shared" si="12"/>
        <v>29.641820639309508</v>
      </c>
      <c r="N113" s="16">
        <f t="shared" si="13"/>
        <v>19.680188411751431</v>
      </c>
      <c r="O113" s="16">
        <f t="shared" si="14"/>
        <v>18.680188411751431</v>
      </c>
      <c r="P113" s="1">
        <v>2023</v>
      </c>
      <c r="Q113" s="1" t="s">
        <v>76</v>
      </c>
      <c r="R113" s="1" t="s">
        <v>46</v>
      </c>
      <c r="S113" s="70">
        <f>DATE(Table2[[#This Row],[Year]],MONTH(DATEVALUE("1-"&amp;Table2[[#This Row],[Month]]&amp;"-2000")),1)</f>
        <v>45017</v>
      </c>
      <c r="T113" s="16">
        <f t="shared" si="15"/>
        <v>6.8518663872995402</v>
      </c>
      <c r="U113" s="16">
        <f t="shared" si="16"/>
        <v>0.58335661504895331</v>
      </c>
      <c r="V113" s="16">
        <f t="shared" si="17"/>
        <v>216.01624999999999</v>
      </c>
      <c r="W113" s="16">
        <f t="shared" si="18"/>
        <v>4251.2404999999999</v>
      </c>
      <c r="X113" s="16">
        <f t="shared" si="19"/>
        <v>620.45000000000005</v>
      </c>
      <c r="Y113" s="16">
        <f t="shared" si="20"/>
        <v>7287.55</v>
      </c>
      <c r="Z113" s="7" t="str" cm="1">
        <f t="array" ref="Z113">_xlfn.IFS(K113&lt;2%,"Low",K113&lt;5%,"Medium",K113&lt;10%,"Good",K113&gt;10%,"Excellent")</f>
        <v>Good</v>
      </c>
      <c r="AA113" s="16" t="str">
        <f>Data_Validation!N111</f>
        <v>Pass</v>
      </c>
    </row>
    <row r="114" spans="1:27" x14ac:dyDescent="0.35">
      <c r="A114" s="17" t="s">
        <v>66</v>
      </c>
      <c r="B114" s="3" t="s">
        <v>19</v>
      </c>
      <c r="C114" s="3" t="s">
        <v>36</v>
      </c>
      <c r="D114" s="3" t="s">
        <v>59</v>
      </c>
      <c r="E114" s="3" t="s">
        <v>38</v>
      </c>
      <c r="F114" s="3">
        <v>13794.09</v>
      </c>
      <c r="G114" s="3">
        <v>335498</v>
      </c>
      <c r="H114" s="3">
        <v>14822</v>
      </c>
      <c r="I114" s="3">
        <v>202607.91</v>
      </c>
      <c r="J114" s="3">
        <v>58</v>
      </c>
      <c r="K114" s="15">
        <f t="shared" si="11"/>
        <v>4.417910091863439E-2</v>
      </c>
      <c r="L114" s="16">
        <f t="shared" si="21"/>
        <v>0.93064970989070306</v>
      </c>
      <c r="M114" s="16">
        <f t="shared" si="12"/>
        <v>41.115267453159191</v>
      </c>
      <c r="N114" s="16">
        <f t="shared" si="13"/>
        <v>14.688022914161065</v>
      </c>
      <c r="O114" s="16">
        <f t="shared" si="14"/>
        <v>13.688022914161065</v>
      </c>
      <c r="P114" s="1">
        <v>2023</v>
      </c>
      <c r="Q114" s="1" t="s">
        <v>76</v>
      </c>
      <c r="R114" s="1" t="s">
        <v>46</v>
      </c>
      <c r="S114" s="70">
        <f>DATE(Table2[[#This Row],[Year]],MONTH(DATEVALUE("1-"&amp;Table2[[#This Row],[Month]]&amp;"-2000")),1)</f>
        <v>45017</v>
      </c>
      <c r="T114" s="16">
        <f t="shared" si="15"/>
        <v>13.669404263931993</v>
      </c>
      <c r="U114" s="16">
        <f t="shared" si="16"/>
        <v>0.60390199047386273</v>
      </c>
      <c r="V114" s="16">
        <f t="shared" si="17"/>
        <v>237.8291379310345</v>
      </c>
      <c r="W114" s="16">
        <f t="shared" si="18"/>
        <v>3493.239827586207</v>
      </c>
      <c r="X114" s="16">
        <f t="shared" si="19"/>
        <v>255.55172413793105</v>
      </c>
      <c r="Y114" s="16">
        <f t="shared" si="20"/>
        <v>5784.4482758620688</v>
      </c>
      <c r="Z114" s="7" t="str" cm="1">
        <f t="array" ref="Z114">_xlfn.IFS(K114&lt;2%,"Low",K114&lt;5%,"Medium",K114&lt;10%,"Good",K114&gt;10%,"Excellent")</f>
        <v>Medium</v>
      </c>
      <c r="AA114" s="16" t="str">
        <f>Data_Validation!N112</f>
        <v>Pass</v>
      </c>
    </row>
    <row r="115" spans="1:27" x14ac:dyDescent="0.35">
      <c r="A115" s="17" t="s">
        <v>75</v>
      </c>
      <c r="B115" s="3" t="s">
        <v>19</v>
      </c>
      <c r="C115" s="3" t="s">
        <v>29</v>
      </c>
      <c r="D115" s="3" t="s">
        <v>21</v>
      </c>
      <c r="E115" s="3" t="s">
        <v>22</v>
      </c>
      <c r="F115" s="3">
        <v>8853.65</v>
      </c>
      <c r="G115" s="3">
        <v>519231</v>
      </c>
      <c r="H115" s="3">
        <v>31646</v>
      </c>
      <c r="I115" s="3">
        <v>57368.09</v>
      </c>
      <c r="J115" s="3">
        <v>54</v>
      </c>
      <c r="K115" s="15">
        <f t="shared" si="11"/>
        <v>6.0947824763929737E-2</v>
      </c>
      <c r="L115" s="16">
        <f t="shared" si="21"/>
        <v>0.27977153510712255</v>
      </c>
      <c r="M115" s="16">
        <f t="shared" si="12"/>
        <v>17.051466495644519</v>
      </c>
      <c r="N115" s="16">
        <f t="shared" si="13"/>
        <v>6.4795976800528594</v>
      </c>
      <c r="O115" s="16">
        <f t="shared" si="14"/>
        <v>5.4795976800528594</v>
      </c>
      <c r="P115" s="1">
        <v>2023</v>
      </c>
      <c r="Q115" s="1" t="s">
        <v>76</v>
      </c>
      <c r="R115" s="1" t="s">
        <v>46</v>
      </c>
      <c r="S115" s="70">
        <f>DATE(Table2[[#This Row],[Year]],MONTH(DATEVALUE("1-"&amp;Table2[[#This Row],[Month]]&amp;"-2000")),1)</f>
        <v>45017</v>
      </c>
      <c r="T115" s="16">
        <f t="shared" si="15"/>
        <v>1.8128069898249384</v>
      </c>
      <c r="U115" s="16">
        <f t="shared" si="16"/>
        <v>0.11048664274667729</v>
      </c>
      <c r="V115" s="16">
        <f t="shared" si="17"/>
        <v>163.95648148148146</v>
      </c>
      <c r="W115" s="16">
        <f t="shared" si="18"/>
        <v>1062.372037037037</v>
      </c>
      <c r="X115" s="16">
        <f t="shared" si="19"/>
        <v>586.03703703703707</v>
      </c>
      <c r="Y115" s="16">
        <f t="shared" si="20"/>
        <v>9615.3888888888887</v>
      </c>
      <c r="Z115" s="7" t="str" cm="1">
        <f t="array" ref="Z115">_xlfn.IFS(K115&lt;2%,"Low",K115&lt;5%,"Medium",K115&lt;10%,"Good",K115&gt;10%,"Excellent")</f>
        <v>Good</v>
      </c>
      <c r="AA115" s="16" t="str">
        <f>Data_Validation!N113</f>
        <v>Pass</v>
      </c>
    </row>
    <row r="116" spans="1:27" x14ac:dyDescent="0.35">
      <c r="A116" s="17" t="s">
        <v>66</v>
      </c>
      <c r="B116" s="3" t="s">
        <v>28</v>
      </c>
      <c r="C116" s="3" t="s">
        <v>69</v>
      </c>
      <c r="D116" s="3" t="s">
        <v>43</v>
      </c>
      <c r="E116" s="3" t="s">
        <v>30</v>
      </c>
      <c r="F116" s="3">
        <v>54404.03</v>
      </c>
      <c r="G116" s="3">
        <v>493863</v>
      </c>
      <c r="H116" s="3">
        <v>7798</v>
      </c>
      <c r="I116" s="3">
        <v>163688.87</v>
      </c>
      <c r="J116" s="3">
        <v>20</v>
      </c>
      <c r="K116" s="15">
        <f t="shared" si="11"/>
        <v>1.578980405497071E-2</v>
      </c>
      <c r="L116" s="16">
        <f t="shared" si="21"/>
        <v>6.9766645293665039</v>
      </c>
      <c r="M116" s="16">
        <f t="shared" si="12"/>
        <v>110.16016587596154</v>
      </c>
      <c r="N116" s="16">
        <f t="shared" si="13"/>
        <v>3.0087636890134792</v>
      </c>
      <c r="O116" s="16">
        <f t="shared" si="14"/>
        <v>2.0087636890134792</v>
      </c>
      <c r="P116" s="1">
        <v>2023</v>
      </c>
      <c r="Q116" s="1" t="s">
        <v>76</v>
      </c>
      <c r="R116" s="1" t="s">
        <v>46</v>
      </c>
      <c r="S116" s="70">
        <f>DATE(Table2[[#This Row],[Year]],MONTH(DATEVALUE("1-"&amp;Table2[[#This Row],[Month]]&amp;"-2000")),1)</f>
        <v>45017</v>
      </c>
      <c r="T116" s="16">
        <f t="shared" si="15"/>
        <v>20.991134906386254</v>
      </c>
      <c r="U116" s="16">
        <f t="shared" si="16"/>
        <v>0.33144590706329485</v>
      </c>
      <c r="V116" s="16">
        <f t="shared" si="17"/>
        <v>2720.2015000000001</v>
      </c>
      <c r="W116" s="16">
        <f t="shared" si="18"/>
        <v>8184.4434999999994</v>
      </c>
      <c r="X116" s="16">
        <f t="shared" si="19"/>
        <v>389.9</v>
      </c>
      <c r="Y116" s="16">
        <f t="shared" si="20"/>
        <v>24693.15</v>
      </c>
      <c r="Z116" s="7" t="str" cm="1">
        <f t="array" ref="Z116">_xlfn.IFS(K116&lt;2%,"Low",K116&lt;5%,"Medium",K116&lt;10%,"Good",K116&gt;10%,"Excellent")</f>
        <v>Low</v>
      </c>
      <c r="AA116" s="16" t="str">
        <f>Data_Validation!N114</f>
        <v>Pass</v>
      </c>
    </row>
    <row r="117" spans="1:27" x14ac:dyDescent="0.35">
      <c r="A117" s="17" t="s">
        <v>107</v>
      </c>
      <c r="B117" s="3" t="s">
        <v>19</v>
      </c>
      <c r="C117" s="3" t="s">
        <v>20</v>
      </c>
      <c r="D117" s="3" t="s">
        <v>21</v>
      </c>
      <c r="E117" s="3" t="s">
        <v>22</v>
      </c>
      <c r="F117" s="3">
        <v>53.48</v>
      </c>
      <c r="G117" s="3">
        <v>817437</v>
      </c>
      <c r="H117" s="3">
        <v>38981</v>
      </c>
      <c r="I117" s="3">
        <v>42496.91</v>
      </c>
      <c r="J117" s="3">
        <v>11</v>
      </c>
      <c r="K117" s="15">
        <f t="shared" si="11"/>
        <v>4.76868553784573E-2</v>
      </c>
      <c r="L117" s="16">
        <f t="shared" si="21"/>
        <v>1.3719504373925758E-3</v>
      </c>
      <c r="M117" s="16">
        <f t="shared" si="12"/>
        <v>6.5424002094350994E-2</v>
      </c>
      <c r="N117" s="16">
        <f t="shared" si="13"/>
        <v>794.63182498130152</v>
      </c>
      <c r="O117" s="16">
        <f t="shared" si="14"/>
        <v>793.63182498130152</v>
      </c>
      <c r="P117" s="1">
        <v>2023</v>
      </c>
      <c r="Q117" s="1" t="s">
        <v>76</v>
      </c>
      <c r="R117" s="1" t="s">
        <v>46</v>
      </c>
      <c r="S117" s="70">
        <f>DATE(Table2[[#This Row],[Year]],MONTH(DATEVALUE("1-"&amp;Table2[[#This Row],[Month]]&amp;"-2000")),1)</f>
        <v>45017</v>
      </c>
      <c r="T117" s="16">
        <f t="shared" si="15"/>
        <v>1.0901954798491573</v>
      </c>
      <c r="U117" s="16">
        <f t="shared" si="16"/>
        <v>5.1987994181814629E-2</v>
      </c>
      <c r="V117" s="16">
        <f t="shared" si="17"/>
        <v>4.8618181818181814</v>
      </c>
      <c r="W117" s="16">
        <f t="shared" si="18"/>
        <v>3863.3554545454549</v>
      </c>
      <c r="X117" s="16">
        <f t="shared" si="19"/>
        <v>3543.7272727272725</v>
      </c>
      <c r="Y117" s="16">
        <f t="shared" si="20"/>
        <v>74312.454545454544</v>
      </c>
      <c r="Z117" s="7" t="str" cm="1">
        <f t="array" ref="Z117">_xlfn.IFS(K117&lt;2%,"Low",K117&lt;5%,"Medium",K117&lt;10%,"Good",K117&gt;10%,"Excellent")</f>
        <v>Medium</v>
      </c>
      <c r="AA117" s="16" t="str">
        <f>Data_Validation!N115</f>
        <v>Pass</v>
      </c>
    </row>
    <row r="118" spans="1:27" x14ac:dyDescent="0.35">
      <c r="A118" s="17" t="s">
        <v>57</v>
      </c>
      <c r="B118" s="3" t="s">
        <v>19</v>
      </c>
      <c r="C118" s="3" t="s">
        <v>58</v>
      </c>
      <c r="D118" s="3" t="s">
        <v>37</v>
      </c>
      <c r="E118" s="3" t="s">
        <v>38</v>
      </c>
      <c r="F118" s="3">
        <v>11098.45</v>
      </c>
      <c r="G118" s="3">
        <v>889037</v>
      </c>
      <c r="H118" s="3">
        <v>13729</v>
      </c>
      <c r="I118" s="3">
        <v>100746.05</v>
      </c>
      <c r="J118" s="3">
        <v>10</v>
      </c>
      <c r="K118" s="15">
        <f t="shared" si="11"/>
        <v>1.5442551884792197E-2</v>
      </c>
      <c r="L118" s="16">
        <f t="shared" si="21"/>
        <v>0.8083946390851483</v>
      </c>
      <c r="M118" s="16">
        <f t="shared" si="12"/>
        <v>12.483676157460264</v>
      </c>
      <c r="N118" s="16">
        <f t="shared" si="13"/>
        <v>9.0774882979154743</v>
      </c>
      <c r="O118" s="16">
        <f t="shared" si="14"/>
        <v>8.0774882979154743</v>
      </c>
      <c r="P118" s="1">
        <v>2023</v>
      </c>
      <c r="Q118" s="1" t="s">
        <v>76</v>
      </c>
      <c r="R118" s="1" t="s">
        <v>46</v>
      </c>
      <c r="S118" s="70">
        <f>DATE(Table2[[#This Row],[Year]],MONTH(DATEVALUE("1-"&amp;Table2[[#This Row],[Month]]&amp;"-2000")),1)</f>
        <v>45017</v>
      </c>
      <c r="T118" s="16">
        <f t="shared" si="15"/>
        <v>7.3381928763930366</v>
      </c>
      <c r="U118" s="16">
        <f t="shared" si="16"/>
        <v>0.11332042423431196</v>
      </c>
      <c r="V118" s="16">
        <f t="shared" si="17"/>
        <v>1109.845</v>
      </c>
      <c r="W118" s="16">
        <f t="shared" si="18"/>
        <v>10074.605</v>
      </c>
      <c r="X118" s="16">
        <f t="shared" si="19"/>
        <v>1372.9</v>
      </c>
      <c r="Y118" s="16">
        <f t="shared" si="20"/>
        <v>88903.7</v>
      </c>
      <c r="Z118" s="7" t="str" cm="1">
        <f t="array" ref="Z118">_xlfn.IFS(K118&lt;2%,"Low",K118&lt;5%,"Medium",K118&lt;10%,"Good",K118&gt;10%,"Excellent")</f>
        <v>Low</v>
      </c>
      <c r="AA118" s="16" t="str">
        <f>Data_Validation!N116</f>
        <v>Pass</v>
      </c>
    </row>
    <row r="119" spans="1:27" x14ac:dyDescent="0.35">
      <c r="A119" s="17" t="s">
        <v>67</v>
      </c>
      <c r="B119" s="3" t="s">
        <v>48</v>
      </c>
      <c r="C119" s="3" t="s">
        <v>69</v>
      </c>
      <c r="D119" s="3" t="s">
        <v>63</v>
      </c>
      <c r="E119" s="3" t="s">
        <v>22</v>
      </c>
      <c r="F119" s="3">
        <v>4612.68</v>
      </c>
      <c r="G119" s="3">
        <v>287860</v>
      </c>
      <c r="H119" s="3">
        <v>24157</v>
      </c>
      <c r="I119" s="3">
        <v>222958.21</v>
      </c>
      <c r="J119" s="3">
        <v>8</v>
      </c>
      <c r="K119" s="15">
        <f t="shared" si="11"/>
        <v>8.3919266310011814E-2</v>
      </c>
      <c r="L119" s="16">
        <f t="shared" si="21"/>
        <v>0.19094589559961916</v>
      </c>
      <c r="M119" s="16">
        <f t="shared" si="12"/>
        <v>16.024039463628153</v>
      </c>
      <c r="N119" s="16">
        <f t="shared" si="13"/>
        <v>48.335937025763762</v>
      </c>
      <c r="O119" s="16">
        <f t="shared" si="14"/>
        <v>47.335937025763762</v>
      </c>
      <c r="P119" s="1">
        <v>2023</v>
      </c>
      <c r="Q119" s="1" t="s">
        <v>76</v>
      </c>
      <c r="R119" s="1" t="s">
        <v>46</v>
      </c>
      <c r="S119" s="70">
        <f>DATE(Table2[[#This Row],[Year]],MONTH(DATEVALUE("1-"&amp;Table2[[#This Row],[Month]]&amp;"-2000")),1)</f>
        <v>45017</v>
      </c>
      <c r="T119" s="16">
        <f t="shared" si="15"/>
        <v>9.2295487850312536</v>
      </c>
      <c r="U119" s="16">
        <f t="shared" si="16"/>
        <v>0.77453696241228376</v>
      </c>
      <c r="V119" s="16">
        <f t="shared" si="17"/>
        <v>576.58500000000004</v>
      </c>
      <c r="W119" s="16">
        <f t="shared" si="18"/>
        <v>27869.776249999999</v>
      </c>
      <c r="X119" s="16">
        <f t="shared" si="19"/>
        <v>3019.625</v>
      </c>
      <c r="Y119" s="16">
        <f t="shared" si="20"/>
        <v>35982.5</v>
      </c>
      <c r="Z119" s="7" t="str" cm="1">
        <f t="array" ref="Z119">_xlfn.IFS(K119&lt;2%,"Low",K119&lt;5%,"Medium",K119&lt;10%,"Good",K119&gt;10%,"Excellent")</f>
        <v>Good</v>
      </c>
      <c r="AA119" s="16" t="str">
        <f>Data_Validation!N117</f>
        <v>Pass</v>
      </c>
    </row>
    <row r="120" spans="1:27" x14ac:dyDescent="0.35">
      <c r="A120" s="17" t="s">
        <v>71</v>
      </c>
      <c r="B120" s="3" t="s">
        <v>35</v>
      </c>
      <c r="C120" s="3" t="s">
        <v>58</v>
      </c>
      <c r="D120" s="3" t="s">
        <v>43</v>
      </c>
      <c r="E120" s="3" t="s">
        <v>30</v>
      </c>
      <c r="F120" s="3">
        <v>14177.18</v>
      </c>
      <c r="G120" s="3">
        <v>881861</v>
      </c>
      <c r="H120" s="3">
        <v>39794</v>
      </c>
      <c r="I120" s="3">
        <v>215529.25</v>
      </c>
      <c r="J120" s="3">
        <v>53</v>
      </c>
      <c r="K120" s="15">
        <f t="shared" si="11"/>
        <v>4.5125025372479338E-2</v>
      </c>
      <c r="L120" s="16">
        <f t="shared" si="21"/>
        <v>0.35626426094386088</v>
      </c>
      <c r="M120" s="16">
        <f t="shared" si="12"/>
        <v>16.076433814399323</v>
      </c>
      <c r="N120" s="16">
        <f t="shared" si="13"/>
        <v>15.202547333108559</v>
      </c>
      <c r="O120" s="16">
        <f t="shared" si="14"/>
        <v>14.202547333108559</v>
      </c>
      <c r="P120" s="1">
        <v>2023</v>
      </c>
      <c r="Q120" s="1" t="s">
        <v>76</v>
      </c>
      <c r="R120" s="1" t="s">
        <v>46</v>
      </c>
      <c r="S120" s="70">
        <f>DATE(Table2[[#This Row],[Year]],MONTH(DATEVALUE("1-"&amp;Table2[[#This Row],[Month]]&amp;"-2000")),1)</f>
        <v>45017</v>
      </c>
      <c r="T120" s="16">
        <f t="shared" si="15"/>
        <v>5.4161242900939843</v>
      </c>
      <c r="U120" s="16">
        <f t="shared" si="16"/>
        <v>0.24440274601099266</v>
      </c>
      <c r="V120" s="16">
        <f t="shared" si="17"/>
        <v>267.49396226415092</v>
      </c>
      <c r="W120" s="16">
        <f t="shared" si="18"/>
        <v>4066.5896226415093</v>
      </c>
      <c r="X120" s="16">
        <f t="shared" si="19"/>
        <v>750.83018867924534</v>
      </c>
      <c r="Y120" s="16">
        <f t="shared" si="20"/>
        <v>16638.886792452831</v>
      </c>
      <c r="Z120" s="7" t="str" cm="1">
        <f t="array" ref="Z120">_xlfn.IFS(K120&lt;2%,"Low",K120&lt;5%,"Medium",K120&lt;10%,"Good",K120&gt;10%,"Excellent")</f>
        <v>Medium</v>
      </c>
      <c r="AA120" s="16" t="str">
        <f>Data_Validation!N118</f>
        <v>Pass</v>
      </c>
    </row>
    <row r="121" spans="1:27" x14ac:dyDescent="0.35">
      <c r="A121" s="17" t="s">
        <v>72</v>
      </c>
      <c r="B121" s="3" t="s">
        <v>35</v>
      </c>
      <c r="C121" s="3" t="s">
        <v>20</v>
      </c>
      <c r="D121" s="3" t="s">
        <v>21</v>
      </c>
      <c r="E121" s="3" t="s">
        <v>22</v>
      </c>
      <c r="F121" s="3">
        <v>10906.62</v>
      </c>
      <c r="G121" s="3">
        <v>65021</v>
      </c>
      <c r="H121" s="3">
        <v>7790</v>
      </c>
      <c r="I121" s="3">
        <v>245167.81</v>
      </c>
      <c r="J121" s="3">
        <v>28</v>
      </c>
      <c r="K121" s="15">
        <f t="shared" si="11"/>
        <v>0.11980744682487196</v>
      </c>
      <c r="L121" s="16">
        <f t="shared" si="21"/>
        <v>1.4000795892169449</v>
      </c>
      <c r="M121" s="16">
        <f t="shared" si="12"/>
        <v>167.7399609356977</v>
      </c>
      <c r="N121" s="16">
        <f t="shared" si="13"/>
        <v>22.478807366535186</v>
      </c>
      <c r="O121" s="16">
        <f t="shared" si="14"/>
        <v>21.478807366535186</v>
      </c>
      <c r="P121" s="1">
        <v>2023</v>
      </c>
      <c r="Q121" s="1" t="s">
        <v>76</v>
      </c>
      <c r="R121" s="1" t="s">
        <v>46</v>
      </c>
      <c r="S121" s="70">
        <f>DATE(Table2[[#This Row],[Year]],MONTH(DATEVALUE("1-"&amp;Table2[[#This Row],[Month]]&amp;"-2000")),1)</f>
        <v>45017</v>
      </c>
      <c r="T121" s="16">
        <f t="shared" si="15"/>
        <v>31.472119383825415</v>
      </c>
      <c r="U121" s="16">
        <f t="shared" si="16"/>
        <v>3.770594269543686</v>
      </c>
      <c r="V121" s="16">
        <f t="shared" si="17"/>
        <v>389.52214285714291</v>
      </c>
      <c r="W121" s="16">
        <f t="shared" si="18"/>
        <v>8755.9932142857142</v>
      </c>
      <c r="X121" s="16">
        <f t="shared" si="19"/>
        <v>278.21428571428572</v>
      </c>
      <c r="Y121" s="16">
        <f t="shared" si="20"/>
        <v>2322.1785714285716</v>
      </c>
      <c r="Z121" s="7" t="str" cm="1">
        <f t="array" ref="Z121">_xlfn.IFS(K121&lt;2%,"Low",K121&lt;5%,"Medium",K121&lt;10%,"Good",K121&gt;10%,"Excellent")</f>
        <v>Excellent</v>
      </c>
      <c r="AA121" s="16" t="str">
        <f>Data_Validation!N119</f>
        <v>Pass</v>
      </c>
    </row>
    <row r="122" spans="1:27" x14ac:dyDescent="0.35">
      <c r="A122" s="17" t="s">
        <v>62</v>
      </c>
      <c r="B122" s="3" t="s">
        <v>48</v>
      </c>
      <c r="C122" s="3" t="s">
        <v>20</v>
      </c>
      <c r="D122" s="3" t="s">
        <v>63</v>
      </c>
      <c r="E122" s="3" t="s">
        <v>38</v>
      </c>
      <c r="F122" s="3">
        <v>12592.92</v>
      </c>
      <c r="G122" s="3">
        <v>813726</v>
      </c>
      <c r="H122" s="3">
        <v>30600</v>
      </c>
      <c r="I122" s="3">
        <v>120283.74</v>
      </c>
      <c r="J122" s="3">
        <v>35</v>
      </c>
      <c r="K122" s="15">
        <f t="shared" si="11"/>
        <v>3.7604795717477379E-2</v>
      </c>
      <c r="L122" s="16">
        <f t="shared" si="21"/>
        <v>0.41153333333333336</v>
      </c>
      <c r="M122" s="16">
        <f t="shared" si="12"/>
        <v>15.475626930932524</v>
      </c>
      <c r="N122" s="16">
        <f t="shared" si="13"/>
        <v>9.5516957147349473</v>
      </c>
      <c r="O122" s="16">
        <f t="shared" si="14"/>
        <v>8.5516957147349473</v>
      </c>
      <c r="P122" s="1">
        <v>2023</v>
      </c>
      <c r="Q122" s="1" t="s">
        <v>76</v>
      </c>
      <c r="R122" s="1" t="s">
        <v>46</v>
      </c>
      <c r="S122" s="70">
        <f>DATE(Table2[[#This Row],[Year]],MONTH(DATEVALUE("1-"&amp;Table2[[#This Row],[Month]]&amp;"-2000")),1)</f>
        <v>45017</v>
      </c>
      <c r="T122" s="16">
        <f t="shared" si="15"/>
        <v>3.9308411764705884</v>
      </c>
      <c r="U122" s="16">
        <f t="shared" si="16"/>
        <v>0.14781847943902493</v>
      </c>
      <c r="V122" s="16">
        <f t="shared" si="17"/>
        <v>359.79771428571428</v>
      </c>
      <c r="W122" s="16">
        <f t="shared" si="18"/>
        <v>3436.6782857142857</v>
      </c>
      <c r="X122" s="16">
        <f t="shared" si="19"/>
        <v>874.28571428571433</v>
      </c>
      <c r="Y122" s="16">
        <f t="shared" si="20"/>
        <v>23249.314285714285</v>
      </c>
      <c r="Z122" s="7" t="str" cm="1">
        <f t="array" ref="Z122">_xlfn.IFS(K122&lt;2%,"Low",K122&lt;5%,"Medium",K122&lt;10%,"Good",K122&gt;10%,"Excellent")</f>
        <v>Medium</v>
      </c>
      <c r="AA122" s="16" t="str">
        <f>Data_Validation!N120</f>
        <v>Pass</v>
      </c>
    </row>
    <row r="123" spans="1:27" x14ac:dyDescent="0.35">
      <c r="A123" s="17" t="s">
        <v>68</v>
      </c>
      <c r="B123" s="3" t="s">
        <v>48</v>
      </c>
      <c r="C123" s="3" t="s">
        <v>29</v>
      </c>
      <c r="D123" s="3" t="s">
        <v>63</v>
      </c>
      <c r="E123" s="3" t="s">
        <v>22</v>
      </c>
      <c r="F123" s="3">
        <v>19736.900000000001</v>
      </c>
      <c r="G123" s="3">
        <v>447090</v>
      </c>
      <c r="H123" s="3">
        <v>42994</v>
      </c>
      <c r="I123" s="3">
        <v>75643.360000000001</v>
      </c>
      <c r="J123" s="3">
        <v>10</v>
      </c>
      <c r="K123" s="15">
        <f t="shared" si="11"/>
        <v>9.6164083294191322E-2</v>
      </c>
      <c r="L123" s="16">
        <f t="shared" si="21"/>
        <v>0.45906172954365732</v>
      </c>
      <c r="M123" s="16">
        <f t="shared" si="12"/>
        <v>44.145250397011786</v>
      </c>
      <c r="N123" s="16">
        <f t="shared" si="13"/>
        <v>3.832585664415384</v>
      </c>
      <c r="O123" s="16">
        <f t="shared" si="14"/>
        <v>2.832585664415384</v>
      </c>
      <c r="P123" s="1">
        <v>2023</v>
      </c>
      <c r="Q123" s="1" t="s">
        <v>76</v>
      </c>
      <c r="R123" s="1" t="s">
        <v>46</v>
      </c>
      <c r="S123" s="70">
        <f>DATE(Table2[[#This Row],[Year]],MONTH(DATEVALUE("1-"&amp;Table2[[#This Row],[Month]]&amp;"-2000")),1)</f>
        <v>45017</v>
      </c>
      <c r="T123" s="16">
        <f t="shared" si="15"/>
        <v>1.759393403730753</v>
      </c>
      <c r="U123" s="16">
        <f t="shared" si="16"/>
        <v>0.16919045382361494</v>
      </c>
      <c r="V123" s="16">
        <f t="shared" si="17"/>
        <v>1973.69</v>
      </c>
      <c r="W123" s="16">
        <f t="shared" si="18"/>
        <v>7564.3360000000002</v>
      </c>
      <c r="X123" s="16">
        <f t="shared" si="19"/>
        <v>4299.3999999999996</v>
      </c>
      <c r="Y123" s="16">
        <f t="shared" si="20"/>
        <v>44709</v>
      </c>
      <c r="Z123" s="7" t="str" cm="1">
        <f t="array" ref="Z123">_xlfn.IFS(K123&lt;2%,"Low",K123&lt;5%,"Medium",K123&lt;10%,"Good",K123&gt;10%,"Excellent")</f>
        <v>Good</v>
      </c>
      <c r="AA123" s="16" t="str">
        <f>Data_Validation!N121</f>
        <v>Pass</v>
      </c>
    </row>
    <row r="124" spans="1:27" x14ac:dyDescent="0.35">
      <c r="A124" s="17" t="s">
        <v>111</v>
      </c>
      <c r="B124" s="3" t="s">
        <v>35</v>
      </c>
      <c r="C124" s="3" t="s">
        <v>58</v>
      </c>
      <c r="D124" s="3" t="s">
        <v>37</v>
      </c>
      <c r="E124" s="3" t="s">
        <v>30</v>
      </c>
      <c r="F124" s="3">
        <v>27914.41</v>
      </c>
      <c r="G124" s="3">
        <v>890521</v>
      </c>
      <c r="H124" s="3">
        <v>21086</v>
      </c>
      <c r="I124" s="3">
        <v>229010.97</v>
      </c>
      <c r="J124" s="3">
        <v>57</v>
      </c>
      <c r="K124" s="15">
        <f t="shared" si="11"/>
        <v>2.3678273729648151E-2</v>
      </c>
      <c r="L124" s="16">
        <f t="shared" si="21"/>
        <v>1.3238361946315091</v>
      </c>
      <c r="M124" s="16">
        <f t="shared" si="12"/>
        <v>31.346155789700639</v>
      </c>
      <c r="N124" s="16">
        <f t="shared" si="13"/>
        <v>8.2040412102566389</v>
      </c>
      <c r="O124" s="16">
        <f t="shared" si="14"/>
        <v>7.204041210256638</v>
      </c>
      <c r="P124" s="1">
        <v>2023</v>
      </c>
      <c r="Q124" s="1" t="s">
        <v>76</v>
      </c>
      <c r="R124" s="1" t="s">
        <v>46</v>
      </c>
      <c r="S124" s="70">
        <f>DATE(Table2[[#This Row],[Year]],MONTH(DATEVALUE("1-"&amp;Table2[[#This Row],[Month]]&amp;"-2000")),1)</f>
        <v>45017</v>
      </c>
      <c r="T124" s="16">
        <f t="shared" si="15"/>
        <v>10.860806696386227</v>
      </c>
      <c r="U124" s="16">
        <f t="shared" si="16"/>
        <v>0.2571651538818287</v>
      </c>
      <c r="V124" s="16">
        <f t="shared" si="17"/>
        <v>489.72649122807019</v>
      </c>
      <c r="W124" s="16">
        <f t="shared" si="18"/>
        <v>4017.7363157894738</v>
      </c>
      <c r="X124" s="16">
        <f t="shared" si="19"/>
        <v>369.92982456140351</v>
      </c>
      <c r="Y124" s="16">
        <f t="shared" si="20"/>
        <v>15623.17543859649</v>
      </c>
      <c r="Z124" s="7" t="str" cm="1">
        <f t="array" ref="Z124">_xlfn.IFS(K124&lt;2%,"Low",K124&lt;5%,"Medium",K124&lt;10%,"Good",K124&gt;10%,"Excellent")</f>
        <v>Medium</v>
      </c>
      <c r="AA124" s="16" t="str">
        <f>Data_Validation!N122</f>
        <v>Pass</v>
      </c>
    </row>
    <row r="125" spans="1:27" x14ac:dyDescent="0.35">
      <c r="A125" s="17" t="s">
        <v>75</v>
      </c>
      <c r="B125" s="3" t="s">
        <v>35</v>
      </c>
      <c r="C125" s="3" t="s">
        <v>36</v>
      </c>
      <c r="D125" s="3" t="s">
        <v>51</v>
      </c>
      <c r="E125" s="3" t="s">
        <v>38</v>
      </c>
      <c r="F125" s="3">
        <v>1243.69</v>
      </c>
      <c r="G125" s="3">
        <v>644565</v>
      </c>
      <c r="H125" s="3">
        <v>40330</v>
      </c>
      <c r="I125" s="3">
        <v>238940.31</v>
      </c>
      <c r="J125" s="3">
        <v>33</v>
      </c>
      <c r="K125" s="15">
        <f t="shared" si="11"/>
        <v>6.2569329702977974E-2</v>
      </c>
      <c r="L125" s="16">
        <f t="shared" si="21"/>
        <v>3.0837837837837841E-2</v>
      </c>
      <c r="M125" s="16">
        <f t="shared" si="12"/>
        <v>1.9295028430026453</v>
      </c>
      <c r="N125" s="16">
        <f t="shared" si="13"/>
        <v>192.12208026115832</v>
      </c>
      <c r="O125" s="16">
        <f t="shared" si="14"/>
        <v>191.12208026115832</v>
      </c>
      <c r="P125" s="1">
        <v>2023</v>
      </c>
      <c r="Q125" s="1" t="s">
        <v>76</v>
      </c>
      <c r="R125" s="1" t="s">
        <v>46</v>
      </c>
      <c r="S125" s="70">
        <f>DATE(Table2[[#This Row],[Year]],MONTH(DATEVALUE("1-"&amp;Table2[[#This Row],[Month]]&amp;"-2000")),1)</f>
        <v>45017</v>
      </c>
      <c r="T125" s="16">
        <f t="shared" si="15"/>
        <v>5.9246295561616664</v>
      </c>
      <c r="U125" s="16">
        <f t="shared" si="16"/>
        <v>0.37070010006748738</v>
      </c>
      <c r="V125" s="16">
        <f t="shared" si="17"/>
        <v>37.687575757575758</v>
      </c>
      <c r="W125" s="16">
        <f t="shared" si="18"/>
        <v>7240.6154545454547</v>
      </c>
      <c r="X125" s="16">
        <f t="shared" si="19"/>
        <v>1222.121212121212</v>
      </c>
      <c r="Y125" s="16">
        <f t="shared" si="20"/>
        <v>19532.272727272728</v>
      </c>
      <c r="Z125" s="7" t="str" cm="1">
        <f t="array" ref="Z125">_xlfn.IFS(K125&lt;2%,"Low",K125&lt;5%,"Medium",K125&lt;10%,"Good",K125&gt;10%,"Excellent")</f>
        <v>Good</v>
      </c>
      <c r="AA125" s="16" t="str">
        <f>Data_Validation!N123</f>
        <v>Pass</v>
      </c>
    </row>
    <row r="126" spans="1:27" x14ac:dyDescent="0.35">
      <c r="A126" s="17" t="s">
        <v>90</v>
      </c>
      <c r="B126" s="3" t="s">
        <v>28</v>
      </c>
      <c r="C126" s="3" t="s">
        <v>36</v>
      </c>
      <c r="D126" s="3" t="s">
        <v>21</v>
      </c>
      <c r="E126" s="3" t="s">
        <v>22</v>
      </c>
      <c r="F126" s="3">
        <v>38828.81</v>
      </c>
      <c r="G126" s="3">
        <v>403774</v>
      </c>
      <c r="H126" s="3">
        <v>14561</v>
      </c>
      <c r="I126" s="3">
        <v>23014.78</v>
      </c>
      <c r="J126" s="3">
        <v>21</v>
      </c>
      <c r="K126" s="15">
        <f t="shared" si="11"/>
        <v>3.6062252646282329E-2</v>
      </c>
      <c r="L126" s="16">
        <f t="shared" si="21"/>
        <v>2.6666307259116819</v>
      </c>
      <c r="M126" s="16">
        <f t="shared" si="12"/>
        <v>96.164710952166303</v>
      </c>
      <c r="N126" s="16">
        <f t="shared" si="13"/>
        <v>0.59272431990576069</v>
      </c>
      <c r="O126" s="16">
        <f t="shared" si="14"/>
        <v>-0.40727568009423931</v>
      </c>
      <c r="P126" s="1">
        <v>2023</v>
      </c>
      <c r="Q126" s="1" t="s">
        <v>76</v>
      </c>
      <c r="R126" s="1" t="s">
        <v>46</v>
      </c>
      <c r="S126" s="70">
        <f>DATE(Table2[[#This Row],[Year]],MONTH(DATEVALUE("1-"&amp;Table2[[#This Row],[Month]]&amp;"-2000")),1)</f>
        <v>45017</v>
      </c>
      <c r="T126" s="16">
        <f t="shared" si="15"/>
        <v>1.5805768834558065</v>
      </c>
      <c r="U126" s="16">
        <f t="shared" si="16"/>
        <v>5.6999162898056829E-2</v>
      </c>
      <c r="V126" s="16">
        <f t="shared" si="17"/>
        <v>1848.9909523809522</v>
      </c>
      <c r="W126" s="16">
        <f t="shared" si="18"/>
        <v>1095.9419047619047</v>
      </c>
      <c r="X126" s="16">
        <f t="shared" si="19"/>
        <v>693.38095238095241</v>
      </c>
      <c r="Y126" s="16">
        <f t="shared" si="20"/>
        <v>19227.333333333332</v>
      </c>
      <c r="Z126" s="7" t="str" cm="1">
        <f t="array" ref="Z126">_xlfn.IFS(K126&lt;2%,"Low",K126&lt;5%,"Medium",K126&lt;10%,"Good",K126&gt;10%,"Excellent")</f>
        <v>Medium</v>
      </c>
      <c r="AA126" s="16" t="str">
        <f>Data_Validation!N124</f>
        <v>Pass</v>
      </c>
    </row>
    <row r="127" spans="1:27" x14ac:dyDescent="0.35">
      <c r="A127" s="17" t="s">
        <v>81</v>
      </c>
      <c r="B127" s="3" t="s">
        <v>48</v>
      </c>
      <c r="C127" s="3" t="s">
        <v>69</v>
      </c>
      <c r="D127" s="3" t="s">
        <v>63</v>
      </c>
      <c r="E127" s="3" t="s">
        <v>30</v>
      </c>
      <c r="F127" s="3">
        <v>2259.66</v>
      </c>
      <c r="G127" s="3">
        <v>297150</v>
      </c>
      <c r="H127" s="3">
        <v>31992</v>
      </c>
      <c r="I127" s="3">
        <v>112534.6</v>
      </c>
      <c r="J127" s="3">
        <v>28</v>
      </c>
      <c r="K127" s="15">
        <f t="shared" si="11"/>
        <v>0.10766279656739021</v>
      </c>
      <c r="L127" s="16">
        <f t="shared" si="21"/>
        <v>7.0632033008252063E-2</v>
      </c>
      <c r="M127" s="16">
        <f t="shared" si="12"/>
        <v>7.6044422009086308</v>
      </c>
      <c r="N127" s="16">
        <f t="shared" si="13"/>
        <v>49.801563067010086</v>
      </c>
      <c r="O127" s="16">
        <f t="shared" si="14"/>
        <v>48.801563067010086</v>
      </c>
      <c r="P127" s="1">
        <v>2023</v>
      </c>
      <c r="Q127" s="1" t="s">
        <v>76</v>
      </c>
      <c r="R127" s="1" t="s">
        <v>46</v>
      </c>
      <c r="S127" s="70">
        <f>DATE(Table2[[#This Row],[Year]],MONTH(DATEVALUE("1-"&amp;Table2[[#This Row],[Month]]&amp;"-2000")),1)</f>
        <v>45017</v>
      </c>
      <c r="T127" s="16">
        <f t="shared" si="15"/>
        <v>3.5175856464116029</v>
      </c>
      <c r="U127" s="16">
        <f t="shared" si="16"/>
        <v>0.37871310785798418</v>
      </c>
      <c r="V127" s="16">
        <f t="shared" si="17"/>
        <v>80.702142857142846</v>
      </c>
      <c r="W127" s="16">
        <f t="shared" si="18"/>
        <v>4019.0928571428572</v>
      </c>
      <c r="X127" s="16">
        <f t="shared" si="19"/>
        <v>1142.5714285714287</v>
      </c>
      <c r="Y127" s="16">
        <f t="shared" si="20"/>
        <v>10612.5</v>
      </c>
      <c r="Z127" s="7" t="str" cm="1">
        <f t="array" ref="Z127">_xlfn.IFS(K127&lt;2%,"Low",K127&lt;5%,"Medium",K127&lt;10%,"Good",K127&gt;10%,"Excellent")</f>
        <v>Excellent</v>
      </c>
      <c r="AA127" s="16" t="str">
        <f>Data_Validation!N125</f>
        <v>Pass</v>
      </c>
    </row>
    <row r="128" spans="1:27" x14ac:dyDescent="0.35">
      <c r="A128" s="17" t="s">
        <v>89</v>
      </c>
      <c r="B128" s="3" t="s">
        <v>35</v>
      </c>
      <c r="C128" s="3" t="s">
        <v>36</v>
      </c>
      <c r="D128" s="3" t="s">
        <v>63</v>
      </c>
      <c r="E128" s="3" t="s">
        <v>22</v>
      </c>
      <c r="F128" s="3">
        <v>29130.29</v>
      </c>
      <c r="G128" s="3">
        <v>699880</v>
      </c>
      <c r="H128" s="3">
        <v>32206</v>
      </c>
      <c r="I128" s="3">
        <v>133826.23000000001</v>
      </c>
      <c r="J128" s="3">
        <v>8</v>
      </c>
      <c r="K128" s="15">
        <f t="shared" si="11"/>
        <v>4.6016459964565354E-2</v>
      </c>
      <c r="L128" s="16">
        <f t="shared" si="21"/>
        <v>0.90449885114574924</v>
      </c>
      <c r="M128" s="16">
        <f t="shared" si="12"/>
        <v>41.621835171743726</v>
      </c>
      <c r="N128" s="16">
        <f t="shared" si="13"/>
        <v>4.5940575943459541</v>
      </c>
      <c r="O128" s="16">
        <f t="shared" si="14"/>
        <v>3.5940575943459541</v>
      </c>
      <c r="P128" s="1">
        <v>2023</v>
      </c>
      <c r="Q128" s="1" t="s">
        <v>76</v>
      </c>
      <c r="R128" s="1" t="s">
        <v>46</v>
      </c>
      <c r="S128" s="70">
        <f>DATE(Table2[[#This Row],[Year]],MONTH(DATEVALUE("1-"&amp;Table2[[#This Row],[Month]]&amp;"-2000")),1)</f>
        <v>45017</v>
      </c>
      <c r="T128" s="16">
        <f t="shared" si="15"/>
        <v>4.1553198161833205</v>
      </c>
      <c r="U128" s="16">
        <f t="shared" si="16"/>
        <v>0.19121310796136481</v>
      </c>
      <c r="V128" s="16">
        <f t="shared" si="17"/>
        <v>3641.2862500000001</v>
      </c>
      <c r="W128" s="16">
        <f t="shared" si="18"/>
        <v>16728.278750000001</v>
      </c>
      <c r="X128" s="16">
        <f t="shared" si="19"/>
        <v>4025.75</v>
      </c>
      <c r="Y128" s="16">
        <f t="shared" si="20"/>
        <v>87485</v>
      </c>
      <c r="Z128" s="7" t="str" cm="1">
        <f t="array" ref="Z128">_xlfn.IFS(K128&lt;2%,"Low",K128&lt;5%,"Medium",K128&lt;10%,"Good",K128&gt;10%,"Excellent")</f>
        <v>Medium</v>
      </c>
      <c r="AA128" s="16" t="str">
        <f>Data_Validation!N126</f>
        <v>Pass</v>
      </c>
    </row>
    <row r="129" spans="1:27" x14ac:dyDescent="0.35">
      <c r="A129" s="17" t="s">
        <v>27</v>
      </c>
      <c r="B129" s="3" t="s">
        <v>35</v>
      </c>
      <c r="C129" s="3" t="s">
        <v>58</v>
      </c>
      <c r="D129" s="3" t="s">
        <v>63</v>
      </c>
      <c r="E129" s="3" t="s">
        <v>38</v>
      </c>
      <c r="F129" s="3">
        <v>16540.009999999998</v>
      </c>
      <c r="G129" s="3">
        <v>524496</v>
      </c>
      <c r="H129" s="3">
        <v>48256</v>
      </c>
      <c r="I129" s="3">
        <v>90941.36</v>
      </c>
      <c r="J129" s="3">
        <v>25</v>
      </c>
      <c r="K129" s="15">
        <f t="shared" si="11"/>
        <v>9.2004514810408472E-2</v>
      </c>
      <c r="L129" s="16">
        <f t="shared" si="21"/>
        <v>0.34275551226790446</v>
      </c>
      <c r="M129" s="16">
        <f t="shared" si="12"/>
        <v>31.535054604801555</v>
      </c>
      <c r="N129" s="16">
        <f t="shared" si="13"/>
        <v>5.4982651159219378</v>
      </c>
      <c r="O129" s="16">
        <f t="shared" si="14"/>
        <v>4.4982651159219378</v>
      </c>
      <c r="P129" s="1">
        <v>2023</v>
      </c>
      <c r="Q129" s="1" t="s">
        <v>76</v>
      </c>
      <c r="R129" s="1" t="s">
        <v>46</v>
      </c>
      <c r="S129" s="70">
        <f>DATE(Table2[[#This Row],[Year]],MONTH(DATEVALUE("1-"&amp;Table2[[#This Row],[Month]]&amp;"-2000")),1)</f>
        <v>45017</v>
      </c>
      <c r="T129" s="16">
        <f t="shared" si="15"/>
        <v>1.8845606763925729</v>
      </c>
      <c r="U129" s="16">
        <f t="shared" si="16"/>
        <v>0.17338809066227387</v>
      </c>
      <c r="V129" s="16">
        <f t="shared" si="17"/>
        <v>661.60039999999992</v>
      </c>
      <c r="W129" s="16">
        <f t="shared" si="18"/>
        <v>3637.6543999999999</v>
      </c>
      <c r="X129" s="16">
        <f t="shared" si="19"/>
        <v>1930.24</v>
      </c>
      <c r="Y129" s="16">
        <f t="shared" si="20"/>
        <v>20979.84</v>
      </c>
      <c r="Z129" s="7" t="str" cm="1">
        <f t="array" ref="Z129">_xlfn.IFS(K129&lt;2%,"Low",K129&lt;5%,"Medium",K129&lt;10%,"Good",K129&gt;10%,"Excellent")</f>
        <v>Good</v>
      </c>
      <c r="AA129" s="16" t="str">
        <f>Data_Validation!N127</f>
        <v>Pass</v>
      </c>
    </row>
    <row r="130" spans="1:27" x14ac:dyDescent="0.35">
      <c r="A130" s="17" t="s">
        <v>18</v>
      </c>
      <c r="B130" s="3" t="s">
        <v>19</v>
      </c>
      <c r="C130" s="3" t="s">
        <v>29</v>
      </c>
      <c r="D130" s="3" t="s">
        <v>21</v>
      </c>
      <c r="E130" s="3" t="s">
        <v>30</v>
      </c>
      <c r="F130" s="3">
        <v>24494.21</v>
      </c>
      <c r="G130" s="3">
        <v>849756</v>
      </c>
      <c r="H130" s="3">
        <v>36182</v>
      </c>
      <c r="I130" s="3">
        <v>155436.21</v>
      </c>
      <c r="J130" s="3">
        <v>19</v>
      </c>
      <c r="K130" s="15">
        <f t="shared" si="11"/>
        <v>4.2579281582007071E-2</v>
      </c>
      <c r="L130" s="16">
        <f t="shared" si="21"/>
        <v>0.67697225139572159</v>
      </c>
      <c r="M130" s="16">
        <f t="shared" si="12"/>
        <v>28.824992115383711</v>
      </c>
      <c r="N130" s="16">
        <f t="shared" si="13"/>
        <v>6.3458347911608497</v>
      </c>
      <c r="O130" s="16">
        <f t="shared" si="14"/>
        <v>5.3458347911608497</v>
      </c>
      <c r="P130" s="1">
        <v>2023</v>
      </c>
      <c r="Q130" s="1" t="s">
        <v>76</v>
      </c>
      <c r="R130" s="1" t="s">
        <v>46</v>
      </c>
      <c r="S130" s="70">
        <f>DATE(Table2[[#This Row],[Year]],MONTH(DATEVALUE("1-"&amp;Table2[[#This Row],[Month]]&amp;"-2000")),1)</f>
        <v>45017</v>
      </c>
      <c r="T130" s="16">
        <f t="shared" si="15"/>
        <v>4.2959540655574591</v>
      </c>
      <c r="U130" s="16">
        <f t="shared" si="16"/>
        <v>0.18291863782073911</v>
      </c>
      <c r="V130" s="16">
        <f t="shared" si="17"/>
        <v>1289.168947368421</v>
      </c>
      <c r="W130" s="16">
        <f t="shared" si="18"/>
        <v>8180.8531578947368</v>
      </c>
      <c r="X130" s="16">
        <f t="shared" si="19"/>
        <v>1904.3157894736842</v>
      </c>
      <c r="Y130" s="16">
        <f t="shared" si="20"/>
        <v>44724</v>
      </c>
      <c r="Z130" s="7" t="str" cm="1">
        <f t="array" ref="Z130">_xlfn.IFS(K130&lt;2%,"Low",K130&lt;5%,"Medium",K130&lt;10%,"Good",K130&gt;10%,"Excellent")</f>
        <v>Medium</v>
      </c>
      <c r="AA130" s="16" t="str">
        <f>Data_Validation!N128</f>
        <v>Pass</v>
      </c>
    </row>
    <row r="131" spans="1:27" x14ac:dyDescent="0.35">
      <c r="A131" s="17" t="s">
        <v>70</v>
      </c>
      <c r="B131" s="3" t="s">
        <v>28</v>
      </c>
      <c r="C131" s="3" t="s">
        <v>58</v>
      </c>
      <c r="D131" s="3" t="s">
        <v>59</v>
      </c>
      <c r="E131" s="3" t="s">
        <v>30</v>
      </c>
      <c r="F131" s="3">
        <v>1908.28</v>
      </c>
      <c r="G131" s="3">
        <v>747449</v>
      </c>
      <c r="H131" s="3">
        <v>3290</v>
      </c>
      <c r="I131" s="3">
        <v>64959.87</v>
      </c>
      <c r="J131" s="3">
        <v>44</v>
      </c>
      <c r="K131" s="15">
        <f t="shared" si="11"/>
        <v>4.4016381050747278E-3</v>
      </c>
      <c r="L131" s="16">
        <f t="shared" si="21"/>
        <v>0.58002431610942251</v>
      </c>
      <c r="M131" s="16">
        <f t="shared" si="12"/>
        <v>2.5530571316571433</v>
      </c>
      <c r="N131" s="16">
        <f t="shared" si="13"/>
        <v>34.041057916029096</v>
      </c>
      <c r="O131" s="16">
        <f t="shared" si="14"/>
        <v>33.041057916029096</v>
      </c>
      <c r="P131" s="1">
        <v>2023</v>
      </c>
      <c r="Q131" s="1" t="s">
        <v>76</v>
      </c>
      <c r="R131" s="1" t="s">
        <v>46</v>
      </c>
      <c r="S131" s="70">
        <f>DATE(Table2[[#This Row],[Year]],MONTH(DATEVALUE("1-"&amp;Table2[[#This Row],[Month]]&amp;"-2000")),1)</f>
        <v>45017</v>
      </c>
      <c r="T131" s="16">
        <f t="shared" si="15"/>
        <v>19.744641337386017</v>
      </c>
      <c r="U131" s="16">
        <f t="shared" si="16"/>
        <v>8.6908765681671926E-2</v>
      </c>
      <c r="V131" s="16">
        <f t="shared" si="17"/>
        <v>43.37</v>
      </c>
      <c r="W131" s="16">
        <f t="shared" si="18"/>
        <v>1476.3606818181818</v>
      </c>
      <c r="X131" s="16">
        <f t="shared" si="19"/>
        <v>74.772727272727266</v>
      </c>
      <c r="Y131" s="16">
        <f t="shared" si="20"/>
        <v>16987.477272727272</v>
      </c>
      <c r="Z131" s="7" t="str" cm="1">
        <f t="array" ref="Z131">_xlfn.IFS(K131&lt;2%,"Low",K131&lt;5%,"Medium",K131&lt;10%,"Good",K131&gt;10%,"Excellent")</f>
        <v>Low</v>
      </c>
      <c r="AA131" s="16" t="str">
        <f>Data_Validation!N129</f>
        <v>Pass</v>
      </c>
    </row>
    <row r="132" spans="1:27" x14ac:dyDescent="0.35">
      <c r="A132" s="17" t="s">
        <v>100</v>
      </c>
      <c r="B132" s="3" t="s">
        <v>35</v>
      </c>
      <c r="C132" s="3" t="s">
        <v>69</v>
      </c>
      <c r="D132" s="3" t="s">
        <v>21</v>
      </c>
      <c r="E132" s="3" t="s">
        <v>30</v>
      </c>
      <c r="F132" s="3">
        <v>1813.65</v>
      </c>
      <c r="G132" s="3">
        <v>576795</v>
      </c>
      <c r="H132" s="3">
        <v>21787</v>
      </c>
      <c r="I132" s="3">
        <v>10522.91</v>
      </c>
      <c r="J132" s="3">
        <v>13</v>
      </c>
      <c r="K132" s="15">
        <f t="shared" si="11"/>
        <v>3.7772518832514153E-2</v>
      </c>
      <c r="L132" s="16">
        <f t="shared" si="21"/>
        <v>8.3244595400927157E-2</v>
      </c>
      <c r="M132" s="16">
        <f t="shared" si="12"/>
        <v>3.1443580474865422</v>
      </c>
      <c r="N132" s="16">
        <f t="shared" si="13"/>
        <v>5.8020621398836596</v>
      </c>
      <c r="O132" s="16">
        <f t="shared" si="14"/>
        <v>4.8020621398836596</v>
      </c>
      <c r="P132" s="1">
        <v>2023</v>
      </c>
      <c r="Q132" s="1" t="s">
        <v>76</v>
      </c>
      <c r="R132" s="1" t="s">
        <v>46</v>
      </c>
      <c r="S132" s="70">
        <f>DATE(Table2[[#This Row],[Year]],MONTH(DATEVALUE("1-"&amp;Table2[[#This Row],[Month]]&amp;"-2000")),1)</f>
        <v>45017</v>
      </c>
      <c r="T132" s="16">
        <f t="shared" si="15"/>
        <v>0.4829903153256529</v>
      </c>
      <c r="U132" s="16">
        <f t="shared" si="16"/>
        <v>1.8243760781560172E-2</v>
      </c>
      <c r="V132" s="16">
        <f t="shared" si="17"/>
        <v>139.51153846153846</v>
      </c>
      <c r="W132" s="16">
        <f t="shared" si="18"/>
        <v>809.45461538461541</v>
      </c>
      <c r="X132" s="16">
        <f t="shared" si="19"/>
        <v>1675.9230769230769</v>
      </c>
      <c r="Y132" s="16">
        <f t="shared" si="20"/>
        <v>44368.846153846156</v>
      </c>
      <c r="Z132" s="7" t="str" cm="1">
        <f t="array" ref="Z132">_xlfn.IFS(K132&lt;2%,"Low",K132&lt;5%,"Medium",K132&lt;10%,"Good",K132&gt;10%,"Excellent")</f>
        <v>Medium</v>
      </c>
      <c r="AA132" s="16" t="str">
        <f>Data_Validation!N130</f>
        <v>Pass</v>
      </c>
    </row>
    <row r="133" spans="1:27" x14ac:dyDescent="0.35">
      <c r="A133" s="17" t="s">
        <v>68</v>
      </c>
      <c r="B133" s="3" t="s">
        <v>28</v>
      </c>
      <c r="C133" s="3" t="s">
        <v>29</v>
      </c>
      <c r="D133" s="3" t="s">
        <v>63</v>
      </c>
      <c r="E133" s="3" t="s">
        <v>30</v>
      </c>
      <c r="F133" s="3">
        <v>22404.83</v>
      </c>
      <c r="G133" s="3">
        <v>11269</v>
      </c>
      <c r="H133" s="3">
        <v>14800</v>
      </c>
      <c r="I133" s="3">
        <v>10880.21</v>
      </c>
      <c r="J133" s="3">
        <v>38</v>
      </c>
      <c r="K133" s="15">
        <f t="shared" si="11"/>
        <v>1.3133374744875321</v>
      </c>
      <c r="L133" s="16">
        <f t="shared" si="21"/>
        <v>1.513839864864865</v>
      </c>
      <c r="M133" s="16">
        <f t="shared" si="12"/>
        <v>1988.1826249001688</v>
      </c>
      <c r="N133" s="16">
        <f t="shared" si="13"/>
        <v>0.48561894912837983</v>
      </c>
      <c r="O133" s="16">
        <f t="shared" si="14"/>
        <v>-0.51438105087162012</v>
      </c>
      <c r="P133" s="1">
        <v>2023</v>
      </c>
      <c r="Q133" s="1" t="s">
        <v>76</v>
      </c>
      <c r="R133" s="1" t="s">
        <v>46</v>
      </c>
      <c r="S133" s="70">
        <f>DATE(Table2[[#This Row],[Year]],MONTH(DATEVALUE("1-"&amp;Table2[[#This Row],[Month]]&amp;"-2000")),1)</f>
        <v>45017</v>
      </c>
      <c r="T133" s="16">
        <f t="shared" si="15"/>
        <v>0.73514932432432423</v>
      </c>
      <c r="U133" s="16">
        <f t="shared" si="16"/>
        <v>0.96549915697932376</v>
      </c>
      <c r="V133" s="16">
        <f t="shared" si="17"/>
        <v>589.60078947368424</v>
      </c>
      <c r="W133" s="16">
        <f t="shared" si="18"/>
        <v>286.32131578947366</v>
      </c>
      <c r="X133" s="16">
        <f t="shared" si="19"/>
        <v>389.4736842105263</v>
      </c>
      <c r="Y133" s="16">
        <f t="shared" si="20"/>
        <v>296.55263157894734</v>
      </c>
      <c r="Z133" s="7" t="str" cm="1">
        <f t="array" ref="Z133">_xlfn.IFS(K133&lt;2%,"Low",K133&lt;5%,"Medium",K133&lt;10%,"Good",K133&gt;10%,"Excellent")</f>
        <v>Excellent</v>
      </c>
      <c r="AA133" s="16" t="str">
        <f>Data_Validation!N131</f>
        <v>Fail</v>
      </c>
    </row>
    <row r="134" spans="1:27" x14ac:dyDescent="0.35">
      <c r="A134" s="17" t="s">
        <v>107</v>
      </c>
      <c r="B134" s="3" t="s">
        <v>28</v>
      </c>
      <c r="C134" s="3" t="s">
        <v>69</v>
      </c>
      <c r="D134" s="3" t="s">
        <v>43</v>
      </c>
      <c r="E134" s="3" t="s">
        <v>22</v>
      </c>
      <c r="F134" s="3">
        <v>26677.919999999998</v>
      </c>
      <c r="G134" s="3">
        <v>606580</v>
      </c>
      <c r="H134" s="3">
        <v>44559</v>
      </c>
      <c r="I134" s="3">
        <v>112349.89</v>
      </c>
      <c r="J134" s="3">
        <v>32</v>
      </c>
      <c r="K134" s="15">
        <f t="shared" si="11"/>
        <v>7.3459395298229424E-2</v>
      </c>
      <c r="L134" s="16">
        <f t="shared" si="21"/>
        <v>0.59871002491079239</v>
      </c>
      <c r="M134" s="16">
        <f t="shared" si="12"/>
        <v>43.980876388934675</v>
      </c>
      <c r="N134" s="16">
        <f t="shared" si="13"/>
        <v>4.2113436879636792</v>
      </c>
      <c r="O134" s="16">
        <f t="shared" si="14"/>
        <v>3.2113436879636796</v>
      </c>
      <c r="P134" s="1">
        <v>2023</v>
      </c>
      <c r="Q134" s="1" t="s">
        <v>76</v>
      </c>
      <c r="R134" s="1" t="s">
        <v>46</v>
      </c>
      <c r="S134" s="70">
        <f>DATE(Table2[[#This Row],[Year]],MONTH(DATEVALUE("1-"&amp;Table2[[#This Row],[Month]]&amp;"-2000")),1)</f>
        <v>45017</v>
      </c>
      <c r="T134" s="16">
        <f t="shared" si="15"/>
        <v>2.5213736843286427</v>
      </c>
      <c r="U134" s="16">
        <f t="shared" si="16"/>
        <v>0.18521858617165091</v>
      </c>
      <c r="V134" s="16">
        <f t="shared" si="17"/>
        <v>833.68499999999995</v>
      </c>
      <c r="W134" s="16">
        <f t="shared" si="18"/>
        <v>3510.9340625</v>
      </c>
      <c r="X134" s="16">
        <f t="shared" si="19"/>
        <v>1392.46875</v>
      </c>
      <c r="Y134" s="16">
        <f t="shared" si="20"/>
        <v>18955.625</v>
      </c>
      <c r="Z134" s="7" t="str" cm="1">
        <f t="array" ref="Z134">_xlfn.IFS(K134&lt;2%,"Low",K134&lt;5%,"Medium",K134&lt;10%,"Good",K134&gt;10%,"Excellent")</f>
        <v>Good</v>
      </c>
      <c r="AA134" s="16" t="str">
        <f>Data_Validation!N132</f>
        <v>Pass</v>
      </c>
    </row>
    <row r="135" spans="1:27" x14ac:dyDescent="0.35">
      <c r="A135" s="17" t="s">
        <v>81</v>
      </c>
      <c r="B135" s="3" t="s">
        <v>28</v>
      </c>
      <c r="C135" s="3" t="s">
        <v>69</v>
      </c>
      <c r="D135" s="3" t="s">
        <v>21</v>
      </c>
      <c r="E135" s="3" t="s">
        <v>30</v>
      </c>
      <c r="F135" s="3">
        <v>37041.82</v>
      </c>
      <c r="G135" s="3">
        <v>919613</v>
      </c>
      <c r="H135" s="3">
        <v>35203</v>
      </c>
      <c r="I135" s="3">
        <v>220633.27</v>
      </c>
      <c r="J135" s="3">
        <v>42</v>
      </c>
      <c r="K135" s="15">
        <f t="shared" si="11"/>
        <v>3.8280233098053201E-2</v>
      </c>
      <c r="L135" s="16">
        <f t="shared" si="21"/>
        <v>1.0522347527199387</v>
      </c>
      <c r="M135" s="16">
        <f t="shared" si="12"/>
        <v>40.279791607991626</v>
      </c>
      <c r="N135" s="16">
        <f t="shared" si="13"/>
        <v>5.9563290896613612</v>
      </c>
      <c r="O135" s="16">
        <f t="shared" si="14"/>
        <v>4.9563290896613603</v>
      </c>
      <c r="P135" s="1">
        <v>2023</v>
      </c>
      <c r="Q135" s="1" t="s">
        <v>76</v>
      </c>
      <c r="R135" s="1" t="s">
        <v>46</v>
      </c>
      <c r="S135" s="70">
        <f>DATE(Table2[[#This Row],[Year]],MONTH(DATEVALUE("1-"&amp;Table2[[#This Row],[Month]]&amp;"-2000")),1)</f>
        <v>45017</v>
      </c>
      <c r="T135" s="16">
        <f t="shared" si="15"/>
        <v>6.2674564667783992</v>
      </c>
      <c r="U135" s="16">
        <f t="shared" si="16"/>
        <v>0.23991969448017805</v>
      </c>
      <c r="V135" s="16">
        <f t="shared" si="17"/>
        <v>881.94809523809522</v>
      </c>
      <c r="W135" s="16">
        <f t="shared" si="18"/>
        <v>5253.1730952380949</v>
      </c>
      <c r="X135" s="16">
        <f t="shared" si="19"/>
        <v>838.16666666666663</v>
      </c>
      <c r="Y135" s="16">
        <f t="shared" si="20"/>
        <v>21895.547619047618</v>
      </c>
      <c r="Z135" s="7" t="str" cm="1">
        <f t="array" ref="Z135">_xlfn.IFS(K135&lt;2%,"Low",K135&lt;5%,"Medium",K135&lt;10%,"Good",K135&gt;10%,"Excellent")</f>
        <v>Medium</v>
      </c>
      <c r="AA135" s="16" t="str">
        <f>Data_Validation!N133</f>
        <v>Pass</v>
      </c>
    </row>
    <row r="136" spans="1:27" x14ac:dyDescent="0.35">
      <c r="A136" s="17" t="s">
        <v>97</v>
      </c>
      <c r="B136" s="3" t="s">
        <v>48</v>
      </c>
      <c r="C136" s="3" t="s">
        <v>58</v>
      </c>
      <c r="D136" s="3" t="s">
        <v>51</v>
      </c>
      <c r="E136" s="3" t="s">
        <v>38</v>
      </c>
      <c r="F136" s="3">
        <v>1485.48</v>
      </c>
      <c r="G136" s="3">
        <v>341272</v>
      </c>
      <c r="H136" s="3">
        <v>9583</v>
      </c>
      <c r="I136" s="3">
        <v>204956.25</v>
      </c>
      <c r="J136" s="3">
        <v>31</v>
      </c>
      <c r="K136" s="15">
        <f t="shared" si="11"/>
        <v>2.8080240980801238E-2</v>
      </c>
      <c r="L136" s="16">
        <f t="shared" si="21"/>
        <v>0.15501200041740582</v>
      </c>
      <c r="M136" s="16">
        <f t="shared" si="12"/>
        <v>4.3527743266368173</v>
      </c>
      <c r="N136" s="16">
        <f t="shared" si="13"/>
        <v>137.97307940867597</v>
      </c>
      <c r="O136" s="16">
        <f t="shared" si="14"/>
        <v>136.97307940867597</v>
      </c>
      <c r="P136" s="1">
        <v>2023</v>
      </c>
      <c r="Q136" s="1" t="s">
        <v>76</v>
      </c>
      <c r="R136" s="1" t="s">
        <v>46</v>
      </c>
      <c r="S136" s="70">
        <f>DATE(Table2[[#This Row],[Year]],MONTH(DATEVALUE("1-"&amp;Table2[[#This Row],[Month]]&amp;"-2000")),1)</f>
        <v>45017</v>
      </c>
      <c r="T136" s="16">
        <f t="shared" si="15"/>
        <v>21.387483042888448</v>
      </c>
      <c r="U136" s="16">
        <f t="shared" si="16"/>
        <v>0.60056567781710779</v>
      </c>
      <c r="V136" s="16">
        <f t="shared" si="17"/>
        <v>47.918709677419358</v>
      </c>
      <c r="W136" s="16">
        <f t="shared" si="18"/>
        <v>6611.4919354838712</v>
      </c>
      <c r="X136" s="16">
        <f t="shared" si="19"/>
        <v>309.12903225806451</v>
      </c>
      <c r="Y136" s="16">
        <f t="shared" si="20"/>
        <v>11008.774193548386</v>
      </c>
      <c r="Z136" s="7" t="str" cm="1">
        <f t="array" ref="Z136">_xlfn.IFS(K136&lt;2%,"Low",K136&lt;5%,"Medium",K136&lt;10%,"Good",K136&gt;10%,"Excellent")</f>
        <v>Medium</v>
      </c>
      <c r="AA136" s="16" t="str">
        <f>Data_Validation!N134</f>
        <v>Pass</v>
      </c>
    </row>
    <row r="137" spans="1:27" x14ac:dyDescent="0.35">
      <c r="A137" s="17" t="s">
        <v>106</v>
      </c>
      <c r="B137" s="3" t="s">
        <v>35</v>
      </c>
      <c r="C137" s="3" t="s">
        <v>69</v>
      </c>
      <c r="D137" s="3" t="s">
        <v>21</v>
      </c>
      <c r="E137" s="3" t="s">
        <v>38</v>
      </c>
      <c r="F137" s="3">
        <v>1375.92</v>
      </c>
      <c r="G137" s="3">
        <v>631686</v>
      </c>
      <c r="H137" s="3">
        <v>12788</v>
      </c>
      <c r="I137" s="3">
        <v>226570.65</v>
      </c>
      <c r="J137" s="3">
        <v>12</v>
      </c>
      <c r="K137" s="15">
        <f t="shared" ref="K137:K200" si="22">H137/G137</f>
        <v>2.0244235268788605E-2</v>
      </c>
      <c r="L137" s="16">
        <f t="shared" si="21"/>
        <v>0.10759461995620895</v>
      </c>
      <c r="M137" s="16">
        <f t="shared" ref="M137:M200" si="23">F137/G137*1000</f>
        <v>2.1781708000493918</v>
      </c>
      <c r="N137" s="16">
        <f t="shared" ref="N137:N200" si="24">I137/F137</f>
        <v>164.66847636490493</v>
      </c>
      <c r="O137" s="16">
        <f t="shared" ref="O137:O200" si="25">(I137-F137)/F137</f>
        <v>163.6684763649049</v>
      </c>
      <c r="P137" s="1">
        <v>2023</v>
      </c>
      <c r="Q137" s="1" t="s">
        <v>76</v>
      </c>
      <c r="R137" s="1" t="s">
        <v>46</v>
      </c>
      <c r="S137" s="70">
        <f>DATE(Table2[[#This Row],[Year]],MONTH(DATEVALUE("1-"&amp;Table2[[#This Row],[Month]]&amp;"-2000")),1)</f>
        <v>45017</v>
      </c>
      <c r="T137" s="16">
        <f t="shared" ref="T137:T200" si="26">I137/H137</f>
        <v>17.717442133249921</v>
      </c>
      <c r="U137" s="16">
        <f t="shared" ref="U137:U200" si="27">I137/G137</f>
        <v>0.35867606690665932</v>
      </c>
      <c r="V137" s="16">
        <f t="shared" ref="V137:V200" si="28">F137/J137</f>
        <v>114.66000000000001</v>
      </c>
      <c r="W137" s="16">
        <f t="shared" ref="W137:W200" si="29">I137/J137</f>
        <v>18880.887500000001</v>
      </c>
      <c r="X137" s="16">
        <f t="shared" ref="X137:X200" si="30">H137/J137</f>
        <v>1065.6666666666667</v>
      </c>
      <c r="Y137" s="16">
        <f t="shared" ref="Y137:Y200" si="31">G137/J137</f>
        <v>52640.5</v>
      </c>
      <c r="Z137" s="7" t="str" cm="1">
        <f t="array" ref="Z137">_xlfn.IFS(K137&lt;2%,"Low",K137&lt;5%,"Medium",K137&lt;10%,"Good",K137&gt;10%,"Excellent")</f>
        <v>Medium</v>
      </c>
      <c r="AA137" s="16" t="str">
        <f>Data_Validation!N135</f>
        <v>Pass</v>
      </c>
    </row>
    <row r="138" spans="1:27" x14ac:dyDescent="0.35">
      <c r="A138" s="17" t="s">
        <v>116</v>
      </c>
      <c r="B138" s="3" t="s">
        <v>28</v>
      </c>
      <c r="C138" s="3" t="s">
        <v>69</v>
      </c>
      <c r="D138" s="3" t="s">
        <v>37</v>
      </c>
      <c r="E138" s="3" t="s">
        <v>22</v>
      </c>
      <c r="F138" s="3">
        <v>27869.5</v>
      </c>
      <c r="G138" s="3">
        <v>863779</v>
      </c>
      <c r="H138" s="3">
        <v>9452</v>
      </c>
      <c r="I138" s="3">
        <v>70910.23</v>
      </c>
      <c r="J138" s="3">
        <v>46</v>
      </c>
      <c r="K138" s="15">
        <f t="shared" si="22"/>
        <v>1.0942613793574514E-2</v>
      </c>
      <c r="L138" s="16">
        <f t="shared" ref="L138:L201" si="32">F138/H138</f>
        <v>2.9485294117647061</v>
      </c>
      <c r="M138" s="16">
        <f t="shared" si="23"/>
        <v>32.264618611936619</v>
      </c>
      <c r="N138" s="16">
        <f t="shared" si="24"/>
        <v>2.5443667808895025</v>
      </c>
      <c r="O138" s="16">
        <f t="shared" si="25"/>
        <v>1.5443667808895027</v>
      </c>
      <c r="P138" s="1">
        <v>2023</v>
      </c>
      <c r="Q138" s="1" t="s">
        <v>76</v>
      </c>
      <c r="R138" s="1" t="s">
        <v>46</v>
      </c>
      <c r="S138" s="70">
        <f>DATE(Table2[[#This Row],[Year]],MONTH(DATEVALUE("1-"&amp;Table2[[#This Row],[Month]]&amp;"-2000")),1)</f>
        <v>45017</v>
      </c>
      <c r="T138" s="16">
        <f t="shared" si="26"/>
        <v>7.5021402877697838</v>
      </c>
      <c r="U138" s="16">
        <f t="shared" si="27"/>
        <v>8.2093023794280712E-2</v>
      </c>
      <c r="V138" s="16">
        <f t="shared" si="28"/>
        <v>605.85869565217388</v>
      </c>
      <c r="W138" s="16">
        <f t="shared" si="29"/>
        <v>1541.5267391304346</v>
      </c>
      <c r="X138" s="16">
        <f t="shared" si="30"/>
        <v>205.47826086956522</v>
      </c>
      <c r="Y138" s="16">
        <f t="shared" si="31"/>
        <v>18777.804347826088</v>
      </c>
      <c r="Z138" s="7" t="str" cm="1">
        <f t="array" ref="Z138">_xlfn.IFS(K138&lt;2%,"Low",K138&lt;5%,"Medium",K138&lt;10%,"Good",K138&gt;10%,"Excellent")</f>
        <v>Low</v>
      </c>
      <c r="AA138" s="16" t="str">
        <f>Data_Validation!N136</f>
        <v>Pass</v>
      </c>
    </row>
    <row r="139" spans="1:27" x14ac:dyDescent="0.35">
      <c r="A139" s="17" t="s">
        <v>77</v>
      </c>
      <c r="B139" s="3" t="s">
        <v>19</v>
      </c>
      <c r="C139" s="3" t="s">
        <v>58</v>
      </c>
      <c r="D139" s="3" t="s">
        <v>43</v>
      </c>
      <c r="E139" s="3" t="s">
        <v>22</v>
      </c>
      <c r="F139" s="3">
        <v>19551.5</v>
      </c>
      <c r="G139" s="3">
        <v>338914</v>
      </c>
      <c r="H139" s="3">
        <v>28699</v>
      </c>
      <c r="I139" s="3">
        <v>153521.17000000001</v>
      </c>
      <c r="J139" s="3">
        <v>44</v>
      </c>
      <c r="K139" s="15">
        <f t="shared" si="22"/>
        <v>8.4679299173241587E-2</v>
      </c>
      <c r="L139" s="16">
        <f t="shared" si="32"/>
        <v>0.68126067110352273</v>
      </c>
      <c r="M139" s="16">
        <f t="shared" si="23"/>
        <v>57.688676183338544</v>
      </c>
      <c r="N139" s="16">
        <f t="shared" si="24"/>
        <v>7.8521428023425317</v>
      </c>
      <c r="O139" s="16">
        <f t="shared" si="25"/>
        <v>6.8521428023425317</v>
      </c>
      <c r="P139" s="1">
        <v>2023</v>
      </c>
      <c r="Q139" s="1" t="s">
        <v>76</v>
      </c>
      <c r="R139" s="1" t="s">
        <v>46</v>
      </c>
      <c r="S139" s="70">
        <f>DATE(Table2[[#This Row],[Year]],MONTH(DATEVALUE("1-"&amp;Table2[[#This Row],[Month]]&amp;"-2000")),1)</f>
        <v>45017</v>
      </c>
      <c r="T139" s="16">
        <f t="shared" si="26"/>
        <v>5.349356075124569</v>
      </c>
      <c r="U139" s="16">
        <f t="shared" si="27"/>
        <v>0.4529797234696708</v>
      </c>
      <c r="V139" s="16">
        <f t="shared" si="28"/>
        <v>444.35227272727275</v>
      </c>
      <c r="W139" s="16">
        <f t="shared" si="29"/>
        <v>3489.1175000000003</v>
      </c>
      <c r="X139" s="16">
        <f t="shared" si="30"/>
        <v>652.25</v>
      </c>
      <c r="Y139" s="16">
        <f t="shared" si="31"/>
        <v>7702.590909090909</v>
      </c>
      <c r="Z139" s="7" t="str" cm="1">
        <f t="array" ref="Z139">_xlfn.IFS(K139&lt;2%,"Low",K139&lt;5%,"Medium",K139&lt;10%,"Good",K139&gt;10%,"Excellent")</f>
        <v>Good</v>
      </c>
      <c r="AA139" s="16" t="str">
        <f>Data_Validation!N137</f>
        <v>Pass</v>
      </c>
    </row>
    <row r="140" spans="1:27" x14ac:dyDescent="0.35">
      <c r="A140" s="17" t="s">
        <v>94</v>
      </c>
      <c r="B140" s="3" t="s">
        <v>48</v>
      </c>
      <c r="C140" s="3" t="s">
        <v>36</v>
      </c>
      <c r="D140" s="3" t="s">
        <v>51</v>
      </c>
      <c r="E140" s="3" t="s">
        <v>30</v>
      </c>
      <c r="F140" s="3">
        <v>15820.39</v>
      </c>
      <c r="G140" s="3">
        <v>948206</v>
      </c>
      <c r="H140" s="3">
        <v>20065</v>
      </c>
      <c r="I140" s="3">
        <v>27844.17</v>
      </c>
      <c r="J140" s="3">
        <v>27</v>
      </c>
      <c r="K140" s="15">
        <f t="shared" si="22"/>
        <v>2.1161013535033527E-2</v>
      </c>
      <c r="L140" s="16">
        <f t="shared" si="32"/>
        <v>0.78845701470221774</v>
      </c>
      <c r="M140" s="16">
        <f t="shared" si="23"/>
        <v>16.684549559905758</v>
      </c>
      <c r="N140" s="16">
        <f t="shared" si="24"/>
        <v>1.7600179262331712</v>
      </c>
      <c r="O140" s="16">
        <f t="shared" si="25"/>
        <v>0.76001792623317121</v>
      </c>
      <c r="P140" s="1">
        <v>2023</v>
      </c>
      <c r="Q140" s="1" t="s">
        <v>76</v>
      </c>
      <c r="R140" s="1" t="s">
        <v>46</v>
      </c>
      <c r="S140" s="70">
        <f>DATE(Table2[[#This Row],[Year]],MONTH(DATEVALUE("1-"&amp;Table2[[#This Row],[Month]]&amp;"-2000")),1)</f>
        <v>45017</v>
      </c>
      <c r="T140" s="16">
        <f t="shared" si="26"/>
        <v>1.3876984799401944</v>
      </c>
      <c r="U140" s="16">
        <f t="shared" si="27"/>
        <v>2.9365106316559902E-2</v>
      </c>
      <c r="V140" s="16">
        <f t="shared" si="28"/>
        <v>585.94037037037037</v>
      </c>
      <c r="W140" s="16">
        <f t="shared" si="29"/>
        <v>1031.2655555555555</v>
      </c>
      <c r="X140" s="16">
        <f t="shared" si="30"/>
        <v>743.14814814814815</v>
      </c>
      <c r="Y140" s="16">
        <f t="shared" si="31"/>
        <v>35118.740740740737</v>
      </c>
      <c r="Z140" s="7" t="str" cm="1">
        <f t="array" ref="Z140">_xlfn.IFS(K140&lt;2%,"Low",K140&lt;5%,"Medium",K140&lt;10%,"Good",K140&gt;10%,"Excellent")</f>
        <v>Medium</v>
      </c>
      <c r="AA140" s="16" t="str">
        <f>Data_Validation!N138</f>
        <v>Pass</v>
      </c>
    </row>
    <row r="141" spans="1:27" x14ac:dyDescent="0.35">
      <c r="A141" s="17" t="s">
        <v>119</v>
      </c>
      <c r="B141" s="3" t="s">
        <v>35</v>
      </c>
      <c r="C141" s="3" t="s">
        <v>36</v>
      </c>
      <c r="D141" s="3" t="s">
        <v>37</v>
      </c>
      <c r="E141" s="3" t="s">
        <v>22</v>
      </c>
      <c r="F141" s="3">
        <v>14383.28</v>
      </c>
      <c r="G141" s="3">
        <v>653790</v>
      </c>
      <c r="H141" s="3">
        <v>42261</v>
      </c>
      <c r="I141" s="3">
        <v>31031.18</v>
      </c>
      <c r="J141" s="3">
        <v>15</v>
      </c>
      <c r="K141" s="15">
        <f t="shared" si="22"/>
        <v>6.4640022025421004E-2</v>
      </c>
      <c r="L141" s="16">
        <f t="shared" si="32"/>
        <v>0.34034405243605215</v>
      </c>
      <c r="M141" s="16">
        <f t="shared" si="23"/>
        <v>21.999847045687453</v>
      </c>
      <c r="N141" s="16">
        <f t="shared" si="24"/>
        <v>2.1574480925074111</v>
      </c>
      <c r="O141" s="16">
        <f t="shared" si="25"/>
        <v>1.1574480925074115</v>
      </c>
      <c r="P141" s="1">
        <v>2023</v>
      </c>
      <c r="Q141" s="1" t="s">
        <v>76</v>
      </c>
      <c r="R141" s="1" t="s">
        <v>46</v>
      </c>
      <c r="S141" s="70">
        <f>DATE(Table2[[#This Row],[Year]],MONTH(DATEVALUE("1-"&amp;Table2[[#This Row],[Month]]&amp;"-2000")),1)</f>
        <v>45017</v>
      </c>
      <c r="T141" s="16">
        <f t="shared" si="26"/>
        <v>0.73427462672440313</v>
      </c>
      <c r="U141" s="16">
        <f t="shared" si="27"/>
        <v>4.7463528044173205E-2</v>
      </c>
      <c r="V141" s="16">
        <f t="shared" si="28"/>
        <v>958.88533333333339</v>
      </c>
      <c r="W141" s="16">
        <f t="shared" si="29"/>
        <v>2068.7453333333333</v>
      </c>
      <c r="X141" s="16">
        <f t="shared" si="30"/>
        <v>2817.4</v>
      </c>
      <c r="Y141" s="16">
        <f t="shared" si="31"/>
        <v>43586</v>
      </c>
      <c r="Z141" s="7" t="str" cm="1">
        <f t="array" ref="Z141">_xlfn.IFS(K141&lt;2%,"Low",K141&lt;5%,"Medium",K141&lt;10%,"Good",K141&gt;10%,"Excellent")</f>
        <v>Good</v>
      </c>
      <c r="AA141" s="16" t="str">
        <f>Data_Validation!N139</f>
        <v>Pass</v>
      </c>
    </row>
    <row r="142" spans="1:27" x14ac:dyDescent="0.35">
      <c r="A142" s="17" t="s">
        <v>79</v>
      </c>
      <c r="B142" s="3" t="s">
        <v>35</v>
      </c>
      <c r="C142" s="3" t="s">
        <v>69</v>
      </c>
      <c r="D142" s="3" t="s">
        <v>63</v>
      </c>
      <c r="E142" s="3" t="s">
        <v>38</v>
      </c>
      <c r="F142" s="3">
        <v>6776.3</v>
      </c>
      <c r="G142" s="3">
        <v>558171</v>
      </c>
      <c r="H142" s="3">
        <v>10146</v>
      </c>
      <c r="I142" s="3">
        <v>33846.839999999997</v>
      </c>
      <c r="J142" s="3">
        <v>13</v>
      </c>
      <c r="K142" s="15">
        <f t="shared" si="22"/>
        <v>1.8177225258926028E-2</v>
      </c>
      <c r="L142" s="16">
        <f t="shared" si="32"/>
        <v>0.66787896708062289</v>
      </c>
      <c r="M142" s="16">
        <f t="shared" si="23"/>
        <v>12.140186430323325</v>
      </c>
      <c r="N142" s="16">
        <f t="shared" si="24"/>
        <v>4.9948851142954114</v>
      </c>
      <c r="O142" s="16">
        <f t="shared" si="25"/>
        <v>3.9948851142954114</v>
      </c>
      <c r="P142" s="1">
        <v>2023</v>
      </c>
      <c r="Q142" s="1" t="s">
        <v>76</v>
      </c>
      <c r="R142" s="1" t="s">
        <v>46</v>
      </c>
      <c r="S142" s="70">
        <f>DATE(Table2[[#This Row],[Year]],MONTH(DATEVALUE("1-"&amp;Table2[[#This Row],[Month]]&amp;"-2000")),1)</f>
        <v>45017</v>
      </c>
      <c r="T142" s="16">
        <f t="shared" si="26"/>
        <v>3.3359787108219985</v>
      </c>
      <c r="U142" s="16">
        <f t="shared" si="27"/>
        <v>6.0638836485593116E-2</v>
      </c>
      <c r="V142" s="16">
        <f t="shared" si="28"/>
        <v>521.25384615384621</v>
      </c>
      <c r="W142" s="16">
        <f t="shared" si="29"/>
        <v>2603.6030769230765</v>
      </c>
      <c r="X142" s="16">
        <f t="shared" si="30"/>
        <v>780.46153846153845</v>
      </c>
      <c r="Y142" s="16">
        <f t="shared" si="31"/>
        <v>42936.230769230766</v>
      </c>
      <c r="Z142" s="7" t="str" cm="1">
        <f t="array" ref="Z142">_xlfn.IFS(K142&lt;2%,"Low",K142&lt;5%,"Medium",K142&lt;10%,"Good",K142&gt;10%,"Excellent")</f>
        <v>Low</v>
      </c>
      <c r="AA142" s="16" t="str">
        <f>Data_Validation!N140</f>
        <v>Pass</v>
      </c>
    </row>
    <row r="143" spans="1:27" x14ac:dyDescent="0.35">
      <c r="A143" s="17" t="s">
        <v>115</v>
      </c>
      <c r="B143" s="3" t="s">
        <v>19</v>
      </c>
      <c r="C143" s="3" t="s">
        <v>69</v>
      </c>
      <c r="D143" s="3" t="s">
        <v>51</v>
      </c>
      <c r="E143" s="3" t="s">
        <v>22</v>
      </c>
      <c r="F143" s="3">
        <v>17421.830000000002</v>
      </c>
      <c r="G143" s="3">
        <v>104458</v>
      </c>
      <c r="H143" s="3">
        <v>33635</v>
      </c>
      <c r="I143" s="3">
        <v>23386.81</v>
      </c>
      <c r="J143" s="3">
        <v>59</v>
      </c>
      <c r="K143" s="15">
        <f t="shared" si="22"/>
        <v>0.32199544314461315</v>
      </c>
      <c r="L143" s="16">
        <f t="shared" si="32"/>
        <v>0.51796729597145841</v>
      </c>
      <c r="M143" s="16">
        <f t="shared" si="23"/>
        <v>166.78310900074672</v>
      </c>
      <c r="N143" s="16">
        <f t="shared" si="24"/>
        <v>1.3423853866097877</v>
      </c>
      <c r="O143" s="16">
        <f t="shared" si="25"/>
        <v>0.34238538660978779</v>
      </c>
      <c r="P143" s="1">
        <v>2023</v>
      </c>
      <c r="Q143" s="1" t="s">
        <v>76</v>
      </c>
      <c r="R143" s="1" t="s">
        <v>46</v>
      </c>
      <c r="S143" s="70">
        <f>DATE(Table2[[#This Row],[Year]],MONTH(DATEVALUE("1-"&amp;Table2[[#This Row],[Month]]&amp;"-2000")),1)</f>
        <v>45017</v>
      </c>
      <c r="T143" s="16">
        <f t="shared" si="26"/>
        <v>0.69531172885387249</v>
      </c>
      <c r="U143" s="16">
        <f t="shared" si="27"/>
        <v>0.22388720825594977</v>
      </c>
      <c r="V143" s="16">
        <f t="shared" si="28"/>
        <v>295.28525423728814</v>
      </c>
      <c r="W143" s="16">
        <f t="shared" si="29"/>
        <v>396.38661016949158</v>
      </c>
      <c r="X143" s="16">
        <f t="shared" si="30"/>
        <v>570.08474576271192</v>
      </c>
      <c r="Y143" s="16">
        <f t="shared" si="31"/>
        <v>1770.4745762711864</v>
      </c>
      <c r="Z143" s="7" t="str" cm="1">
        <f t="array" ref="Z143">_xlfn.IFS(K143&lt;2%,"Low",K143&lt;5%,"Medium",K143&lt;10%,"Good",K143&gt;10%,"Excellent")</f>
        <v>Excellent</v>
      </c>
      <c r="AA143" s="16" t="str">
        <f>Data_Validation!N141</f>
        <v>Pass</v>
      </c>
    </row>
    <row r="144" spans="1:27" x14ac:dyDescent="0.35">
      <c r="A144" s="17" t="s">
        <v>71</v>
      </c>
      <c r="B144" s="3" t="s">
        <v>28</v>
      </c>
      <c r="C144" s="3" t="s">
        <v>36</v>
      </c>
      <c r="D144" s="3" t="s">
        <v>37</v>
      </c>
      <c r="E144" s="3" t="s">
        <v>38</v>
      </c>
      <c r="F144" s="3">
        <v>5569.1</v>
      </c>
      <c r="G144" s="3">
        <v>60068</v>
      </c>
      <c r="H144" s="3">
        <v>15726</v>
      </c>
      <c r="I144" s="3">
        <v>107857.26</v>
      </c>
      <c r="J144" s="3">
        <v>55</v>
      </c>
      <c r="K144" s="15">
        <f t="shared" si="22"/>
        <v>0.26180328960511423</v>
      </c>
      <c r="L144" s="16">
        <f t="shared" si="32"/>
        <v>0.35413328246216458</v>
      </c>
      <c r="M144" s="16">
        <f t="shared" si="23"/>
        <v>92.713258307251792</v>
      </c>
      <c r="N144" s="16">
        <f t="shared" si="24"/>
        <v>19.367089834982313</v>
      </c>
      <c r="O144" s="16">
        <f t="shared" si="25"/>
        <v>18.367089834982309</v>
      </c>
      <c r="P144" s="1">
        <v>2023</v>
      </c>
      <c r="Q144" s="1" t="s">
        <v>76</v>
      </c>
      <c r="R144" s="1" t="s">
        <v>46</v>
      </c>
      <c r="S144" s="70">
        <f>DATE(Table2[[#This Row],[Year]],MONTH(DATEVALUE("1-"&amp;Table2[[#This Row],[Month]]&amp;"-2000")),1)</f>
        <v>45017</v>
      </c>
      <c r="T144" s="16">
        <f t="shared" si="26"/>
        <v>6.8585310950019069</v>
      </c>
      <c r="U144" s="16">
        <f t="shared" si="27"/>
        <v>1.7955860025304653</v>
      </c>
      <c r="V144" s="16">
        <f t="shared" si="28"/>
        <v>101.25636363636364</v>
      </c>
      <c r="W144" s="16">
        <f t="shared" si="29"/>
        <v>1961.0410909090908</v>
      </c>
      <c r="X144" s="16">
        <f t="shared" si="30"/>
        <v>285.92727272727274</v>
      </c>
      <c r="Y144" s="16">
        <f t="shared" si="31"/>
        <v>1092.1454545454546</v>
      </c>
      <c r="Z144" s="7" t="str" cm="1">
        <f t="array" ref="Z144">_xlfn.IFS(K144&lt;2%,"Low",K144&lt;5%,"Medium",K144&lt;10%,"Good",K144&gt;10%,"Excellent")</f>
        <v>Excellent</v>
      </c>
      <c r="AA144" s="16" t="str">
        <f>Data_Validation!N142</f>
        <v>Pass</v>
      </c>
    </row>
    <row r="145" spans="1:27" x14ac:dyDescent="0.35">
      <c r="A145" s="17" t="s">
        <v>100</v>
      </c>
      <c r="B145" s="3" t="s">
        <v>35</v>
      </c>
      <c r="C145" s="3" t="s">
        <v>36</v>
      </c>
      <c r="D145" s="3" t="s">
        <v>63</v>
      </c>
      <c r="E145" s="3" t="s">
        <v>30</v>
      </c>
      <c r="F145" s="3">
        <v>4183.55</v>
      </c>
      <c r="G145" s="3">
        <v>981746</v>
      </c>
      <c r="H145" s="3">
        <v>9778</v>
      </c>
      <c r="I145" s="3">
        <v>217844.33</v>
      </c>
      <c r="J145" s="3">
        <v>53</v>
      </c>
      <c r="K145" s="15">
        <f t="shared" si="22"/>
        <v>9.9598063042782969E-3</v>
      </c>
      <c r="L145" s="16">
        <f t="shared" si="32"/>
        <v>0.42785334424217636</v>
      </c>
      <c r="M145" s="16">
        <f t="shared" si="23"/>
        <v>4.2613364352897802</v>
      </c>
      <c r="N145" s="16">
        <f t="shared" si="24"/>
        <v>52.071644894885914</v>
      </c>
      <c r="O145" s="16">
        <f t="shared" si="25"/>
        <v>51.071644894885921</v>
      </c>
      <c r="P145" s="1">
        <v>2023</v>
      </c>
      <c r="Q145" s="1" t="s">
        <v>76</v>
      </c>
      <c r="R145" s="1" t="s">
        <v>46</v>
      </c>
      <c r="S145" s="70">
        <f>DATE(Table2[[#This Row],[Year]],MONTH(DATEVALUE("1-"&amp;Table2[[#This Row],[Month]]&amp;"-2000")),1)</f>
        <v>45017</v>
      </c>
      <c r="T145" s="16">
        <f t="shared" si="26"/>
        <v>22.279027408467989</v>
      </c>
      <c r="U145" s="16">
        <f t="shared" si="27"/>
        <v>0.22189479763604841</v>
      </c>
      <c r="V145" s="16">
        <f t="shared" si="28"/>
        <v>78.934905660377368</v>
      </c>
      <c r="W145" s="16">
        <f t="shared" si="29"/>
        <v>4110.2703773584899</v>
      </c>
      <c r="X145" s="16">
        <f t="shared" si="30"/>
        <v>184.49056603773585</v>
      </c>
      <c r="Y145" s="16">
        <f t="shared" si="31"/>
        <v>18523.509433962263</v>
      </c>
      <c r="Z145" s="7" t="str" cm="1">
        <f t="array" ref="Z145">_xlfn.IFS(K145&lt;2%,"Low",K145&lt;5%,"Medium",K145&lt;10%,"Good",K145&gt;10%,"Excellent")</f>
        <v>Low</v>
      </c>
      <c r="AA145" s="16" t="str">
        <f>Data_Validation!N143</f>
        <v>Pass</v>
      </c>
    </row>
    <row r="146" spans="1:27" x14ac:dyDescent="0.35">
      <c r="A146" s="17" t="s">
        <v>96</v>
      </c>
      <c r="B146" s="3" t="s">
        <v>35</v>
      </c>
      <c r="C146" s="3" t="s">
        <v>69</v>
      </c>
      <c r="D146" s="3" t="s">
        <v>43</v>
      </c>
      <c r="E146" s="3" t="s">
        <v>30</v>
      </c>
      <c r="F146" s="3">
        <v>7475.46</v>
      </c>
      <c r="G146" s="3">
        <v>201059</v>
      </c>
      <c r="H146" s="3">
        <v>25852</v>
      </c>
      <c r="I146" s="3">
        <v>16088.39</v>
      </c>
      <c r="J146" s="3">
        <v>53</v>
      </c>
      <c r="K146" s="15">
        <f t="shared" si="22"/>
        <v>0.12857917327749566</v>
      </c>
      <c r="L146" s="16">
        <f t="shared" si="32"/>
        <v>0.28916370106761569</v>
      </c>
      <c r="M146" s="16">
        <f t="shared" si="23"/>
        <v>37.180429625134913</v>
      </c>
      <c r="N146" s="16">
        <f t="shared" si="24"/>
        <v>2.1521605359402631</v>
      </c>
      <c r="O146" s="16">
        <f t="shared" si="25"/>
        <v>1.1521605359402631</v>
      </c>
      <c r="P146" s="1">
        <v>2023</v>
      </c>
      <c r="Q146" s="1" t="s">
        <v>76</v>
      </c>
      <c r="R146" s="1" t="s">
        <v>46</v>
      </c>
      <c r="S146" s="70">
        <f>DATE(Table2[[#This Row],[Year]],MONTH(DATEVALUE("1-"&amp;Table2[[#This Row],[Month]]&amp;"-2000")),1)</f>
        <v>45017</v>
      </c>
      <c r="T146" s="16">
        <f t="shared" si="26"/>
        <v>0.62232670586414973</v>
      </c>
      <c r="U146" s="16">
        <f t="shared" si="27"/>
        <v>8.0018253348519586E-2</v>
      </c>
      <c r="V146" s="16">
        <f t="shared" si="28"/>
        <v>141.04641509433964</v>
      </c>
      <c r="W146" s="16">
        <f t="shared" si="29"/>
        <v>303.55452830188676</v>
      </c>
      <c r="X146" s="16">
        <f t="shared" si="30"/>
        <v>487.77358490566036</v>
      </c>
      <c r="Y146" s="16">
        <f t="shared" si="31"/>
        <v>3793.566037735849</v>
      </c>
      <c r="Z146" s="7" t="str" cm="1">
        <f t="array" ref="Z146">_xlfn.IFS(K146&lt;2%,"Low",K146&lt;5%,"Medium",K146&lt;10%,"Good",K146&gt;10%,"Excellent")</f>
        <v>Excellent</v>
      </c>
      <c r="AA146" s="16" t="str">
        <f>Data_Validation!N144</f>
        <v>Pass</v>
      </c>
    </row>
    <row r="147" spans="1:27" x14ac:dyDescent="0.35">
      <c r="A147" s="17" t="s">
        <v>86</v>
      </c>
      <c r="B147" s="3" t="s">
        <v>28</v>
      </c>
      <c r="C147" s="3" t="s">
        <v>29</v>
      </c>
      <c r="D147" s="3" t="s">
        <v>21</v>
      </c>
      <c r="E147" s="3" t="s">
        <v>38</v>
      </c>
      <c r="F147" s="3">
        <v>12912.63</v>
      </c>
      <c r="G147" s="3">
        <v>198667</v>
      </c>
      <c r="H147" s="3">
        <v>44776</v>
      </c>
      <c r="I147" s="3">
        <v>193066.39</v>
      </c>
      <c r="J147" s="3">
        <v>42</v>
      </c>
      <c r="K147" s="15">
        <f t="shared" si="22"/>
        <v>0.22538217217756346</v>
      </c>
      <c r="L147" s="16">
        <f t="shared" si="32"/>
        <v>0.28838283902090406</v>
      </c>
      <c r="M147" s="16">
        <f t="shared" si="23"/>
        <v>64.996350677263962</v>
      </c>
      <c r="N147" s="16">
        <f t="shared" si="24"/>
        <v>14.95174801725133</v>
      </c>
      <c r="O147" s="16">
        <f t="shared" si="25"/>
        <v>13.951748017251328</v>
      </c>
      <c r="P147" s="1">
        <v>2023</v>
      </c>
      <c r="Q147" s="1" t="s">
        <v>76</v>
      </c>
      <c r="R147" s="1" t="s">
        <v>46</v>
      </c>
      <c r="S147" s="70">
        <f>DATE(Table2[[#This Row],[Year]],MONTH(DATEVALUE("1-"&amp;Table2[[#This Row],[Month]]&amp;"-2000")),1)</f>
        <v>45017</v>
      </c>
      <c r="T147" s="16">
        <f t="shared" si="26"/>
        <v>4.3118275415401115</v>
      </c>
      <c r="U147" s="16">
        <f t="shared" si="27"/>
        <v>0.97180905736735346</v>
      </c>
      <c r="V147" s="16">
        <f t="shared" si="28"/>
        <v>307.44357142857143</v>
      </c>
      <c r="W147" s="16">
        <f t="shared" si="29"/>
        <v>4596.8188095238102</v>
      </c>
      <c r="X147" s="16">
        <f t="shared" si="30"/>
        <v>1066.0952380952381</v>
      </c>
      <c r="Y147" s="16">
        <f t="shared" si="31"/>
        <v>4730.166666666667</v>
      </c>
      <c r="Z147" s="7" t="str" cm="1">
        <f t="array" ref="Z147">_xlfn.IFS(K147&lt;2%,"Low",K147&lt;5%,"Medium",K147&lt;10%,"Good",K147&gt;10%,"Excellent")</f>
        <v>Excellent</v>
      </c>
      <c r="AA147" s="16" t="str">
        <f>Data_Validation!N145</f>
        <v>Pass</v>
      </c>
    </row>
    <row r="148" spans="1:27" x14ac:dyDescent="0.35">
      <c r="A148" s="17" t="s">
        <v>95</v>
      </c>
      <c r="B148" s="3" t="s">
        <v>35</v>
      </c>
      <c r="C148" s="3" t="s">
        <v>58</v>
      </c>
      <c r="D148" s="3" t="s">
        <v>59</v>
      </c>
      <c r="E148" s="3" t="s">
        <v>30</v>
      </c>
      <c r="F148" s="3">
        <v>22373.33</v>
      </c>
      <c r="G148" s="3">
        <v>415785</v>
      </c>
      <c r="H148" s="3">
        <v>36909</v>
      </c>
      <c r="I148" s="3">
        <v>33851.440000000002</v>
      </c>
      <c r="J148" s="3">
        <v>7</v>
      </c>
      <c r="K148" s="15">
        <f t="shared" si="22"/>
        <v>8.8769436126844403E-2</v>
      </c>
      <c r="L148" s="16">
        <f t="shared" si="32"/>
        <v>0.6061754585602428</v>
      </c>
      <c r="M148" s="16">
        <f t="shared" si="23"/>
        <v>53.809853650324094</v>
      </c>
      <c r="N148" s="16">
        <f t="shared" si="24"/>
        <v>1.5130264471135946</v>
      </c>
      <c r="O148" s="16">
        <f t="shared" si="25"/>
        <v>0.51302644711359457</v>
      </c>
      <c r="P148" s="1">
        <v>2023</v>
      </c>
      <c r="Q148" s="1" t="s">
        <v>76</v>
      </c>
      <c r="R148" s="1" t="s">
        <v>46</v>
      </c>
      <c r="S148" s="70">
        <f>DATE(Table2[[#This Row],[Year]],MONTH(DATEVALUE("1-"&amp;Table2[[#This Row],[Month]]&amp;"-2000")),1)</f>
        <v>45017</v>
      </c>
      <c r="T148" s="16">
        <f t="shared" si="26"/>
        <v>0.91715950039285821</v>
      </c>
      <c r="U148" s="16">
        <f t="shared" si="27"/>
        <v>8.1415731688252349E-2</v>
      </c>
      <c r="V148" s="16">
        <f t="shared" si="28"/>
        <v>3196.19</v>
      </c>
      <c r="W148" s="16">
        <f t="shared" si="29"/>
        <v>4835.92</v>
      </c>
      <c r="X148" s="16">
        <f t="shared" si="30"/>
        <v>5272.7142857142853</v>
      </c>
      <c r="Y148" s="16">
        <f t="shared" si="31"/>
        <v>59397.857142857145</v>
      </c>
      <c r="Z148" s="7" t="str" cm="1">
        <f t="array" ref="Z148">_xlfn.IFS(K148&lt;2%,"Low",K148&lt;5%,"Medium",K148&lt;10%,"Good",K148&gt;10%,"Excellent")</f>
        <v>Good</v>
      </c>
      <c r="AA148" s="16" t="str">
        <f>Data_Validation!N146</f>
        <v>Pass</v>
      </c>
    </row>
    <row r="149" spans="1:27" x14ac:dyDescent="0.35">
      <c r="A149" s="17" t="s">
        <v>81</v>
      </c>
      <c r="B149" s="3" t="s">
        <v>48</v>
      </c>
      <c r="C149" s="3" t="s">
        <v>58</v>
      </c>
      <c r="D149" s="3" t="s">
        <v>21</v>
      </c>
      <c r="E149" s="3" t="s">
        <v>38</v>
      </c>
      <c r="F149" s="3">
        <v>174.95</v>
      </c>
      <c r="G149" s="3">
        <v>526554</v>
      </c>
      <c r="H149" s="3">
        <v>7710</v>
      </c>
      <c r="I149" s="3">
        <v>28812.04</v>
      </c>
      <c r="J149" s="3">
        <v>14</v>
      </c>
      <c r="K149" s="15">
        <f t="shared" si="22"/>
        <v>1.4642372862042639E-2</v>
      </c>
      <c r="L149" s="16">
        <f t="shared" si="32"/>
        <v>2.2691309987029829E-2</v>
      </c>
      <c r="M149" s="16">
        <f t="shared" si="23"/>
        <v>0.33225462155828267</v>
      </c>
      <c r="N149" s="16">
        <f t="shared" si="24"/>
        <v>164.68728208059446</v>
      </c>
      <c r="O149" s="16">
        <f t="shared" si="25"/>
        <v>163.68728208059446</v>
      </c>
      <c r="P149" s="1">
        <v>2023</v>
      </c>
      <c r="Q149" s="1" t="s">
        <v>76</v>
      </c>
      <c r="R149" s="1" t="s">
        <v>46</v>
      </c>
      <c r="S149" s="70">
        <f>DATE(Table2[[#This Row],[Year]],MONTH(DATEVALUE("1-"&amp;Table2[[#This Row],[Month]]&amp;"-2000")),1)</f>
        <v>45017</v>
      </c>
      <c r="T149" s="16">
        <f t="shared" si="26"/>
        <v>3.7369701686121921</v>
      </c>
      <c r="U149" s="16">
        <f t="shared" si="27"/>
        <v>5.471811058315007E-2</v>
      </c>
      <c r="V149" s="16">
        <f t="shared" si="28"/>
        <v>12.49642857142857</v>
      </c>
      <c r="W149" s="16">
        <f t="shared" si="29"/>
        <v>2058.002857142857</v>
      </c>
      <c r="X149" s="16">
        <f t="shared" si="30"/>
        <v>550.71428571428567</v>
      </c>
      <c r="Y149" s="16">
        <f t="shared" si="31"/>
        <v>37611</v>
      </c>
      <c r="Z149" s="7" t="str" cm="1">
        <f t="array" ref="Z149">_xlfn.IFS(K149&lt;2%,"Low",K149&lt;5%,"Medium",K149&lt;10%,"Good",K149&gt;10%,"Excellent")</f>
        <v>Low</v>
      </c>
      <c r="AA149" s="16" t="str">
        <f>Data_Validation!N147</f>
        <v>Pass</v>
      </c>
    </row>
    <row r="150" spans="1:27" x14ac:dyDescent="0.35">
      <c r="A150" s="17" t="s">
        <v>64</v>
      </c>
      <c r="B150" s="3" t="s">
        <v>35</v>
      </c>
      <c r="C150" s="3" t="s">
        <v>36</v>
      </c>
      <c r="D150" s="3" t="s">
        <v>59</v>
      </c>
      <c r="E150" s="3" t="s">
        <v>30</v>
      </c>
      <c r="F150" s="3">
        <v>29115.27</v>
      </c>
      <c r="G150" s="3">
        <v>653830</v>
      </c>
      <c r="H150" s="3">
        <v>39421</v>
      </c>
      <c r="I150" s="3">
        <v>138888.28</v>
      </c>
      <c r="J150" s="3">
        <v>27</v>
      </c>
      <c r="K150" s="15">
        <f t="shared" si="22"/>
        <v>6.0292430754171573E-2</v>
      </c>
      <c r="L150" s="16">
        <f t="shared" si="32"/>
        <v>0.73857258821440352</v>
      </c>
      <c r="M150" s="16">
        <f t="shared" si="23"/>
        <v>44.530336631846197</v>
      </c>
      <c r="N150" s="16">
        <f t="shared" si="24"/>
        <v>4.7702899543778914</v>
      </c>
      <c r="O150" s="16">
        <f t="shared" si="25"/>
        <v>3.7702899543778914</v>
      </c>
      <c r="P150" s="1">
        <v>2023</v>
      </c>
      <c r="Q150" s="1" t="s">
        <v>45</v>
      </c>
      <c r="R150" s="1" t="s">
        <v>46</v>
      </c>
      <c r="S150" s="70">
        <f>DATE(Table2[[#This Row],[Year]],MONTH(DATEVALUE("1-"&amp;Table2[[#This Row],[Month]]&amp;"-2000")),1)</f>
        <v>45047</v>
      </c>
      <c r="T150" s="16">
        <f t="shared" si="26"/>
        <v>3.5232053981380482</v>
      </c>
      <c r="U150" s="16">
        <f t="shared" si="27"/>
        <v>0.21242261749996177</v>
      </c>
      <c r="V150" s="16">
        <f t="shared" si="28"/>
        <v>1078.3433333333332</v>
      </c>
      <c r="W150" s="16">
        <f t="shared" si="29"/>
        <v>5144.0103703703708</v>
      </c>
      <c r="X150" s="16">
        <f t="shared" si="30"/>
        <v>1460.037037037037</v>
      </c>
      <c r="Y150" s="16">
        <f t="shared" si="31"/>
        <v>24215.925925925927</v>
      </c>
      <c r="Z150" s="7" t="str" cm="1">
        <f t="array" ref="Z150">_xlfn.IFS(K150&lt;2%,"Low",K150&lt;5%,"Medium",K150&lt;10%,"Good",K150&gt;10%,"Excellent")</f>
        <v>Good</v>
      </c>
      <c r="AA150" s="16" t="str">
        <f>Data_Validation!N148</f>
        <v>Pass</v>
      </c>
    </row>
    <row r="151" spans="1:27" x14ac:dyDescent="0.35">
      <c r="A151" s="17" t="s">
        <v>110</v>
      </c>
      <c r="B151" s="3" t="s">
        <v>28</v>
      </c>
      <c r="C151" s="3" t="s">
        <v>20</v>
      </c>
      <c r="D151" s="3" t="s">
        <v>63</v>
      </c>
      <c r="E151" s="3" t="s">
        <v>30</v>
      </c>
      <c r="F151" s="3">
        <v>51079.64</v>
      </c>
      <c r="G151" s="3">
        <v>949090</v>
      </c>
      <c r="H151" s="3">
        <v>2940</v>
      </c>
      <c r="I151" s="3">
        <v>153104.06</v>
      </c>
      <c r="J151" s="3">
        <v>29</v>
      </c>
      <c r="K151" s="15">
        <f t="shared" si="22"/>
        <v>3.0977041165748242E-3</v>
      </c>
      <c r="L151" s="16">
        <f t="shared" si="32"/>
        <v>17.374027210884353</v>
      </c>
      <c r="M151" s="16">
        <f t="shared" si="23"/>
        <v>53.819595612639475</v>
      </c>
      <c r="N151" s="16">
        <f t="shared" si="24"/>
        <v>2.9973598091137683</v>
      </c>
      <c r="O151" s="16">
        <f t="shared" si="25"/>
        <v>1.9973598091137683</v>
      </c>
      <c r="P151" s="1">
        <v>2023</v>
      </c>
      <c r="Q151" s="1" t="s">
        <v>45</v>
      </c>
      <c r="R151" s="1" t="s">
        <v>46</v>
      </c>
      <c r="S151" s="70">
        <f>DATE(Table2[[#This Row],[Year]],MONTH(DATEVALUE("1-"&amp;Table2[[#This Row],[Month]]&amp;"-2000")),1)</f>
        <v>45047</v>
      </c>
      <c r="T151" s="16">
        <f t="shared" si="26"/>
        <v>52.076210884353742</v>
      </c>
      <c r="U151" s="16">
        <f t="shared" si="27"/>
        <v>0.16131669283208125</v>
      </c>
      <c r="V151" s="16">
        <f t="shared" si="28"/>
        <v>1761.366896551724</v>
      </c>
      <c r="W151" s="16">
        <f t="shared" si="29"/>
        <v>5279.4503448275864</v>
      </c>
      <c r="X151" s="16">
        <f t="shared" si="30"/>
        <v>101.37931034482759</v>
      </c>
      <c r="Y151" s="16">
        <f t="shared" si="31"/>
        <v>32727.241379310344</v>
      </c>
      <c r="Z151" s="7" t="str" cm="1">
        <f t="array" ref="Z151">_xlfn.IFS(K151&lt;2%,"Low",K151&lt;5%,"Medium",K151&lt;10%,"Good",K151&gt;10%,"Excellent")</f>
        <v>Low</v>
      </c>
      <c r="AA151" s="16" t="str">
        <f>Data_Validation!N149</f>
        <v>Pass</v>
      </c>
    </row>
    <row r="152" spans="1:27" x14ac:dyDescent="0.35">
      <c r="A152" s="17" t="s">
        <v>64</v>
      </c>
      <c r="B152" s="3" t="s">
        <v>19</v>
      </c>
      <c r="C152" s="3" t="s">
        <v>69</v>
      </c>
      <c r="D152" s="3" t="s">
        <v>59</v>
      </c>
      <c r="E152" s="3" t="s">
        <v>38</v>
      </c>
      <c r="F152" s="3">
        <v>17031.439999999999</v>
      </c>
      <c r="G152" s="3">
        <v>116663</v>
      </c>
      <c r="H152" s="3">
        <v>48690</v>
      </c>
      <c r="I152" s="3">
        <v>231696.13</v>
      </c>
      <c r="J152" s="3">
        <v>15</v>
      </c>
      <c r="K152" s="15">
        <f t="shared" si="22"/>
        <v>0.41735597404489855</v>
      </c>
      <c r="L152" s="16">
        <f t="shared" si="32"/>
        <v>0.34979338673238858</v>
      </c>
      <c r="M152" s="16">
        <f t="shared" si="23"/>
        <v>145.98835963415993</v>
      </c>
      <c r="N152" s="16">
        <f t="shared" si="24"/>
        <v>13.604024674366936</v>
      </c>
      <c r="O152" s="16">
        <f t="shared" si="25"/>
        <v>12.604024674366936</v>
      </c>
      <c r="P152" s="1">
        <v>2023</v>
      </c>
      <c r="Q152" s="1" t="s">
        <v>45</v>
      </c>
      <c r="R152" s="1" t="s">
        <v>46</v>
      </c>
      <c r="S152" s="70">
        <f>DATE(Table2[[#This Row],[Year]],MONTH(DATEVALUE("1-"&amp;Table2[[#This Row],[Month]]&amp;"-2000")),1)</f>
        <v>45047</v>
      </c>
      <c r="T152" s="16">
        <f t="shared" si="26"/>
        <v>4.7585978640377906</v>
      </c>
      <c r="U152" s="16">
        <f t="shared" si="27"/>
        <v>1.9860292466334657</v>
      </c>
      <c r="V152" s="16">
        <f t="shared" si="28"/>
        <v>1135.4293333333333</v>
      </c>
      <c r="W152" s="16">
        <f t="shared" si="29"/>
        <v>15446.408666666666</v>
      </c>
      <c r="X152" s="16">
        <f t="shared" si="30"/>
        <v>3246</v>
      </c>
      <c r="Y152" s="16">
        <f t="shared" si="31"/>
        <v>7777.5333333333338</v>
      </c>
      <c r="Z152" s="7" t="str" cm="1">
        <f t="array" ref="Z152">_xlfn.IFS(K152&lt;2%,"Low",K152&lt;5%,"Medium",K152&lt;10%,"Good",K152&gt;10%,"Excellent")</f>
        <v>Excellent</v>
      </c>
      <c r="AA152" s="16" t="str">
        <f>Data_Validation!N150</f>
        <v>Pass</v>
      </c>
    </row>
    <row r="153" spans="1:27" x14ac:dyDescent="0.35">
      <c r="A153" s="17" t="s">
        <v>106</v>
      </c>
      <c r="B153" s="3" t="s">
        <v>19</v>
      </c>
      <c r="C153" s="3" t="s">
        <v>58</v>
      </c>
      <c r="D153" s="3" t="s">
        <v>37</v>
      </c>
      <c r="E153" s="3" t="s">
        <v>30</v>
      </c>
      <c r="F153" s="3">
        <v>26209.56</v>
      </c>
      <c r="G153" s="3">
        <v>185284</v>
      </c>
      <c r="H153" s="3">
        <v>13986</v>
      </c>
      <c r="I153" s="3">
        <v>203072.88</v>
      </c>
      <c r="J153" s="3">
        <v>54</v>
      </c>
      <c r="K153" s="15">
        <f t="shared" si="22"/>
        <v>7.5484121672675458E-2</v>
      </c>
      <c r="L153" s="16">
        <f t="shared" si="32"/>
        <v>1.8739854139854142</v>
      </c>
      <c r="M153" s="16">
        <f t="shared" si="23"/>
        <v>141.45614300209408</v>
      </c>
      <c r="N153" s="16">
        <f t="shared" si="24"/>
        <v>7.7480461327851362</v>
      </c>
      <c r="O153" s="16">
        <f t="shared" si="25"/>
        <v>6.7480461327851362</v>
      </c>
      <c r="P153" s="1">
        <v>2023</v>
      </c>
      <c r="Q153" s="1" t="s">
        <v>45</v>
      </c>
      <c r="R153" s="1" t="s">
        <v>46</v>
      </c>
      <c r="S153" s="70">
        <f>DATE(Table2[[#This Row],[Year]],MONTH(DATEVALUE("1-"&amp;Table2[[#This Row],[Month]]&amp;"-2000")),1)</f>
        <v>45047</v>
      </c>
      <c r="T153" s="16">
        <f t="shared" si="26"/>
        <v>14.519725439725439</v>
      </c>
      <c r="U153" s="16">
        <f t="shared" si="27"/>
        <v>1.0960087217460763</v>
      </c>
      <c r="V153" s="16">
        <f t="shared" si="28"/>
        <v>485.36222222222227</v>
      </c>
      <c r="W153" s="16">
        <f t="shared" si="29"/>
        <v>3760.6088888888889</v>
      </c>
      <c r="X153" s="16">
        <f t="shared" si="30"/>
        <v>259</v>
      </c>
      <c r="Y153" s="16">
        <f t="shared" si="31"/>
        <v>3431.1851851851852</v>
      </c>
      <c r="Z153" s="7" t="str" cm="1">
        <f t="array" ref="Z153">_xlfn.IFS(K153&lt;2%,"Low",K153&lt;5%,"Medium",K153&lt;10%,"Good",K153&gt;10%,"Excellent")</f>
        <v>Good</v>
      </c>
      <c r="AA153" s="16" t="str">
        <f>Data_Validation!N151</f>
        <v>Pass</v>
      </c>
    </row>
    <row r="154" spans="1:27" x14ac:dyDescent="0.35">
      <c r="A154" s="17" t="s">
        <v>105</v>
      </c>
      <c r="B154" s="3" t="s">
        <v>19</v>
      </c>
      <c r="C154" s="3" t="s">
        <v>69</v>
      </c>
      <c r="D154" s="3" t="s">
        <v>63</v>
      </c>
      <c r="E154" s="3" t="s">
        <v>30</v>
      </c>
      <c r="F154" s="3">
        <v>10176.77</v>
      </c>
      <c r="G154" s="3">
        <v>18827</v>
      </c>
      <c r="H154" s="3">
        <v>874</v>
      </c>
      <c r="I154" s="3">
        <v>170155.25</v>
      </c>
      <c r="J154" s="3">
        <v>50</v>
      </c>
      <c r="K154" s="15">
        <f t="shared" si="22"/>
        <v>4.6422690816380729E-2</v>
      </c>
      <c r="L154" s="16">
        <f t="shared" si="32"/>
        <v>11.643901601830665</v>
      </c>
      <c r="M154" s="16">
        <f t="shared" si="23"/>
        <v>540.54124395814529</v>
      </c>
      <c r="N154" s="16">
        <f t="shared" si="24"/>
        <v>16.719966158221123</v>
      </c>
      <c r="O154" s="16">
        <f t="shared" si="25"/>
        <v>15.719966158221126</v>
      </c>
      <c r="P154" s="1">
        <v>2023</v>
      </c>
      <c r="Q154" s="1" t="s">
        <v>45</v>
      </c>
      <c r="R154" s="1" t="s">
        <v>46</v>
      </c>
      <c r="S154" s="70">
        <f>DATE(Table2[[#This Row],[Year]],MONTH(DATEVALUE("1-"&amp;Table2[[#This Row],[Month]]&amp;"-2000")),1)</f>
        <v>45047</v>
      </c>
      <c r="T154" s="16">
        <f t="shared" si="26"/>
        <v>194.68564073226545</v>
      </c>
      <c r="U154" s="16">
        <f t="shared" si="27"/>
        <v>9.0378313061029374</v>
      </c>
      <c r="V154" s="16">
        <f t="shared" si="28"/>
        <v>203.53540000000001</v>
      </c>
      <c r="W154" s="16">
        <f t="shared" si="29"/>
        <v>3403.105</v>
      </c>
      <c r="X154" s="16">
        <f t="shared" si="30"/>
        <v>17.48</v>
      </c>
      <c r="Y154" s="16">
        <f t="shared" si="31"/>
        <v>376.54</v>
      </c>
      <c r="Z154" s="7" t="str" cm="1">
        <f t="array" ref="Z154">_xlfn.IFS(K154&lt;2%,"Low",K154&lt;5%,"Medium",K154&lt;10%,"Good",K154&gt;10%,"Excellent")</f>
        <v>Medium</v>
      </c>
      <c r="AA154" s="16" t="str">
        <f>Data_Validation!N152</f>
        <v>Pass</v>
      </c>
    </row>
    <row r="155" spans="1:27" x14ac:dyDescent="0.35">
      <c r="A155" s="17" t="s">
        <v>90</v>
      </c>
      <c r="B155" s="3" t="s">
        <v>48</v>
      </c>
      <c r="C155" s="3" t="s">
        <v>69</v>
      </c>
      <c r="D155" s="3" t="s">
        <v>37</v>
      </c>
      <c r="E155" s="3" t="s">
        <v>22</v>
      </c>
      <c r="F155" s="3">
        <v>5067.16</v>
      </c>
      <c r="G155" s="3">
        <v>887057</v>
      </c>
      <c r="H155" s="3">
        <v>14074</v>
      </c>
      <c r="I155" s="3">
        <v>192235.83</v>
      </c>
      <c r="J155" s="3">
        <v>49</v>
      </c>
      <c r="K155" s="15">
        <f t="shared" si="22"/>
        <v>1.5865947735038449E-2</v>
      </c>
      <c r="L155" s="16">
        <f t="shared" si="32"/>
        <v>0.3600369475628819</v>
      </c>
      <c r="M155" s="16">
        <f t="shared" si="23"/>
        <v>5.7123273927154621</v>
      </c>
      <c r="N155" s="16">
        <f t="shared" si="24"/>
        <v>37.937588313769446</v>
      </c>
      <c r="O155" s="16">
        <f t="shared" si="25"/>
        <v>36.937588313769446</v>
      </c>
      <c r="P155" s="1">
        <v>2023</v>
      </c>
      <c r="Q155" s="1" t="s">
        <v>45</v>
      </c>
      <c r="R155" s="1" t="s">
        <v>46</v>
      </c>
      <c r="S155" s="70">
        <f>DATE(Table2[[#This Row],[Year]],MONTH(DATEVALUE("1-"&amp;Table2[[#This Row],[Month]]&amp;"-2000")),1)</f>
        <v>45047</v>
      </c>
      <c r="T155" s="16">
        <f t="shared" si="26"/>
        <v>13.658933494386812</v>
      </c>
      <c r="U155" s="16">
        <f t="shared" si="27"/>
        <v>0.21671192493830721</v>
      </c>
      <c r="V155" s="16">
        <f t="shared" si="28"/>
        <v>103.41142857142857</v>
      </c>
      <c r="W155" s="16">
        <f t="shared" si="29"/>
        <v>3923.1802040816324</v>
      </c>
      <c r="X155" s="16">
        <f t="shared" si="30"/>
        <v>287.22448979591837</v>
      </c>
      <c r="Y155" s="16">
        <f t="shared" si="31"/>
        <v>18103.204081632652</v>
      </c>
      <c r="Z155" s="7" t="str" cm="1">
        <f t="array" ref="Z155">_xlfn.IFS(K155&lt;2%,"Low",K155&lt;5%,"Medium",K155&lt;10%,"Good",K155&gt;10%,"Excellent")</f>
        <v>Low</v>
      </c>
      <c r="AA155" s="16" t="str">
        <f>Data_Validation!N153</f>
        <v>Pass</v>
      </c>
    </row>
    <row r="156" spans="1:27" x14ac:dyDescent="0.35">
      <c r="A156" s="17" t="s">
        <v>67</v>
      </c>
      <c r="B156" s="3" t="s">
        <v>28</v>
      </c>
      <c r="C156" s="3" t="s">
        <v>36</v>
      </c>
      <c r="D156" s="3" t="s">
        <v>43</v>
      </c>
      <c r="E156" s="3" t="s">
        <v>30</v>
      </c>
      <c r="F156" s="3">
        <v>10494.84</v>
      </c>
      <c r="G156" s="3">
        <v>29895</v>
      </c>
      <c r="H156" s="3">
        <v>18119</v>
      </c>
      <c r="I156" s="3">
        <v>197755.48</v>
      </c>
      <c r="J156" s="3">
        <v>48</v>
      </c>
      <c r="K156" s="15">
        <f t="shared" si="22"/>
        <v>0.60608797457768859</v>
      </c>
      <c r="L156" s="16">
        <f t="shared" si="32"/>
        <v>0.57921739610353773</v>
      </c>
      <c r="M156" s="16">
        <f t="shared" si="23"/>
        <v>351.05669844455593</v>
      </c>
      <c r="N156" s="16">
        <f t="shared" si="24"/>
        <v>18.843115283320184</v>
      </c>
      <c r="O156" s="16">
        <f t="shared" si="25"/>
        <v>17.843115283320184</v>
      </c>
      <c r="P156" s="1">
        <v>2023</v>
      </c>
      <c r="Q156" s="1" t="s">
        <v>45</v>
      </c>
      <c r="R156" s="1" t="s">
        <v>46</v>
      </c>
      <c r="S156" s="70">
        <f>DATE(Table2[[#This Row],[Year]],MONTH(DATEVALUE("1-"&amp;Table2[[#This Row],[Month]]&amp;"-2000")),1)</f>
        <v>45047</v>
      </c>
      <c r="T156" s="16">
        <f t="shared" si="26"/>
        <v>10.914260168883493</v>
      </c>
      <c r="U156" s="16">
        <f t="shared" si="27"/>
        <v>6.6150018397725372</v>
      </c>
      <c r="V156" s="16">
        <f t="shared" si="28"/>
        <v>218.64250000000001</v>
      </c>
      <c r="W156" s="16">
        <f t="shared" si="29"/>
        <v>4119.9058333333332</v>
      </c>
      <c r="X156" s="16">
        <f t="shared" si="30"/>
        <v>377.47916666666669</v>
      </c>
      <c r="Y156" s="16">
        <f t="shared" si="31"/>
        <v>622.8125</v>
      </c>
      <c r="Z156" s="7" t="str" cm="1">
        <f t="array" ref="Z156">_xlfn.IFS(K156&lt;2%,"Low",K156&lt;5%,"Medium",K156&lt;10%,"Good",K156&gt;10%,"Excellent")</f>
        <v>Excellent</v>
      </c>
      <c r="AA156" s="16" t="str">
        <f>Data_Validation!N154</f>
        <v>Pass</v>
      </c>
    </row>
    <row r="157" spans="1:27" x14ac:dyDescent="0.35">
      <c r="A157" s="17" t="s">
        <v>82</v>
      </c>
      <c r="B157" s="3" t="s">
        <v>28</v>
      </c>
      <c r="C157" s="3" t="s">
        <v>36</v>
      </c>
      <c r="D157" s="3" t="s">
        <v>63</v>
      </c>
      <c r="E157" s="3" t="s">
        <v>22</v>
      </c>
      <c r="F157" s="3">
        <v>14073.49</v>
      </c>
      <c r="G157" s="3">
        <v>45739</v>
      </c>
      <c r="H157" s="3">
        <v>42377</v>
      </c>
      <c r="I157" s="3">
        <v>164353.47</v>
      </c>
      <c r="J157" s="3">
        <v>42</v>
      </c>
      <c r="K157" s="15">
        <f t="shared" si="22"/>
        <v>0.92649598810642997</v>
      </c>
      <c r="L157" s="16">
        <f t="shared" si="32"/>
        <v>0.33210208367746652</v>
      </c>
      <c r="M157" s="16">
        <f t="shared" si="23"/>
        <v>307.69124816895868</v>
      </c>
      <c r="N157" s="16">
        <f t="shared" si="24"/>
        <v>11.678231199226348</v>
      </c>
      <c r="O157" s="16">
        <f t="shared" si="25"/>
        <v>10.678231199226348</v>
      </c>
      <c r="P157" s="1">
        <v>2023</v>
      </c>
      <c r="Q157" s="1" t="s">
        <v>45</v>
      </c>
      <c r="R157" s="1" t="s">
        <v>46</v>
      </c>
      <c r="S157" s="70">
        <f>DATE(Table2[[#This Row],[Year]],MONTH(DATEVALUE("1-"&amp;Table2[[#This Row],[Month]]&amp;"-2000")),1)</f>
        <v>45047</v>
      </c>
      <c r="T157" s="16">
        <f t="shared" si="26"/>
        <v>3.8783649149302688</v>
      </c>
      <c r="U157" s="16">
        <f t="shared" si="27"/>
        <v>3.5932895340956295</v>
      </c>
      <c r="V157" s="16">
        <f t="shared" si="28"/>
        <v>335.08309523809521</v>
      </c>
      <c r="W157" s="16">
        <f t="shared" si="29"/>
        <v>3913.1778571428572</v>
      </c>
      <c r="X157" s="16">
        <f t="shared" si="30"/>
        <v>1008.9761904761905</v>
      </c>
      <c r="Y157" s="16">
        <f t="shared" si="31"/>
        <v>1089.0238095238096</v>
      </c>
      <c r="Z157" s="7" t="str" cm="1">
        <f t="array" ref="Z157">_xlfn.IFS(K157&lt;2%,"Low",K157&lt;5%,"Medium",K157&lt;10%,"Good",K157&gt;10%,"Excellent")</f>
        <v>Excellent</v>
      </c>
      <c r="AA157" s="16" t="str">
        <f>Data_Validation!N155</f>
        <v>Pass</v>
      </c>
    </row>
    <row r="158" spans="1:27" x14ac:dyDescent="0.35">
      <c r="A158" s="17" t="s">
        <v>95</v>
      </c>
      <c r="B158" s="3" t="s">
        <v>35</v>
      </c>
      <c r="C158" s="3" t="s">
        <v>29</v>
      </c>
      <c r="D158" s="3" t="s">
        <v>51</v>
      </c>
      <c r="E158" s="3" t="s">
        <v>30</v>
      </c>
      <c r="F158" s="3">
        <v>3795.48</v>
      </c>
      <c r="G158" s="3">
        <v>366855</v>
      </c>
      <c r="H158" s="3">
        <v>23381</v>
      </c>
      <c r="I158" s="3">
        <v>193496.61</v>
      </c>
      <c r="J158" s="3">
        <v>41</v>
      </c>
      <c r="K158" s="15">
        <f t="shared" si="22"/>
        <v>6.3733627727576292E-2</v>
      </c>
      <c r="L158" s="16">
        <f t="shared" si="32"/>
        <v>0.16233180787819171</v>
      </c>
      <c r="M158" s="16">
        <f t="shared" si="23"/>
        <v>10.345995011653105</v>
      </c>
      <c r="N158" s="16">
        <f t="shared" si="24"/>
        <v>50.980800847323657</v>
      </c>
      <c r="O158" s="16">
        <f t="shared" si="25"/>
        <v>49.98080084732365</v>
      </c>
      <c r="P158" s="1">
        <v>2023</v>
      </c>
      <c r="Q158" s="1" t="s">
        <v>45</v>
      </c>
      <c r="R158" s="1" t="s">
        <v>46</v>
      </c>
      <c r="S158" s="70">
        <f>DATE(Table2[[#This Row],[Year]],MONTH(DATEVALUE("1-"&amp;Table2[[#This Row],[Month]]&amp;"-2000")),1)</f>
        <v>45047</v>
      </c>
      <c r="T158" s="16">
        <f t="shared" si="26"/>
        <v>8.2758055686240954</v>
      </c>
      <c r="U158" s="16">
        <f t="shared" si="27"/>
        <v>0.52744711125649091</v>
      </c>
      <c r="V158" s="16">
        <f t="shared" si="28"/>
        <v>92.572682926829273</v>
      </c>
      <c r="W158" s="16">
        <f t="shared" si="29"/>
        <v>4719.4295121951218</v>
      </c>
      <c r="X158" s="16">
        <f t="shared" si="30"/>
        <v>570.26829268292681</v>
      </c>
      <c r="Y158" s="16">
        <f t="shared" si="31"/>
        <v>8947.6829268292677</v>
      </c>
      <c r="Z158" s="7" t="str" cm="1">
        <f t="array" ref="Z158">_xlfn.IFS(K158&lt;2%,"Low",K158&lt;5%,"Medium",K158&lt;10%,"Good",K158&gt;10%,"Excellent")</f>
        <v>Good</v>
      </c>
      <c r="AA158" s="16" t="str">
        <f>Data_Validation!N156</f>
        <v>Pass</v>
      </c>
    </row>
    <row r="159" spans="1:27" x14ac:dyDescent="0.35">
      <c r="A159" s="17" t="s">
        <v>107</v>
      </c>
      <c r="B159" s="3" t="s">
        <v>48</v>
      </c>
      <c r="C159" s="3" t="s">
        <v>36</v>
      </c>
      <c r="D159" s="3" t="s">
        <v>37</v>
      </c>
      <c r="E159" s="3" t="s">
        <v>38</v>
      </c>
      <c r="F159" s="3">
        <v>6940.66</v>
      </c>
      <c r="G159" s="3">
        <v>211512</v>
      </c>
      <c r="H159" s="3">
        <v>9681</v>
      </c>
      <c r="I159" s="3">
        <v>109444.23</v>
      </c>
      <c r="J159" s="3">
        <v>14</v>
      </c>
      <c r="K159" s="15">
        <f t="shared" si="22"/>
        <v>4.5770452740270057E-2</v>
      </c>
      <c r="L159" s="16">
        <f t="shared" si="32"/>
        <v>0.7169362669145749</v>
      </c>
      <c r="M159" s="16">
        <f t="shared" si="23"/>
        <v>32.81449752259919</v>
      </c>
      <c r="N159" s="16">
        <f t="shared" si="24"/>
        <v>15.768562355741384</v>
      </c>
      <c r="O159" s="16">
        <f t="shared" si="25"/>
        <v>14.768562355741384</v>
      </c>
      <c r="P159" s="1">
        <v>2023</v>
      </c>
      <c r="Q159" s="1" t="s">
        <v>45</v>
      </c>
      <c r="R159" s="1" t="s">
        <v>46</v>
      </c>
      <c r="S159" s="70">
        <f>DATE(Table2[[#This Row],[Year]],MONTH(DATEVALUE("1-"&amp;Table2[[#This Row],[Month]]&amp;"-2000")),1)</f>
        <v>45047</v>
      </c>
      <c r="T159" s="16">
        <f t="shared" si="26"/>
        <v>11.305054229934923</v>
      </c>
      <c r="U159" s="16">
        <f t="shared" si="27"/>
        <v>0.5174374503574265</v>
      </c>
      <c r="V159" s="16">
        <f t="shared" si="28"/>
        <v>495.76142857142855</v>
      </c>
      <c r="W159" s="16">
        <f t="shared" si="29"/>
        <v>7817.4449999999997</v>
      </c>
      <c r="X159" s="16">
        <f t="shared" si="30"/>
        <v>691.5</v>
      </c>
      <c r="Y159" s="16">
        <f t="shared" si="31"/>
        <v>15108</v>
      </c>
      <c r="Z159" s="7" t="str" cm="1">
        <f t="array" ref="Z159">_xlfn.IFS(K159&lt;2%,"Low",K159&lt;5%,"Medium",K159&lt;10%,"Good",K159&gt;10%,"Excellent")</f>
        <v>Medium</v>
      </c>
      <c r="AA159" s="16" t="str">
        <f>Data_Validation!N157</f>
        <v>Pass</v>
      </c>
    </row>
    <row r="160" spans="1:27" x14ac:dyDescent="0.35">
      <c r="A160" s="17" t="s">
        <v>92</v>
      </c>
      <c r="B160" s="3" t="s">
        <v>19</v>
      </c>
      <c r="C160" s="3" t="s">
        <v>69</v>
      </c>
      <c r="D160" s="3" t="s">
        <v>43</v>
      </c>
      <c r="E160" s="3" t="s">
        <v>38</v>
      </c>
      <c r="F160" s="3">
        <v>32403.58</v>
      </c>
      <c r="G160" s="3">
        <v>359636</v>
      </c>
      <c r="H160" s="3">
        <v>44784</v>
      </c>
      <c r="I160" s="3">
        <v>79192.88</v>
      </c>
      <c r="J160" s="3">
        <v>42</v>
      </c>
      <c r="K160" s="15">
        <f t="shared" si="22"/>
        <v>0.12452590953074776</v>
      </c>
      <c r="L160" s="16">
        <f t="shared" si="32"/>
        <v>0.72355260807431232</v>
      </c>
      <c r="M160" s="16">
        <f t="shared" si="23"/>
        <v>90.101046613798403</v>
      </c>
      <c r="N160" s="16">
        <f t="shared" si="24"/>
        <v>2.4439546494553999</v>
      </c>
      <c r="O160" s="16">
        <f t="shared" si="25"/>
        <v>1.4439546494553996</v>
      </c>
      <c r="P160" s="1">
        <v>2023</v>
      </c>
      <c r="Q160" s="1" t="s">
        <v>45</v>
      </c>
      <c r="R160" s="1" t="s">
        <v>46</v>
      </c>
      <c r="S160" s="70">
        <f>DATE(Table2[[#This Row],[Year]],MONTH(DATEVALUE("1-"&amp;Table2[[#This Row],[Month]]&amp;"-2000")),1)</f>
        <v>45047</v>
      </c>
      <c r="T160" s="16">
        <f t="shared" si="26"/>
        <v>1.7683297606287962</v>
      </c>
      <c r="U160" s="16">
        <f t="shared" si="27"/>
        <v>0.22020287179259029</v>
      </c>
      <c r="V160" s="16">
        <f t="shared" si="28"/>
        <v>771.51380952380953</v>
      </c>
      <c r="W160" s="16">
        <f t="shared" si="29"/>
        <v>1885.544761904762</v>
      </c>
      <c r="X160" s="16">
        <f t="shared" si="30"/>
        <v>1066.2857142857142</v>
      </c>
      <c r="Y160" s="16">
        <f t="shared" si="31"/>
        <v>8562.7619047619046</v>
      </c>
      <c r="Z160" s="7" t="str" cm="1">
        <f t="array" ref="Z160">_xlfn.IFS(K160&lt;2%,"Low",K160&lt;5%,"Medium",K160&lt;10%,"Good",K160&gt;10%,"Excellent")</f>
        <v>Excellent</v>
      </c>
      <c r="AA160" s="16" t="str">
        <f>Data_Validation!N158</f>
        <v>Pass</v>
      </c>
    </row>
    <row r="161" spans="1:27" x14ac:dyDescent="0.35">
      <c r="A161" s="17" t="s">
        <v>27</v>
      </c>
      <c r="B161" s="3" t="s">
        <v>35</v>
      </c>
      <c r="C161" s="3" t="s">
        <v>20</v>
      </c>
      <c r="D161" s="3" t="s">
        <v>51</v>
      </c>
      <c r="E161" s="3" t="s">
        <v>38</v>
      </c>
      <c r="F161" s="3">
        <v>24559.01</v>
      </c>
      <c r="G161" s="3">
        <v>870116</v>
      </c>
      <c r="H161" s="3">
        <v>15496</v>
      </c>
      <c r="I161" s="3">
        <v>211221.6</v>
      </c>
      <c r="J161" s="3">
        <v>25</v>
      </c>
      <c r="K161" s="15">
        <f t="shared" si="22"/>
        <v>1.7809119703579752E-2</v>
      </c>
      <c r="L161" s="16">
        <f t="shared" si="32"/>
        <v>1.5848612545172946</v>
      </c>
      <c r="M161" s="16">
        <f t="shared" si="23"/>
        <v>28.22498379526408</v>
      </c>
      <c r="N161" s="16">
        <f t="shared" si="24"/>
        <v>8.6005746974328368</v>
      </c>
      <c r="O161" s="16">
        <f t="shared" si="25"/>
        <v>7.6005746974328368</v>
      </c>
      <c r="P161" s="1">
        <v>2023</v>
      </c>
      <c r="Q161" s="1" t="s">
        <v>45</v>
      </c>
      <c r="R161" s="1" t="s">
        <v>46</v>
      </c>
      <c r="S161" s="70">
        <f>DATE(Table2[[#This Row],[Year]],MONTH(DATEVALUE("1-"&amp;Table2[[#This Row],[Month]]&amp;"-2000")),1)</f>
        <v>45047</v>
      </c>
      <c r="T161" s="16">
        <f t="shared" si="26"/>
        <v>13.630717604543108</v>
      </c>
      <c r="U161" s="16">
        <f t="shared" si="27"/>
        <v>0.24275108146500007</v>
      </c>
      <c r="V161" s="16">
        <f t="shared" si="28"/>
        <v>982.36039999999991</v>
      </c>
      <c r="W161" s="16">
        <f t="shared" si="29"/>
        <v>8448.8639999999996</v>
      </c>
      <c r="X161" s="16">
        <f t="shared" si="30"/>
        <v>619.84</v>
      </c>
      <c r="Y161" s="16">
        <f t="shared" si="31"/>
        <v>34804.639999999999</v>
      </c>
      <c r="Z161" s="7" t="str" cm="1">
        <f t="array" ref="Z161">_xlfn.IFS(K161&lt;2%,"Low",K161&lt;5%,"Medium",K161&lt;10%,"Good",K161&gt;10%,"Excellent")</f>
        <v>Low</v>
      </c>
      <c r="AA161" s="16" t="str">
        <f>Data_Validation!N159</f>
        <v>Pass</v>
      </c>
    </row>
    <row r="162" spans="1:27" x14ac:dyDescent="0.35">
      <c r="A162" s="17" t="s">
        <v>66</v>
      </c>
      <c r="B162" s="3" t="s">
        <v>19</v>
      </c>
      <c r="C162" s="3" t="s">
        <v>20</v>
      </c>
      <c r="D162" s="3" t="s">
        <v>43</v>
      </c>
      <c r="E162" s="3" t="s">
        <v>38</v>
      </c>
      <c r="F162" s="3">
        <v>12583.67</v>
      </c>
      <c r="G162" s="3">
        <v>162446</v>
      </c>
      <c r="H162" s="3">
        <v>30118</v>
      </c>
      <c r="I162" s="3">
        <v>232313.77</v>
      </c>
      <c r="J162" s="3">
        <v>7</v>
      </c>
      <c r="K162" s="15">
        <f t="shared" si="22"/>
        <v>0.18540314935424695</v>
      </c>
      <c r="L162" s="16">
        <f t="shared" si="32"/>
        <v>0.41781227173119068</v>
      </c>
      <c r="M162" s="16">
        <f t="shared" si="23"/>
        <v>77.463711017815157</v>
      </c>
      <c r="N162" s="16">
        <f t="shared" si="24"/>
        <v>18.461527519396167</v>
      </c>
      <c r="O162" s="16">
        <f t="shared" si="25"/>
        <v>17.461527519396167</v>
      </c>
      <c r="P162" s="1">
        <v>2023</v>
      </c>
      <c r="Q162" s="1" t="s">
        <v>45</v>
      </c>
      <c r="R162" s="1" t="s">
        <v>46</v>
      </c>
      <c r="S162" s="70">
        <f>DATE(Table2[[#This Row],[Year]],MONTH(DATEVALUE("1-"&amp;Table2[[#This Row],[Month]]&amp;"-2000")),1)</f>
        <v>45047</v>
      </c>
      <c r="T162" s="16">
        <f t="shared" si="26"/>
        <v>7.7134527525068064</v>
      </c>
      <c r="U162" s="16">
        <f t="shared" si="27"/>
        <v>1.4300984327099466</v>
      </c>
      <c r="V162" s="16">
        <f t="shared" si="28"/>
        <v>1797.6671428571428</v>
      </c>
      <c r="W162" s="16">
        <f t="shared" si="29"/>
        <v>33187.681428571428</v>
      </c>
      <c r="X162" s="16">
        <f t="shared" si="30"/>
        <v>4302.5714285714284</v>
      </c>
      <c r="Y162" s="16">
        <f t="shared" si="31"/>
        <v>23206.571428571428</v>
      </c>
      <c r="Z162" s="7" t="str" cm="1">
        <f t="array" ref="Z162">_xlfn.IFS(K162&lt;2%,"Low",K162&lt;5%,"Medium",K162&lt;10%,"Good",K162&gt;10%,"Excellent")</f>
        <v>Excellent</v>
      </c>
      <c r="AA162" s="16" t="str">
        <f>Data_Validation!N160</f>
        <v>Pass</v>
      </c>
    </row>
    <row r="163" spans="1:27" x14ac:dyDescent="0.35">
      <c r="A163" s="17" t="s">
        <v>90</v>
      </c>
      <c r="B163" s="3" t="s">
        <v>35</v>
      </c>
      <c r="C163" s="3" t="s">
        <v>58</v>
      </c>
      <c r="D163" s="3" t="s">
        <v>63</v>
      </c>
      <c r="E163" s="3" t="s">
        <v>38</v>
      </c>
      <c r="F163" s="3">
        <v>36724.800000000003</v>
      </c>
      <c r="G163" s="3">
        <v>302047</v>
      </c>
      <c r="H163" s="3">
        <v>46859</v>
      </c>
      <c r="I163" s="3">
        <v>192663.18</v>
      </c>
      <c r="J163" s="3">
        <v>20</v>
      </c>
      <c r="K163" s="15">
        <f t="shared" si="22"/>
        <v>0.15513810764549887</v>
      </c>
      <c r="L163" s="16">
        <f t="shared" si="32"/>
        <v>0.78372991314368645</v>
      </c>
      <c r="M163" s="16">
        <f t="shared" si="23"/>
        <v>121.58637563028272</v>
      </c>
      <c r="N163" s="16">
        <f t="shared" si="24"/>
        <v>5.246132858449875</v>
      </c>
      <c r="O163" s="16">
        <f t="shared" si="25"/>
        <v>4.2461328584498759</v>
      </c>
      <c r="P163" s="1">
        <v>2023</v>
      </c>
      <c r="Q163" s="1" t="s">
        <v>45</v>
      </c>
      <c r="R163" s="1" t="s">
        <v>46</v>
      </c>
      <c r="S163" s="70">
        <f>DATE(Table2[[#This Row],[Year]],MONTH(DATEVALUE("1-"&amp;Table2[[#This Row],[Month]]&amp;"-2000")),1)</f>
        <v>45047</v>
      </c>
      <c r="T163" s="16">
        <f t="shared" si="26"/>
        <v>4.1115512494931599</v>
      </c>
      <c r="U163" s="16">
        <f t="shared" si="27"/>
        <v>0.63785828033385528</v>
      </c>
      <c r="V163" s="16">
        <f t="shared" si="28"/>
        <v>1836.2400000000002</v>
      </c>
      <c r="W163" s="16">
        <f t="shared" si="29"/>
        <v>9633.1589999999997</v>
      </c>
      <c r="X163" s="16">
        <f t="shared" si="30"/>
        <v>2342.9499999999998</v>
      </c>
      <c r="Y163" s="16">
        <f t="shared" si="31"/>
        <v>15102.35</v>
      </c>
      <c r="Z163" s="7" t="str" cm="1">
        <f t="array" ref="Z163">_xlfn.IFS(K163&lt;2%,"Low",K163&lt;5%,"Medium",K163&lt;10%,"Good",K163&gt;10%,"Excellent")</f>
        <v>Excellent</v>
      </c>
      <c r="AA163" s="16" t="str">
        <f>Data_Validation!N161</f>
        <v>Pass</v>
      </c>
    </row>
    <row r="164" spans="1:27" x14ac:dyDescent="0.35">
      <c r="A164" s="17" t="s">
        <v>103</v>
      </c>
      <c r="B164" s="3" t="s">
        <v>48</v>
      </c>
      <c r="C164" s="3" t="s">
        <v>69</v>
      </c>
      <c r="D164" s="3" t="s">
        <v>59</v>
      </c>
      <c r="E164" s="3" t="s">
        <v>38</v>
      </c>
      <c r="F164" s="3">
        <v>4836.5</v>
      </c>
      <c r="G164" s="3">
        <v>458580</v>
      </c>
      <c r="H164" s="3">
        <v>13359</v>
      </c>
      <c r="I164" s="3">
        <v>248945.05</v>
      </c>
      <c r="J164" s="3">
        <v>60</v>
      </c>
      <c r="K164" s="15">
        <f t="shared" si="22"/>
        <v>2.9131231191940339E-2</v>
      </c>
      <c r="L164" s="16">
        <f t="shared" si="32"/>
        <v>0.36204057189909422</v>
      </c>
      <c r="M164" s="16">
        <f t="shared" si="23"/>
        <v>10.546687600854813</v>
      </c>
      <c r="N164" s="16">
        <f t="shared" si="24"/>
        <v>51.472149281505217</v>
      </c>
      <c r="O164" s="16">
        <f t="shared" si="25"/>
        <v>50.472149281505217</v>
      </c>
      <c r="P164" s="1">
        <v>2023</v>
      </c>
      <c r="Q164" s="1" t="s">
        <v>45</v>
      </c>
      <c r="R164" s="1" t="s">
        <v>46</v>
      </c>
      <c r="S164" s="70">
        <f>DATE(Table2[[#This Row],[Year]],MONTH(DATEVALUE("1-"&amp;Table2[[#This Row],[Month]]&amp;"-2000")),1)</f>
        <v>45047</v>
      </c>
      <c r="T164" s="16">
        <f t="shared" si="26"/>
        <v>18.635006362751703</v>
      </c>
      <c r="U164" s="16">
        <f t="shared" si="27"/>
        <v>0.54286067861659903</v>
      </c>
      <c r="V164" s="16">
        <f t="shared" si="28"/>
        <v>80.608333333333334</v>
      </c>
      <c r="W164" s="16">
        <f t="shared" si="29"/>
        <v>4149.0841666666665</v>
      </c>
      <c r="X164" s="16">
        <f t="shared" si="30"/>
        <v>222.65</v>
      </c>
      <c r="Y164" s="16">
        <f t="shared" si="31"/>
        <v>7643</v>
      </c>
      <c r="Z164" s="7" t="str" cm="1">
        <f t="array" ref="Z164">_xlfn.IFS(K164&lt;2%,"Low",K164&lt;5%,"Medium",K164&lt;10%,"Good",K164&gt;10%,"Excellent")</f>
        <v>Medium</v>
      </c>
      <c r="AA164" s="16" t="str">
        <f>Data_Validation!N162</f>
        <v>Pass</v>
      </c>
    </row>
    <row r="165" spans="1:27" x14ac:dyDescent="0.35">
      <c r="A165" s="17" t="s">
        <v>87</v>
      </c>
      <c r="B165" s="3" t="s">
        <v>19</v>
      </c>
      <c r="C165" s="3" t="s">
        <v>58</v>
      </c>
      <c r="D165" s="3" t="s">
        <v>21</v>
      </c>
      <c r="E165" s="3" t="s">
        <v>38</v>
      </c>
      <c r="F165" s="3">
        <v>8498.4500000000007</v>
      </c>
      <c r="G165" s="3">
        <v>239540</v>
      </c>
      <c r="H165" s="3">
        <v>25809</v>
      </c>
      <c r="I165" s="3">
        <v>50004.97</v>
      </c>
      <c r="J165" s="3">
        <v>53</v>
      </c>
      <c r="K165" s="15">
        <f t="shared" si="22"/>
        <v>0.10774400935125658</v>
      </c>
      <c r="L165" s="16">
        <f t="shared" si="32"/>
        <v>0.32928242086094001</v>
      </c>
      <c r="M165" s="16">
        <f t="shared" si="23"/>
        <v>35.478208232445525</v>
      </c>
      <c r="N165" s="16">
        <f t="shared" si="24"/>
        <v>5.8840106137001449</v>
      </c>
      <c r="O165" s="16">
        <f t="shared" si="25"/>
        <v>4.8840106137001458</v>
      </c>
      <c r="P165" s="1">
        <v>2023</v>
      </c>
      <c r="Q165" s="1" t="s">
        <v>45</v>
      </c>
      <c r="R165" s="1" t="s">
        <v>46</v>
      </c>
      <c r="S165" s="70">
        <f>DATE(Table2[[#This Row],[Year]],MONTH(DATEVALUE("1-"&amp;Table2[[#This Row],[Month]]&amp;"-2000")),1)</f>
        <v>45047</v>
      </c>
      <c r="T165" s="16">
        <f t="shared" si="26"/>
        <v>1.9375012592506491</v>
      </c>
      <c r="U165" s="16">
        <f t="shared" si="27"/>
        <v>0.20875415379477333</v>
      </c>
      <c r="V165" s="16">
        <f t="shared" si="28"/>
        <v>160.34811320754719</v>
      </c>
      <c r="W165" s="16">
        <f t="shared" si="29"/>
        <v>943.49</v>
      </c>
      <c r="X165" s="16">
        <f t="shared" si="30"/>
        <v>486.96226415094338</v>
      </c>
      <c r="Y165" s="16">
        <f t="shared" si="31"/>
        <v>4519.6226415094343</v>
      </c>
      <c r="Z165" s="7" t="str" cm="1">
        <f t="array" ref="Z165">_xlfn.IFS(K165&lt;2%,"Low",K165&lt;5%,"Medium",K165&lt;10%,"Good",K165&gt;10%,"Excellent")</f>
        <v>Excellent</v>
      </c>
      <c r="AA165" s="16" t="str">
        <f>Data_Validation!N163</f>
        <v>Pass</v>
      </c>
    </row>
    <row r="166" spans="1:27" x14ac:dyDescent="0.35">
      <c r="A166" s="17" t="s">
        <v>113</v>
      </c>
      <c r="B166" s="3" t="s">
        <v>19</v>
      </c>
      <c r="C166" s="3" t="s">
        <v>36</v>
      </c>
      <c r="D166" s="3" t="s">
        <v>21</v>
      </c>
      <c r="E166" s="3" t="s">
        <v>38</v>
      </c>
      <c r="F166" s="3">
        <v>1048.42</v>
      </c>
      <c r="G166" s="3">
        <v>137378</v>
      </c>
      <c r="H166" s="3">
        <v>10991</v>
      </c>
      <c r="I166" s="3">
        <v>53355.06</v>
      </c>
      <c r="J166" s="3">
        <v>54</v>
      </c>
      <c r="K166" s="15">
        <f t="shared" si="22"/>
        <v>8.0005532181280842E-2</v>
      </c>
      <c r="L166" s="16">
        <f t="shared" si="32"/>
        <v>9.5388954599217549E-2</v>
      </c>
      <c r="M166" s="16">
        <f t="shared" si="23"/>
        <v>7.6316440769264373</v>
      </c>
      <c r="N166" s="16">
        <f t="shared" si="24"/>
        <v>50.890921577230493</v>
      </c>
      <c r="O166" s="16">
        <f t="shared" si="25"/>
        <v>49.890921577230493</v>
      </c>
      <c r="P166" s="1">
        <v>2023</v>
      </c>
      <c r="Q166" s="1" t="s">
        <v>45</v>
      </c>
      <c r="R166" s="1" t="s">
        <v>46</v>
      </c>
      <c r="S166" s="70">
        <f>DATE(Table2[[#This Row],[Year]],MONTH(DATEVALUE("1-"&amp;Table2[[#This Row],[Month]]&amp;"-2000")),1)</f>
        <v>45047</v>
      </c>
      <c r="T166" s="16">
        <f t="shared" si="26"/>
        <v>4.8544318078427802</v>
      </c>
      <c r="U166" s="16">
        <f t="shared" si="27"/>
        <v>0.38838140022419892</v>
      </c>
      <c r="V166" s="16">
        <f t="shared" si="28"/>
        <v>19.415185185185187</v>
      </c>
      <c r="W166" s="16">
        <f t="shared" si="29"/>
        <v>988.05666666666662</v>
      </c>
      <c r="X166" s="16">
        <f t="shared" si="30"/>
        <v>203.53703703703704</v>
      </c>
      <c r="Y166" s="16">
        <f t="shared" si="31"/>
        <v>2544.037037037037</v>
      </c>
      <c r="Z166" s="7" t="str" cm="1">
        <f t="array" ref="Z166">_xlfn.IFS(K166&lt;2%,"Low",K166&lt;5%,"Medium",K166&lt;10%,"Good",K166&gt;10%,"Excellent")</f>
        <v>Good</v>
      </c>
      <c r="AA166" s="16" t="str">
        <f>Data_Validation!N164</f>
        <v>Pass</v>
      </c>
    </row>
    <row r="167" spans="1:27" x14ac:dyDescent="0.35">
      <c r="A167" s="17" t="s">
        <v>91</v>
      </c>
      <c r="B167" s="3" t="s">
        <v>48</v>
      </c>
      <c r="C167" s="3" t="s">
        <v>58</v>
      </c>
      <c r="D167" s="3" t="s">
        <v>37</v>
      </c>
      <c r="E167" s="3" t="s">
        <v>38</v>
      </c>
      <c r="F167" s="3">
        <v>14760.3</v>
      </c>
      <c r="G167" s="3">
        <v>715756</v>
      </c>
      <c r="H167" s="3">
        <v>36062</v>
      </c>
      <c r="I167" s="3">
        <v>246868.8</v>
      </c>
      <c r="J167" s="3">
        <v>37</v>
      </c>
      <c r="K167" s="15">
        <f t="shared" si="22"/>
        <v>5.0383091444570496E-2</v>
      </c>
      <c r="L167" s="16">
        <f t="shared" si="32"/>
        <v>0.40930342188453217</v>
      </c>
      <c r="M167" s="16">
        <f t="shared" si="23"/>
        <v>20.621971733384001</v>
      </c>
      <c r="N167" s="16">
        <f t="shared" si="24"/>
        <v>16.725188512428609</v>
      </c>
      <c r="O167" s="16">
        <f t="shared" si="25"/>
        <v>15.725188512428611</v>
      </c>
      <c r="P167" s="1">
        <v>2023</v>
      </c>
      <c r="Q167" s="1" t="s">
        <v>45</v>
      </c>
      <c r="R167" s="1" t="s">
        <v>46</v>
      </c>
      <c r="S167" s="70">
        <f>DATE(Table2[[#This Row],[Year]],MONTH(DATEVALUE("1-"&amp;Table2[[#This Row],[Month]]&amp;"-2000")),1)</f>
        <v>45047</v>
      </c>
      <c r="T167" s="16">
        <f t="shared" si="26"/>
        <v>6.8456768898008979</v>
      </c>
      <c r="U167" s="16">
        <f t="shared" si="27"/>
        <v>0.34490636473882158</v>
      </c>
      <c r="V167" s="16">
        <f t="shared" si="28"/>
        <v>398.92702702702701</v>
      </c>
      <c r="W167" s="16">
        <f t="shared" si="29"/>
        <v>6672.1297297297297</v>
      </c>
      <c r="X167" s="16">
        <f t="shared" si="30"/>
        <v>974.64864864864865</v>
      </c>
      <c r="Y167" s="16">
        <f t="shared" si="31"/>
        <v>19344.756756756757</v>
      </c>
      <c r="Z167" s="7" t="str" cm="1">
        <f t="array" ref="Z167">_xlfn.IFS(K167&lt;2%,"Low",K167&lt;5%,"Medium",K167&lt;10%,"Good",K167&gt;10%,"Excellent")</f>
        <v>Good</v>
      </c>
      <c r="AA167" s="16" t="str">
        <f>Data_Validation!N165</f>
        <v>Pass</v>
      </c>
    </row>
    <row r="168" spans="1:27" x14ac:dyDescent="0.35">
      <c r="A168" s="17" t="s">
        <v>100</v>
      </c>
      <c r="B168" s="3" t="s">
        <v>35</v>
      </c>
      <c r="C168" s="3" t="s">
        <v>20</v>
      </c>
      <c r="D168" s="3" t="s">
        <v>43</v>
      </c>
      <c r="E168" s="3" t="s">
        <v>30</v>
      </c>
      <c r="F168" s="3">
        <v>10449.950000000001</v>
      </c>
      <c r="G168" s="3">
        <v>317643</v>
      </c>
      <c r="H168" s="3">
        <v>7900</v>
      </c>
      <c r="I168" s="3">
        <v>87518.03</v>
      </c>
      <c r="J168" s="3">
        <v>31</v>
      </c>
      <c r="K168" s="15">
        <f t="shared" si="22"/>
        <v>2.4870688162496893E-2</v>
      </c>
      <c r="L168" s="16">
        <f t="shared" si="32"/>
        <v>1.3227784810126584</v>
      </c>
      <c r="M168" s="16">
        <f t="shared" si="23"/>
        <v>32.898411109327142</v>
      </c>
      <c r="N168" s="16">
        <f t="shared" si="24"/>
        <v>8.3749711721108699</v>
      </c>
      <c r="O168" s="16">
        <f t="shared" si="25"/>
        <v>7.3749711721108708</v>
      </c>
      <c r="P168" s="1">
        <v>2023</v>
      </c>
      <c r="Q168" s="1" t="s">
        <v>45</v>
      </c>
      <c r="R168" s="1" t="s">
        <v>46</v>
      </c>
      <c r="S168" s="70">
        <f>DATE(Table2[[#This Row],[Year]],MONTH(DATEVALUE("1-"&amp;Table2[[#This Row],[Month]]&amp;"-2000")),1)</f>
        <v>45047</v>
      </c>
      <c r="T168" s="16">
        <f t="shared" si="26"/>
        <v>11.07823164556962</v>
      </c>
      <c r="U168" s="16">
        <f t="shared" si="27"/>
        <v>0.27552324464886679</v>
      </c>
      <c r="V168" s="16">
        <f t="shared" si="28"/>
        <v>337.09516129032261</v>
      </c>
      <c r="W168" s="16">
        <f t="shared" si="29"/>
        <v>2823.1622580645162</v>
      </c>
      <c r="X168" s="16">
        <f t="shared" si="30"/>
        <v>254.83870967741936</v>
      </c>
      <c r="Y168" s="16">
        <f t="shared" si="31"/>
        <v>10246.548387096775</v>
      </c>
      <c r="Z168" s="7" t="str" cm="1">
        <f t="array" ref="Z168">_xlfn.IFS(K168&lt;2%,"Low",K168&lt;5%,"Medium",K168&lt;10%,"Good",K168&gt;10%,"Excellent")</f>
        <v>Medium</v>
      </c>
      <c r="AA168" s="16" t="str">
        <f>Data_Validation!N166</f>
        <v>Pass</v>
      </c>
    </row>
    <row r="169" spans="1:27" x14ac:dyDescent="0.35">
      <c r="A169" s="17" t="s">
        <v>68</v>
      </c>
      <c r="B169" s="3" t="s">
        <v>48</v>
      </c>
      <c r="C169" s="3" t="s">
        <v>20</v>
      </c>
      <c r="D169" s="3" t="s">
        <v>51</v>
      </c>
      <c r="E169" s="3" t="s">
        <v>30</v>
      </c>
      <c r="F169" s="3">
        <v>16135.08</v>
      </c>
      <c r="G169" s="3">
        <v>287932</v>
      </c>
      <c r="H169" s="3">
        <v>34681</v>
      </c>
      <c r="I169" s="3">
        <v>218746.1</v>
      </c>
      <c r="J169" s="3">
        <v>48</v>
      </c>
      <c r="K169" s="15">
        <f t="shared" si="22"/>
        <v>0.12044857813650445</v>
      </c>
      <c r="L169" s="16">
        <f t="shared" si="32"/>
        <v>0.46524264006228194</v>
      </c>
      <c r="M169" s="16">
        <f t="shared" si="23"/>
        <v>56.037814483975389</v>
      </c>
      <c r="N169" s="16">
        <f t="shared" si="24"/>
        <v>13.557174801736341</v>
      </c>
      <c r="O169" s="16">
        <f t="shared" si="25"/>
        <v>12.557174801736343</v>
      </c>
      <c r="P169" s="1">
        <v>2023</v>
      </c>
      <c r="Q169" s="1" t="s">
        <v>45</v>
      </c>
      <c r="R169" s="1" t="s">
        <v>46</v>
      </c>
      <c r="S169" s="70">
        <f>DATE(Table2[[#This Row],[Year]],MONTH(DATEVALUE("1-"&amp;Table2[[#This Row],[Month]]&amp;"-2000")),1)</f>
        <v>45047</v>
      </c>
      <c r="T169" s="16">
        <f t="shared" si="26"/>
        <v>6.3073757965456592</v>
      </c>
      <c r="U169" s="16">
        <f t="shared" si="27"/>
        <v>0.75971444646652686</v>
      </c>
      <c r="V169" s="16">
        <f t="shared" si="28"/>
        <v>336.14749999999998</v>
      </c>
      <c r="W169" s="16">
        <f t="shared" si="29"/>
        <v>4557.2104166666668</v>
      </c>
      <c r="X169" s="16">
        <f t="shared" si="30"/>
        <v>722.52083333333337</v>
      </c>
      <c r="Y169" s="16">
        <f t="shared" si="31"/>
        <v>5998.583333333333</v>
      </c>
      <c r="Z169" s="7" t="str" cm="1">
        <f t="array" ref="Z169">_xlfn.IFS(K169&lt;2%,"Low",K169&lt;5%,"Medium",K169&lt;10%,"Good",K169&gt;10%,"Excellent")</f>
        <v>Excellent</v>
      </c>
      <c r="AA169" s="16" t="str">
        <f>Data_Validation!N167</f>
        <v>Pass</v>
      </c>
    </row>
    <row r="170" spans="1:27" x14ac:dyDescent="0.35">
      <c r="A170" s="17" t="s">
        <v>34</v>
      </c>
      <c r="B170" s="3" t="s">
        <v>48</v>
      </c>
      <c r="C170" s="3" t="s">
        <v>29</v>
      </c>
      <c r="D170" s="3" t="s">
        <v>43</v>
      </c>
      <c r="E170" s="3" t="s">
        <v>30</v>
      </c>
      <c r="F170" s="3">
        <v>19405.990000000002</v>
      </c>
      <c r="G170" s="3">
        <v>365556</v>
      </c>
      <c r="H170" s="3">
        <v>36658</v>
      </c>
      <c r="I170" s="3">
        <v>235042.4</v>
      </c>
      <c r="J170" s="3">
        <v>12</v>
      </c>
      <c r="K170" s="15">
        <f t="shared" si="22"/>
        <v>0.10028012123997418</v>
      </c>
      <c r="L170" s="16">
        <f t="shared" si="32"/>
        <v>0.52937939876698137</v>
      </c>
      <c r="M170" s="16">
        <f t="shared" si="23"/>
        <v>53.086230290297529</v>
      </c>
      <c r="N170" s="16">
        <f t="shared" si="24"/>
        <v>12.111847939734071</v>
      </c>
      <c r="O170" s="16">
        <f t="shared" si="25"/>
        <v>11.111847939734071</v>
      </c>
      <c r="P170" s="1">
        <v>2023</v>
      </c>
      <c r="Q170" s="1" t="s">
        <v>45</v>
      </c>
      <c r="R170" s="1" t="s">
        <v>46</v>
      </c>
      <c r="S170" s="70">
        <f>DATE(Table2[[#This Row],[Year]],MONTH(DATEVALUE("1-"&amp;Table2[[#This Row],[Month]]&amp;"-2000")),1)</f>
        <v>45047</v>
      </c>
      <c r="T170" s="16">
        <f t="shared" si="26"/>
        <v>6.4117627802935235</v>
      </c>
      <c r="U170" s="16">
        <f t="shared" si="27"/>
        <v>0.6429723489697885</v>
      </c>
      <c r="V170" s="16">
        <f t="shared" si="28"/>
        <v>1617.1658333333335</v>
      </c>
      <c r="W170" s="16">
        <f t="shared" si="29"/>
        <v>19586.866666666665</v>
      </c>
      <c r="X170" s="16">
        <f t="shared" si="30"/>
        <v>3054.8333333333335</v>
      </c>
      <c r="Y170" s="16">
        <f t="shared" si="31"/>
        <v>30463</v>
      </c>
      <c r="Z170" s="7" t="str" cm="1">
        <f t="array" ref="Z170">_xlfn.IFS(K170&lt;2%,"Low",K170&lt;5%,"Medium",K170&lt;10%,"Good",K170&gt;10%,"Excellent")</f>
        <v>Excellent</v>
      </c>
      <c r="AA170" s="16" t="str">
        <f>Data_Validation!N168</f>
        <v>Pass</v>
      </c>
    </row>
    <row r="171" spans="1:27" x14ac:dyDescent="0.35">
      <c r="A171" s="17" t="s">
        <v>70</v>
      </c>
      <c r="B171" s="3" t="s">
        <v>48</v>
      </c>
      <c r="C171" s="3" t="s">
        <v>20</v>
      </c>
      <c r="D171" s="3" t="s">
        <v>63</v>
      </c>
      <c r="E171" s="3" t="s">
        <v>22</v>
      </c>
      <c r="F171" s="3">
        <v>16725.650000000001</v>
      </c>
      <c r="G171" s="3">
        <v>738205</v>
      </c>
      <c r="H171" s="3">
        <v>14035</v>
      </c>
      <c r="I171" s="3">
        <v>116580.93</v>
      </c>
      <c r="J171" s="3">
        <v>51</v>
      </c>
      <c r="K171" s="15">
        <f t="shared" si="22"/>
        <v>1.9012333972270576E-2</v>
      </c>
      <c r="L171" s="16">
        <f t="shared" si="32"/>
        <v>1.1917100106875669</v>
      </c>
      <c r="M171" s="16">
        <f t="shared" si="23"/>
        <v>22.657188721290158</v>
      </c>
      <c r="N171" s="16">
        <f t="shared" si="24"/>
        <v>6.9701883035935817</v>
      </c>
      <c r="O171" s="16">
        <f t="shared" si="25"/>
        <v>5.9701883035935817</v>
      </c>
      <c r="P171" s="1">
        <v>2023</v>
      </c>
      <c r="Q171" s="1" t="s">
        <v>45</v>
      </c>
      <c r="R171" s="1" t="s">
        <v>46</v>
      </c>
      <c r="S171" s="70">
        <f>DATE(Table2[[#This Row],[Year]],MONTH(DATEVALUE("1-"&amp;Table2[[#This Row],[Month]]&amp;"-2000")),1)</f>
        <v>45047</v>
      </c>
      <c r="T171" s="16">
        <f t="shared" si="26"/>
        <v>8.3064431777698609</v>
      </c>
      <c r="U171" s="16">
        <f t="shared" si="27"/>
        <v>0.15792487181744908</v>
      </c>
      <c r="V171" s="16">
        <f t="shared" si="28"/>
        <v>327.95392156862749</v>
      </c>
      <c r="W171" s="16">
        <f t="shared" si="29"/>
        <v>2285.900588235294</v>
      </c>
      <c r="X171" s="16">
        <f t="shared" si="30"/>
        <v>275.19607843137254</v>
      </c>
      <c r="Y171" s="16">
        <f t="shared" si="31"/>
        <v>14474.607843137255</v>
      </c>
      <c r="Z171" s="7" t="str" cm="1">
        <f t="array" ref="Z171">_xlfn.IFS(K171&lt;2%,"Low",K171&lt;5%,"Medium",K171&lt;10%,"Good",K171&gt;10%,"Excellent")</f>
        <v>Low</v>
      </c>
      <c r="AA171" s="16" t="str">
        <f>Data_Validation!N169</f>
        <v>Pass</v>
      </c>
    </row>
    <row r="172" spans="1:27" x14ac:dyDescent="0.35">
      <c r="A172" s="17" t="s">
        <v>85</v>
      </c>
      <c r="B172" s="3" t="s">
        <v>28</v>
      </c>
      <c r="C172" s="3" t="s">
        <v>29</v>
      </c>
      <c r="D172" s="3" t="s">
        <v>59</v>
      </c>
      <c r="E172" s="3" t="s">
        <v>22</v>
      </c>
      <c r="F172" s="3">
        <v>12995.75</v>
      </c>
      <c r="G172" s="3">
        <v>344617</v>
      </c>
      <c r="H172" s="3">
        <v>15942</v>
      </c>
      <c r="I172" s="3">
        <v>119285.78</v>
      </c>
      <c r="J172" s="3">
        <v>54</v>
      </c>
      <c r="K172" s="15">
        <f t="shared" si="22"/>
        <v>4.6260051013153732E-2</v>
      </c>
      <c r="L172" s="16">
        <f t="shared" si="32"/>
        <v>0.81518943670806676</v>
      </c>
      <c r="M172" s="16">
        <f t="shared" si="23"/>
        <v>37.710704927499222</v>
      </c>
      <c r="N172" s="16">
        <f t="shared" si="24"/>
        <v>9.1788300021160758</v>
      </c>
      <c r="O172" s="16">
        <f t="shared" si="25"/>
        <v>8.1788300021160758</v>
      </c>
      <c r="P172" s="1">
        <v>2023</v>
      </c>
      <c r="Q172" s="1" t="s">
        <v>45</v>
      </c>
      <c r="R172" s="1" t="s">
        <v>46</v>
      </c>
      <c r="S172" s="70">
        <f>DATE(Table2[[#This Row],[Year]],MONTH(DATEVALUE("1-"&amp;Table2[[#This Row],[Month]]&amp;"-2000")),1)</f>
        <v>45047</v>
      </c>
      <c r="T172" s="16">
        <f t="shared" si="26"/>
        <v>7.4824852590641076</v>
      </c>
      <c r="U172" s="16">
        <f t="shared" si="27"/>
        <v>0.34614014978947644</v>
      </c>
      <c r="V172" s="16">
        <f t="shared" si="28"/>
        <v>240.66203703703704</v>
      </c>
      <c r="W172" s="16">
        <f t="shared" si="29"/>
        <v>2208.9959259259258</v>
      </c>
      <c r="X172" s="16">
        <f t="shared" si="30"/>
        <v>295.22222222222223</v>
      </c>
      <c r="Y172" s="16">
        <f t="shared" si="31"/>
        <v>6381.7962962962965</v>
      </c>
      <c r="Z172" s="7" t="str" cm="1">
        <f t="array" ref="Z172">_xlfn.IFS(K172&lt;2%,"Low",K172&lt;5%,"Medium",K172&lt;10%,"Good",K172&gt;10%,"Excellent")</f>
        <v>Medium</v>
      </c>
      <c r="AA172" s="16" t="str">
        <f>Data_Validation!N170</f>
        <v>Pass</v>
      </c>
    </row>
    <row r="173" spans="1:27" x14ac:dyDescent="0.35">
      <c r="A173" s="17" t="s">
        <v>95</v>
      </c>
      <c r="B173" s="3" t="s">
        <v>28</v>
      </c>
      <c r="C173" s="3" t="s">
        <v>29</v>
      </c>
      <c r="D173" s="3" t="s">
        <v>37</v>
      </c>
      <c r="E173" s="3" t="s">
        <v>38</v>
      </c>
      <c r="F173" s="3">
        <v>21526.43</v>
      </c>
      <c r="G173" s="3">
        <v>484409</v>
      </c>
      <c r="H173" s="3">
        <v>40763</v>
      </c>
      <c r="I173" s="3">
        <v>130798.69</v>
      </c>
      <c r="J173" s="3">
        <v>20</v>
      </c>
      <c r="K173" s="15">
        <f t="shared" si="22"/>
        <v>8.4149964183159273E-2</v>
      </c>
      <c r="L173" s="16">
        <f t="shared" si="32"/>
        <v>0.52808748129431105</v>
      </c>
      <c r="M173" s="16">
        <f t="shared" si="23"/>
        <v>44.438542636491064</v>
      </c>
      <c r="N173" s="16">
        <f t="shared" si="24"/>
        <v>6.0761905248571173</v>
      </c>
      <c r="O173" s="16">
        <f t="shared" si="25"/>
        <v>5.0761905248571182</v>
      </c>
      <c r="P173" s="1">
        <v>2023</v>
      </c>
      <c r="Q173" s="1" t="s">
        <v>45</v>
      </c>
      <c r="R173" s="1" t="s">
        <v>46</v>
      </c>
      <c r="S173" s="70">
        <f>DATE(Table2[[#This Row],[Year]],MONTH(DATEVALUE("1-"&amp;Table2[[#This Row],[Month]]&amp;"-2000")),1)</f>
        <v>45047</v>
      </c>
      <c r="T173" s="16">
        <f t="shared" si="26"/>
        <v>3.2087601501361531</v>
      </c>
      <c r="U173" s="16">
        <f t="shared" si="27"/>
        <v>0.27001705170630602</v>
      </c>
      <c r="V173" s="16">
        <f t="shared" si="28"/>
        <v>1076.3215</v>
      </c>
      <c r="W173" s="16">
        <f t="shared" si="29"/>
        <v>6539.9345000000003</v>
      </c>
      <c r="X173" s="16">
        <f t="shared" si="30"/>
        <v>2038.15</v>
      </c>
      <c r="Y173" s="16">
        <f t="shared" si="31"/>
        <v>24220.45</v>
      </c>
      <c r="Z173" s="7" t="str" cm="1">
        <f t="array" ref="Z173">_xlfn.IFS(K173&lt;2%,"Low",K173&lt;5%,"Medium",K173&lt;10%,"Good",K173&gt;10%,"Excellent")</f>
        <v>Good</v>
      </c>
      <c r="AA173" s="16" t="str">
        <f>Data_Validation!N171</f>
        <v>Pass</v>
      </c>
    </row>
    <row r="174" spans="1:27" x14ac:dyDescent="0.35">
      <c r="A174" s="17" t="s">
        <v>111</v>
      </c>
      <c r="B174" s="3" t="s">
        <v>28</v>
      </c>
      <c r="C174" s="3" t="s">
        <v>29</v>
      </c>
      <c r="D174" s="3" t="s">
        <v>43</v>
      </c>
      <c r="E174" s="3" t="s">
        <v>22</v>
      </c>
      <c r="F174" s="3">
        <v>17284.5</v>
      </c>
      <c r="G174" s="3">
        <v>447110</v>
      </c>
      <c r="H174" s="3">
        <v>44212</v>
      </c>
      <c r="I174" s="3">
        <v>164862.54999999999</v>
      </c>
      <c r="J174" s="3">
        <v>24</v>
      </c>
      <c r="K174" s="15">
        <f t="shared" si="22"/>
        <v>9.8883943548567471E-2</v>
      </c>
      <c r="L174" s="16">
        <f t="shared" si="32"/>
        <v>0.39094589704152721</v>
      </c>
      <c r="M174" s="16">
        <f t="shared" si="23"/>
        <v>38.658272013598442</v>
      </c>
      <c r="N174" s="16">
        <f t="shared" si="24"/>
        <v>9.5381729295033111</v>
      </c>
      <c r="O174" s="16">
        <f t="shared" si="25"/>
        <v>8.5381729295033111</v>
      </c>
      <c r="P174" s="1">
        <v>2023</v>
      </c>
      <c r="Q174" s="1" t="s">
        <v>45</v>
      </c>
      <c r="R174" s="1" t="s">
        <v>46</v>
      </c>
      <c r="S174" s="70">
        <f>DATE(Table2[[#This Row],[Year]],MONTH(DATEVALUE("1-"&amp;Table2[[#This Row],[Month]]&amp;"-2000")),1)</f>
        <v>45047</v>
      </c>
      <c r="T174" s="16">
        <f t="shared" si="26"/>
        <v>3.7289095720618834</v>
      </c>
      <c r="U174" s="16">
        <f t="shared" si="27"/>
        <v>0.36872928362148016</v>
      </c>
      <c r="V174" s="16">
        <f t="shared" si="28"/>
        <v>720.1875</v>
      </c>
      <c r="W174" s="16">
        <f t="shared" si="29"/>
        <v>6869.2729166666659</v>
      </c>
      <c r="X174" s="16">
        <f t="shared" si="30"/>
        <v>1842.1666666666667</v>
      </c>
      <c r="Y174" s="16">
        <f t="shared" si="31"/>
        <v>18629.583333333332</v>
      </c>
      <c r="Z174" s="7" t="str" cm="1">
        <f t="array" ref="Z174">_xlfn.IFS(K174&lt;2%,"Low",K174&lt;5%,"Medium",K174&lt;10%,"Good",K174&gt;10%,"Excellent")</f>
        <v>Good</v>
      </c>
      <c r="AA174" s="16" t="str">
        <f>Data_Validation!N172</f>
        <v>Pass</v>
      </c>
    </row>
    <row r="175" spans="1:27" x14ac:dyDescent="0.35">
      <c r="A175" s="17" t="s">
        <v>120</v>
      </c>
      <c r="B175" s="3" t="s">
        <v>48</v>
      </c>
      <c r="C175" s="3" t="s">
        <v>36</v>
      </c>
      <c r="D175" s="3" t="s">
        <v>51</v>
      </c>
      <c r="E175" s="3" t="s">
        <v>38</v>
      </c>
      <c r="F175" s="3">
        <v>45688.09</v>
      </c>
      <c r="G175" s="3">
        <v>142250</v>
      </c>
      <c r="H175" s="3">
        <v>10293</v>
      </c>
      <c r="I175" s="3">
        <v>89309.53</v>
      </c>
      <c r="J175" s="3">
        <v>13</v>
      </c>
      <c r="K175" s="15">
        <f t="shared" si="22"/>
        <v>7.2358523725834803E-2</v>
      </c>
      <c r="L175" s="16">
        <f t="shared" si="32"/>
        <v>4.4387535218109395</v>
      </c>
      <c r="M175" s="16">
        <f t="shared" si="23"/>
        <v>321.18165202108963</v>
      </c>
      <c r="N175" s="16">
        <f t="shared" si="24"/>
        <v>1.9547661108179397</v>
      </c>
      <c r="O175" s="16">
        <f t="shared" si="25"/>
        <v>0.95476611081793972</v>
      </c>
      <c r="P175" s="1">
        <v>2023</v>
      </c>
      <c r="Q175" s="1" t="s">
        <v>45</v>
      </c>
      <c r="R175" s="1" t="s">
        <v>46</v>
      </c>
      <c r="S175" s="70">
        <f>DATE(Table2[[#This Row],[Year]],MONTH(DATEVALUE("1-"&amp;Table2[[#This Row],[Month]]&amp;"-2000")),1)</f>
        <v>45047</v>
      </c>
      <c r="T175" s="16">
        <f t="shared" si="26"/>
        <v>8.6767249587098032</v>
      </c>
      <c r="U175" s="16">
        <f t="shared" si="27"/>
        <v>0.62783500878734622</v>
      </c>
      <c r="V175" s="16">
        <f t="shared" si="28"/>
        <v>3514.4684615384613</v>
      </c>
      <c r="W175" s="16">
        <f t="shared" si="29"/>
        <v>6869.9638461538461</v>
      </c>
      <c r="X175" s="16">
        <f t="shared" si="30"/>
        <v>791.76923076923072</v>
      </c>
      <c r="Y175" s="16">
        <f t="shared" si="31"/>
        <v>10942.307692307691</v>
      </c>
      <c r="Z175" s="7" t="str" cm="1">
        <f t="array" ref="Z175">_xlfn.IFS(K175&lt;2%,"Low",K175&lt;5%,"Medium",K175&lt;10%,"Good",K175&gt;10%,"Excellent")</f>
        <v>Good</v>
      </c>
      <c r="AA175" s="16" t="str">
        <f>Data_Validation!N173</f>
        <v>Pass</v>
      </c>
    </row>
    <row r="176" spans="1:27" x14ac:dyDescent="0.35">
      <c r="A176" s="17" t="s">
        <v>110</v>
      </c>
      <c r="B176" s="3" t="s">
        <v>48</v>
      </c>
      <c r="C176" s="3" t="s">
        <v>58</v>
      </c>
      <c r="D176" s="3" t="s">
        <v>63</v>
      </c>
      <c r="E176" s="3" t="s">
        <v>22</v>
      </c>
      <c r="F176" s="3">
        <v>15223.94</v>
      </c>
      <c r="G176" s="3">
        <v>24892</v>
      </c>
      <c r="H176" s="3">
        <v>48690</v>
      </c>
      <c r="I176" s="3">
        <v>32329.599999999999</v>
      </c>
      <c r="J176" s="3">
        <v>45</v>
      </c>
      <c r="K176" s="15">
        <f t="shared" si="22"/>
        <v>1.9560501365900691</v>
      </c>
      <c r="L176" s="16">
        <f t="shared" si="32"/>
        <v>0.31267077428630108</v>
      </c>
      <c r="M176" s="16">
        <f t="shared" si="23"/>
        <v>611.599710750442</v>
      </c>
      <c r="N176" s="16">
        <f t="shared" si="24"/>
        <v>2.1236026941777224</v>
      </c>
      <c r="O176" s="16">
        <f t="shared" si="25"/>
        <v>1.1236026941777224</v>
      </c>
      <c r="P176" s="1">
        <v>2023</v>
      </c>
      <c r="Q176" s="1" t="s">
        <v>45</v>
      </c>
      <c r="R176" s="1" t="s">
        <v>46</v>
      </c>
      <c r="S176" s="70">
        <f>DATE(Table2[[#This Row],[Year]],MONTH(DATEVALUE("1-"&amp;Table2[[#This Row],[Month]]&amp;"-2000")),1)</f>
        <v>45047</v>
      </c>
      <c r="T176" s="16">
        <f t="shared" si="26"/>
        <v>0.66398849866502363</v>
      </c>
      <c r="U176" s="16">
        <f t="shared" si="27"/>
        <v>1.2987947935079542</v>
      </c>
      <c r="V176" s="16">
        <f t="shared" si="28"/>
        <v>338.30977777777781</v>
      </c>
      <c r="W176" s="16">
        <f t="shared" si="29"/>
        <v>718.43555555555554</v>
      </c>
      <c r="X176" s="16">
        <f t="shared" si="30"/>
        <v>1082</v>
      </c>
      <c r="Y176" s="16">
        <f t="shared" si="31"/>
        <v>553.15555555555557</v>
      </c>
      <c r="Z176" s="7" t="str" cm="1">
        <f t="array" ref="Z176">_xlfn.IFS(K176&lt;2%,"Low",K176&lt;5%,"Medium",K176&lt;10%,"Good",K176&gt;10%,"Excellent")</f>
        <v>Excellent</v>
      </c>
      <c r="AA176" s="16" t="str">
        <f>Data_Validation!N174</f>
        <v>Fail</v>
      </c>
    </row>
    <row r="177" spans="1:27" x14ac:dyDescent="0.35">
      <c r="A177" s="17" t="s">
        <v>79</v>
      </c>
      <c r="B177" s="3" t="s">
        <v>19</v>
      </c>
      <c r="C177" s="3" t="s">
        <v>58</v>
      </c>
      <c r="D177" s="3" t="s">
        <v>63</v>
      </c>
      <c r="E177" s="3" t="s">
        <v>22</v>
      </c>
      <c r="F177" s="3">
        <v>14545.44</v>
      </c>
      <c r="G177" s="3">
        <v>595941</v>
      </c>
      <c r="H177" s="3">
        <v>30402</v>
      </c>
      <c r="I177" s="3">
        <v>169828.09</v>
      </c>
      <c r="J177" s="3">
        <v>38</v>
      </c>
      <c r="K177" s="15">
        <f t="shared" si="22"/>
        <v>5.1015117268320184E-2</v>
      </c>
      <c r="L177" s="16">
        <f t="shared" si="32"/>
        <v>0.47843694493783306</v>
      </c>
      <c r="M177" s="16">
        <f t="shared" si="23"/>
        <v>24.407516851500404</v>
      </c>
      <c r="N177" s="16">
        <f t="shared" si="24"/>
        <v>11.675692863192863</v>
      </c>
      <c r="O177" s="16">
        <f t="shared" si="25"/>
        <v>10.675692863192863</v>
      </c>
      <c r="P177" s="1">
        <v>2023</v>
      </c>
      <c r="Q177" s="1" t="s">
        <v>45</v>
      </c>
      <c r="R177" s="1" t="s">
        <v>46</v>
      </c>
      <c r="S177" s="70">
        <f>DATE(Table2[[#This Row],[Year]],MONTH(DATEVALUE("1-"&amp;Table2[[#This Row],[Month]]&amp;"-2000")),1)</f>
        <v>45047</v>
      </c>
      <c r="T177" s="16">
        <f t="shared" si="26"/>
        <v>5.5860828234984536</v>
      </c>
      <c r="U177" s="16">
        <f t="shared" si="27"/>
        <v>0.28497467031132279</v>
      </c>
      <c r="V177" s="16">
        <f t="shared" si="28"/>
        <v>382.77473684210526</v>
      </c>
      <c r="W177" s="16">
        <f t="shared" si="29"/>
        <v>4469.1602631578944</v>
      </c>
      <c r="X177" s="16">
        <f t="shared" si="30"/>
        <v>800.0526315789474</v>
      </c>
      <c r="Y177" s="16">
        <f t="shared" si="31"/>
        <v>15682.657894736842</v>
      </c>
      <c r="Z177" s="7" t="str" cm="1">
        <f t="array" ref="Z177">_xlfn.IFS(K177&lt;2%,"Low",K177&lt;5%,"Medium",K177&lt;10%,"Good",K177&gt;10%,"Excellent")</f>
        <v>Good</v>
      </c>
      <c r="AA177" s="16" t="str">
        <f>Data_Validation!N175</f>
        <v>Pass</v>
      </c>
    </row>
    <row r="178" spans="1:27" x14ac:dyDescent="0.35">
      <c r="A178" s="17" t="s">
        <v>79</v>
      </c>
      <c r="B178" s="3" t="s">
        <v>48</v>
      </c>
      <c r="C178" s="3" t="s">
        <v>58</v>
      </c>
      <c r="D178" s="3" t="s">
        <v>43</v>
      </c>
      <c r="E178" s="3" t="s">
        <v>30</v>
      </c>
      <c r="F178" s="3">
        <v>12095.96</v>
      </c>
      <c r="G178" s="3">
        <v>105136</v>
      </c>
      <c r="H178" s="3">
        <v>1143</v>
      </c>
      <c r="I178" s="3">
        <v>122546.82</v>
      </c>
      <c r="J178" s="3">
        <v>28</v>
      </c>
      <c r="K178" s="15">
        <f t="shared" si="22"/>
        <v>1.0871632932582559E-2</v>
      </c>
      <c r="L178" s="16">
        <f t="shared" si="32"/>
        <v>10.582642169728784</v>
      </c>
      <c r="M178" s="16">
        <f t="shared" si="23"/>
        <v>115.05060112616039</v>
      </c>
      <c r="N178" s="16">
        <f t="shared" si="24"/>
        <v>10.131219018581412</v>
      </c>
      <c r="O178" s="16">
        <f t="shared" si="25"/>
        <v>9.1312190185814117</v>
      </c>
      <c r="P178" s="1">
        <v>2023</v>
      </c>
      <c r="Q178" s="1" t="s">
        <v>45</v>
      </c>
      <c r="R178" s="1" t="s">
        <v>46</v>
      </c>
      <c r="S178" s="70">
        <f>DATE(Table2[[#This Row],[Year]],MONTH(DATEVALUE("1-"&amp;Table2[[#This Row],[Month]]&amp;"-2000")),1)</f>
        <v>45047</v>
      </c>
      <c r="T178" s="16">
        <f t="shared" si="26"/>
        <v>107.2150656167979</v>
      </c>
      <c r="U178" s="16">
        <f t="shared" si="27"/>
        <v>1.1656028382285801</v>
      </c>
      <c r="V178" s="16">
        <f t="shared" si="28"/>
        <v>431.99857142857138</v>
      </c>
      <c r="W178" s="16">
        <f t="shared" si="29"/>
        <v>4376.6721428571427</v>
      </c>
      <c r="X178" s="16">
        <f t="shared" si="30"/>
        <v>40.821428571428569</v>
      </c>
      <c r="Y178" s="16">
        <f t="shared" si="31"/>
        <v>3754.8571428571427</v>
      </c>
      <c r="Z178" s="7" t="str" cm="1">
        <f t="array" ref="Z178">_xlfn.IFS(K178&lt;2%,"Low",K178&lt;5%,"Medium",K178&lt;10%,"Good",K178&gt;10%,"Excellent")</f>
        <v>Low</v>
      </c>
      <c r="AA178" s="16" t="str">
        <f>Data_Validation!N176</f>
        <v>Pass</v>
      </c>
    </row>
    <row r="179" spans="1:27" x14ac:dyDescent="0.35">
      <c r="A179" s="17" t="s">
        <v>78</v>
      </c>
      <c r="B179" s="3" t="s">
        <v>28</v>
      </c>
      <c r="C179" s="3" t="s">
        <v>20</v>
      </c>
      <c r="D179" s="3" t="s">
        <v>21</v>
      </c>
      <c r="E179" s="3" t="s">
        <v>30</v>
      </c>
      <c r="F179" s="3">
        <v>3480.85</v>
      </c>
      <c r="G179" s="3">
        <v>61706</v>
      </c>
      <c r="H179" s="3">
        <v>36023</v>
      </c>
      <c r="I179" s="3">
        <v>102801.87</v>
      </c>
      <c r="J179" s="3">
        <v>27</v>
      </c>
      <c r="K179" s="15">
        <f t="shared" si="22"/>
        <v>0.58378439697922402</v>
      </c>
      <c r="L179" s="16">
        <f t="shared" si="32"/>
        <v>9.6628542875385165E-2</v>
      </c>
      <c r="M179" s="16">
        <f t="shared" si="23"/>
        <v>56.410235633487829</v>
      </c>
      <c r="N179" s="16">
        <f t="shared" si="24"/>
        <v>29.533553586049383</v>
      </c>
      <c r="O179" s="16">
        <f t="shared" si="25"/>
        <v>28.533553586049383</v>
      </c>
      <c r="P179" s="1">
        <v>2023</v>
      </c>
      <c r="Q179" s="1" t="s">
        <v>45</v>
      </c>
      <c r="R179" s="1" t="s">
        <v>46</v>
      </c>
      <c r="S179" s="70">
        <f>DATE(Table2[[#This Row],[Year]],MONTH(DATEVALUE("1-"&amp;Table2[[#This Row],[Month]]&amp;"-2000")),1)</f>
        <v>45047</v>
      </c>
      <c r="T179" s="16">
        <f t="shared" si="26"/>
        <v>2.8537842489520582</v>
      </c>
      <c r="U179" s="16">
        <f t="shared" si="27"/>
        <v>1.6659947168832852</v>
      </c>
      <c r="V179" s="16">
        <f t="shared" si="28"/>
        <v>128.92037037037036</v>
      </c>
      <c r="W179" s="16">
        <f t="shared" si="29"/>
        <v>3807.4766666666665</v>
      </c>
      <c r="X179" s="16">
        <f t="shared" si="30"/>
        <v>1334.1851851851852</v>
      </c>
      <c r="Y179" s="16">
        <f t="shared" si="31"/>
        <v>2285.4074074074074</v>
      </c>
      <c r="Z179" s="7" t="str" cm="1">
        <f t="array" ref="Z179">_xlfn.IFS(K179&lt;2%,"Low",K179&lt;5%,"Medium",K179&lt;10%,"Good",K179&gt;10%,"Excellent")</f>
        <v>Excellent</v>
      </c>
      <c r="AA179" s="16" t="str">
        <f>Data_Validation!N177</f>
        <v>Pass</v>
      </c>
    </row>
    <row r="180" spans="1:27" x14ac:dyDescent="0.35">
      <c r="A180" s="17" t="s">
        <v>70</v>
      </c>
      <c r="B180" s="3" t="s">
        <v>48</v>
      </c>
      <c r="C180" s="3" t="s">
        <v>58</v>
      </c>
      <c r="D180" s="3" t="s">
        <v>63</v>
      </c>
      <c r="E180" s="3" t="s">
        <v>30</v>
      </c>
      <c r="F180" s="3">
        <v>10610.93</v>
      </c>
      <c r="G180" s="3">
        <v>158683</v>
      </c>
      <c r="H180" s="3">
        <v>17165</v>
      </c>
      <c r="I180" s="3">
        <v>33626.300000000003</v>
      </c>
      <c r="J180" s="3">
        <v>11</v>
      </c>
      <c r="K180" s="15">
        <f t="shared" si="22"/>
        <v>0.10817163779358847</v>
      </c>
      <c r="L180" s="16">
        <f t="shared" si="32"/>
        <v>0.61817244392659487</v>
      </c>
      <c r="M180" s="16">
        <f t="shared" si="23"/>
        <v>66.868725698405001</v>
      </c>
      <c r="N180" s="16">
        <f t="shared" si="24"/>
        <v>3.1690247697421436</v>
      </c>
      <c r="O180" s="16">
        <f t="shared" si="25"/>
        <v>2.1690247697421436</v>
      </c>
      <c r="P180" s="1">
        <v>2023</v>
      </c>
      <c r="Q180" s="1" t="s">
        <v>45</v>
      </c>
      <c r="R180" s="1" t="s">
        <v>46</v>
      </c>
      <c r="S180" s="70">
        <f>DATE(Table2[[#This Row],[Year]],MONTH(DATEVALUE("1-"&amp;Table2[[#This Row],[Month]]&amp;"-2000")),1)</f>
        <v>45047</v>
      </c>
      <c r="T180" s="16">
        <f t="shared" si="26"/>
        <v>1.9590037867754153</v>
      </c>
      <c r="U180" s="16">
        <f t="shared" si="27"/>
        <v>0.21190864805933846</v>
      </c>
      <c r="V180" s="16">
        <f t="shared" si="28"/>
        <v>964.63</v>
      </c>
      <c r="W180" s="16">
        <f t="shared" si="29"/>
        <v>3056.9363636363637</v>
      </c>
      <c r="X180" s="16">
        <f t="shared" si="30"/>
        <v>1560.4545454545455</v>
      </c>
      <c r="Y180" s="16">
        <f t="shared" si="31"/>
        <v>14425.727272727272</v>
      </c>
      <c r="Z180" s="7" t="str" cm="1">
        <f t="array" ref="Z180">_xlfn.IFS(K180&lt;2%,"Low",K180&lt;5%,"Medium",K180&lt;10%,"Good",K180&gt;10%,"Excellent")</f>
        <v>Excellent</v>
      </c>
      <c r="AA180" s="16" t="str">
        <f>Data_Validation!N178</f>
        <v>Pass</v>
      </c>
    </row>
    <row r="181" spans="1:27" x14ac:dyDescent="0.35">
      <c r="A181" s="17" t="s">
        <v>97</v>
      </c>
      <c r="B181" s="3" t="s">
        <v>48</v>
      </c>
      <c r="C181" s="3" t="s">
        <v>29</v>
      </c>
      <c r="D181" s="3" t="s">
        <v>51</v>
      </c>
      <c r="E181" s="3" t="s">
        <v>22</v>
      </c>
      <c r="F181" s="3">
        <v>7211.84</v>
      </c>
      <c r="G181" s="3">
        <v>274760</v>
      </c>
      <c r="H181" s="3">
        <v>32284</v>
      </c>
      <c r="I181" s="3">
        <v>112191.14</v>
      </c>
      <c r="J181" s="3">
        <v>46</v>
      </c>
      <c r="K181" s="15">
        <f t="shared" si="22"/>
        <v>0.11749890813801135</v>
      </c>
      <c r="L181" s="16">
        <f t="shared" si="32"/>
        <v>0.22338743650105317</v>
      </c>
      <c r="M181" s="16">
        <f t="shared" si="23"/>
        <v>26.247779880623092</v>
      </c>
      <c r="N181" s="16">
        <f t="shared" si="24"/>
        <v>15.556520943337622</v>
      </c>
      <c r="O181" s="16">
        <f t="shared" si="25"/>
        <v>14.556520943337622</v>
      </c>
      <c r="P181" s="1">
        <v>2023</v>
      </c>
      <c r="Q181" s="1" t="s">
        <v>45</v>
      </c>
      <c r="R181" s="1" t="s">
        <v>46</v>
      </c>
      <c r="S181" s="70">
        <f>DATE(Table2[[#This Row],[Year]],MONTH(DATEVALUE("1-"&amp;Table2[[#This Row],[Month]]&amp;"-2000")),1)</f>
        <v>45047</v>
      </c>
      <c r="T181" s="16">
        <f t="shared" si="26"/>
        <v>3.4751313344071368</v>
      </c>
      <c r="U181" s="16">
        <f t="shared" si="27"/>
        <v>0.40832413742902895</v>
      </c>
      <c r="V181" s="16">
        <f t="shared" si="28"/>
        <v>156.77913043478262</v>
      </c>
      <c r="W181" s="16">
        <f t="shared" si="29"/>
        <v>2438.9378260869566</v>
      </c>
      <c r="X181" s="16">
        <f t="shared" si="30"/>
        <v>701.82608695652175</v>
      </c>
      <c r="Y181" s="16">
        <f t="shared" si="31"/>
        <v>5973.04347826087</v>
      </c>
      <c r="Z181" s="7" t="str" cm="1">
        <f t="array" ref="Z181">_xlfn.IFS(K181&lt;2%,"Low",K181&lt;5%,"Medium",K181&lt;10%,"Good",K181&gt;10%,"Excellent")</f>
        <v>Excellent</v>
      </c>
      <c r="AA181" s="16" t="str">
        <f>Data_Validation!N179</f>
        <v>Pass</v>
      </c>
    </row>
    <row r="182" spans="1:27" x14ac:dyDescent="0.35">
      <c r="A182" s="17" t="s">
        <v>120</v>
      </c>
      <c r="B182" s="3" t="s">
        <v>35</v>
      </c>
      <c r="C182" s="3" t="s">
        <v>20</v>
      </c>
      <c r="D182" s="3" t="s">
        <v>63</v>
      </c>
      <c r="E182" s="3" t="s">
        <v>38</v>
      </c>
      <c r="F182" s="3">
        <v>3122.64</v>
      </c>
      <c r="G182" s="3">
        <v>271103</v>
      </c>
      <c r="H182" s="3">
        <v>13860</v>
      </c>
      <c r="I182" s="3">
        <v>135975.76</v>
      </c>
      <c r="J182" s="3">
        <v>23</v>
      </c>
      <c r="K182" s="15">
        <f t="shared" si="22"/>
        <v>5.1124480363551862E-2</v>
      </c>
      <c r="L182" s="16">
        <f t="shared" si="32"/>
        <v>0.22529870129870128</v>
      </c>
      <c r="M182" s="16">
        <f t="shared" si="23"/>
        <v>11.51827903047919</v>
      </c>
      <c r="N182" s="16">
        <f t="shared" si="24"/>
        <v>43.545128481028875</v>
      </c>
      <c r="O182" s="16">
        <f t="shared" si="25"/>
        <v>42.545128481028875</v>
      </c>
      <c r="P182" s="1">
        <v>2023</v>
      </c>
      <c r="Q182" s="1" t="s">
        <v>45</v>
      </c>
      <c r="R182" s="1" t="s">
        <v>46</v>
      </c>
      <c r="S182" s="70">
        <f>DATE(Table2[[#This Row],[Year]],MONTH(DATEVALUE("1-"&amp;Table2[[#This Row],[Month]]&amp;"-2000")),1)</f>
        <v>45047</v>
      </c>
      <c r="T182" s="16">
        <f t="shared" si="26"/>
        <v>9.8106608946608951</v>
      </c>
      <c r="U182" s="16">
        <f t="shared" si="27"/>
        <v>0.50156494026255705</v>
      </c>
      <c r="V182" s="16">
        <f t="shared" si="28"/>
        <v>135.76695652173913</v>
      </c>
      <c r="W182" s="16">
        <f t="shared" si="29"/>
        <v>5911.9895652173918</v>
      </c>
      <c r="X182" s="16">
        <f t="shared" si="30"/>
        <v>602.60869565217388</v>
      </c>
      <c r="Y182" s="16">
        <f t="shared" si="31"/>
        <v>11787.08695652174</v>
      </c>
      <c r="Z182" s="7" t="str" cm="1">
        <f t="array" ref="Z182">_xlfn.IFS(K182&lt;2%,"Low",K182&lt;5%,"Medium",K182&lt;10%,"Good",K182&gt;10%,"Excellent")</f>
        <v>Good</v>
      </c>
      <c r="AA182" s="16" t="str">
        <f>Data_Validation!N180</f>
        <v>Pass</v>
      </c>
    </row>
    <row r="183" spans="1:27" x14ac:dyDescent="0.35">
      <c r="A183" s="17" t="s">
        <v>115</v>
      </c>
      <c r="B183" s="3" t="s">
        <v>28</v>
      </c>
      <c r="C183" s="3" t="s">
        <v>69</v>
      </c>
      <c r="D183" s="3" t="s">
        <v>51</v>
      </c>
      <c r="E183" s="3" t="s">
        <v>22</v>
      </c>
      <c r="F183" s="3">
        <v>8603.94</v>
      </c>
      <c r="G183" s="3">
        <v>858102</v>
      </c>
      <c r="H183" s="3">
        <v>7482</v>
      </c>
      <c r="I183" s="3">
        <v>86017.600000000006</v>
      </c>
      <c r="J183" s="3">
        <v>60</v>
      </c>
      <c r="K183" s="15">
        <f t="shared" si="22"/>
        <v>8.7192431668962431E-3</v>
      </c>
      <c r="L183" s="16">
        <f t="shared" si="32"/>
        <v>1.1499518845228549</v>
      </c>
      <c r="M183" s="16">
        <f t="shared" si="23"/>
        <v>10.026710111385361</v>
      </c>
      <c r="N183" s="16">
        <f t="shared" si="24"/>
        <v>9.9974662770777112</v>
      </c>
      <c r="O183" s="16">
        <f t="shared" si="25"/>
        <v>8.9974662770777112</v>
      </c>
      <c r="P183" s="1">
        <v>2023</v>
      </c>
      <c r="Q183" s="1" t="s">
        <v>45</v>
      </c>
      <c r="R183" s="1" t="s">
        <v>46</v>
      </c>
      <c r="S183" s="70">
        <f>DATE(Table2[[#This Row],[Year]],MONTH(DATEVALUE("1-"&amp;Table2[[#This Row],[Month]]&amp;"-2000")),1)</f>
        <v>45047</v>
      </c>
      <c r="T183" s="16">
        <f t="shared" si="26"/>
        <v>11.496605185779204</v>
      </c>
      <c r="U183" s="16">
        <f t="shared" si="27"/>
        <v>0.10024169620860925</v>
      </c>
      <c r="V183" s="16">
        <f t="shared" si="28"/>
        <v>143.399</v>
      </c>
      <c r="W183" s="16">
        <f t="shared" si="29"/>
        <v>1433.6266666666668</v>
      </c>
      <c r="X183" s="16">
        <f t="shared" si="30"/>
        <v>124.7</v>
      </c>
      <c r="Y183" s="16">
        <f t="shared" si="31"/>
        <v>14301.7</v>
      </c>
      <c r="Z183" s="7" t="str" cm="1">
        <f t="array" ref="Z183">_xlfn.IFS(K183&lt;2%,"Low",K183&lt;5%,"Medium",K183&lt;10%,"Good",K183&gt;10%,"Excellent")</f>
        <v>Low</v>
      </c>
      <c r="AA183" s="16" t="str">
        <f>Data_Validation!N181</f>
        <v>Pass</v>
      </c>
    </row>
    <row r="184" spans="1:27" x14ac:dyDescent="0.35">
      <c r="A184" s="17" t="s">
        <v>91</v>
      </c>
      <c r="B184" s="3" t="s">
        <v>35</v>
      </c>
      <c r="C184" s="3" t="s">
        <v>58</v>
      </c>
      <c r="D184" s="3" t="s">
        <v>21</v>
      </c>
      <c r="E184" s="3" t="s">
        <v>38</v>
      </c>
      <c r="F184" s="3">
        <v>2758.27</v>
      </c>
      <c r="G184" s="3">
        <v>378653</v>
      </c>
      <c r="H184" s="3">
        <v>15184</v>
      </c>
      <c r="I184" s="3">
        <v>148070.75</v>
      </c>
      <c r="J184" s="3">
        <v>54</v>
      </c>
      <c r="K184" s="15">
        <f t="shared" si="22"/>
        <v>4.0100038821823676E-2</v>
      </c>
      <c r="L184" s="16">
        <f t="shared" si="32"/>
        <v>0.18165634878819811</v>
      </c>
      <c r="M184" s="16">
        <f t="shared" si="23"/>
        <v>7.2844266386374859</v>
      </c>
      <c r="N184" s="16">
        <f t="shared" si="24"/>
        <v>53.682471259158824</v>
      </c>
      <c r="O184" s="16">
        <f t="shared" si="25"/>
        <v>52.682471259158824</v>
      </c>
      <c r="P184" s="1">
        <v>2023</v>
      </c>
      <c r="Q184" s="1" t="s">
        <v>45</v>
      </c>
      <c r="R184" s="1" t="s">
        <v>46</v>
      </c>
      <c r="S184" s="70">
        <f>DATE(Table2[[#This Row],[Year]],MONTH(DATEVALUE("1-"&amp;Table2[[#This Row],[Month]]&amp;"-2000")),1)</f>
        <v>45047</v>
      </c>
      <c r="T184" s="16">
        <f t="shared" si="26"/>
        <v>9.7517617228661742</v>
      </c>
      <c r="U184" s="16">
        <f t="shared" si="27"/>
        <v>0.39104602366810776</v>
      </c>
      <c r="V184" s="16">
        <f t="shared" si="28"/>
        <v>51.079074074074072</v>
      </c>
      <c r="W184" s="16">
        <f t="shared" si="29"/>
        <v>2742.0509259259261</v>
      </c>
      <c r="X184" s="16">
        <f t="shared" si="30"/>
        <v>281.18518518518516</v>
      </c>
      <c r="Y184" s="16">
        <f t="shared" si="31"/>
        <v>7012.0925925925922</v>
      </c>
      <c r="Z184" s="7" t="str" cm="1">
        <f t="array" ref="Z184">_xlfn.IFS(K184&lt;2%,"Low",K184&lt;5%,"Medium",K184&lt;10%,"Good",K184&gt;10%,"Excellent")</f>
        <v>Medium</v>
      </c>
      <c r="AA184" s="16" t="str">
        <f>Data_Validation!N182</f>
        <v>Pass</v>
      </c>
    </row>
    <row r="185" spans="1:27" x14ac:dyDescent="0.35">
      <c r="A185" s="17" t="s">
        <v>115</v>
      </c>
      <c r="B185" s="3" t="s">
        <v>19</v>
      </c>
      <c r="C185" s="3" t="s">
        <v>58</v>
      </c>
      <c r="D185" s="3" t="s">
        <v>43</v>
      </c>
      <c r="E185" s="3" t="s">
        <v>30</v>
      </c>
      <c r="F185" s="3">
        <v>34594.15</v>
      </c>
      <c r="G185" s="3">
        <v>172293</v>
      </c>
      <c r="H185" s="3">
        <v>19819</v>
      </c>
      <c r="I185" s="3">
        <v>158918.67000000001</v>
      </c>
      <c r="J185" s="3">
        <v>20</v>
      </c>
      <c r="K185" s="15">
        <f t="shared" si="22"/>
        <v>0.11503079057187465</v>
      </c>
      <c r="L185" s="16">
        <f t="shared" si="32"/>
        <v>1.745504314042081</v>
      </c>
      <c r="M185" s="16">
        <f t="shared" si="23"/>
        <v>200.78674119087833</v>
      </c>
      <c r="N185" s="16">
        <f t="shared" si="24"/>
        <v>4.5938018422189879</v>
      </c>
      <c r="O185" s="16">
        <f t="shared" si="25"/>
        <v>3.5938018422189884</v>
      </c>
      <c r="P185" s="1">
        <v>2023</v>
      </c>
      <c r="Q185" s="1" t="s">
        <v>45</v>
      </c>
      <c r="R185" s="1" t="s">
        <v>46</v>
      </c>
      <c r="S185" s="70">
        <f>DATE(Table2[[#This Row],[Year]],MONTH(DATEVALUE("1-"&amp;Table2[[#This Row],[Month]]&amp;"-2000")),1)</f>
        <v>45047</v>
      </c>
      <c r="T185" s="16">
        <f t="shared" si="26"/>
        <v>8.0185009334477026</v>
      </c>
      <c r="U185" s="16">
        <f t="shared" si="27"/>
        <v>0.92237450157580403</v>
      </c>
      <c r="V185" s="16">
        <f t="shared" si="28"/>
        <v>1729.7075</v>
      </c>
      <c r="W185" s="16">
        <f t="shared" si="29"/>
        <v>7945.933500000001</v>
      </c>
      <c r="X185" s="16">
        <f t="shared" si="30"/>
        <v>990.95</v>
      </c>
      <c r="Y185" s="16">
        <f t="shared" si="31"/>
        <v>8614.65</v>
      </c>
      <c r="Z185" s="7" t="str" cm="1">
        <f t="array" ref="Z185">_xlfn.IFS(K185&lt;2%,"Low",K185&lt;5%,"Medium",K185&lt;10%,"Good",K185&gt;10%,"Excellent")</f>
        <v>Excellent</v>
      </c>
      <c r="AA185" s="16" t="str">
        <f>Data_Validation!N183</f>
        <v>Pass</v>
      </c>
    </row>
    <row r="186" spans="1:27" x14ac:dyDescent="0.35">
      <c r="A186" s="17" t="s">
        <v>110</v>
      </c>
      <c r="B186" s="3" t="s">
        <v>35</v>
      </c>
      <c r="C186" s="3" t="s">
        <v>29</v>
      </c>
      <c r="D186" s="3" t="s">
        <v>51</v>
      </c>
      <c r="E186" s="3" t="s">
        <v>30</v>
      </c>
      <c r="F186" s="3">
        <v>19545.490000000002</v>
      </c>
      <c r="G186" s="3">
        <v>680318</v>
      </c>
      <c r="H186" s="3">
        <v>32029</v>
      </c>
      <c r="I186" s="3">
        <v>164049.17000000001</v>
      </c>
      <c r="J186" s="3">
        <v>16</v>
      </c>
      <c r="K186" s="15">
        <f t="shared" si="22"/>
        <v>4.7079454020031809E-2</v>
      </c>
      <c r="L186" s="16">
        <f t="shared" si="32"/>
        <v>0.61024352930157055</v>
      </c>
      <c r="M186" s="16">
        <f t="shared" si="23"/>
        <v>28.729932178775222</v>
      </c>
      <c r="N186" s="16">
        <f t="shared" si="24"/>
        <v>8.3931981239661937</v>
      </c>
      <c r="O186" s="16">
        <f t="shared" si="25"/>
        <v>7.3931981239661946</v>
      </c>
      <c r="P186" s="1">
        <v>2023</v>
      </c>
      <c r="Q186" s="1" t="s">
        <v>45</v>
      </c>
      <c r="R186" s="1" t="s">
        <v>46</v>
      </c>
      <c r="S186" s="70">
        <f>DATE(Table2[[#This Row],[Year]],MONTH(DATEVALUE("1-"&amp;Table2[[#This Row],[Month]]&amp;"-2000")),1)</f>
        <v>45047</v>
      </c>
      <c r="T186" s="16">
        <f t="shared" si="26"/>
        <v>5.1218948452964508</v>
      </c>
      <c r="U186" s="16">
        <f t="shared" si="27"/>
        <v>0.24113601286457217</v>
      </c>
      <c r="V186" s="16">
        <f t="shared" si="28"/>
        <v>1221.5931250000001</v>
      </c>
      <c r="W186" s="16">
        <f t="shared" si="29"/>
        <v>10253.073125000001</v>
      </c>
      <c r="X186" s="16">
        <f t="shared" si="30"/>
        <v>2001.8125</v>
      </c>
      <c r="Y186" s="16">
        <f t="shared" si="31"/>
        <v>42519.875</v>
      </c>
      <c r="Z186" s="7" t="str" cm="1">
        <f t="array" ref="Z186">_xlfn.IFS(K186&lt;2%,"Low",K186&lt;5%,"Medium",K186&lt;10%,"Good",K186&gt;10%,"Excellent")</f>
        <v>Medium</v>
      </c>
      <c r="AA186" s="16" t="str">
        <f>Data_Validation!N184</f>
        <v>Pass</v>
      </c>
    </row>
    <row r="187" spans="1:27" x14ac:dyDescent="0.35">
      <c r="A187" s="17" t="s">
        <v>91</v>
      </c>
      <c r="B187" s="3" t="s">
        <v>35</v>
      </c>
      <c r="C187" s="3" t="s">
        <v>36</v>
      </c>
      <c r="D187" s="3" t="s">
        <v>43</v>
      </c>
      <c r="E187" s="3" t="s">
        <v>30</v>
      </c>
      <c r="F187" s="3">
        <v>2900.11</v>
      </c>
      <c r="G187" s="3">
        <v>168366</v>
      </c>
      <c r="H187" s="3">
        <v>699</v>
      </c>
      <c r="I187" s="3">
        <v>58586.32</v>
      </c>
      <c r="J187" s="3">
        <v>59</v>
      </c>
      <c r="K187" s="15">
        <f t="shared" si="22"/>
        <v>4.1516695769929796E-3</v>
      </c>
      <c r="L187" s="16">
        <f t="shared" si="32"/>
        <v>4.1489413447782546</v>
      </c>
      <c r="M187" s="16">
        <f t="shared" si="23"/>
        <v>17.22503355784422</v>
      </c>
      <c r="N187" s="16">
        <f t="shared" si="24"/>
        <v>20.201413049849833</v>
      </c>
      <c r="O187" s="16">
        <f t="shared" si="25"/>
        <v>19.201413049849833</v>
      </c>
      <c r="P187" s="1">
        <v>2023</v>
      </c>
      <c r="Q187" s="1" t="s">
        <v>45</v>
      </c>
      <c r="R187" s="1" t="s">
        <v>46</v>
      </c>
      <c r="S187" s="70">
        <f>DATE(Table2[[#This Row],[Year]],MONTH(DATEVALUE("1-"&amp;Table2[[#This Row],[Month]]&amp;"-2000")),1)</f>
        <v>45047</v>
      </c>
      <c r="T187" s="16">
        <f t="shared" si="26"/>
        <v>83.814477825464948</v>
      </c>
      <c r="U187" s="16">
        <f t="shared" si="27"/>
        <v>0.34797001769953556</v>
      </c>
      <c r="V187" s="16">
        <f t="shared" si="28"/>
        <v>49.154406779661016</v>
      </c>
      <c r="W187" s="16">
        <f t="shared" si="29"/>
        <v>992.98847457627119</v>
      </c>
      <c r="X187" s="16">
        <f t="shared" si="30"/>
        <v>11.847457627118644</v>
      </c>
      <c r="Y187" s="16">
        <f t="shared" si="31"/>
        <v>2853.6610169491523</v>
      </c>
      <c r="Z187" s="7" t="str" cm="1">
        <f t="array" ref="Z187">_xlfn.IFS(K187&lt;2%,"Low",K187&lt;5%,"Medium",K187&lt;10%,"Good",K187&gt;10%,"Excellent")</f>
        <v>Low</v>
      </c>
      <c r="AA187" s="16" t="str">
        <f>Data_Validation!N185</f>
        <v>Pass</v>
      </c>
    </row>
    <row r="188" spans="1:27" x14ac:dyDescent="0.35">
      <c r="A188" s="17" t="s">
        <v>27</v>
      </c>
      <c r="B188" s="3" t="s">
        <v>28</v>
      </c>
      <c r="C188" s="3" t="s">
        <v>20</v>
      </c>
      <c r="D188" s="3" t="s">
        <v>43</v>
      </c>
      <c r="E188" s="3" t="s">
        <v>22</v>
      </c>
      <c r="F188" s="3">
        <v>52299.85</v>
      </c>
      <c r="G188" s="3">
        <v>411798</v>
      </c>
      <c r="H188" s="3">
        <v>27537</v>
      </c>
      <c r="I188" s="3">
        <v>139588.12</v>
      </c>
      <c r="J188" s="3">
        <v>57</v>
      </c>
      <c r="K188" s="15">
        <f t="shared" si="22"/>
        <v>6.6870164498127729E-2</v>
      </c>
      <c r="L188" s="16">
        <f t="shared" si="32"/>
        <v>1.8992573628209317</v>
      </c>
      <c r="M188" s="16">
        <f t="shared" si="23"/>
        <v>127.00365227611596</v>
      </c>
      <c r="N188" s="16">
        <f t="shared" si="24"/>
        <v>2.6689965649997083</v>
      </c>
      <c r="O188" s="16">
        <f t="shared" si="25"/>
        <v>1.6689965649997083</v>
      </c>
      <c r="P188" s="1">
        <v>2023</v>
      </c>
      <c r="Q188" s="1" t="s">
        <v>45</v>
      </c>
      <c r="R188" s="1" t="s">
        <v>46</v>
      </c>
      <c r="S188" s="70">
        <f>DATE(Table2[[#This Row],[Year]],MONTH(DATEVALUE("1-"&amp;Table2[[#This Row],[Month]]&amp;"-2000")),1)</f>
        <v>45047</v>
      </c>
      <c r="T188" s="16">
        <f t="shared" si="26"/>
        <v>5.069111377419472</v>
      </c>
      <c r="U188" s="16">
        <f t="shared" si="27"/>
        <v>0.33897231166737091</v>
      </c>
      <c r="V188" s="16">
        <f t="shared" si="28"/>
        <v>917.54122807017541</v>
      </c>
      <c r="W188" s="16">
        <f t="shared" si="29"/>
        <v>2448.9143859649121</v>
      </c>
      <c r="X188" s="16">
        <f t="shared" si="30"/>
        <v>483.10526315789474</v>
      </c>
      <c r="Y188" s="16">
        <f t="shared" si="31"/>
        <v>7224.5263157894733</v>
      </c>
      <c r="Z188" s="7" t="str" cm="1">
        <f t="array" ref="Z188">_xlfn.IFS(K188&lt;2%,"Low",K188&lt;5%,"Medium",K188&lt;10%,"Good",K188&gt;10%,"Excellent")</f>
        <v>Good</v>
      </c>
      <c r="AA188" s="16" t="str">
        <f>Data_Validation!N186</f>
        <v>Pass</v>
      </c>
    </row>
    <row r="189" spans="1:27" x14ac:dyDescent="0.35">
      <c r="A189" s="17" t="s">
        <v>119</v>
      </c>
      <c r="B189" s="3" t="s">
        <v>35</v>
      </c>
      <c r="C189" s="3" t="s">
        <v>36</v>
      </c>
      <c r="D189" s="3" t="s">
        <v>63</v>
      </c>
      <c r="E189" s="3" t="s">
        <v>22</v>
      </c>
      <c r="F189" s="3">
        <v>10543.69</v>
      </c>
      <c r="G189" s="3">
        <v>431139</v>
      </c>
      <c r="H189" s="3">
        <v>40569</v>
      </c>
      <c r="I189" s="3">
        <v>211014.84</v>
      </c>
      <c r="J189" s="3">
        <v>49</v>
      </c>
      <c r="K189" s="15">
        <f t="shared" si="22"/>
        <v>9.409726329559609E-2</v>
      </c>
      <c r="L189" s="16">
        <f t="shared" si="32"/>
        <v>0.25989524020804061</v>
      </c>
      <c r="M189" s="16">
        <f t="shared" si="23"/>
        <v>24.455430847128191</v>
      </c>
      <c r="N189" s="16">
        <f t="shared" si="24"/>
        <v>20.013376721053064</v>
      </c>
      <c r="O189" s="16">
        <f t="shared" si="25"/>
        <v>19.013376721053064</v>
      </c>
      <c r="P189" s="1">
        <v>2023</v>
      </c>
      <c r="Q189" s="1" t="s">
        <v>45</v>
      </c>
      <c r="R189" s="1" t="s">
        <v>46</v>
      </c>
      <c r="S189" s="70">
        <f>DATE(Table2[[#This Row],[Year]],MONTH(DATEVALUE("1-"&amp;Table2[[#This Row],[Month]]&amp;"-2000")),1)</f>
        <v>45047</v>
      </c>
      <c r="T189" s="16">
        <f t="shared" si="26"/>
        <v>5.2013813502920945</v>
      </c>
      <c r="U189" s="16">
        <f t="shared" si="27"/>
        <v>0.48943575041923831</v>
      </c>
      <c r="V189" s="16">
        <f t="shared" si="28"/>
        <v>215.17734693877551</v>
      </c>
      <c r="W189" s="16">
        <f t="shared" si="29"/>
        <v>4306.425306122449</v>
      </c>
      <c r="X189" s="16">
        <f t="shared" si="30"/>
        <v>827.9387755102041</v>
      </c>
      <c r="Y189" s="16">
        <f t="shared" si="31"/>
        <v>8798.7551020408155</v>
      </c>
      <c r="Z189" s="7" t="str" cm="1">
        <f t="array" ref="Z189">_xlfn.IFS(K189&lt;2%,"Low",K189&lt;5%,"Medium",K189&lt;10%,"Good",K189&gt;10%,"Excellent")</f>
        <v>Good</v>
      </c>
      <c r="AA189" s="16" t="str">
        <f>Data_Validation!N187</f>
        <v>Pass</v>
      </c>
    </row>
    <row r="190" spans="1:27" x14ac:dyDescent="0.35">
      <c r="A190" s="17" t="s">
        <v>97</v>
      </c>
      <c r="B190" s="3" t="s">
        <v>35</v>
      </c>
      <c r="C190" s="3" t="s">
        <v>20</v>
      </c>
      <c r="D190" s="3" t="s">
        <v>63</v>
      </c>
      <c r="E190" s="3" t="s">
        <v>30</v>
      </c>
      <c r="F190" s="3">
        <v>22251.43</v>
      </c>
      <c r="G190" s="3">
        <v>19708</v>
      </c>
      <c r="H190" s="3">
        <v>19547</v>
      </c>
      <c r="I190" s="3">
        <v>33807.9</v>
      </c>
      <c r="J190" s="3">
        <v>53</v>
      </c>
      <c r="K190" s="15">
        <f t="shared" si="22"/>
        <v>0.9918307286381165</v>
      </c>
      <c r="L190" s="16">
        <f t="shared" si="32"/>
        <v>1.13835524632936</v>
      </c>
      <c r="M190" s="16">
        <f t="shared" si="23"/>
        <v>1129.0557134158717</v>
      </c>
      <c r="N190" s="16">
        <f t="shared" si="24"/>
        <v>1.5193585311146296</v>
      </c>
      <c r="O190" s="16">
        <f t="shared" si="25"/>
        <v>0.51935853111462948</v>
      </c>
      <c r="P190" s="1">
        <v>2023</v>
      </c>
      <c r="Q190" s="1" t="s">
        <v>45</v>
      </c>
      <c r="R190" s="1" t="s">
        <v>46</v>
      </c>
      <c r="S190" s="70">
        <f>DATE(Table2[[#This Row],[Year]],MONTH(DATEVALUE("1-"&amp;Table2[[#This Row],[Month]]&amp;"-2000")),1)</f>
        <v>45047</v>
      </c>
      <c r="T190" s="16">
        <f t="shared" si="26"/>
        <v>1.7295697549496087</v>
      </c>
      <c r="U190" s="16">
        <f t="shared" si="27"/>
        <v>1.7154404302821189</v>
      </c>
      <c r="V190" s="16">
        <f t="shared" si="28"/>
        <v>419.83830188679246</v>
      </c>
      <c r="W190" s="16">
        <f t="shared" si="29"/>
        <v>637.8849056603774</v>
      </c>
      <c r="X190" s="16">
        <f t="shared" si="30"/>
        <v>368.81132075471697</v>
      </c>
      <c r="Y190" s="16">
        <f t="shared" si="31"/>
        <v>371.84905660377359</v>
      </c>
      <c r="Z190" s="7" t="str" cm="1">
        <f t="array" ref="Z190">_xlfn.IFS(K190&lt;2%,"Low",K190&lt;5%,"Medium",K190&lt;10%,"Good",K190&gt;10%,"Excellent")</f>
        <v>Excellent</v>
      </c>
      <c r="AA190" s="16" t="str">
        <f>Data_Validation!N188</f>
        <v>Pass</v>
      </c>
    </row>
    <row r="191" spans="1:27" x14ac:dyDescent="0.35">
      <c r="A191" s="17" t="s">
        <v>92</v>
      </c>
      <c r="B191" s="3" t="s">
        <v>19</v>
      </c>
      <c r="C191" s="3" t="s">
        <v>36</v>
      </c>
      <c r="D191" s="3" t="s">
        <v>51</v>
      </c>
      <c r="E191" s="3" t="s">
        <v>22</v>
      </c>
      <c r="F191" s="3">
        <v>6361.8</v>
      </c>
      <c r="G191" s="3">
        <v>942566</v>
      </c>
      <c r="H191" s="3">
        <v>35629</v>
      </c>
      <c r="I191" s="3">
        <v>247629.27</v>
      </c>
      <c r="J191" s="3">
        <v>52</v>
      </c>
      <c r="K191" s="15">
        <f t="shared" si="22"/>
        <v>3.7800005516855056E-2</v>
      </c>
      <c r="L191" s="16">
        <f t="shared" si="32"/>
        <v>0.17855679362317214</v>
      </c>
      <c r="M191" s="16">
        <f t="shared" si="23"/>
        <v>6.7494477840278559</v>
      </c>
      <c r="N191" s="16">
        <f t="shared" si="24"/>
        <v>38.924403470715831</v>
      </c>
      <c r="O191" s="16">
        <f t="shared" si="25"/>
        <v>37.924403470715838</v>
      </c>
      <c r="P191" s="1">
        <v>2023</v>
      </c>
      <c r="Q191" s="1" t="s">
        <v>45</v>
      </c>
      <c r="R191" s="1" t="s">
        <v>46</v>
      </c>
      <c r="S191" s="70">
        <f>DATE(Table2[[#This Row],[Year]],MONTH(DATEVALUE("1-"&amp;Table2[[#This Row],[Month]]&amp;"-2000")),1)</f>
        <v>45047</v>
      </c>
      <c r="T191" s="16">
        <f t="shared" si="26"/>
        <v>6.9502166774256926</v>
      </c>
      <c r="U191" s="16">
        <f t="shared" si="27"/>
        <v>0.26271822875002915</v>
      </c>
      <c r="V191" s="16">
        <f t="shared" si="28"/>
        <v>122.3423076923077</v>
      </c>
      <c r="W191" s="16">
        <f t="shared" si="29"/>
        <v>4762.101346153846</v>
      </c>
      <c r="X191" s="16">
        <f t="shared" si="30"/>
        <v>685.17307692307691</v>
      </c>
      <c r="Y191" s="16">
        <f t="shared" si="31"/>
        <v>18126.26923076923</v>
      </c>
      <c r="Z191" s="7" t="str" cm="1">
        <f t="array" ref="Z191">_xlfn.IFS(K191&lt;2%,"Low",K191&lt;5%,"Medium",K191&lt;10%,"Good",K191&gt;10%,"Excellent")</f>
        <v>Medium</v>
      </c>
      <c r="AA191" s="16" t="str">
        <f>Data_Validation!N189</f>
        <v>Pass</v>
      </c>
    </row>
    <row r="192" spans="1:27" x14ac:dyDescent="0.35">
      <c r="A192" s="17" t="s">
        <v>77</v>
      </c>
      <c r="B192" s="3" t="s">
        <v>48</v>
      </c>
      <c r="C192" s="3" t="s">
        <v>36</v>
      </c>
      <c r="D192" s="3" t="s">
        <v>51</v>
      </c>
      <c r="E192" s="3" t="s">
        <v>22</v>
      </c>
      <c r="F192" s="3">
        <v>9572.1200000000008</v>
      </c>
      <c r="G192" s="3">
        <v>965025</v>
      </c>
      <c r="H192" s="3">
        <v>23176</v>
      </c>
      <c r="I192" s="3">
        <v>153512.17000000001</v>
      </c>
      <c r="J192" s="3">
        <v>42</v>
      </c>
      <c r="K192" s="15">
        <f t="shared" si="22"/>
        <v>2.4015958135799591E-2</v>
      </c>
      <c r="L192" s="16">
        <f t="shared" si="32"/>
        <v>0.41301863997238525</v>
      </c>
      <c r="M192" s="16">
        <f t="shared" si="23"/>
        <v>9.9190383668816882</v>
      </c>
      <c r="N192" s="16">
        <f t="shared" si="24"/>
        <v>16.037426400839102</v>
      </c>
      <c r="O192" s="16">
        <f t="shared" si="25"/>
        <v>15.037426400839104</v>
      </c>
      <c r="P192" s="1">
        <v>2023</v>
      </c>
      <c r="Q192" s="1" t="s">
        <v>45</v>
      </c>
      <c r="R192" s="1" t="s">
        <v>46</v>
      </c>
      <c r="S192" s="70">
        <f>DATE(Table2[[#This Row],[Year]],MONTH(DATEVALUE("1-"&amp;Table2[[#This Row],[Month]]&amp;"-2000")),1)</f>
        <v>45047</v>
      </c>
      <c r="T192" s="16">
        <f t="shared" si="26"/>
        <v>6.6237560407317924</v>
      </c>
      <c r="U192" s="16">
        <f t="shared" si="27"/>
        <v>0.15907584777596437</v>
      </c>
      <c r="V192" s="16">
        <f t="shared" si="28"/>
        <v>227.90761904761908</v>
      </c>
      <c r="W192" s="16">
        <f t="shared" si="29"/>
        <v>3655.0516666666672</v>
      </c>
      <c r="X192" s="16">
        <f t="shared" si="30"/>
        <v>551.80952380952385</v>
      </c>
      <c r="Y192" s="16">
        <f t="shared" si="31"/>
        <v>22976.785714285714</v>
      </c>
      <c r="Z192" s="7" t="str" cm="1">
        <f t="array" ref="Z192">_xlfn.IFS(K192&lt;2%,"Low",K192&lt;5%,"Medium",K192&lt;10%,"Good",K192&gt;10%,"Excellent")</f>
        <v>Medium</v>
      </c>
      <c r="AA192" s="16" t="str">
        <f>Data_Validation!N190</f>
        <v>Pass</v>
      </c>
    </row>
    <row r="193" spans="1:27" x14ac:dyDescent="0.35">
      <c r="A193" s="17" t="s">
        <v>101</v>
      </c>
      <c r="B193" s="3" t="s">
        <v>35</v>
      </c>
      <c r="C193" s="3" t="s">
        <v>29</v>
      </c>
      <c r="D193" s="3" t="s">
        <v>63</v>
      </c>
      <c r="E193" s="3" t="s">
        <v>22</v>
      </c>
      <c r="F193" s="3">
        <v>14342.82</v>
      </c>
      <c r="G193" s="3">
        <v>970911</v>
      </c>
      <c r="H193" s="3">
        <v>48040</v>
      </c>
      <c r="I193" s="3">
        <v>146147.03</v>
      </c>
      <c r="J193" s="3">
        <v>38</v>
      </c>
      <c r="K193" s="15">
        <f t="shared" si="22"/>
        <v>4.9479303458298443E-2</v>
      </c>
      <c r="L193" s="16">
        <f t="shared" si="32"/>
        <v>0.29855995004163199</v>
      </c>
      <c r="M193" s="16">
        <f t="shared" si="23"/>
        <v>14.772538368604332</v>
      </c>
      <c r="N193" s="16">
        <f t="shared" si="24"/>
        <v>10.18956035145111</v>
      </c>
      <c r="O193" s="16">
        <f t="shared" si="25"/>
        <v>9.1895603514511084</v>
      </c>
      <c r="P193" s="1">
        <v>2023</v>
      </c>
      <c r="Q193" s="1" t="s">
        <v>45</v>
      </c>
      <c r="R193" s="1" t="s">
        <v>46</v>
      </c>
      <c r="S193" s="70">
        <f>DATE(Table2[[#This Row],[Year]],MONTH(DATEVALUE("1-"&amp;Table2[[#This Row],[Month]]&amp;"-2000")),1)</f>
        <v>45047</v>
      </c>
      <c r="T193" s="16">
        <f t="shared" si="26"/>
        <v>3.042194629475437</v>
      </c>
      <c r="U193" s="16">
        <f t="shared" si="27"/>
        <v>0.15052567125102095</v>
      </c>
      <c r="V193" s="16">
        <f t="shared" si="28"/>
        <v>377.44263157894738</v>
      </c>
      <c r="W193" s="16">
        <f t="shared" si="29"/>
        <v>3845.9744736842104</v>
      </c>
      <c r="X193" s="16">
        <f t="shared" si="30"/>
        <v>1264.2105263157894</v>
      </c>
      <c r="Y193" s="16">
        <f t="shared" si="31"/>
        <v>25550.28947368421</v>
      </c>
      <c r="Z193" s="7" t="str" cm="1">
        <f t="array" ref="Z193">_xlfn.IFS(K193&lt;2%,"Low",K193&lt;5%,"Medium",K193&lt;10%,"Good",K193&gt;10%,"Excellent")</f>
        <v>Medium</v>
      </c>
      <c r="AA193" s="16" t="str">
        <f>Data_Validation!N191</f>
        <v>Pass</v>
      </c>
    </row>
    <row r="194" spans="1:27" x14ac:dyDescent="0.35">
      <c r="A194" s="17" t="s">
        <v>50</v>
      </c>
      <c r="B194" s="3" t="s">
        <v>35</v>
      </c>
      <c r="C194" s="3" t="s">
        <v>58</v>
      </c>
      <c r="D194" s="3" t="s">
        <v>21</v>
      </c>
      <c r="E194" s="3" t="s">
        <v>22</v>
      </c>
      <c r="F194" s="3">
        <v>6747.74</v>
      </c>
      <c r="G194" s="3">
        <v>653825</v>
      </c>
      <c r="H194" s="3">
        <v>46923</v>
      </c>
      <c r="I194" s="3">
        <v>95957.06</v>
      </c>
      <c r="J194" s="3">
        <v>24</v>
      </c>
      <c r="K194" s="15">
        <f t="shared" si="22"/>
        <v>7.1766910105915196E-2</v>
      </c>
      <c r="L194" s="16">
        <f t="shared" si="32"/>
        <v>0.14380453082709971</v>
      </c>
      <c r="M194" s="16">
        <f t="shared" si="23"/>
        <v>10.320406836691776</v>
      </c>
      <c r="N194" s="16">
        <f t="shared" si="24"/>
        <v>14.220622015667468</v>
      </c>
      <c r="O194" s="16">
        <f t="shared" si="25"/>
        <v>13.220622015667468</v>
      </c>
      <c r="P194" s="1">
        <v>2023</v>
      </c>
      <c r="Q194" s="1" t="s">
        <v>45</v>
      </c>
      <c r="R194" s="1" t="s">
        <v>46</v>
      </c>
      <c r="S194" s="70">
        <f>DATE(Table2[[#This Row],[Year]],MONTH(DATEVALUE("1-"&amp;Table2[[#This Row],[Month]]&amp;"-2000")),1)</f>
        <v>45047</v>
      </c>
      <c r="T194" s="16">
        <f t="shared" si="26"/>
        <v>2.0449898770325854</v>
      </c>
      <c r="U194" s="16">
        <f t="shared" si="27"/>
        <v>0.1467626046725041</v>
      </c>
      <c r="V194" s="16">
        <f t="shared" si="28"/>
        <v>281.15583333333331</v>
      </c>
      <c r="W194" s="16">
        <f t="shared" si="29"/>
        <v>3998.2108333333331</v>
      </c>
      <c r="X194" s="16">
        <f t="shared" si="30"/>
        <v>1955.125</v>
      </c>
      <c r="Y194" s="16">
        <f t="shared" si="31"/>
        <v>27242.708333333332</v>
      </c>
      <c r="Z194" s="7" t="str" cm="1">
        <f t="array" ref="Z194">_xlfn.IFS(K194&lt;2%,"Low",K194&lt;5%,"Medium",K194&lt;10%,"Good",K194&gt;10%,"Excellent")</f>
        <v>Good</v>
      </c>
      <c r="AA194" s="16" t="str">
        <f>Data_Validation!N192</f>
        <v>Pass</v>
      </c>
    </row>
    <row r="195" spans="1:27" x14ac:dyDescent="0.35">
      <c r="A195" s="17" t="s">
        <v>116</v>
      </c>
      <c r="B195" s="3" t="s">
        <v>48</v>
      </c>
      <c r="C195" s="3" t="s">
        <v>58</v>
      </c>
      <c r="D195" s="3" t="s">
        <v>37</v>
      </c>
      <c r="E195" s="3" t="s">
        <v>22</v>
      </c>
      <c r="F195" s="3">
        <v>2029.64</v>
      </c>
      <c r="G195" s="3">
        <v>947692</v>
      </c>
      <c r="H195" s="3">
        <v>20099</v>
      </c>
      <c r="I195" s="3">
        <v>222819.02</v>
      </c>
      <c r="J195" s="3">
        <v>56</v>
      </c>
      <c r="K195" s="15">
        <f t="shared" si="22"/>
        <v>2.120836727544392E-2</v>
      </c>
      <c r="L195" s="16">
        <f t="shared" si="32"/>
        <v>0.10098213841484652</v>
      </c>
      <c r="M195" s="16">
        <f t="shared" si="23"/>
        <v>2.1416662797617794</v>
      </c>
      <c r="N195" s="16">
        <f t="shared" si="24"/>
        <v>109.78253286297077</v>
      </c>
      <c r="O195" s="16">
        <f t="shared" si="25"/>
        <v>108.78253286297075</v>
      </c>
      <c r="P195" s="1">
        <v>2023</v>
      </c>
      <c r="Q195" s="1" t="s">
        <v>45</v>
      </c>
      <c r="R195" s="1" t="s">
        <v>46</v>
      </c>
      <c r="S195" s="70">
        <f>DATE(Table2[[#This Row],[Year]],MONTH(DATEVALUE("1-"&amp;Table2[[#This Row],[Month]]&amp;"-2000")),1)</f>
        <v>45047</v>
      </c>
      <c r="T195" s="16">
        <f t="shared" si="26"/>
        <v>11.086074929100949</v>
      </c>
      <c r="U195" s="16">
        <f t="shared" si="27"/>
        <v>0.23511754873946386</v>
      </c>
      <c r="V195" s="16">
        <f t="shared" si="28"/>
        <v>36.243571428571428</v>
      </c>
      <c r="W195" s="16">
        <f t="shared" si="29"/>
        <v>3978.9110714285712</v>
      </c>
      <c r="X195" s="16">
        <f t="shared" si="30"/>
        <v>358.91071428571428</v>
      </c>
      <c r="Y195" s="16">
        <f t="shared" si="31"/>
        <v>16923.071428571428</v>
      </c>
      <c r="Z195" s="7" t="str" cm="1">
        <f t="array" ref="Z195">_xlfn.IFS(K195&lt;2%,"Low",K195&lt;5%,"Medium",K195&lt;10%,"Good",K195&gt;10%,"Excellent")</f>
        <v>Medium</v>
      </c>
      <c r="AA195" s="16" t="str">
        <f>Data_Validation!N193</f>
        <v>Pass</v>
      </c>
    </row>
    <row r="196" spans="1:27" x14ac:dyDescent="0.35">
      <c r="A196" s="17" t="s">
        <v>96</v>
      </c>
      <c r="B196" s="3" t="s">
        <v>48</v>
      </c>
      <c r="C196" s="3" t="s">
        <v>69</v>
      </c>
      <c r="D196" s="3" t="s">
        <v>59</v>
      </c>
      <c r="E196" s="3" t="s">
        <v>22</v>
      </c>
      <c r="F196" s="3">
        <v>1545.97</v>
      </c>
      <c r="G196" s="3">
        <v>926220</v>
      </c>
      <c r="H196" s="3">
        <v>46775</v>
      </c>
      <c r="I196" s="3">
        <v>115598.13</v>
      </c>
      <c r="J196" s="3">
        <v>10</v>
      </c>
      <c r="K196" s="15">
        <f t="shared" si="22"/>
        <v>5.0500960894819806E-2</v>
      </c>
      <c r="L196" s="16">
        <f t="shared" si="32"/>
        <v>3.305120256547301E-2</v>
      </c>
      <c r="M196" s="16">
        <f t="shared" si="23"/>
        <v>1.6691174882857205</v>
      </c>
      <c r="N196" s="16">
        <f t="shared" si="24"/>
        <v>74.773850721553458</v>
      </c>
      <c r="O196" s="16">
        <f t="shared" si="25"/>
        <v>73.773850721553458</v>
      </c>
      <c r="P196" s="1">
        <v>2023</v>
      </c>
      <c r="Q196" s="1" t="s">
        <v>45</v>
      </c>
      <c r="R196" s="1" t="s">
        <v>46</v>
      </c>
      <c r="S196" s="70">
        <f>DATE(Table2[[#This Row],[Year]],MONTH(DATEVALUE("1-"&amp;Table2[[#This Row],[Month]]&amp;"-2000")),1)</f>
        <v>45047</v>
      </c>
      <c r="T196" s="16">
        <f t="shared" si="26"/>
        <v>2.4713656867985034</v>
      </c>
      <c r="U196" s="16">
        <f t="shared" si="27"/>
        <v>0.12480634190581072</v>
      </c>
      <c r="V196" s="16">
        <f t="shared" si="28"/>
        <v>154.59700000000001</v>
      </c>
      <c r="W196" s="16">
        <f t="shared" si="29"/>
        <v>11559.813</v>
      </c>
      <c r="X196" s="16">
        <f t="shared" si="30"/>
        <v>4677.5</v>
      </c>
      <c r="Y196" s="16">
        <f t="shared" si="31"/>
        <v>92622</v>
      </c>
      <c r="Z196" s="7" t="str" cm="1">
        <f t="array" ref="Z196">_xlfn.IFS(K196&lt;2%,"Low",K196&lt;5%,"Medium",K196&lt;10%,"Good",K196&gt;10%,"Excellent")</f>
        <v>Good</v>
      </c>
      <c r="AA196" s="16" t="str">
        <f>Data_Validation!N194</f>
        <v>Pass</v>
      </c>
    </row>
    <row r="197" spans="1:27" x14ac:dyDescent="0.35">
      <c r="A197" s="17" t="s">
        <v>95</v>
      </c>
      <c r="B197" s="3" t="s">
        <v>35</v>
      </c>
      <c r="C197" s="3" t="s">
        <v>69</v>
      </c>
      <c r="D197" s="3" t="s">
        <v>21</v>
      </c>
      <c r="E197" s="3" t="s">
        <v>30</v>
      </c>
      <c r="F197" s="3">
        <v>28918.65</v>
      </c>
      <c r="G197" s="3">
        <v>46489</v>
      </c>
      <c r="H197" s="3">
        <v>8372</v>
      </c>
      <c r="I197" s="3">
        <v>21472.17</v>
      </c>
      <c r="J197" s="3">
        <v>60</v>
      </c>
      <c r="K197" s="15">
        <f t="shared" si="22"/>
        <v>0.18008561165006776</v>
      </c>
      <c r="L197" s="16">
        <f t="shared" si="32"/>
        <v>3.454210463449594</v>
      </c>
      <c r="M197" s="16">
        <f t="shared" si="23"/>
        <v>622.05360407838418</v>
      </c>
      <c r="N197" s="16">
        <f t="shared" si="24"/>
        <v>0.74250250271018869</v>
      </c>
      <c r="O197" s="16">
        <f t="shared" si="25"/>
        <v>-0.25749749728981136</v>
      </c>
      <c r="P197" s="1">
        <v>2023</v>
      </c>
      <c r="Q197" s="1" t="s">
        <v>45</v>
      </c>
      <c r="R197" s="1" t="s">
        <v>46</v>
      </c>
      <c r="S197" s="70">
        <f>DATE(Table2[[#This Row],[Year]],MONTH(DATEVALUE("1-"&amp;Table2[[#This Row],[Month]]&amp;"-2000")),1)</f>
        <v>45047</v>
      </c>
      <c r="T197" s="16">
        <f t="shared" si="26"/>
        <v>2.564759913999044</v>
      </c>
      <c r="U197" s="16">
        <f t="shared" si="27"/>
        <v>0.46187635784809306</v>
      </c>
      <c r="V197" s="16">
        <f t="shared" si="28"/>
        <v>481.97750000000002</v>
      </c>
      <c r="W197" s="16">
        <f t="shared" si="29"/>
        <v>357.86949999999996</v>
      </c>
      <c r="X197" s="16">
        <f t="shared" si="30"/>
        <v>139.53333333333333</v>
      </c>
      <c r="Y197" s="16">
        <f t="shared" si="31"/>
        <v>774.81666666666672</v>
      </c>
      <c r="Z197" s="7" t="str" cm="1">
        <f t="array" ref="Z197">_xlfn.IFS(K197&lt;2%,"Low",K197&lt;5%,"Medium",K197&lt;10%,"Good",K197&gt;10%,"Excellent")</f>
        <v>Excellent</v>
      </c>
      <c r="AA197" s="16" t="str">
        <f>Data_Validation!N195</f>
        <v>Pass</v>
      </c>
    </row>
    <row r="198" spans="1:27" x14ac:dyDescent="0.35">
      <c r="A198" s="17" t="s">
        <v>70</v>
      </c>
      <c r="B198" s="3" t="s">
        <v>48</v>
      </c>
      <c r="C198" s="3" t="s">
        <v>58</v>
      </c>
      <c r="D198" s="3" t="s">
        <v>43</v>
      </c>
      <c r="E198" s="3" t="s">
        <v>22</v>
      </c>
      <c r="F198" s="3">
        <v>7794.99</v>
      </c>
      <c r="G198" s="3">
        <v>260875</v>
      </c>
      <c r="H198" s="3">
        <v>11539</v>
      </c>
      <c r="I198" s="3">
        <v>154581.81</v>
      </c>
      <c r="J198" s="3">
        <v>46</v>
      </c>
      <c r="K198" s="15">
        <f t="shared" si="22"/>
        <v>4.4231911835170099E-2</v>
      </c>
      <c r="L198" s="16">
        <f t="shared" si="32"/>
        <v>0.67553427506716346</v>
      </c>
      <c r="M198" s="16">
        <f t="shared" si="23"/>
        <v>29.880172496406324</v>
      </c>
      <c r="N198" s="16">
        <f t="shared" si="24"/>
        <v>19.830918320613627</v>
      </c>
      <c r="O198" s="16">
        <f t="shared" si="25"/>
        <v>18.830918320613627</v>
      </c>
      <c r="P198" s="1">
        <v>2023</v>
      </c>
      <c r="Q198" s="1" t="s">
        <v>45</v>
      </c>
      <c r="R198" s="1" t="s">
        <v>46</v>
      </c>
      <c r="S198" s="70">
        <f>DATE(Table2[[#This Row],[Year]],MONTH(DATEVALUE("1-"&amp;Table2[[#This Row],[Month]]&amp;"-2000")),1)</f>
        <v>45047</v>
      </c>
      <c r="T198" s="16">
        <f t="shared" si="26"/>
        <v>13.396465031631857</v>
      </c>
      <c r="U198" s="16">
        <f t="shared" si="27"/>
        <v>0.59255126018207949</v>
      </c>
      <c r="V198" s="16">
        <f t="shared" si="28"/>
        <v>169.45630434782609</v>
      </c>
      <c r="W198" s="16">
        <f t="shared" si="29"/>
        <v>3360.4741304347826</v>
      </c>
      <c r="X198" s="16">
        <f t="shared" si="30"/>
        <v>250.84782608695653</v>
      </c>
      <c r="Y198" s="16">
        <f t="shared" si="31"/>
        <v>5671.195652173913</v>
      </c>
      <c r="Z198" s="7" t="str" cm="1">
        <f t="array" ref="Z198">_xlfn.IFS(K198&lt;2%,"Low",K198&lt;5%,"Medium",K198&lt;10%,"Good",K198&gt;10%,"Excellent")</f>
        <v>Medium</v>
      </c>
      <c r="AA198" s="16" t="str">
        <f>Data_Validation!N196</f>
        <v>Pass</v>
      </c>
    </row>
    <row r="199" spans="1:27" x14ac:dyDescent="0.35">
      <c r="A199" s="17" t="s">
        <v>110</v>
      </c>
      <c r="B199" s="3" t="s">
        <v>35</v>
      </c>
      <c r="C199" s="3" t="s">
        <v>36</v>
      </c>
      <c r="D199" s="3" t="s">
        <v>37</v>
      </c>
      <c r="E199" s="3" t="s">
        <v>38</v>
      </c>
      <c r="F199" s="3">
        <v>9715.59</v>
      </c>
      <c r="G199" s="3">
        <v>94736</v>
      </c>
      <c r="H199" s="3">
        <v>32054</v>
      </c>
      <c r="I199" s="3">
        <v>86494.21</v>
      </c>
      <c r="J199" s="3">
        <v>26</v>
      </c>
      <c r="K199" s="15">
        <f t="shared" si="22"/>
        <v>0.33835078534031415</v>
      </c>
      <c r="L199" s="16">
        <f t="shared" si="32"/>
        <v>0.30310070506021092</v>
      </c>
      <c r="M199" s="16">
        <f t="shared" si="23"/>
        <v>102.55436159432529</v>
      </c>
      <c r="N199" s="16">
        <f t="shared" si="24"/>
        <v>8.9026204275808265</v>
      </c>
      <c r="O199" s="16">
        <f t="shared" si="25"/>
        <v>7.9026204275808274</v>
      </c>
      <c r="P199" s="1">
        <v>2023</v>
      </c>
      <c r="Q199" s="1" t="s">
        <v>45</v>
      </c>
      <c r="R199" s="1" t="s">
        <v>46</v>
      </c>
      <c r="S199" s="70">
        <f>DATE(Table2[[#This Row],[Year]],MONTH(DATEVALUE("1-"&amp;Table2[[#This Row],[Month]]&amp;"-2000")),1)</f>
        <v>45047</v>
      </c>
      <c r="T199" s="16">
        <f t="shared" si="26"/>
        <v>2.6983905284831846</v>
      </c>
      <c r="U199" s="16">
        <f t="shared" si="27"/>
        <v>0.91300255446715084</v>
      </c>
      <c r="V199" s="16">
        <f t="shared" si="28"/>
        <v>373.67653846153848</v>
      </c>
      <c r="W199" s="16">
        <f t="shared" si="29"/>
        <v>3326.7003846153848</v>
      </c>
      <c r="X199" s="16">
        <f t="shared" si="30"/>
        <v>1232.8461538461538</v>
      </c>
      <c r="Y199" s="16">
        <f t="shared" si="31"/>
        <v>3643.6923076923076</v>
      </c>
      <c r="Z199" s="7" t="str" cm="1">
        <f t="array" ref="Z199">_xlfn.IFS(K199&lt;2%,"Low",K199&lt;5%,"Medium",K199&lt;10%,"Good",K199&gt;10%,"Excellent")</f>
        <v>Excellent</v>
      </c>
      <c r="AA199" s="16" t="str">
        <f>Data_Validation!N197</f>
        <v>Pass</v>
      </c>
    </row>
    <row r="200" spans="1:27" x14ac:dyDescent="0.35">
      <c r="A200" s="17" t="s">
        <v>118</v>
      </c>
      <c r="B200" s="3" t="s">
        <v>28</v>
      </c>
      <c r="C200" s="3" t="s">
        <v>58</v>
      </c>
      <c r="D200" s="3" t="s">
        <v>51</v>
      </c>
      <c r="E200" s="3" t="s">
        <v>30</v>
      </c>
      <c r="F200" s="3">
        <v>35172.69</v>
      </c>
      <c r="G200" s="3">
        <v>152371</v>
      </c>
      <c r="H200" s="3">
        <v>5648</v>
      </c>
      <c r="I200" s="3">
        <v>38618.97</v>
      </c>
      <c r="J200" s="3">
        <v>52</v>
      </c>
      <c r="K200" s="15">
        <f t="shared" si="22"/>
        <v>3.7067420965931838E-2</v>
      </c>
      <c r="L200" s="16">
        <f t="shared" si="32"/>
        <v>6.2274592776203974</v>
      </c>
      <c r="M200" s="16">
        <f t="shared" si="23"/>
        <v>230.83585459175305</v>
      </c>
      <c r="N200" s="16">
        <f t="shared" si="24"/>
        <v>1.0979817011436999</v>
      </c>
      <c r="O200" s="16">
        <f t="shared" si="25"/>
        <v>9.7981701143699806E-2</v>
      </c>
      <c r="P200" s="1">
        <v>2023</v>
      </c>
      <c r="Q200" s="1" t="s">
        <v>45</v>
      </c>
      <c r="R200" s="1" t="s">
        <v>46</v>
      </c>
      <c r="S200" s="70">
        <f>DATE(Table2[[#This Row],[Year]],MONTH(DATEVALUE("1-"&amp;Table2[[#This Row],[Month]]&amp;"-2000")),1)</f>
        <v>45047</v>
      </c>
      <c r="T200" s="16">
        <f t="shared" si="26"/>
        <v>6.8376363314447595</v>
      </c>
      <c r="U200" s="16">
        <f t="shared" si="27"/>
        <v>0.25345354430961275</v>
      </c>
      <c r="V200" s="16">
        <f t="shared" si="28"/>
        <v>676.39788461538467</v>
      </c>
      <c r="W200" s="16">
        <f t="shared" si="29"/>
        <v>742.67250000000001</v>
      </c>
      <c r="X200" s="16">
        <f t="shared" si="30"/>
        <v>108.61538461538461</v>
      </c>
      <c r="Y200" s="16">
        <f t="shared" si="31"/>
        <v>2930.2115384615386</v>
      </c>
      <c r="Z200" s="7" t="str" cm="1">
        <f t="array" ref="Z200">_xlfn.IFS(K200&lt;2%,"Low",K200&lt;5%,"Medium",K200&lt;10%,"Good",K200&gt;10%,"Excellent")</f>
        <v>Medium</v>
      </c>
      <c r="AA200" s="16" t="str">
        <f>Data_Validation!N198</f>
        <v>Pass</v>
      </c>
    </row>
    <row r="201" spans="1:27" x14ac:dyDescent="0.35">
      <c r="A201" s="17" t="s">
        <v>115</v>
      </c>
      <c r="B201" s="3" t="s">
        <v>19</v>
      </c>
      <c r="C201" s="3" t="s">
        <v>29</v>
      </c>
      <c r="D201" s="3" t="s">
        <v>21</v>
      </c>
      <c r="E201" s="3" t="s">
        <v>38</v>
      </c>
      <c r="F201" s="3">
        <v>10526.83</v>
      </c>
      <c r="G201" s="3">
        <v>781037</v>
      </c>
      <c r="H201" s="3">
        <v>42779</v>
      </c>
      <c r="I201" s="3">
        <v>7237.47</v>
      </c>
      <c r="J201" s="3">
        <v>19</v>
      </c>
      <c r="K201" s="15">
        <f t="shared" ref="K201:K264" si="33">H201/G201</f>
        <v>5.4772053052544248E-2</v>
      </c>
      <c r="L201" s="16">
        <f t="shared" si="32"/>
        <v>0.24607470955375302</v>
      </c>
      <c r="M201" s="16">
        <f t="shared" ref="M201:M264" si="34">F201/G201*1000</f>
        <v>13.478017046567576</v>
      </c>
      <c r="N201" s="16">
        <f t="shared" ref="N201:N264" si="35">I201/F201</f>
        <v>0.68752606435175645</v>
      </c>
      <c r="O201" s="16">
        <f t="shared" ref="O201:O264" si="36">(I201-F201)/F201</f>
        <v>-0.31247393564824355</v>
      </c>
      <c r="P201" s="1">
        <v>2023</v>
      </c>
      <c r="Q201" s="1" t="s">
        <v>45</v>
      </c>
      <c r="R201" s="1" t="s">
        <v>46</v>
      </c>
      <c r="S201" s="70">
        <f>DATE(Table2[[#This Row],[Year]],MONTH(DATEVALUE("1-"&amp;Table2[[#This Row],[Month]]&amp;"-2000")),1)</f>
        <v>45047</v>
      </c>
      <c r="T201" s="16">
        <f t="shared" ref="T201:T264" si="37">I201/H201</f>
        <v>0.16918277659599337</v>
      </c>
      <c r="U201" s="16">
        <f t="shared" ref="U201:U264" si="38">I201/G201</f>
        <v>9.2664880152924893E-3</v>
      </c>
      <c r="V201" s="16">
        <f t="shared" ref="V201:V264" si="39">F201/J201</f>
        <v>554.04368421052629</v>
      </c>
      <c r="W201" s="16">
        <f t="shared" ref="W201:W264" si="40">I201/J201</f>
        <v>380.91947368421052</v>
      </c>
      <c r="X201" s="16">
        <f t="shared" ref="X201:X264" si="41">H201/J201</f>
        <v>2251.5263157894738</v>
      </c>
      <c r="Y201" s="16">
        <f t="shared" ref="Y201:Y264" si="42">G201/J201</f>
        <v>41107.210526315786</v>
      </c>
      <c r="Z201" s="7" t="str" cm="1">
        <f t="array" ref="Z201">_xlfn.IFS(K201&lt;2%,"Low",K201&lt;5%,"Medium",K201&lt;10%,"Good",K201&gt;10%,"Excellent")</f>
        <v>Good</v>
      </c>
      <c r="AA201" s="16" t="str">
        <f>Data_Validation!N199</f>
        <v>Pass</v>
      </c>
    </row>
    <row r="202" spans="1:27" x14ac:dyDescent="0.35">
      <c r="A202" s="17" t="s">
        <v>57</v>
      </c>
      <c r="B202" s="3" t="s">
        <v>28</v>
      </c>
      <c r="C202" s="3" t="s">
        <v>58</v>
      </c>
      <c r="D202" s="3" t="s">
        <v>51</v>
      </c>
      <c r="E202" s="3" t="s">
        <v>38</v>
      </c>
      <c r="F202" s="3">
        <v>2723.03</v>
      </c>
      <c r="G202" s="3">
        <v>814819</v>
      </c>
      <c r="H202" s="3">
        <v>25332</v>
      </c>
      <c r="I202" s="3">
        <v>91389.15</v>
      </c>
      <c r="J202" s="3">
        <v>11</v>
      </c>
      <c r="K202" s="15">
        <f t="shared" si="33"/>
        <v>3.1089113042283009E-2</v>
      </c>
      <c r="L202" s="16">
        <f t="shared" ref="L202:L265" si="43">F202/H202</f>
        <v>0.10749368387809885</v>
      </c>
      <c r="M202" s="16">
        <f t="shared" si="34"/>
        <v>3.34188328941765</v>
      </c>
      <c r="N202" s="16">
        <f t="shared" si="35"/>
        <v>33.561565608898903</v>
      </c>
      <c r="O202" s="16">
        <f t="shared" si="36"/>
        <v>32.56156560889891</v>
      </c>
      <c r="P202" s="1">
        <v>2023</v>
      </c>
      <c r="Q202" s="1" t="s">
        <v>45</v>
      </c>
      <c r="R202" s="1" t="s">
        <v>46</v>
      </c>
      <c r="S202" s="70">
        <f>DATE(Table2[[#This Row],[Year]],MONTH(DATEVALUE("1-"&amp;Table2[[#This Row],[Month]]&amp;"-2000")),1)</f>
        <v>45047</v>
      </c>
      <c r="T202" s="16">
        <f t="shared" si="37"/>
        <v>3.6076563240170532</v>
      </c>
      <c r="U202" s="16">
        <f t="shared" si="38"/>
        <v>0.11215883527507335</v>
      </c>
      <c r="V202" s="16">
        <f t="shared" si="39"/>
        <v>247.54818181818183</v>
      </c>
      <c r="W202" s="16">
        <f t="shared" si="40"/>
        <v>8308.1045454545456</v>
      </c>
      <c r="X202" s="16">
        <f t="shared" si="41"/>
        <v>2302.909090909091</v>
      </c>
      <c r="Y202" s="16">
        <f t="shared" si="42"/>
        <v>74074.454545454544</v>
      </c>
      <c r="Z202" s="7" t="str" cm="1">
        <f t="array" ref="Z202">_xlfn.IFS(K202&lt;2%,"Low",K202&lt;5%,"Medium",K202&lt;10%,"Good",K202&gt;10%,"Excellent")</f>
        <v>Medium</v>
      </c>
      <c r="AA202" s="16" t="str">
        <f>Data_Validation!N200</f>
        <v>Pass</v>
      </c>
    </row>
    <row r="203" spans="1:27" x14ac:dyDescent="0.35">
      <c r="A203" s="17" t="s">
        <v>47</v>
      </c>
      <c r="B203" s="3" t="s">
        <v>48</v>
      </c>
      <c r="C203" s="3" t="s">
        <v>20</v>
      </c>
      <c r="D203" s="3" t="s">
        <v>43</v>
      </c>
      <c r="E203" s="3" t="s">
        <v>22</v>
      </c>
      <c r="F203" s="3">
        <v>12775.41</v>
      </c>
      <c r="G203" s="3">
        <v>617913</v>
      </c>
      <c r="H203" s="3">
        <v>22895</v>
      </c>
      <c r="I203" s="3">
        <v>91289.8</v>
      </c>
      <c r="J203" s="3">
        <v>60</v>
      </c>
      <c r="K203" s="15">
        <f t="shared" si="33"/>
        <v>3.705214164453572E-2</v>
      </c>
      <c r="L203" s="16">
        <f t="shared" si="43"/>
        <v>0.55799999999999994</v>
      </c>
      <c r="M203" s="16">
        <f t="shared" si="34"/>
        <v>20.675095037650934</v>
      </c>
      <c r="N203" s="16">
        <f t="shared" si="35"/>
        <v>7.145743267730742</v>
      </c>
      <c r="O203" s="16">
        <f t="shared" si="36"/>
        <v>6.145743267730742</v>
      </c>
      <c r="P203" s="1">
        <v>2023</v>
      </c>
      <c r="Q203" s="1" t="s">
        <v>45</v>
      </c>
      <c r="R203" s="1" t="s">
        <v>46</v>
      </c>
      <c r="S203" s="70">
        <f>DATE(Table2[[#This Row],[Year]],MONTH(DATEVALUE("1-"&amp;Table2[[#This Row],[Month]]&amp;"-2000")),1)</f>
        <v>45047</v>
      </c>
      <c r="T203" s="16">
        <f t="shared" si="37"/>
        <v>3.9873247433937542</v>
      </c>
      <c r="U203" s="16">
        <f t="shared" si="38"/>
        <v>0.14773892117498741</v>
      </c>
      <c r="V203" s="16">
        <f t="shared" si="39"/>
        <v>212.92349999999999</v>
      </c>
      <c r="W203" s="16">
        <f t="shared" si="40"/>
        <v>1521.4966666666667</v>
      </c>
      <c r="X203" s="16">
        <f t="shared" si="41"/>
        <v>381.58333333333331</v>
      </c>
      <c r="Y203" s="16">
        <f t="shared" si="42"/>
        <v>10298.549999999999</v>
      </c>
      <c r="Z203" s="7" t="str" cm="1">
        <f t="array" ref="Z203">_xlfn.IFS(K203&lt;2%,"Low",K203&lt;5%,"Medium",K203&lt;10%,"Good",K203&gt;10%,"Excellent")</f>
        <v>Medium</v>
      </c>
      <c r="AA203" s="16" t="str">
        <f>Data_Validation!N201</f>
        <v>Pass</v>
      </c>
    </row>
    <row r="204" spans="1:27" x14ac:dyDescent="0.35">
      <c r="A204" s="17" t="s">
        <v>79</v>
      </c>
      <c r="B204" s="3" t="s">
        <v>19</v>
      </c>
      <c r="C204" s="3" t="s">
        <v>69</v>
      </c>
      <c r="D204" s="3" t="s">
        <v>51</v>
      </c>
      <c r="E204" s="3" t="s">
        <v>30</v>
      </c>
      <c r="F204" s="3">
        <v>32375.7</v>
      </c>
      <c r="G204" s="3">
        <v>747114</v>
      </c>
      <c r="H204" s="3">
        <v>2350</v>
      </c>
      <c r="I204" s="3">
        <v>151725.68</v>
      </c>
      <c r="J204" s="3">
        <v>53</v>
      </c>
      <c r="K204" s="15">
        <f t="shared" si="33"/>
        <v>3.1454369748124115E-3</v>
      </c>
      <c r="L204" s="16">
        <f t="shared" si="43"/>
        <v>13.776893617021276</v>
      </c>
      <c r="M204" s="16">
        <f t="shared" si="34"/>
        <v>43.334350581035821</v>
      </c>
      <c r="N204" s="16">
        <f t="shared" si="35"/>
        <v>4.6864061626466764</v>
      </c>
      <c r="O204" s="16">
        <f t="shared" si="36"/>
        <v>3.686406162646676</v>
      </c>
      <c r="P204" s="1">
        <v>2023</v>
      </c>
      <c r="Q204" s="1" t="s">
        <v>45</v>
      </c>
      <c r="R204" s="1" t="s">
        <v>46</v>
      </c>
      <c r="S204" s="70">
        <f>DATE(Table2[[#This Row],[Year]],MONTH(DATEVALUE("1-"&amp;Table2[[#This Row],[Month]]&amp;"-2000")),1)</f>
        <v>45047</v>
      </c>
      <c r="T204" s="16">
        <f t="shared" si="37"/>
        <v>64.564119148936172</v>
      </c>
      <c r="U204" s="16">
        <f t="shared" si="38"/>
        <v>0.20308236761725787</v>
      </c>
      <c r="V204" s="16">
        <f t="shared" si="39"/>
        <v>610.86226415094336</v>
      </c>
      <c r="W204" s="16">
        <f t="shared" si="40"/>
        <v>2862.7486792452828</v>
      </c>
      <c r="X204" s="16">
        <f t="shared" si="41"/>
        <v>44.339622641509436</v>
      </c>
      <c r="Y204" s="16">
        <f t="shared" si="42"/>
        <v>14096.490566037735</v>
      </c>
      <c r="Z204" s="7" t="str" cm="1">
        <f t="array" ref="Z204">_xlfn.IFS(K204&lt;2%,"Low",K204&lt;5%,"Medium",K204&lt;10%,"Good",K204&gt;10%,"Excellent")</f>
        <v>Low</v>
      </c>
      <c r="AA204" s="16" t="str">
        <f>Data_Validation!N202</f>
        <v>Pass</v>
      </c>
    </row>
    <row r="205" spans="1:27" x14ac:dyDescent="0.35">
      <c r="A205" s="17" t="s">
        <v>57</v>
      </c>
      <c r="B205" s="3" t="s">
        <v>48</v>
      </c>
      <c r="C205" s="3" t="s">
        <v>69</v>
      </c>
      <c r="D205" s="3" t="s">
        <v>37</v>
      </c>
      <c r="E205" s="3" t="s">
        <v>38</v>
      </c>
      <c r="F205" s="3">
        <v>1263.53</v>
      </c>
      <c r="G205" s="3">
        <v>204015</v>
      </c>
      <c r="H205" s="3">
        <v>11641</v>
      </c>
      <c r="I205" s="3">
        <v>51270.68</v>
      </c>
      <c r="J205" s="3">
        <v>36</v>
      </c>
      <c r="K205" s="15">
        <f t="shared" si="33"/>
        <v>5.7059529936524273E-2</v>
      </c>
      <c r="L205" s="16">
        <f t="shared" si="43"/>
        <v>0.10854136242590842</v>
      </c>
      <c r="M205" s="16">
        <f t="shared" si="34"/>
        <v>6.1933191186922532</v>
      </c>
      <c r="N205" s="16">
        <f t="shared" si="35"/>
        <v>40.577334926752826</v>
      </c>
      <c r="O205" s="16">
        <f t="shared" si="36"/>
        <v>39.577334926752826</v>
      </c>
      <c r="P205" s="1">
        <v>2023</v>
      </c>
      <c r="Q205" s="1" t="s">
        <v>53</v>
      </c>
      <c r="R205" s="1" t="s">
        <v>46</v>
      </c>
      <c r="S205" s="70">
        <f>DATE(Table2[[#This Row],[Year]],MONTH(DATEVALUE("1-"&amp;Table2[[#This Row],[Month]]&amp;"-2000")),1)</f>
        <v>45078</v>
      </c>
      <c r="T205" s="16">
        <f t="shared" si="37"/>
        <v>4.4043192165621514</v>
      </c>
      <c r="U205" s="16">
        <f t="shared" si="38"/>
        <v>0.25130838418743717</v>
      </c>
      <c r="V205" s="16">
        <f t="shared" si="39"/>
        <v>35.098055555555554</v>
      </c>
      <c r="W205" s="16">
        <f t="shared" si="40"/>
        <v>1424.1855555555555</v>
      </c>
      <c r="X205" s="16">
        <f t="shared" si="41"/>
        <v>323.36111111111109</v>
      </c>
      <c r="Y205" s="16">
        <f t="shared" si="42"/>
        <v>5667.083333333333</v>
      </c>
      <c r="Z205" s="7" t="str" cm="1">
        <f t="array" ref="Z205">_xlfn.IFS(K205&lt;2%,"Low",K205&lt;5%,"Medium",K205&lt;10%,"Good",K205&gt;10%,"Excellent")</f>
        <v>Good</v>
      </c>
      <c r="AA205" s="16" t="str">
        <f>Data_Validation!N203</f>
        <v>Pass</v>
      </c>
    </row>
    <row r="206" spans="1:27" x14ac:dyDescent="0.35">
      <c r="A206" s="17" t="s">
        <v>67</v>
      </c>
      <c r="B206" s="3" t="s">
        <v>28</v>
      </c>
      <c r="C206" s="3" t="s">
        <v>69</v>
      </c>
      <c r="D206" s="3" t="s">
        <v>59</v>
      </c>
      <c r="E206" s="3" t="s">
        <v>30</v>
      </c>
      <c r="F206" s="3">
        <v>34133.64</v>
      </c>
      <c r="G206" s="3">
        <v>158513</v>
      </c>
      <c r="H206" s="3">
        <v>23509</v>
      </c>
      <c r="I206" s="3">
        <v>126968.9</v>
      </c>
      <c r="J206" s="3">
        <v>32</v>
      </c>
      <c r="K206" s="15">
        <f t="shared" si="33"/>
        <v>0.14830960236699828</v>
      </c>
      <c r="L206" s="16">
        <f t="shared" si="43"/>
        <v>1.4519392573057126</v>
      </c>
      <c r="M206" s="16">
        <f t="shared" si="34"/>
        <v>215.33653391204507</v>
      </c>
      <c r="N206" s="16">
        <f t="shared" si="35"/>
        <v>3.7197585724815752</v>
      </c>
      <c r="O206" s="16">
        <f t="shared" si="36"/>
        <v>2.7197585724815752</v>
      </c>
      <c r="P206" s="1">
        <v>2023</v>
      </c>
      <c r="Q206" s="1" t="s">
        <v>53</v>
      </c>
      <c r="R206" s="1" t="s">
        <v>46</v>
      </c>
      <c r="S206" s="70">
        <f>DATE(Table2[[#This Row],[Year]],MONTH(DATEVALUE("1-"&amp;Table2[[#This Row],[Month]]&amp;"-2000")),1)</f>
        <v>45078</v>
      </c>
      <c r="T206" s="16">
        <f t="shared" si="37"/>
        <v>5.4008634990854567</v>
      </c>
      <c r="U206" s="16">
        <f t="shared" si="38"/>
        <v>0.80099991798779913</v>
      </c>
      <c r="V206" s="16">
        <f t="shared" si="39"/>
        <v>1066.67625</v>
      </c>
      <c r="W206" s="16">
        <f t="shared" si="40"/>
        <v>3967.7781249999998</v>
      </c>
      <c r="X206" s="16">
        <f t="shared" si="41"/>
        <v>734.65625</v>
      </c>
      <c r="Y206" s="16">
        <f t="shared" si="42"/>
        <v>4953.53125</v>
      </c>
      <c r="Z206" s="7" t="str" cm="1">
        <f t="array" ref="Z206">_xlfn.IFS(K206&lt;2%,"Low",K206&lt;5%,"Medium",K206&lt;10%,"Good",K206&gt;10%,"Excellent")</f>
        <v>Excellent</v>
      </c>
      <c r="AA206" s="16" t="str">
        <f>Data_Validation!N204</f>
        <v>Pass</v>
      </c>
    </row>
    <row r="207" spans="1:27" x14ac:dyDescent="0.35">
      <c r="A207" s="17" t="s">
        <v>96</v>
      </c>
      <c r="B207" s="3" t="s">
        <v>48</v>
      </c>
      <c r="C207" s="3" t="s">
        <v>20</v>
      </c>
      <c r="D207" s="3" t="s">
        <v>21</v>
      </c>
      <c r="E207" s="3" t="s">
        <v>38</v>
      </c>
      <c r="F207" s="3">
        <v>10620.01</v>
      </c>
      <c r="G207" s="3">
        <v>270247</v>
      </c>
      <c r="H207" s="3">
        <v>7862</v>
      </c>
      <c r="I207" s="3">
        <v>141727.89000000001</v>
      </c>
      <c r="J207" s="3">
        <v>57</v>
      </c>
      <c r="K207" s="15">
        <f t="shared" si="33"/>
        <v>2.9091904813004398E-2</v>
      </c>
      <c r="L207" s="16">
        <f t="shared" si="43"/>
        <v>1.3508025947596032</v>
      </c>
      <c r="M207" s="16">
        <f t="shared" si="34"/>
        <v>39.297420507905734</v>
      </c>
      <c r="N207" s="16">
        <f t="shared" si="35"/>
        <v>13.34536313995938</v>
      </c>
      <c r="O207" s="16">
        <f t="shared" si="36"/>
        <v>12.345363139959378</v>
      </c>
      <c r="P207" s="1">
        <v>2023</v>
      </c>
      <c r="Q207" s="1" t="s">
        <v>53</v>
      </c>
      <c r="R207" s="1" t="s">
        <v>46</v>
      </c>
      <c r="S207" s="70">
        <f>DATE(Table2[[#This Row],[Year]],MONTH(DATEVALUE("1-"&amp;Table2[[#This Row],[Month]]&amp;"-2000")),1)</f>
        <v>45078</v>
      </c>
      <c r="T207" s="16">
        <f t="shared" si="37"/>
        <v>18.026951157466296</v>
      </c>
      <c r="U207" s="16">
        <f t="shared" si="38"/>
        <v>0.52443834714168891</v>
      </c>
      <c r="V207" s="16">
        <f t="shared" si="39"/>
        <v>186.31596491228072</v>
      </c>
      <c r="W207" s="16">
        <f t="shared" si="40"/>
        <v>2486.4542105263158</v>
      </c>
      <c r="X207" s="16">
        <f t="shared" si="41"/>
        <v>137.92982456140351</v>
      </c>
      <c r="Y207" s="16">
        <f t="shared" si="42"/>
        <v>4741.1754385964914</v>
      </c>
      <c r="Z207" s="7" t="str" cm="1">
        <f t="array" ref="Z207">_xlfn.IFS(K207&lt;2%,"Low",K207&lt;5%,"Medium",K207&lt;10%,"Good",K207&gt;10%,"Excellent")</f>
        <v>Medium</v>
      </c>
      <c r="AA207" s="16" t="str">
        <f>Data_Validation!N205</f>
        <v>Pass</v>
      </c>
    </row>
    <row r="208" spans="1:27" x14ac:dyDescent="0.35">
      <c r="A208" s="17" t="s">
        <v>85</v>
      </c>
      <c r="B208" s="3" t="s">
        <v>28</v>
      </c>
      <c r="C208" s="3" t="s">
        <v>69</v>
      </c>
      <c r="D208" s="3" t="s">
        <v>63</v>
      </c>
      <c r="E208" s="3" t="s">
        <v>30</v>
      </c>
      <c r="F208" s="3">
        <v>26124.51</v>
      </c>
      <c r="G208" s="3">
        <v>310947</v>
      </c>
      <c r="H208" s="3">
        <v>22931</v>
      </c>
      <c r="I208" s="3">
        <v>219473.53</v>
      </c>
      <c r="J208" s="3">
        <v>48</v>
      </c>
      <c r="K208" s="15">
        <f t="shared" si="33"/>
        <v>7.3745686563948198E-2</v>
      </c>
      <c r="L208" s="16">
        <f t="shared" si="43"/>
        <v>1.1392660590467052</v>
      </c>
      <c r="M208" s="16">
        <f t="shared" si="34"/>
        <v>84.015957703402819</v>
      </c>
      <c r="N208" s="16">
        <f t="shared" si="35"/>
        <v>8.4010582399440228</v>
      </c>
      <c r="O208" s="16">
        <f t="shared" si="36"/>
        <v>7.4010582399440219</v>
      </c>
      <c r="P208" s="1">
        <v>2023</v>
      </c>
      <c r="Q208" s="1" t="s">
        <v>53</v>
      </c>
      <c r="R208" s="1" t="s">
        <v>46</v>
      </c>
      <c r="S208" s="70">
        <f>DATE(Table2[[#This Row],[Year]],MONTH(DATEVALUE("1-"&amp;Table2[[#This Row],[Month]]&amp;"-2000")),1)</f>
        <v>45078</v>
      </c>
      <c r="T208" s="16">
        <f t="shared" si="37"/>
        <v>9.5710405128428757</v>
      </c>
      <c r="U208" s="16">
        <f t="shared" si="38"/>
        <v>0.70582295375096082</v>
      </c>
      <c r="V208" s="16">
        <f t="shared" si="39"/>
        <v>544.260625</v>
      </c>
      <c r="W208" s="16">
        <f t="shared" si="40"/>
        <v>4572.3652083333336</v>
      </c>
      <c r="X208" s="16">
        <f t="shared" si="41"/>
        <v>477.72916666666669</v>
      </c>
      <c r="Y208" s="16">
        <f t="shared" si="42"/>
        <v>6478.0625</v>
      </c>
      <c r="Z208" s="7" t="str" cm="1">
        <f t="array" ref="Z208">_xlfn.IFS(K208&lt;2%,"Low",K208&lt;5%,"Medium",K208&lt;10%,"Good",K208&gt;10%,"Excellent")</f>
        <v>Good</v>
      </c>
      <c r="AA208" s="16" t="str">
        <f>Data_Validation!N206</f>
        <v>Pass</v>
      </c>
    </row>
    <row r="209" spans="1:27" x14ac:dyDescent="0.35">
      <c r="A209" s="17" t="s">
        <v>88</v>
      </c>
      <c r="B209" s="3" t="s">
        <v>48</v>
      </c>
      <c r="C209" s="3" t="s">
        <v>36</v>
      </c>
      <c r="D209" s="3" t="s">
        <v>51</v>
      </c>
      <c r="E209" s="3" t="s">
        <v>38</v>
      </c>
      <c r="F209" s="3">
        <v>41612.01</v>
      </c>
      <c r="G209" s="3">
        <v>854554</v>
      </c>
      <c r="H209" s="3">
        <v>39423</v>
      </c>
      <c r="I209" s="3">
        <v>104004.11</v>
      </c>
      <c r="J209" s="3">
        <v>39</v>
      </c>
      <c r="K209" s="15">
        <f t="shared" si="33"/>
        <v>4.6132836543974987E-2</v>
      </c>
      <c r="L209" s="16">
        <f t="shared" si="43"/>
        <v>1.0555262156609087</v>
      </c>
      <c r="M209" s="16">
        <f t="shared" si="34"/>
        <v>48.694418374965188</v>
      </c>
      <c r="N209" s="16">
        <f t="shared" si="35"/>
        <v>2.4993772230661291</v>
      </c>
      <c r="O209" s="16">
        <f t="shared" si="36"/>
        <v>1.4993772230661291</v>
      </c>
      <c r="P209" s="1">
        <v>2023</v>
      </c>
      <c r="Q209" s="1" t="s">
        <v>53</v>
      </c>
      <c r="R209" s="1" t="s">
        <v>46</v>
      </c>
      <c r="S209" s="70">
        <f>DATE(Table2[[#This Row],[Year]],MONTH(DATEVALUE("1-"&amp;Table2[[#This Row],[Month]]&amp;"-2000")),1)</f>
        <v>45078</v>
      </c>
      <c r="T209" s="16">
        <f t="shared" si="37"/>
        <v>2.6381581817720621</v>
      </c>
      <c r="U209" s="16">
        <f t="shared" si="38"/>
        <v>0.12170572017684078</v>
      </c>
      <c r="V209" s="16">
        <f t="shared" si="39"/>
        <v>1066.9746153846154</v>
      </c>
      <c r="W209" s="16">
        <f t="shared" si="40"/>
        <v>2666.7720512820515</v>
      </c>
      <c r="X209" s="16">
        <f t="shared" si="41"/>
        <v>1010.8461538461538</v>
      </c>
      <c r="Y209" s="16">
        <f t="shared" si="42"/>
        <v>21911.641025641027</v>
      </c>
      <c r="Z209" s="7" t="str" cm="1">
        <f t="array" ref="Z209">_xlfn.IFS(K209&lt;2%,"Low",K209&lt;5%,"Medium",K209&lt;10%,"Good",K209&gt;10%,"Excellent")</f>
        <v>Medium</v>
      </c>
      <c r="AA209" s="16" t="str">
        <f>Data_Validation!N207</f>
        <v>Pass</v>
      </c>
    </row>
    <row r="210" spans="1:27" x14ac:dyDescent="0.35">
      <c r="A210" s="17" t="s">
        <v>18</v>
      </c>
      <c r="B210" s="3" t="s">
        <v>28</v>
      </c>
      <c r="C210" s="3" t="s">
        <v>69</v>
      </c>
      <c r="D210" s="3" t="s">
        <v>43</v>
      </c>
      <c r="E210" s="3" t="s">
        <v>30</v>
      </c>
      <c r="F210" s="3">
        <v>28255.35</v>
      </c>
      <c r="G210" s="3">
        <v>341777</v>
      </c>
      <c r="H210" s="3">
        <v>7545</v>
      </c>
      <c r="I210" s="3">
        <v>199044.12</v>
      </c>
      <c r="J210" s="3">
        <v>35</v>
      </c>
      <c r="K210" s="15">
        <f t="shared" si="33"/>
        <v>2.2075797961828913E-2</v>
      </c>
      <c r="L210" s="16">
        <f t="shared" si="43"/>
        <v>3.7449105367793241</v>
      </c>
      <c r="M210" s="16">
        <f t="shared" si="34"/>
        <v>82.671888395064613</v>
      </c>
      <c r="N210" s="16">
        <f t="shared" si="35"/>
        <v>7.0444754710169937</v>
      </c>
      <c r="O210" s="16">
        <f t="shared" si="36"/>
        <v>6.0444754710169928</v>
      </c>
      <c r="P210" s="1">
        <v>2023</v>
      </c>
      <c r="Q210" s="1" t="s">
        <v>53</v>
      </c>
      <c r="R210" s="1" t="s">
        <v>46</v>
      </c>
      <c r="S210" s="70">
        <f>DATE(Table2[[#This Row],[Year]],MONTH(DATEVALUE("1-"&amp;Table2[[#This Row],[Month]]&amp;"-2000")),1)</f>
        <v>45078</v>
      </c>
      <c r="T210" s="16">
        <f t="shared" si="37"/>
        <v>26.38093041749503</v>
      </c>
      <c r="U210" s="16">
        <f t="shared" si="38"/>
        <v>0.58238008994168711</v>
      </c>
      <c r="V210" s="16">
        <f t="shared" si="39"/>
        <v>807.29571428571421</v>
      </c>
      <c r="W210" s="16">
        <f t="shared" si="40"/>
        <v>5686.9748571428572</v>
      </c>
      <c r="X210" s="16">
        <f t="shared" si="41"/>
        <v>215.57142857142858</v>
      </c>
      <c r="Y210" s="16">
        <f t="shared" si="42"/>
        <v>9765.057142857142</v>
      </c>
      <c r="Z210" s="7" t="str" cm="1">
        <f t="array" ref="Z210">_xlfn.IFS(K210&lt;2%,"Low",K210&lt;5%,"Medium",K210&lt;10%,"Good",K210&gt;10%,"Excellent")</f>
        <v>Medium</v>
      </c>
      <c r="AA210" s="16" t="str">
        <f>Data_Validation!N208</f>
        <v>Pass</v>
      </c>
    </row>
    <row r="211" spans="1:27" x14ac:dyDescent="0.35">
      <c r="A211" s="17" t="s">
        <v>90</v>
      </c>
      <c r="B211" s="3" t="s">
        <v>48</v>
      </c>
      <c r="C211" s="3" t="s">
        <v>29</v>
      </c>
      <c r="D211" s="3" t="s">
        <v>63</v>
      </c>
      <c r="E211" s="3" t="s">
        <v>30</v>
      </c>
      <c r="F211" s="3">
        <v>40989.4</v>
      </c>
      <c r="G211" s="3">
        <v>504392</v>
      </c>
      <c r="H211" s="3">
        <v>1386</v>
      </c>
      <c r="I211" s="3">
        <v>215650.13</v>
      </c>
      <c r="J211" s="3">
        <v>53</v>
      </c>
      <c r="K211" s="15">
        <f t="shared" si="33"/>
        <v>2.7478627733984679E-3</v>
      </c>
      <c r="L211" s="16">
        <f t="shared" si="43"/>
        <v>29.573881673881676</v>
      </c>
      <c r="M211" s="16">
        <f t="shared" si="34"/>
        <v>81.264968516550624</v>
      </c>
      <c r="N211" s="16">
        <f t="shared" si="35"/>
        <v>5.2611194601531128</v>
      </c>
      <c r="O211" s="16">
        <f t="shared" si="36"/>
        <v>4.2611194601531128</v>
      </c>
      <c r="P211" s="1">
        <v>2023</v>
      </c>
      <c r="Q211" s="1" t="s">
        <v>53</v>
      </c>
      <c r="R211" s="1" t="s">
        <v>46</v>
      </c>
      <c r="S211" s="70">
        <f>DATE(Table2[[#This Row],[Year]],MONTH(DATEVALUE("1-"&amp;Table2[[#This Row],[Month]]&amp;"-2000")),1)</f>
        <v>45078</v>
      </c>
      <c r="T211" s="16">
        <f t="shared" si="37"/>
        <v>155.59172438672439</v>
      </c>
      <c r="U211" s="16">
        <f t="shared" si="38"/>
        <v>0.42754470729115451</v>
      </c>
      <c r="V211" s="16">
        <f t="shared" si="39"/>
        <v>773.3849056603774</v>
      </c>
      <c r="W211" s="16">
        <f t="shared" si="40"/>
        <v>4068.8703773584907</v>
      </c>
      <c r="X211" s="16">
        <f t="shared" si="41"/>
        <v>26.150943396226417</v>
      </c>
      <c r="Y211" s="16">
        <f t="shared" si="42"/>
        <v>9516.8301886792451</v>
      </c>
      <c r="Z211" s="7" t="str" cm="1">
        <f t="array" ref="Z211">_xlfn.IFS(K211&lt;2%,"Low",K211&lt;5%,"Medium",K211&lt;10%,"Good",K211&gt;10%,"Excellent")</f>
        <v>Low</v>
      </c>
      <c r="AA211" s="16" t="str">
        <f>Data_Validation!N209</f>
        <v>Pass</v>
      </c>
    </row>
    <row r="212" spans="1:27" x14ac:dyDescent="0.35">
      <c r="A212" s="17" t="s">
        <v>50</v>
      </c>
      <c r="B212" s="3" t="s">
        <v>28</v>
      </c>
      <c r="C212" s="3" t="s">
        <v>20</v>
      </c>
      <c r="D212" s="3" t="s">
        <v>63</v>
      </c>
      <c r="E212" s="3" t="s">
        <v>30</v>
      </c>
      <c r="F212" s="3">
        <v>7246.31</v>
      </c>
      <c r="G212" s="3">
        <v>635380</v>
      </c>
      <c r="H212" s="3">
        <v>4263</v>
      </c>
      <c r="I212" s="3">
        <v>99267.99</v>
      </c>
      <c r="J212" s="3">
        <v>46</v>
      </c>
      <c r="K212" s="15">
        <f t="shared" si="33"/>
        <v>6.7093707702477259E-3</v>
      </c>
      <c r="L212" s="16">
        <f t="shared" si="43"/>
        <v>1.6998146844944875</v>
      </c>
      <c r="M212" s="16">
        <f t="shared" si="34"/>
        <v>11.404686958985176</v>
      </c>
      <c r="N212" s="16">
        <f t="shared" si="35"/>
        <v>13.699108925784296</v>
      </c>
      <c r="O212" s="16">
        <f t="shared" si="36"/>
        <v>12.699108925784296</v>
      </c>
      <c r="P212" s="1">
        <v>2023</v>
      </c>
      <c r="Q212" s="1" t="s">
        <v>53</v>
      </c>
      <c r="R212" s="1" t="s">
        <v>46</v>
      </c>
      <c r="S212" s="70">
        <f>DATE(Table2[[#This Row],[Year]],MONTH(DATEVALUE("1-"&amp;Table2[[#This Row],[Month]]&amp;"-2000")),1)</f>
        <v>45078</v>
      </c>
      <c r="T212" s="16">
        <f t="shared" si="37"/>
        <v>23.285946516537649</v>
      </c>
      <c r="U212" s="16">
        <f t="shared" si="38"/>
        <v>0.15623404891560957</v>
      </c>
      <c r="V212" s="16">
        <f t="shared" si="39"/>
        <v>157.52847826086958</v>
      </c>
      <c r="W212" s="16">
        <f t="shared" si="40"/>
        <v>2157.9997826086956</v>
      </c>
      <c r="X212" s="16">
        <f t="shared" si="41"/>
        <v>92.673913043478265</v>
      </c>
      <c r="Y212" s="16">
        <f t="shared" si="42"/>
        <v>13812.608695652174</v>
      </c>
      <c r="Z212" s="7" t="str" cm="1">
        <f t="array" ref="Z212">_xlfn.IFS(K212&lt;2%,"Low",K212&lt;5%,"Medium",K212&lt;10%,"Good",K212&gt;10%,"Excellent")</f>
        <v>Low</v>
      </c>
      <c r="AA212" s="16" t="str">
        <f>Data_Validation!N210</f>
        <v>Pass</v>
      </c>
    </row>
    <row r="213" spans="1:27" x14ac:dyDescent="0.35">
      <c r="A213" s="17" t="s">
        <v>34</v>
      </c>
      <c r="B213" s="3" t="s">
        <v>35</v>
      </c>
      <c r="C213" s="3" t="s">
        <v>20</v>
      </c>
      <c r="D213" s="3" t="s">
        <v>59</v>
      </c>
      <c r="E213" s="3" t="s">
        <v>38</v>
      </c>
      <c r="F213" s="3">
        <v>25077.96</v>
      </c>
      <c r="G213" s="3">
        <v>377121</v>
      </c>
      <c r="H213" s="3">
        <v>36555</v>
      </c>
      <c r="I213" s="3">
        <v>95052.46</v>
      </c>
      <c r="J213" s="3">
        <v>48</v>
      </c>
      <c r="K213" s="15">
        <f t="shared" si="33"/>
        <v>9.6931753999379505E-2</v>
      </c>
      <c r="L213" s="16">
        <f t="shared" si="43"/>
        <v>0.68603364792777999</v>
      </c>
      <c r="M213" s="16">
        <f t="shared" si="34"/>
        <v>66.498444796232505</v>
      </c>
      <c r="N213" s="16">
        <f t="shared" si="35"/>
        <v>3.7902787946068983</v>
      </c>
      <c r="O213" s="16">
        <f t="shared" si="36"/>
        <v>2.7902787946068979</v>
      </c>
      <c r="P213" s="1">
        <v>2023</v>
      </c>
      <c r="Q213" s="1" t="s">
        <v>53</v>
      </c>
      <c r="R213" s="1" t="s">
        <v>46</v>
      </c>
      <c r="S213" s="70">
        <f>DATE(Table2[[#This Row],[Year]],MONTH(DATEVALUE("1-"&amp;Table2[[#This Row],[Month]]&amp;"-2000")),1)</f>
        <v>45078</v>
      </c>
      <c r="T213" s="16">
        <f t="shared" si="37"/>
        <v>2.6002587881274795</v>
      </c>
      <c r="U213" s="16">
        <f t="shared" si="38"/>
        <v>0.25204764518549749</v>
      </c>
      <c r="V213" s="16">
        <f t="shared" si="39"/>
        <v>522.45749999999998</v>
      </c>
      <c r="W213" s="16">
        <f t="shared" si="40"/>
        <v>1980.2595833333335</v>
      </c>
      <c r="X213" s="16">
        <f t="shared" si="41"/>
        <v>761.5625</v>
      </c>
      <c r="Y213" s="16">
        <f t="shared" si="42"/>
        <v>7856.6875</v>
      </c>
      <c r="Z213" s="7" t="str" cm="1">
        <f t="array" ref="Z213">_xlfn.IFS(K213&lt;2%,"Low",K213&lt;5%,"Medium",K213&lt;10%,"Good",K213&gt;10%,"Excellent")</f>
        <v>Good</v>
      </c>
      <c r="AA213" s="16" t="str">
        <f>Data_Validation!N211</f>
        <v>Pass</v>
      </c>
    </row>
    <row r="214" spans="1:27" x14ac:dyDescent="0.35">
      <c r="A214" s="17" t="s">
        <v>75</v>
      </c>
      <c r="B214" s="3" t="s">
        <v>28</v>
      </c>
      <c r="C214" s="3" t="s">
        <v>58</v>
      </c>
      <c r="D214" s="3" t="s">
        <v>51</v>
      </c>
      <c r="E214" s="3" t="s">
        <v>38</v>
      </c>
      <c r="F214" s="3">
        <v>1247.5</v>
      </c>
      <c r="G214" s="3">
        <v>775847</v>
      </c>
      <c r="H214" s="3">
        <v>47636</v>
      </c>
      <c r="I214" s="3">
        <v>96693.16</v>
      </c>
      <c r="J214" s="3">
        <v>18</v>
      </c>
      <c r="K214" s="15">
        <f t="shared" si="33"/>
        <v>6.139870361037679E-2</v>
      </c>
      <c r="L214" s="16">
        <f t="shared" si="43"/>
        <v>2.6188177008984802E-2</v>
      </c>
      <c r="M214" s="16">
        <f t="shared" si="34"/>
        <v>1.6079201182707417</v>
      </c>
      <c r="N214" s="16">
        <f t="shared" si="35"/>
        <v>77.509547094188378</v>
      </c>
      <c r="O214" s="16">
        <f t="shared" si="36"/>
        <v>76.509547094188378</v>
      </c>
      <c r="P214" s="1">
        <v>2023</v>
      </c>
      <c r="Q214" s="1" t="s">
        <v>53</v>
      </c>
      <c r="R214" s="1" t="s">
        <v>46</v>
      </c>
      <c r="S214" s="70">
        <f>DATE(Table2[[#This Row],[Year]],MONTH(DATEVALUE("1-"&amp;Table2[[#This Row],[Month]]&amp;"-2000")),1)</f>
        <v>45078</v>
      </c>
      <c r="T214" s="16">
        <f t="shared" si="37"/>
        <v>2.0298337391888488</v>
      </c>
      <c r="U214" s="16">
        <f t="shared" si="38"/>
        <v>0.12462916013079899</v>
      </c>
      <c r="V214" s="16">
        <f t="shared" si="39"/>
        <v>69.305555555555557</v>
      </c>
      <c r="W214" s="16">
        <f t="shared" si="40"/>
        <v>5371.8422222222225</v>
      </c>
      <c r="X214" s="16">
        <f t="shared" si="41"/>
        <v>2646.4444444444443</v>
      </c>
      <c r="Y214" s="16">
        <f t="shared" si="42"/>
        <v>43102.611111111109</v>
      </c>
      <c r="Z214" s="7" t="str" cm="1">
        <f t="array" ref="Z214">_xlfn.IFS(K214&lt;2%,"Low",K214&lt;5%,"Medium",K214&lt;10%,"Good",K214&gt;10%,"Excellent")</f>
        <v>Good</v>
      </c>
      <c r="AA214" s="16" t="str">
        <f>Data_Validation!N212</f>
        <v>Pass</v>
      </c>
    </row>
    <row r="215" spans="1:27" x14ac:dyDescent="0.35">
      <c r="A215" s="17" t="s">
        <v>117</v>
      </c>
      <c r="B215" s="3" t="s">
        <v>19</v>
      </c>
      <c r="C215" s="3" t="s">
        <v>58</v>
      </c>
      <c r="D215" s="3" t="s">
        <v>21</v>
      </c>
      <c r="E215" s="3" t="s">
        <v>38</v>
      </c>
      <c r="F215" s="3">
        <v>959.96</v>
      </c>
      <c r="G215" s="3">
        <v>805128</v>
      </c>
      <c r="H215" s="3">
        <v>9032</v>
      </c>
      <c r="I215" s="3">
        <v>89251.8</v>
      </c>
      <c r="J215" s="3">
        <v>25</v>
      </c>
      <c r="K215" s="15">
        <f t="shared" si="33"/>
        <v>1.1218092030087142E-2</v>
      </c>
      <c r="L215" s="16">
        <f t="shared" si="43"/>
        <v>0.10628432240921169</v>
      </c>
      <c r="M215" s="16">
        <f t="shared" si="34"/>
        <v>1.1923073101419899</v>
      </c>
      <c r="N215" s="16">
        <f t="shared" si="35"/>
        <v>92.974498937455721</v>
      </c>
      <c r="O215" s="16">
        <f t="shared" si="36"/>
        <v>91.974498937455721</v>
      </c>
      <c r="P215" s="1">
        <v>2023</v>
      </c>
      <c r="Q215" s="1" t="s">
        <v>53</v>
      </c>
      <c r="R215" s="1" t="s">
        <v>46</v>
      </c>
      <c r="S215" s="70">
        <f>DATE(Table2[[#This Row],[Year]],MONTH(DATEVALUE("1-"&amp;Table2[[#This Row],[Month]]&amp;"-2000")),1)</f>
        <v>45078</v>
      </c>
      <c r="T215" s="16">
        <f t="shared" si="37"/>
        <v>9.8817316209034551</v>
      </c>
      <c r="U215" s="16">
        <f t="shared" si="38"/>
        <v>0.11085417473991714</v>
      </c>
      <c r="V215" s="16">
        <f t="shared" si="39"/>
        <v>38.398400000000002</v>
      </c>
      <c r="W215" s="16">
        <f t="shared" si="40"/>
        <v>3570.0720000000001</v>
      </c>
      <c r="X215" s="16">
        <f t="shared" si="41"/>
        <v>361.28</v>
      </c>
      <c r="Y215" s="16">
        <f t="shared" si="42"/>
        <v>32205.119999999999</v>
      </c>
      <c r="Z215" s="7" t="str" cm="1">
        <f t="array" ref="Z215">_xlfn.IFS(K215&lt;2%,"Low",K215&lt;5%,"Medium",K215&lt;10%,"Good",K215&gt;10%,"Excellent")</f>
        <v>Low</v>
      </c>
      <c r="AA215" s="16" t="str">
        <f>Data_Validation!N213</f>
        <v>Pass</v>
      </c>
    </row>
    <row r="216" spans="1:27" x14ac:dyDescent="0.35">
      <c r="A216" s="17" t="s">
        <v>95</v>
      </c>
      <c r="B216" s="3" t="s">
        <v>48</v>
      </c>
      <c r="C216" s="3" t="s">
        <v>58</v>
      </c>
      <c r="D216" s="3" t="s">
        <v>63</v>
      </c>
      <c r="E216" s="3" t="s">
        <v>38</v>
      </c>
      <c r="F216" s="3">
        <v>5112.1000000000004</v>
      </c>
      <c r="G216" s="3">
        <v>436259</v>
      </c>
      <c r="H216" s="3">
        <v>8012</v>
      </c>
      <c r="I216" s="3">
        <v>136301.51</v>
      </c>
      <c r="J216" s="3">
        <v>12</v>
      </c>
      <c r="K216" s="15">
        <f t="shared" si="33"/>
        <v>1.8365237164161656E-2</v>
      </c>
      <c r="L216" s="16">
        <f t="shared" si="43"/>
        <v>0.63805541687468803</v>
      </c>
      <c r="M216" s="16">
        <f t="shared" si="34"/>
        <v>11.718039054781679</v>
      </c>
      <c r="N216" s="16">
        <f t="shared" si="35"/>
        <v>26.662528119559475</v>
      </c>
      <c r="O216" s="16">
        <f t="shared" si="36"/>
        <v>25.662528119559475</v>
      </c>
      <c r="P216" s="1">
        <v>2023</v>
      </c>
      <c r="Q216" s="1" t="s">
        <v>53</v>
      </c>
      <c r="R216" s="1" t="s">
        <v>46</v>
      </c>
      <c r="S216" s="70">
        <f>DATE(Table2[[#This Row],[Year]],MONTH(DATEVALUE("1-"&amp;Table2[[#This Row],[Month]]&amp;"-2000")),1)</f>
        <v>45078</v>
      </c>
      <c r="T216" s="16">
        <f t="shared" si="37"/>
        <v>17.012170494258612</v>
      </c>
      <c r="U216" s="16">
        <f t="shared" si="38"/>
        <v>0.31243254580421265</v>
      </c>
      <c r="V216" s="16">
        <f t="shared" si="39"/>
        <v>426.00833333333338</v>
      </c>
      <c r="W216" s="16">
        <f t="shared" si="40"/>
        <v>11358.459166666667</v>
      </c>
      <c r="X216" s="16">
        <f t="shared" si="41"/>
        <v>667.66666666666663</v>
      </c>
      <c r="Y216" s="16">
        <f t="shared" si="42"/>
        <v>36354.916666666664</v>
      </c>
      <c r="Z216" s="7" t="str" cm="1">
        <f t="array" ref="Z216">_xlfn.IFS(K216&lt;2%,"Low",K216&lt;5%,"Medium",K216&lt;10%,"Good",K216&gt;10%,"Excellent")</f>
        <v>Low</v>
      </c>
      <c r="AA216" s="16" t="str">
        <f>Data_Validation!N214</f>
        <v>Pass</v>
      </c>
    </row>
    <row r="217" spans="1:27" x14ac:dyDescent="0.35">
      <c r="A217" s="17" t="s">
        <v>50</v>
      </c>
      <c r="B217" s="3" t="s">
        <v>28</v>
      </c>
      <c r="C217" s="3" t="s">
        <v>69</v>
      </c>
      <c r="D217" s="3" t="s">
        <v>37</v>
      </c>
      <c r="E217" s="3" t="s">
        <v>22</v>
      </c>
      <c r="F217" s="3">
        <v>945.02</v>
      </c>
      <c r="G217" s="3">
        <v>12805</v>
      </c>
      <c r="H217" s="3">
        <v>26872</v>
      </c>
      <c r="I217" s="3">
        <v>115373.41</v>
      </c>
      <c r="J217" s="3">
        <v>21</v>
      </c>
      <c r="K217" s="15">
        <f t="shared" si="33"/>
        <v>2.0985552518547443</v>
      </c>
      <c r="L217" s="16">
        <f t="shared" si="43"/>
        <v>3.5167460553736228E-2</v>
      </c>
      <c r="M217" s="16">
        <f t="shared" si="34"/>
        <v>73.800859039437711</v>
      </c>
      <c r="N217" s="16">
        <f t="shared" si="35"/>
        <v>122.08568072633383</v>
      </c>
      <c r="O217" s="16">
        <f t="shared" si="36"/>
        <v>121.08568072633383</v>
      </c>
      <c r="P217" s="1">
        <v>2023</v>
      </c>
      <c r="Q217" s="1" t="s">
        <v>53</v>
      </c>
      <c r="R217" s="1" t="s">
        <v>46</v>
      </c>
      <c r="S217" s="70">
        <f>DATE(Table2[[#This Row],[Year]],MONTH(DATEVALUE("1-"&amp;Table2[[#This Row],[Month]]&amp;"-2000")),1)</f>
        <v>45078</v>
      </c>
      <c r="T217" s="16">
        <f t="shared" si="37"/>
        <v>4.2934433611193805</v>
      </c>
      <c r="U217" s="16">
        <f t="shared" si="38"/>
        <v>9.0100281140179614</v>
      </c>
      <c r="V217" s="16">
        <f t="shared" si="39"/>
        <v>45.000952380952377</v>
      </c>
      <c r="W217" s="16">
        <f t="shared" si="40"/>
        <v>5493.9719047619046</v>
      </c>
      <c r="X217" s="16">
        <f t="shared" si="41"/>
        <v>1279.6190476190477</v>
      </c>
      <c r="Y217" s="16">
        <f t="shared" si="42"/>
        <v>609.76190476190482</v>
      </c>
      <c r="Z217" s="7" t="str" cm="1">
        <f t="array" ref="Z217">_xlfn.IFS(K217&lt;2%,"Low",K217&lt;5%,"Medium",K217&lt;10%,"Good",K217&gt;10%,"Excellent")</f>
        <v>Excellent</v>
      </c>
      <c r="AA217" s="16" t="str">
        <f>Data_Validation!N215</f>
        <v>Fail</v>
      </c>
    </row>
    <row r="218" spans="1:27" x14ac:dyDescent="0.35">
      <c r="A218" s="17" t="s">
        <v>50</v>
      </c>
      <c r="B218" s="3" t="s">
        <v>48</v>
      </c>
      <c r="C218" s="3" t="s">
        <v>69</v>
      </c>
      <c r="D218" s="3" t="s">
        <v>43</v>
      </c>
      <c r="E218" s="3" t="s">
        <v>30</v>
      </c>
      <c r="F218" s="3">
        <v>3558.99</v>
      </c>
      <c r="G218" s="3">
        <v>966167</v>
      </c>
      <c r="H218" s="3">
        <v>38846</v>
      </c>
      <c r="I218" s="3">
        <v>11256.15</v>
      </c>
      <c r="J218" s="3">
        <v>29</v>
      </c>
      <c r="K218" s="15">
        <f t="shared" si="33"/>
        <v>4.0206299739072027E-2</v>
      </c>
      <c r="L218" s="16">
        <f t="shared" si="43"/>
        <v>9.161792719971168E-2</v>
      </c>
      <c r="M218" s="16">
        <f t="shared" si="34"/>
        <v>3.6836178424640873</v>
      </c>
      <c r="N218" s="16">
        <f t="shared" si="35"/>
        <v>3.1627371810541756</v>
      </c>
      <c r="O218" s="16">
        <f t="shared" si="36"/>
        <v>2.1627371810541756</v>
      </c>
      <c r="P218" s="1">
        <v>2023</v>
      </c>
      <c r="Q218" s="1" t="s">
        <v>53</v>
      </c>
      <c r="R218" s="1" t="s">
        <v>46</v>
      </c>
      <c r="S218" s="70">
        <f>DATE(Table2[[#This Row],[Year]],MONTH(DATEVALUE("1-"&amp;Table2[[#This Row],[Month]]&amp;"-2000")),1)</f>
        <v>45078</v>
      </c>
      <c r="T218" s="16">
        <f t="shared" si="37"/>
        <v>0.28976342480564277</v>
      </c>
      <c r="U218" s="16">
        <f t="shared" si="38"/>
        <v>1.1650315111155732E-2</v>
      </c>
      <c r="V218" s="16">
        <f t="shared" si="39"/>
        <v>122.72379310344827</v>
      </c>
      <c r="W218" s="16">
        <f t="shared" si="40"/>
        <v>388.14310344827584</v>
      </c>
      <c r="X218" s="16">
        <f t="shared" si="41"/>
        <v>1339.5172413793102</v>
      </c>
      <c r="Y218" s="16">
        <f t="shared" si="42"/>
        <v>33316.103448275862</v>
      </c>
      <c r="Z218" s="7" t="str" cm="1">
        <f t="array" ref="Z218">_xlfn.IFS(K218&lt;2%,"Low",K218&lt;5%,"Medium",K218&lt;10%,"Good",K218&gt;10%,"Excellent")</f>
        <v>Medium</v>
      </c>
      <c r="AA218" s="16" t="str">
        <f>Data_Validation!N216</f>
        <v>Pass</v>
      </c>
    </row>
    <row r="219" spans="1:27" x14ac:dyDescent="0.35">
      <c r="A219" s="17" t="s">
        <v>118</v>
      </c>
      <c r="B219" s="3" t="s">
        <v>19</v>
      </c>
      <c r="C219" s="3" t="s">
        <v>20</v>
      </c>
      <c r="D219" s="3" t="s">
        <v>21</v>
      </c>
      <c r="E219" s="3" t="s">
        <v>30</v>
      </c>
      <c r="F219" s="3">
        <v>11858.79</v>
      </c>
      <c r="G219" s="3">
        <v>213765</v>
      </c>
      <c r="H219" s="3">
        <v>7611</v>
      </c>
      <c r="I219" s="3">
        <v>49432.71</v>
      </c>
      <c r="J219" s="3">
        <v>17</v>
      </c>
      <c r="K219" s="15">
        <f t="shared" si="33"/>
        <v>3.5604518981124135E-2</v>
      </c>
      <c r="L219" s="16">
        <f t="shared" si="43"/>
        <v>1.5581119432400474</v>
      </c>
      <c r="M219" s="16">
        <f t="shared" si="34"/>
        <v>55.475826257806474</v>
      </c>
      <c r="N219" s="16">
        <f t="shared" si="35"/>
        <v>4.1684446726858297</v>
      </c>
      <c r="O219" s="16">
        <f t="shared" si="36"/>
        <v>3.1684446726858302</v>
      </c>
      <c r="P219" s="1">
        <v>2023</v>
      </c>
      <c r="Q219" s="1" t="s">
        <v>53</v>
      </c>
      <c r="R219" s="1" t="s">
        <v>46</v>
      </c>
      <c r="S219" s="70">
        <f>DATE(Table2[[#This Row],[Year]],MONTH(DATEVALUE("1-"&amp;Table2[[#This Row],[Month]]&amp;"-2000")),1)</f>
        <v>45078</v>
      </c>
      <c r="T219" s="16">
        <f t="shared" si="37"/>
        <v>6.4949034292471426</v>
      </c>
      <c r="U219" s="16">
        <f t="shared" si="38"/>
        <v>0.23124791242719808</v>
      </c>
      <c r="V219" s="16">
        <f t="shared" si="39"/>
        <v>697.57588235294122</v>
      </c>
      <c r="W219" s="16">
        <f t="shared" si="40"/>
        <v>2907.8064705882352</v>
      </c>
      <c r="X219" s="16">
        <f t="shared" si="41"/>
        <v>447.70588235294116</v>
      </c>
      <c r="Y219" s="16">
        <f t="shared" si="42"/>
        <v>12574.411764705883</v>
      </c>
      <c r="Z219" s="7" t="str" cm="1">
        <f t="array" ref="Z219">_xlfn.IFS(K219&lt;2%,"Low",K219&lt;5%,"Medium",K219&lt;10%,"Good",K219&gt;10%,"Excellent")</f>
        <v>Medium</v>
      </c>
      <c r="AA219" s="16" t="str">
        <f>Data_Validation!N217</f>
        <v>Pass</v>
      </c>
    </row>
    <row r="220" spans="1:27" x14ac:dyDescent="0.35">
      <c r="A220" s="17" t="s">
        <v>115</v>
      </c>
      <c r="B220" s="3" t="s">
        <v>28</v>
      </c>
      <c r="C220" s="3" t="s">
        <v>69</v>
      </c>
      <c r="D220" s="3" t="s">
        <v>51</v>
      </c>
      <c r="E220" s="3" t="s">
        <v>22</v>
      </c>
      <c r="F220" s="3">
        <v>7481.75</v>
      </c>
      <c r="G220" s="3">
        <v>63802</v>
      </c>
      <c r="H220" s="3">
        <v>27597</v>
      </c>
      <c r="I220" s="3">
        <v>80475.240000000005</v>
      </c>
      <c r="J220" s="3">
        <v>61</v>
      </c>
      <c r="K220" s="15">
        <f t="shared" si="33"/>
        <v>0.43254129964577914</v>
      </c>
      <c r="L220" s="16">
        <f t="shared" si="43"/>
        <v>0.27110736674276187</v>
      </c>
      <c r="M220" s="16">
        <f t="shared" si="34"/>
        <v>117.26513275445912</v>
      </c>
      <c r="N220" s="16">
        <f t="shared" si="35"/>
        <v>10.756205433220838</v>
      </c>
      <c r="O220" s="16">
        <f t="shared" si="36"/>
        <v>9.7562054332208383</v>
      </c>
      <c r="P220" s="1">
        <v>2023</v>
      </c>
      <c r="Q220" s="1" t="s">
        <v>53</v>
      </c>
      <c r="R220" s="1" t="s">
        <v>46</v>
      </c>
      <c r="S220" s="70">
        <f>DATE(Table2[[#This Row],[Year]],MONTH(DATEVALUE("1-"&amp;Table2[[#This Row],[Month]]&amp;"-2000")),1)</f>
        <v>45078</v>
      </c>
      <c r="T220" s="16">
        <f t="shared" si="37"/>
        <v>2.91608653114469</v>
      </c>
      <c r="U220" s="16">
        <f t="shared" si="38"/>
        <v>1.261327858060876</v>
      </c>
      <c r="V220" s="16">
        <f t="shared" si="39"/>
        <v>122.65163934426229</v>
      </c>
      <c r="W220" s="16">
        <f t="shared" si="40"/>
        <v>1319.2662295081968</v>
      </c>
      <c r="X220" s="16">
        <f t="shared" si="41"/>
        <v>452.40983606557376</v>
      </c>
      <c r="Y220" s="16">
        <f t="shared" si="42"/>
        <v>1045.9344262295083</v>
      </c>
      <c r="Z220" s="7" t="str" cm="1">
        <f t="array" ref="Z220">_xlfn.IFS(K220&lt;2%,"Low",K220&lt;5%,"Medium",K220&lt;10%,"Good",K220&gt;10%,"Excellent")</f>
        <v>Excellent</v>
      </c>
      <c r="AA220" s="16" t="str">
        <f>Data_Validation!N218</f>
        <v>Pass</v>
      </c>
    </row>
    <row r="221" spans="1:27" x14ac:dyDescent="0.35">
      <c r="A221" s="17" t="s">
        <v>114</v>
      </c>
      <c r="B221" s="3" t="s">
        <v>48</v>
      </c>
      <c r="C221" s="3" t="s">
        <v>36</v>
      </c>
      <c r="D221" s="3" t="s">
        <v>59</v>
      </c>
      <c r="E221" s="3" t="s">
        <v>38</v>
      </c>
      <c r="F221" s="3">
        <v>1630.03</v>
      </c>
      <c r="G221" s="3">
        <v>21510</v>
      </c>
      <c r="H221" s="3">
        <v>49679</v>
      </c>
      <c r="I221" s="3">
        <v>227873.32</v>
      </c>
      <c r="J221" s="3">
        <v>40</v>
      </c>
      <c r="K221" s="15">
        <f t="shared" si="33"/>
        <v>2.3095769409576943</v>
      </c>
      <c r="L221" s="16">
        <f t="shared" si="43"/>
        <v>3.2811248213530868E-2</v>
      </c>
      <c r="M221" s="16">
        <f t="shared" si="34"/>
        <v>75.780102278010233</v>
      </c>
      <c r="N221" s="16">
        <f t="shared" si="35"/>
        <v>139.79700987098397</v>
      </c>
      <c r="O221" s="16">
        <f t="shared" si="36"/>
        <v>138.79700987098397</v>
      </c>
      <c r="P221" s="1">
        <v>2023</v>
      </c>
      <c r="Q221" s="1" t="s">
        <v>53</v>
      </c>
      <c r="R221" s="1" t="s">
        <v>46</v>
      </c>
      <c r="S221" s="70">
        <f>DATE(Table2[[#This Row],[Year]],MONTH(DATEVALUE("1-"&amp;Table2[[#This Row],[Month]]&amp;"-2000")),1)</f>
        <v>45078</v>
      </c>
      <c r="T221" s="16">
        <f t="shared" si="37"/>
        <v>4.5869143903862799</v>
      </c>
      <c r="U221" s="16">
        <f t="shared" si="38"/>
        <v>10.59383170618317</v>
      </c>
      <c r="V221" s="16">
        <f t="shared" si="39"/>
        <v>40.750749999999996</v>
      </c>
      <c r="W221" s="16">
        <f t="shared" si="40"/>
        <v>5696.8330000000005</v>
      </c>
      <c r="X221" s="16">
        <f t="shared" si="41"/>
        <v>1241.9749999999999</v>
      </c>
      <c r="Y221" s="16">
        <f t="shared" si="42"/>
        <v>537.75</v>
      </c>
      <c r="Z221" s="7" t="str" cm="1">
        <f t="array" ref="Z221">_xlfn.IFS(K221&lt;2%,"Low",K221&lt;5%,"Medium",K221&lt;10%,"Good",K221&gt;10%,"Excellent")</f>
        <v>Excellent</v>
      </c>
      <c r="AA221" s="16" t="str">
        <f>Data_Validation!N219</f>
        <v>Fail</v>
      </c>
    </row>
    <row r="222" spans="1:27" x14ac:dyDescent="0.35">
      <c r="A222" s="17" t="s">
        <v>94</v>
      </c>
      <c r="B222" s="3" t="s">
        <v>19</v>
      </c>
      <c r="C222" s="3" t="s">
        <v>69</v>
      </c>
      <c r="D222" s="3" t="s">
        <v>59</v>
      </c>
      <c r="E222" s="3" t="s">
        <v>38</v>
      </c>
      <c r="F222" s="3">
        <v>4687.8500000000004</v>
      </c>
      <c r="G222" s="3">
        <v>319234</v>
      </c>
      <c r="H222" s="3">
        <v>1415</v>
      </c>
      <c r="I222" s="3">
        <v>83085.64</v>
      </c>
      <c r="J222" s="3">
        <v>34</v>
      </c>
      <c r="K222" s="15">
        <f t="shared" si="33"/>
        <v>4.4324852615949427E-3</v>
      </c>
      <c r="L222" s="16">
        <f t="shared" si="43"/>
        <v>3.3129681978798589</v>
      </c>
      <c r="M222" s="16">
        <f t="shared" si="34"/>
        <v>14.684682709235233</v>
      </c>
      <c r="N222" s="16">
        <f t="shared" si="35"/>
        <v>17.723613170216623</v>
      </c>
      <c r="O222" s="16">
        <f t="shared" si="36"/>
        <v>16.72361317021662</v>
      </c>
      <c r="P222" s="1">
        <v>2023</v>
      </c>
      <c r="Q222" s="1" t="s">
        <v>53</v>
      </c>
      <c r="R222" s="1" t="s">
        <v>46</v>
      </c>
      <c r="S222" s="70">
        <f>DATE(Table2[[#This Row],[Year]],MONTH(DATEVALUE("1-"&amp;Table2[[#This Row],[Month]]&amp;"-2000")),1)</f>
        <v>45078</v>
      </c>
      <c r="T222" s="16">
        <f t="shared" si="37"/>
        <v>58.717766784452294</v>
      </c>
      <c r="U222" s="16">
        <f t="shared" si="38"/>
        <v>0.26026563586585388</v>
      </c>
      <c r="V222" s="16">
        <f t="shared" si="39"/>
        <v>137.87794117647059</v>
      </c>
      <c r="W222" s="16">
        <f t="shared" si="40"/>
        <v>2443.6952941176469</v>
      </c>
      <c r="X222" s="16">
        <f t="shared" si="41"/>
        <v>41.617647058823529</v>
      </c>
      <c r="Y222" s="16">
        <f t="shared" si="42"/>
        <v>9389.2352941176468</v>
      </c>
      <c r="Z222" s="7" t="str" cm="1">
        <f t="array" ref="Z222">_xlfn.IFS(K222&lt;2%,"Low",K222&lt;5%,"Medium",K222&lt;10%,"Good",K222&gt;10%,"Excellent")</f>
        <v>Low</v>
      </c>
      <c r="AA222" s="16" t="str">
        <f>Data_Validation!N220</f>
        <v>Pass</v>
      </c>
    </row>
    <row r="223" spans="1:27" x14ac:dyDescent="0.35">
      <c r="A223" s="17" t="s">
        <v>50</v>
      </c>
      <c r="B223" s="3" t="s">
        <v>48</v>
      </c>
      <c r="C223" s="3" t="s">
        <v>20</v>
      </c>
      <c r="D223" s="3" t="s">
        <v>51</v>
      </c>
      <c r="E223" s="3" t="s">
        <v>22</v>
      </c>
      <c r="F223" s="3">
        <v>14864.67</v>
      </c>
      <c r="G223" s="3">
        <v>745911</v>
      </c>
      <c r="H223" s="3">
        <v>44896</v>
      </c>
      <c r="I223" s="3">
        <v>163768.67000000001</v>
      </c>
      <c r="J223" s="3">
        <v>29</v>
      </c>
      <c r="K223" s="15">
        <f t="shared" si="33"/>
        <v>6.0189486413258421E-2</v>
      </c>
      <c r="L223" s="16">
        <f t="shared" si="43"/>
        <v>0.33109118852459019</v>
      </c>
      <c r="M223" s="16">
        <f t="shared" si="34"/>
        <v>19.928208593250403</v>
      </c>
      <c r="N223" s="16">
        <f t="shared" si="35"/>
        <v>11.017309499639078</v>
      </c>
      <c r="O223" s="16">
        <f t="shared" si="36"/>
        <v>10.017309499639078</v>
      </c>
      <c r="P223" s="1">
        <v>2023</v>
      </c>
      <c r="Q223" s="1" t="s">
        <v>53</v>
      </c>
      <c r="R223" s="1" t="s">
        <v>46</v>
      </c>
      <c r="S223" s="70">
        <f>DATE(Table2[[#This Row],[Year]],MONTH(DATEVALUE("1-"&amp;Table2[[#This Row],[Month]]&amp;"-2000")),1)</f>
        <v>45078</v>
      </c>
      <c r="T223" s="16">
        <f t="shared" si="37"/>
        <v>3.6477340965787599</v>
      </c>
      <c r="U223" s="16">
        <f t="shared" si="38"/>
        <v>0.21955524184520675</v>
      </c>
      <c r="V223" s="16">
        <f t="shared" si="39"/>
        <v>512.57482758620688</v>
      </c>
      <c r="W223" s="16">
        <f t="shared" si="40"/>
        <v>5647.19551724138</v>
      </c>
      <c r="X223" s="16">
        <f t="shared" si="41"/>
        <v>1548.1379310344828</v>
      </c>
      <c r="Y223" s="16">
        <f t="shared" si="42"/>
        <v>25721.068965517243</v>
      </c>
      <c r="Z223" s="7" t="str" cm="1">
        <f t="array" ref="Z223">_xlfn.IFS(K223&lt;2%,"Low",K223&lt;5%,"Medium",K223&lt;10%,"Good",K223&gt;10%,"Excellent")</f>
        <v>Good</v>
      </c>
      <c r="AA223" s="16" t="str">
        <f>Data_Validation!N221</f>
        <v>Pass</v>
      </c>
    </row>
    <row r="224" spans="1:27" x14ac:dyDescent="0.35">
      <c r="A224" s="17" t="s">
        <v>111</v>
      </c>
      <c r="B224" s="3" t="s">
        <v>48</v>
      </c>
      <c r="C224" s="3" t="s">
        <v>69</v>
      </c>
      <c r="D224" s="3" t="s">
        <v>51</v>
      </c>
      <c r="E224" s="3" t="s">
        <v>22</v>
      </c>
      <c r="F224" s="3">
        <v>30164.080000000002</v>
      </c>
      <c r="G224" s="3">
        <v>831021</v>
      </c>
      <c r="H224" s="3">
        <v>47336</v>
      </c>
      <c r="I224" s="3">
        <v>68515.509999999995</v>
      </c>
      <c r="J224" s="3">
        <v>37</v>
      </c>
      <c r="K224" s="15">
        <f t="shared" si="33"/>
        <v>5.6961256093407991E-2</v>
      </c>
      <c r="L224" s="16">
        <f t="shared" si="43"/>
        <v>0.63723339530167322</v>
      </c>
      <c r="M224" s="16">
        <f t="shared" si="34"/>
        <v>36.297614621050492</v>
      </c>
      <c r="N224" s="16">
        <f t="shared" si="35"/>
        <v>2.2714271411559706</v>
      </c>
      <c r="O224" s="16">
        <f t="shared" si="36"/>
        <v>1.2714271411559706</v>
      </c>
      <c r="P224" s="1">
        <v>2023</v>
      </c>
      <c r="Q224" s="1" t="s">
        <v>53</v>
      </c>
      <c r="R224" s="1" t="s">
        <v>46</v>
      </c>
      <c r="S224" s="70">
        <f>DATE(Table2[[#This Row],[Year]],MONTH(DATEVALUE("1-"&amp;Table2[[#This Row],[Month]]&amp;"-2000")),1)</f>
        <v>45078</v>
      </c>
      <c r="T224" s="16">
        <f t="shared" si="37"/>
        <v>1.4474292293391922</v>
      </c>
      <c r="U224" s="16">
        <f t="shared" si="38"/>
        <v>8.2447387009473877E-2</v>
      </c>
      <c r="V224" s="16">
        <f t="shared" si="39"/>
        <v>815.24540540540545</v>
      </c>
      <c r="W224" s="16">
        <f t="shared" si="40"/>
        <v>1851.7705405405404</v>
      </c>
      <c r="X224" s="16">
        <f t="shared" si="41"/>
        <v>1279.3513513513512</v>
      </c>
      <c r="Y224" s="16">
        <f t="shared" si="42"/>
        <v>22460.027027027027</v>
      </c>
      <c r="Z224" s="7" t="str" cm="1">
        <f t="array" ref="Z224">_xlfn.IFS(K224&lt;2%,"Low",K224&lt;5%,"Medium",K224&lt;10%,"Good",K224&gt;10%,"Excellent")</f>
        <v>Good</v>
      </c>
      <c r="AA224" s="16" t="str">
        <f>Data_Validation!N222</f>
        <v>Pass</v>
      </c>
    </row>
    <row r="225" spans="1:27" x14ac:dyDescent="0.35">
      <c r="A225" s="17" t="s">
        <v>62</v>
      </c>
      <c r="B225" s="3" t="s">
        <v>48</v>
      </c>
      <c r="C225" s="3" t="s">
        <v>29</v>
      </c>
      <c r="D225" s="3" t="s">
        <v>37</v>
      </c>
      <c r="E225" s="3" t="s">
        <v>22</v>
      </c>
      <c r="F225" s="3">
        <v>5997.76</v>
      </c>
      <c r="G225" s="3">
        <v>25743</v>
      </c>
      <c r="H225" s="3">
        <v>17785</v>
      </c>
      <c r="I225" s="3">
        <v>237798.52</v>
      </c>
      <c r="J225" s="3">
        <v>18</v>
      </c>
      <c r="K225" s="15">
        <f t="shared" si="33"/>
        <v>0.69086742026958781</v>
      </c>
      <c r="L225" s="16">
        <f t="shared" si="43"/>
        <v>0.33723699746977792</v>
      </c>
      <c r="M225" s="16">
        <f t="shared" si="34"/>
        <v>232.98605446140701</v>
      </c>
      <c r="N225" s="16">
        <f t="shared" si="35"/>
        <v>39.647888545056816</v>
      </c>
      <c r="O225" s="16">
        <f t="shared" si="36"/>
        <v>38.647888545056816</v>
      </c>
      <c r="P225" s="1">
        <v>2023</v>
      </c>
      <c r="Q225" s="1" t="s">
        <v>53</v>
      </c>
      <c r="R225" s="1" t="s">
        <v>46</v>
      </c>
      <c r="S225" s="70">
        <f>DATE(Table2[[#This Row],[Year]],MONTH(DATEVALUE("1-"&amp;Table2[[#This Row],[Month]]&amp;"-2000")),1)</f>
        <v>45078</v>
      </c>
      <c r="T225" s="16">
        <f t="shared" si="37"/>
        <v>13.370734888951363</v>
      </c>
      <c r="U225" s="16">
        <f t="shared" si="38"/>
        <v>9.2374051198384031</v>
      </c>
      <c r="V225" s="16">
        <f t="shared" si="39"/>
        <v>333.20888888888891</v>
      </c>
      <c r="W225" s="16">
        <f t="shared" si="40"/>
        <v>13211.028888888888</v>
      </c>
      <c r="X225" s="16">
        <f t="shared" si="41"/>
        <v>988.05555555555554</v>
      </c>
      <c r="Y225" s="16">
        <f t="shared" si="42"/>
        <v>1430.1666666666667</v>
      </c>
      <c r="Z225" s="7" t="str" cm="1">
        <f t="array" ref="Z225">_xlfn.IFS(K225&lt;2%,"Low",K225&lt;5%,"Medium",K225&lt;10%,"Good",K225&gt;10%,"Excellent")</f>
        <v>Excellent</v>
      </c>
      <c r="AA225" s="16" t="str">
        <f>Data_Validation!N223</f>
        <v>Pass</v>
      </c>
    </row>
    <row r="226" spans="1:27" x14ac:dyDescent="0.35">
      <c r="A226" s="17" t="s">
        <v>117</v>
      </c>
      <c r="B226" s="3" t="s">
        <v>19</v>
      </c>
      <c r="C226" s="3" t="s">
        <v>36</v>
      </c>
      <c r="D226" s="3" t="s">
        <v>63</v>
      </c>
      <c r="E226" s="3" t="s">
        <v>30</v>
      </c>
      <c r="F226" s="3">
        <v>20682.78</v>
      </c>
      <c r="G226" s="3">
        <v>343120</v>
      </c>
      <c r="H226" s="3">
        <v>27382</v>
      </c>
      <c r="I226" s="3">
        <v>48910.32</v>
      </c>
      <c r="J226" s="3">
        <v>39</v>
      </c>
      <c r="K226" s="15">
        <f t="shared" si="33"/>
        <v>7.9802984378643041E-2</v>
      </c>
      <c r="L226" s="16">
        <f t="shared" si="43"/>
        <v>0.75534219560295079</v>
      </c>
      <c r="M226" s="16">
        <f t="shared" si="34"/>
        <v>60.278561436232216</v>
      </c>
      <c r="N226" s="16">
        <f t="shared" si="35"/>
        <v>2.3647846179285379</v>
      </c>
      <c r="O226" s="16">
        <f t="shared" si="36"/>
        <v>1.3647846179285377</v>
      </c>
      <c r="P226" s="1">
        <v>2023</v>
      </c>
      <c r="Q226" s="1" t="s">
        <v>53</v>
      </c>
      <c r="R226" s="1" t="s">
        <v>46</v>
      </c>
      <c r="S226" s="70">
        <f>DATE(Table2[[#This Row],[Year]],MONTH(DATEVALUE("1-"&amp;Table2[[#This Row],[Month]]&amp;"-2000")),1)</f>
        <v>45078</v>
      </c>
      <c r="T226" s="16">
        <f t="shared" si="37"/>
        <v>1.7862216054342268</v>
      </c>
      <c r="U226" s="16">
        <f t="shared" si="38"/>
        <v>0.1425458148752623</v>
      </c>
      <c r="V226" s="16">
        <f t="shared" si="39"/>
        <v>530.32769230769225</v>
      </c>
      <c r="W226" s="16">
        <f t="shared" si="40"/>
        <v>1254.1107692307692</v>
      </c>
      <c r="X226" s="16">
        <f t="shared" si="41"/>
        <v>702.10256410256409</v>
      </c>
      <c r="Y226" s="16">
        <f t="shared" si="42"/>
        <v>8797.9487179487187</v>
      </c>
      <c r="Z226" s="7" t="str" cm="1">
        <f t="array" ref="Z226">_xlfn.IFS(K226&lt;2%,"Low",K226&lt;5%,"Medium",K226&lt;10%,"Good",K226&gt;10%,"Excellent")</f>
        <v>Good</v>
      </c>
      <c r="AA226" s="16" t="str">
        <f>Data_Validation!N224</f>
        <v>Pass</v>
      </c>
    </row>
    <row r="227" spans="1:27" x14ac:dyDescent="0.35">
      <c r="A227" s="17" t="s">
        <v>98</v>
      </c>
      <c r="B227" s="3" t="s">
        <v>35</v>
      </c>
      <c r="C227" s="3" t="s">
        <v>20</v>
      </c>
      <c r="D227" s="3" t="s">
        <v>63</v>
      </c>
      <c r="E227" s="3" t="s">
        <v>22</v>
      </c>
      <c r="F227" s="3">
        <v>31463.439999999999</v>
      </c>
      <c r="G227" s="3">
        <v>214189</v>
      </c>
      <c r="H227" s="3">
        <v>17789</v>
      </c>
      <c r="I227" s="3">
        <v>31558.22</v>
      </c>
      <c r="J227" s="3">
        <v>9</v>
      </c>
      <c r="K227" s="15">
        <f t="shared" si="33"/>
        <v>8.3052817838451087E-2</v>
      </c>
      <c r="L227" s="16">
        <f t="shared" si="43"/>
        <v>1.7687020068581707</v>
      </c>
      <c r="M227" s="16">
        <f t="shared" si="34"/>
        <v>146.89568558609452</v>
      </c>
      <c r="N227" s="16">
        <f t="shared" si="35"/>
        <v>1.0030123851683097</v>
      </c>
      <c r="O227" s="16">
        <f t="shared" si="36"/>
        <v>3.0123851683097106E-3</v>
      </c>
      <c r="P227" s="1">
        <v>2023</v>
      </c>
      <c r="Q227" s="1" t="s">
        <v>53</v>
      </c>
      <c r="R227" s="1" t="s">
        <v>46</v>
      </c>
      <c r="S227" s="70">
        <f>DATE(Table2[[#This Row],[Year]],MONTH(DATEVALUE("1-"&amp;Table2[[#This Row],[Month]]&amp;"-2000")),1)</f>
        <v>45078</v>
      </c>
      <c r="T227" s="16">
        <f t="shared" si="37"/>
        <v>1.7740300185507898</v>
      </c>
      <c r="U227" s="16">
        <f t="shared" si="38"/>
        <v>0.14733819197064277</v>
      </c>
      <c r="V227" s="16">
        <f t="shared" si="39"/>
        <v>3495.9377777777777</v>
      </c>
      <c r="W227" s="16">
        <f t="shared" si="40"/>
        <v>3506.4688888888891</v>
      </c>
      <c r="X227" s="16">
        <f t="shared" si="41"/>
        <v>1976.5555555555557</v>
      </c>
      <c r="Y227" s="16">
        <f t="shared" si="42"/>
        <v>23798.777777777777</v>
      </c>
      <c r="Z227" s="7" t="str" cm="1">
        <f t="array" ref="Z227">_xlfn.IFS(K227&lt;2%,"Low",K227&lt;5%,"Medium",K227&lt;10%,"Good",K227&gt;10%,"Excellent")</f>
        <v>Good</v>
      </c>
      <c r="AA227" s="16" t="str">
        <f>Data_Validation!N225</f>
        <v>Pass</v>
      </c>
    </row>
    <row r="228" spans="1:27" x14ac:dyDescent="0.35">
      <c r="A228" s="17" t="s">
        <v>27</v>
      </c>
      <c r="B228" s="3" t="s">
        <v>35</v>
      </c>
      <c r="C228" s="3" t="s">
        <v>20</v>
      </c>
      <c r="D228" s="3" t="s">
        <v>43</v>
      </c>
      <c r="E228" s="3" t="s">
        <v>22</v>
      </c>
      <c r="F228" s="3">
        <v>2001.78</v>
      </c>
      <c r="G228" s="3">
        <v>226995</v>
      </c>
      <c r="H228" s="3">
        <v>3990</v>
      </c>
      <c r="I228" s="3">
        <v>144668.21</v>
      </c>
      <c r="J228" s="3">
        <v>45</v>
      </c>
      <c r="K228" s="15">
        <f t="shared" si="33"/>
        <v>1.7577479680169168E-2</v>
      </c>
      <c r="L228" s="16">
        <f t="shared" si="43"/>
        <v>0.50169924812030076</v>
      </c>
      <c r="M228" s="16">
        <f t="shared" si="34"/>
        <v>8.8186083393907353</v>
      </c>
      <c r="N228" s="16">
        <f t="shared" si="35"/>
        <v>72.269784891446605</v>
      </c>
      <c r="O228" s="16">
        <f t="shared" si="36"/>
        <v>71.269784891446605</v>
      </c>
      <c r="P228" s="1">
        <v>2023</v>
      </c>
      <c r="Q228" s="1" t="s">
        <v>53</v>
      </c>
      <c r="R228" s="1" t="s">
        <v>46</v>
      </c>
      <c r="S228" s="70">
        <f>DATE(Table2[[#This Row],[Year]],MONTH(DATEVALUE("1-"&amp;Table2[[#This Row],[Month]]&amp;"-2000")),1)</f>
        <v>45078</v>
      </c>
      <c r="T228" s="16">
        <f t="shared" si="37"/>
        <v>36.257696741854637</v>
      </c>
      <c r="U228" s="16">
        <f t="shared" si="38"/>
        <v>0.63731892772968568</v>
      </c>
      <c r="V228" s="16">
        <f t="shared" si="39"/>
        <v>44.484000000000002</v>
      </c>
      <c r="W228" s="16">
        <f t="shared" si="40"/>
        <v>3214.8491111111111</v>
      </c>
      <c r="X228" s="16">
        <f t="shared" si="41"/>
        <v>88.666666666666671</v>
      </c>
      <c r="Y228" s="16">
        <f t="shared" si="42"/>
        <v>5044.333333333333</v>
      </c>
      <c r="Z228" s="7" t="str" cm="1">
        <f t="array" ref="Z228">_xlfn.IFS(K228&lt;2%,"Low",K228&lt;5%,"Medium",K228&lt;10%,"Good",K228&gt;10%,"Excellent")</f>
        <v>Low</v>
      </c>
      <c r="AA228" s="16" t="str">
        <f>Data_Validation!N226</f>
        <v>Pass</v>
      </c>
    </row>
    <row r="229" spans="1:27" x14ac:dyDescent="0.35">
      <c r="A229" s="17" t="s">
        <v>95</v>
      </c>
      <c r="B229" s="3" t="s">
        <v>48</v>
      </c>
      <c r="C229" s="3" t="s">
        <v>58</v>
      </c>
      <c r="D229" s="3" t="s">
        <v>37</v>
      </c>
      <c r="E229" s="3" t="s">
        <v>22</v>
      </c>
      <c r="F229" s="3">
        <v>511.65</v>
      </c>
      <c r="G229" s="3">
        <v>78652</v>
      </c>
      <c r="H229" s="3">
        <v>13913</v>
      </c>
      <c r="I229" s="3">
        <v>169232.11</v>
      </c>
      <c r="J229" s="3">
        <v>55</v>
      </c>
      <c r="K229" s="15">
        <f t="shared" si="33"/>
        <v>0.17689314957025887</v>
      </c>
      <c r="L229" s="16">
        <f t="shared" si="43"/>
        <v>3.677495867174585E-2</v>
      </c>
      <c r="M229" s="16">
        <f t="shared" si="34"/>
        <v>6.5052382647612257</v>
      </c>
      <c r="N229" s="16">
        <f t="shared" si="35"/>
        <v>330.75756865044463</v>
      </c>
      <c r="O229" s="16">
        <f t="shared" si="36"/>
        <v>329.75756865044463</v>
      </c>
      <c r="P229" s="1">
        <v>2023</v>
      </c>
      <c r="Q229" s="1" t="s">
        <v>53</v>
      </c>
      <c r="R229" s="1" t="s">
        <v>46</v>
      </c>
      <c r="S229" s="70">
        <f>DATE(Table2[[#This Row],[Year]],MONTH(DATEVALUE("1-"&amp;Table2[[#This Row],[Month]]&amp;"-2000")),1)</f>
        <v>45078</v>
      </c>
      <c r="T229" s="16">
        <f t="shared" si="37"/>
        <v>12.163595917487241</v>
      </c>
      <c r="U229" s="16">
        <f t="shared" si="38"/>
        <v>2.1516567919442604</v>
      </c>
      <c r="V229" s="16">
        <f t="shared" si="39"/>
        <v>9.3027272727272727</v>
      </c>
      <c r="W229" s="16">
        <f t="shared" si="40"/>
        <v>3076.9474545454541</v>
      </c>
      <c r="X229" s="16">
        <f t="shared" si="41"/>
        <v>252.96363636363637</v>
      </c>
      <c r="Y229" s="16">
        <f t="shared" si="42"/>
        <v>1430.0363636363636</v>
      </c>
      <c r="Z229" s="7" t="str" cm="1">
        <f t="array" ref="Z229">_xlfn.IFS(K229&lt;2%,"Low",K229&lt;5%,"Medium",K229&lt;10%,"Good",K229&gt;10%,"Excellent")</f>
        <v>Excellent</v>
      </c>
      <c r="AA229" s="16" t="str">
        <f>Data_Validation!N227</f>
        <v>Pass</v>
      </c>
    </row>
    <row r="230" spans="1:27" x14ac:dyDescent="0.35">
      <c r="A230" s="17" t="s">
        <v>68</v>
      </c>
      <c r="B230" s="3" t="s">
        <v>48</v>
      </c>
      <c r="C230" s="3" t="s">
        <v>69</v>
      </c>
      <c r="D230" s="3" t="s">
        <v>59</v>
      </c>
      <c r="E230" s="3" t="s">
        <v>22</v>
      </c>
      <c r="F230" s="3">
        <v>19382.13</v>
      </c>
      <c r="G230" s="3">
        <v>530226</v>
      </c>
      <c r="H230" s="3">
        <v>2032</v>
      </c>
      <c r="I230" s="3">
        <v>98768.71</v>
      </c>
      <c r="J230" s="3">
        <v>42</v>
      </c>
      <c r="K230" s="15">
        <f t="shared" si="33"/>
        <v>3.8323281016019585E-3</v>
      </c>
      <c r="L230" s="16">
        <f t="shared" si="43"/>
        <v>9.5384498031496072</v>
      </c>
      <c r="M230" s="16">
        <f t="shared" si="34"/>
        <v>36.554469226329907</v>
      </c>
      <c r="N230" s="16">
        <f t="shared" si="35"/>
        <v>5.0958645927975921</v>
      </c>
      <c r="O230" s="16">
        <f t="shared" si="36"/>
        <v>4.0958645927975921</v>
      </c>
      <c r="P230" s="1">
        <v>2023</v>
      </c>
      <c r="Q230" s="1" t="s">
        <v>53</v>
      </c>
      <c r="R230" s="1" t="s">
        <v>46</v>
      </c>
      <c r="S230" s="70">
        <f>DATE(Table2[[#This Row],[Year]],MONTH(DATEVALUE("1-"&amp;Table2[[#This Row],[Month]]&amp;"-2000")),1)</f>
        <v>45078</v>
      </c>
      <c r="T230" s="16">
        <f t="shared" si="37"/>
        <v>48.606648622047246</v>
      </c>
      <c r="U230" s="16">
        <f t="shared" si="38"/>
        <v>0.18627662543896378</v>
      </c>
      <c r="V230" s="16">
        <f t="shared" si="39"/>
        <v>461.47928571428577</v>
      </c>
      <c r="W230" s="16">
        <f t="shared" si="40"/>
        <v>2351.6359523809524</v>
      </c>
      <c r="X230" s="16">
        <f t="shared" si="41"/>
        <v>48.38095238095238</v>
      </c>
      <c r="Y230" s="16">
        <f t="shared" si="42"/>
        <v>12624.428571428571</v>
      </c>
      <c r="Z230" s="7" t="str" cm="1">
        <f t="array" ref="Z230">_xlfn.IFS(K230&lt;2%,"Low",K230&lt;5%,"Medium",K230&lt;10%,"Good",K230&gt;10%,"Excellent")</f>
        <v>Low</v>
      </c>
      <c r="AA230" s="16" t="str">
        <f>Data_Validation!N228</f>
        <v>Pass</v>
      </c>
    </row>
    <row r="231" spans="1:27" x14ac:dyDescent="0.35">
      <c r="A231" s="17" t="s">
        <v>110</v>
      </c>
      <c r="B231" s="3" t="s">
        <v>19</v>
      </c>
      <c r="C231" s="3" t="s">
        <v>20</v>
      </c>
      <c r="D231" s="3" t="s">
        <v>59</v>
      </c>
      <c r="E231" s="3" t="s">
        <v>30</v>
      </c>
      <c r="F231" s="3">
        <v>9331.92</v>
      </c>
      <c r="G231" s="3">
        <v>714827</v>
      </c>
      <c r="H231" s="3">
        <v>44820</v>
      </c>
      <c r="I231" s="3">
        <v>152728.26999999999</v>
      </c>
      <c r="J231" s="3">
        <v>41</v>
      </c>
      <c r="K231" s="15">
        <f t="shared" si="33"/>
        <v>6.2700485572033518E-2</v>
      </c>
      <c r="L231" s="16">
        <f t="shared" si="43"/>
        <v>0.20820883534136547</v>
      </c>
      <c r="M231" s="16">
        <f t="shared" si="34"/>
        <v>13.054795076291185</v>
      </c>
      <c r="N231" s="16">
        <f t="shared" si="35"/>
        <v>16.366221527831357</v>
      </c>
      <c r="O231" s="16">
        <f t="shared" si="36"/>
        <v>15.366221527831355</v>
      </c>
      <c r="P231" s="1">
        <v>2023</v>
      </c>
      <c r="Q231" s="1" t="s">
        <v>53</v>
      </c>
      <c r="R231" s="1" t="s">
        <v>46</v>
      </c>
      <c r="S231" s="70">
        <f>DATE(Table2[[#This Row],[Year]],MONTH(DATEVALUE("1-"&amp;Table2[[#This Row],[Month]]&amp;"-2000")),1)</f>
        <v>45078</v>
      </c>
      <c r="T231" s="16">
        <f t="shared" si="37"/>
        <v>3.4075919232485496</v>
      </c>
      <c r="U231" s="16">
        <f t="shared" si="38"/>
        <v>0.2136576682190236</v>
      </c>
      <c r="V231" s="16">
        <f t="shared" si="39"/>
        <v>227.6078048780488</v>
      </c>
      <c r="W231" s="16">
        <f t="shared" si="40"/>
        <v>3725.0797560975607</v>
      </c>
      <c r="X231" s="16">
        <f t="shared" si="41"/>
        <v>1093.1707317073171</v>
      </c>
      <c r="Y231" s="16">
        <f t="shared" si="42"/>
        <v>17434.804878048781</v>
      </c>
      <c r="Z231" s="7" t="str" cm="1">
        <f t="array" ref="Z231">_xlfn.IFS(K231&lt;2%,"Low",K231&lt;5%,"Medium",K231&lt;10%,"Good",K231&gt;10%,"Excellent")</f>
        <v>Good</v>
      </c>
      <c r="AA231" s="16" t="str">
        <f>Data_Validation!N229</f>
        <v>Pass</v>
      </c>
    </row>
    <row r="232" spans="1:27" x14ac:dyDescent="0.35">
      <c r="A232" s="17" t="s">
        <v>47</v>
      </c>
      <c r="B232" s="3" t="s">
        <v>19</v>
      </c>
      <c r="C232" s="3" t="s">
        <v>29</v>
      </c>
      <c r="D232" s="3" t="s">
        <v>21</v>
      </c>
      <c r="E232" s="3" t="s">
        <v>30</v>
      </c>
      <c r="F232" s="3">
        <v>26443.95</v>
      </c>
      <c r="G232" s="3">
        <v>733108</v>
      </c>
      <c r="H232" s="3">
        <v>23814</v>
      </c>
      <c r="I232" s="3">
        <v>26591.82</v>
      </c>
      <c r="J232" s="3">
        <v>57</v>
      </c>
      <c r="K232" s="15">
        <f t="shared" si="33"/>
        <v>3.248361769343671E-2</v>
      </c>
      <c r="L232" s="16">
        <f t="shared" si="43"/>
        <v>1.1104371378180902</v>
      </c>
      <c r="M232" s="16">
        <f t="shared" si="34"/>
        <v>36.071015457476939</v>
      </c>
      <c r="N232" s="16">
        <f t="shared" si="35"/>
        <v>1.005591827242148</v>
      </c>
      <c r="O232" s="16">
        <f t="shared" si="36"/>
        <v>5.5918272421479759E-3</v>
      </c>
      <c r="P232" s="1">
        <v>2023</v>
      </c>
      <c r="Q232" s="1" t="s">
        <v>53</v>
      </c>
      <c r="R232" s="1" t="s">
        <v>46</v>
      </c>
      <c r="S232" s="70">
        <f>DATE(Table2[[#This Row],[Year]],MONTH(DATEVALUE("1-"&amp;Table2[[#This Row],[Month]]&amp;"-2000")),1)</f>
        <v>45078</v>
      </c>
      <c r="T232" s="16">
        <f t="shared" si="37"/>
        <v>1.1166465104560344</v>
      </c>
      <c r="U232" s="16">
        <f t="shared" si="38"/>
        <v>3.6272718344363998E-2</v>
      </c>
      <c r="V232" s="16">
        <f t="shared" si="39"/>
        <v>463.92894736842106</v>
      </c>
      <c r="W232" s="16">
        <f t="shared" si="40"/>
        <v>466.52315789473681</v>
      </c>
      <c r="X232" s="16">
        <f t="shared" si="41"/>
        <v>417.78947368421052</v>
      </c>
      <c r="Y232" s="16">
        <f t="shared" si="42"/>
        <v>12861.543859649122</v>
      </c>
      <c r="Z232" s="7" t="str" cm="1">
        <f t="array" ref="Z232">_xlfn.IFS(K232&lt;2%,"Low",K232&lt;5%,"Medium",K232&lt;10%,"Good",K232&gt;10%,"Excellent")</f>
        <v>Medium</v>
      </c>
      <c r="AA232" s="16" t="str">
        <f>Data_Validation!N230</f>
        <v>Pass</v>
      </c>
    </row>
    <row r="233" spans="1:27" x14ac:dyDescent="0.35">
      <c r="A233" s="17" t="s">
        <v>97</v>
      </c>
      <c r="B233" s="3" t="s">
        <v>28</v>
      </c>
      <c r="C233" s="3" t="s">
        <v>29</v>
      </c>
      <c r="D233" s="3" t="s">
        <v>43</v>
      </c>
      <c r="E233" s="3" t="s">
        <v>22</v>
      </c>
      <c r="F233" s="3">
        <v>8054.6</v>
      </c>
      <c r="G233" s="3">
        <v>312143</v>
      </c>
      <c r="H233" s="3">
        <v>3201</v>
      </c>
      <c r="I233" s="3">
        <v>41342.89</v>
      </c>
      <c r="J233" s="3">
        <v>56</v>
      </c>
      <c r="K233" s="15">
        <f t="shared" si="33"/>
        <v>1.0254915215141778E-2</v>
      </c>
      <c r="L233" s="16">
        <f t="shared" si="43"/>
        <v>2.5162761636988442</v>
      </c>
      <c r="M233" s="16">
        <f t="shared" si="34"/>
        <v>25.804198716613861</v>
      </c>
      <c r="N233" s="16">
        <f t="shared" si="35"/>
        <v>5.132829687383607</v>
      </c>
      <c r="O233" s="16">
        <f t="shared" si="36"/>
        <v>4.132829687383607</v>
      </c>
      <c r="P233" s="1">
        <v>2023</v>
      </c>
      <c r="Q233" s="1" t="s">
        <v>53</v>
      </c>
      <c r="R233" s="1" t="s">
        <v>46</v>
      </c>
      <c r="S233" s="70">
        <f>DATE(Table2[[#This Row],[Year]],MONTH(DATEVALUE("1-"&amp;Table2[[#This Row],[Month]]&amp;"-2000")),1)</f>
        <v>45078</v>
      </c>
      <c r="T233" s="16">
        <f t="shared" si="37"/>
        <v>12.915616994689159</v>
      </c>
      <c r="U233" s="16">
        <f t="shared" si="38"/>
        <v>0.13244855723178159</v>
      </c>
      <c r="V233" s="16">
        <f t="shared" si="39"/>
        <v>143.83214285714286</v>
      </c>
      <c r="W233" s="16">
        <f t="shared" si="40"/>
        <v>738.26589285714283</v>
      </c>
      <c r="X233" s="16">
        <f t="shared" si="41"/>
        <v>57.160714285714285</v>
      </c>
      <c r="Y233" s="16">
        <f t="shared" si="42"/>
        <v>5573.9821428571431</v>
      </c>
      <c r="Z233" s="7" t="str" cm="1">
        <f t="array" ref="Z233">_xlfn.IFS(K233&lt;2%,"Low",K233&lt;5%,"Medium",K233&lt;10%,"Good",K233&gt;10%,"Excellent")</f>
        <v>Low</v>
      </c>
      <c r="AA233" s="16" t="str">
        <f>Data_Validation!N231</f>
        <v>Pass</v>
      </c>
    </row>
    <row r="234" spans="1:27" x14ac:dyDescent="0.35">
      <c r="A234" s="17" t="s">
        <v>96</v>
      </c>
      <c r="B234" s="3" t="s">
        <v>28</v>
      </c>
      <c r="C234" s="3" t="s">
        <v>36</v>
      </c>
      <c r="D234" s="3" t="s">
        <v>21</v>
      </c>
      <c r="E234" s="3" t="s">
        <v>22</v>
      </c>
      <c r="F234" s="3">
        <v>21515.39</v>
      </c>
      <c r="G234" s="3">
        <v>174663</v>
      </c>
      <c r="H234" s="3">
        <v>7357</v>
      </c>
      <c r="I234" s="3">
        <v>36638.730000000003</v>
      </c>
      <c r="J234" s="3">
        <v>26</v>
      </c>
      <c r="K234" s="15">
        <f t="shared" si="33"/>
        <v>4.212111322947619E-2</v>
      </c>
      <c r="L234" s="16">
        <f t="shared" si="43"/>
        <v>2.9244787277422861</v>
      </c>
      <c r="M234" s="16">
        <f t="shared" si="34"/>
        <v>123.1822996284273</v>
      </c>
      <c r="N234" s="16">
        <f t="shared" si="35"/>
        <v>1.7029080114280988</v>
      </c>
      <c r="O234" s="16">
        <f t="shared" si="36"/>
        <v>0.70290801142809889</v>
      </c>
      <c r="P234" s="1">
        <v>2023</v>
      </c>
      <c r="Q234" s="1" t="s">
        <v>53</v>
      </c>
      <c r="R234" s="1" t="s">
        <v>46</v>
      </c>
      <c r="S234" s="70">
        <f>DATE(Table2[[#This Row],[Year]],MONTH(DATEVALUE("1-"&amp;Table2[[#This Row],[Month]]&amp;"-2000")),1)</f>
        <v>45078</v>
      </c>
      <c r="T234" s="16">
        <f t="shared" si="37"/>
        <v>4.9801182547233935</v>
      </c>
      <c r="U234" s="16">
        <f t="shared" si="38"/>
        <v>0.20976812490338539</v>
      </c>
      <c r="V234" s="16">
        <f t="shared" si="39"/>
        <v>827.51499999999999</v>
      </c>
      <c r="W234" s="16">
        <f t="shared" si="40"/>
        <v>1409.1819230769231</v>
      </c>
      <c r="X234" s="16">
        <f t="shared" si="41"/>
        <v>282.96153846153845</v>
      </c>
      <c r="Y234" s="16">
        <f t="shared" si="42"/>
        <v>6717.8076923076924</v>
      </c>
      <c r="Z234" s="7" t="str" cm="1">
        <f t="array" ref="Z234">_xlfn.IFS(K234&lt;2%,"Low",K234&lt;5%,"Medium",K234&lt;10%,"Good",K234&gt;10%,"Excellent")</f>
        <v>Medium</v>
      </c>
      <c r="AA234" s="16" t="str">
        <f>Data_Validation!N232</f>
        <v>Pass</v>
      </c>
    </row>
    <row r="235" spans="1:27" x14ac:dyDescent="0.35">
      <c r="A235" s="17" t="s">
        <v>111</v>
      </c>
      <c r="B235" s="3" t="s">
        <v>48</v>
      </c>
      <c r="C235" s="3" t="s">
        <v>58</v>
      </c>
      <c r="D235" s="3" t="s">
        <v>21</v>
      </c>
      <c r="E235" s="3" t="s">
        <v>30</v>
      </c>
      <c r="F235" s="3">
        <v>12017.19</v>
      </c>
      <c r="G235" s="3">
        <v>305485</v>
      </c>
      <c r="H235" s="3">
        <v>13119</v>
      </c>
      <c r="I235" s="3">
        <v>25677.74</v>
      </c>
      <c r="J235" s="3">
        <v>49</v>
      </c>
      <c r="K235" s="15">
        <f t="shared" si="33"/>
        <v>4.2944825441511042E-2</v>
      </c>
      <c r="L235" s="16">
        <f t="shared" si="43"/>
        <v>0.91601417790990169</v>
      </c>
      <c r="M235" s="16">
        <f t="shared" si="34"/>
        <v>39.338068972289967</v>
      </c>
      <c r="N235" s="16">
        <f t="shared" si="35"/>
        <v>2.1367507711869416</v>
      </c>
      <c r="O235" s="16">
        <f t="shared" si="36"/>
        <v>1.1367507711869413</v>
      </c>
      <c r="P235" s="1">
        <v>2023</v>
      </c>
      <c r="Q235" s="1" t="s">
        <v>53</v>
      </c>
      <c r="R235" s="1" t="s">
        <v>46</v>
      </c>
      <c r="S235" s="70">
        <f>DATE(Table2[[#This Row],[Year]],MONTH(DATEVALUE("1-"&amp;Table2[[#This Row],[Month]]&amp;"-2000")),1)</f>
        <v>45078</v>
      </c>
      <c r="T235" s="16">
        <f t="shared" si="37"/>
        <v>1.9572940010671547</v>
      </c>
      <c r="U235" s="16">
        <f t="shared" si="38"/>
        <v>8.4055649213545677E-2</v>
      </c>
      <c r="V235" s="16">
        <f t="shared" si="39"/>
        <v>245.2487755102041</v>
      </c>
      <c r="W235" s="16">
        <f t="shared" si="40"/>
        <v>524.03551020408167</v>
      </c>
      <c r="X235" s="16">
        <f t="shared" si="41"/>
        <v>267.73469387755102</v>
      </c>
      <c r="Y235" s="16">
        <f t="shared" si="42"/>
        <v>6234.3877551020405</v>
      </c>
      <c r="Z235" s="7" t="str" cm="1">
        <f t="array" ref="Z235">_xlfn.IFS(K235&lt;2%,"Low",K235&lt;5%,"Medium",K235&lt;10%,"Good",K235&gt;10%,"Excellent")</f>
        <v>Medium</v>
      </c>
      <c r="AA235" s="16" t="str">
        <f>Data_Validation!N233</f>
        <v>Pass</v>
      </c>
    </row>
    <row r="236" spans="1:27" x14ac:dyDescent="0.35">
      <c r="A236" s="17" t="s">
        <v>71</v>
      </c>
      <c r="B236" s="3" t="s">
        <v>35</v>
      </c>
      <c r="C236" s="3" t="s">
        <v>29</v>
      </c>
      <c r="D236" s="3" t="s">
        <v>59</v>
      </c>
      <c r="E236" s="3" t="s">
        <v>30</v>
      </c>
      <c r="F236" s="3">
        <v>36950.300000000003</v>
      </c>
      <c r="G236" s="3">
        <v>304736</v>
      </c>
      <c r="H236" s="3">
        <v>25844</v>
      </c>
      <c r="I236" s="3">
        <v>30209.18</v>
      </c>
      <c r="J236" s="3">
        <v>18</v>
      </c>
      <c r="K236" s="15">
        <f t="shared" si="33"/>
        <v>8.4807833665861601E-2</v>
      </c>
      <c r="L236" s="16">
        <f t="shared" si="43"/>
        <v>1.4297438477015942</v>
      </c>
      <c r="M236" s="16">
        <f t="shared" si="34"/>
        <v>121.25347842066576</v>
      </c>
      <c r="N236" s="16">
        <f t="shared" si="35"/>
        <v>0.81756250964132893</v>
      </c>
      <c r="O236" s="16">
        <f t="shared" si="36"/>
        <v>-0.18243749035867102</v>
      </c>
      <c r="P236" s="1">
        <v>2023</v>
      </c>
      <c r="Q236" s="1" t="s">
        <v>53</v>
      </c>
      <c r="R236" s="1" t="s">
        <v>46</v>
      </c>
      <c r="S236" s="70">
        <f>DATE(Table2[[#This Row],[Year]],MONTH(DATEVALUE("1-"&amp;Table2[[#This Row],[Month]]&amp;"-2000")),1)</f>
        <v>45078</v>
      </c>
      <c r="T236" s="16">
        <f t="shared" si="37"/>
        <v>1.1689049682711654</v>
      </c>
      <c r="U236" s="16">
        <f t="shared" si="38"/>
        <v>9.9132298120340231E-2</v>
      </c>
      <c r="V236" s="16">
        <f t="shared" si="39"/>
        <v>2052.7944444444447</v>
      </c>
      <c r="W236" s="16">
        <f t="shared" si="40"/>
        <v>1678.2877777777778</v>
      </c>
      <c r="X236" s="16">
        <f t="shared" si="41"/>
        <v>1435.7777777777778</v>
      </c>
      <c r="Y236" s="16">
        <f t="shared" si="42"/>
        <v>16929.777777777777</v>
      </c>
      <c r="Z236" s="7" t="str" cm="1">
        <f t="array" ref="Z236">_xlfn.IFS(K236&lt;2%,"Low",K236&lt;5%,"Medium",K236&lt;10%,"Good",K236&gt;10%,"Excellent")</f>
        <v>Good</v>
      </c>
      <c r="AA236" s="16" t="str">
        <f>Data_Validation!N234</f>
        <v>Pass</v>
      </c>
    </row>
    <row r="237" spans="1:27" x14ac:dyDescent="0.35">
      <c r="A237" s="17" t="s">
        <v>114</v>
      </c>
      <c r="B237" s="3" t="s">
        <v>19</v>
      </c>
      <c r="C237" s="3" t="s">
        <v>29</v>
      </c>
      <c r="D237" s="3" t="s">
        <v>63</v>
      </c>
      <c r="E237" s="3" t="s">
        <v>22</v>
      </c>
      <c r="F237" s="3">
        <v>38409.68</v>
      </c>
      <c r="G237" s="3">
        <v>366324</v>
      </c>
      <c r="H237" s="3">
        <v>36440</v>
      </c>
      <c r="I237" s="3">
        <v>65261.24</v>
      </c>
      <c r="J237" s="3">
        <v>20</v>
      </c>
      <c r="K237" s="15">
        <f t="shared" si="33"/>
        <v>9.947478188707265E-2</v>
      </c>
      <c r="L237" s="16">
        <f t="shared" si="43"/>
        <v>1.0540526893523601</v>
      </c>
      <c r="M237" s="16">
        <f t="shared" si="34"/>
        <v>104.85166137080836</v>
      </c>
      <c r="N237" s="16">
        <f t="shared" si="35"/>
        <v>1.6990831477898278</v>
      </c>
      <c r="O237" s="16">
        <f t="shared" si="36"/>
        <v>0.69908314778982794</v>
      </c>
      <c r="P237" s="1">
        <v>2023</v>
      </c>
      <c r="Q237" s="1" t="s">
        <v>53</v>
      </c>
      <c r="R237" s="1" t="s">
        <v>46</v>
      </c>
      <c r="S237" s="70">
        <f>DATE(Table2[[#This Row],[Year]],MONTH(DATEVALUE("1-"&amp;Table2[[#This Row],[Month]]&amp;"-2000")),1)</f>
        <v>45078</v>
      </c>
      <c r="T237" s="16">
        <f t="shared" si="37"/>
        <v>1.7909231613611416</v>
      </c>
      <c r="U237" s="16">
        <f t="shared" si="38"/>
        <v>0.17815169085290616</v>
      </c>
      <c r="V237" s="16">
        <f t="shared" si="39"/>
        <v>1920.4839999999999</v>
      </c>
      <c r="W237" s="16">
        <f t="shared" si="40"/>
        <v>3263.0619999999999</v>
      </c>
      <c r="X237" s="16">
        <f t="shared" si="41"/>
        <v>1822</v>
      </c>
      <c r="Y237" s="16">
        <f t="shared" si="42"/>
        <v>18316.2</v>
      </c>
      <c r="Z237" s="7" t="str" cm="1">
        <f t="array" ref="Z237">_xlfn.IFS(K237&lt;2%,"Low",K237&lt;5%,"Medium",K237&lt;10%,"Good",K237&gt;10%,"Excellent")</f>
        <v>Good</v>
      </c>
      <c r="AA237" s="16" t="str">
        <f>Data_Validation!N235</f>
        <v>Pass</v>
      </c>
    </row>
    <row r="238" spans="1:27" x14ac:dyDescent="0.35">
      <c r="A238" s="17" t="s">
        <v>27</v>
      </c>
      <c r="B238" s="3" t="s">
        <v>35</v>
      </c>
      <c r="C238" s="3" t="s">
        <v>36</v>
      </c>
      <c r="D238" s="3" t="s">
        <v>63</v>
      </c>
      <c r="E238" s="3" t="s">
        <v>30</v>
      </c>
      <c r="F238" s="3">
        <v>25864.49</v>
      </c>
      <c r="G238" s="3">
        <v>276659</v>
      </c>
      <c r="H238" s="3">
        <v>38732</v>
      </c>
      <c r="I238" s="3">
        <v>18701.72</v>
      </c>
      <c r="J238" s="3">
        <v>19</v>
      </c>
      <c r="K238" s="15">
        <f t="shared" si="33"/>
        <v>0.13999906021492162</v>
      </c>
      <c r="L238" s="16">
        <f t="shared" si="43"/>
        <v>0.6677809046783022</v>
      </c>
      <c r="M238" s="16">
        <f t="shared" si="34"/>
        <v>93.488699084432469</v>
      </c>
      <c r="N238" s="16">
        <f t="shared" si="35"/>
        <v>0.72306548476308641</v>
      </c>
      <c r="O238" s="16">
        <f t="shared" si="36"/>
        <v>-0.27693451523691365</v>
      </c>
      <c r="P238" s="1">
        <v>2023</v>
      </c>
      <c r="Q238" s="1" t="s">
        <v>53</v>
      </c>
      <c r="R238" s="1" t="s">
        <v>46</v>
      </c>
      <c r="S238" s="70">
        <f>DATE(Table2[[#This Row],[Year]],MONTH(DATEVALUE("1-"&amp;Table2[[#This Row],[Month]]&amp;"-2000")),1)</f>
        <v>45078</v>
      </c>
      <c r="T238" s="16">
        <f t="shared" si="37"/>
        <v>0.48284932355674898</v>
      </c>
      <c r="U238" s="16">
        <f t="shared" si="38"/>
        <v>6.7598451523355474E-2</v>
      </c>
      <c r="V238" s="16">
        <f t="shared" si="39"/>
        <v>1361.2889473684211</v>
      </c>
      <c r="W238" s="16">
        <f t="shared" si="40"/>
        <v>984.30105263157895</v>
      </c>
      <c r="X238" s="16">
        <f t="shared" si="41"/>
        <v>2038.5263157894738</v>
      </c>
      <c r="Y238" s="16">
        <f t="shared" si="42"/>
        <v>14561</v>
      </c>
      <c r="Z238" s="7" t="str" cm="1">
        <f t="array" ref="Z238">_xlfn.IFS(K238&lt;2%,"Low",K238&lt;5%,"Medium",K238&lt;10%,"Good",K238&gt;10%,"Excellent")</f>
        <v>Excellent</v>
      </c>
      <c r="AA238" s="16" t="str">
        <f>Data_Validation!N236</f>
        <v>Pass</v>
      </c>
    </row>
    <row r="239" spans="1:27" x14ac:dyDescent="0.35">
      <c r="A239" s="17" t="s">
        <v>106</v>
      </c>
      <c r="B239" s="3" t="s">
        <v>28</v>
      </c>
      <c r="C239" s="3" t="s">
        <v>58</v>
      </c>
      <c r="D239" s="3" t="s">
        <v>43</v>
      </c>
      <c r="E239" s="3" t="s">
        <v>38</v>
      </c>
      <c r="F239" s="3">
        <v>38100.92</v>
      </c>
      <c r="G239" s="3">
        <v>374462</v>
      </c>
      <c r="H239" s="3">
        <v>45776</v>
      </c>
      <c r="I239" s="3">
        <v>102531.88</v>
      </c>
      <c r="J239" s="3">
        <v>35</v>
      </c>
      <c r="K239" s="15">
        <f t="shared" si="33"/>
        <v>0.1222447137493257</v>
      </c>
      <c r="L239" s="16">
        <f t="shared" si="43"/>
        <v>0.83233397413491783</v>
      </c>
      <c r="M239" s="16">
        <f t="shared" si="34"/>
        <v>101.74842841196168</v>
      </c>
      <c r="N239" s="16">
        <f t="shared" si="35"/>
        <v>2.6910604783296574</v>
      </c>
      <c r="O239" s="16">
        <f t="shared" si="36"/>
        <v>1.6910604783296574</v>
      </c>
      <c r="P239" s="1">
        <v>2023</v>
      </c>
      <c r="Q239" s="1" t="s">
        <v>53</v>
      </c>
      <c r="R239" s="1" t="s">
        <v>46</v>
      </c>
      <c r="S239" s="70">
        <f>DATE(Table2[[#This Row],[Year]],MONTH(DATEVALUE("1-"&amp;Table2[[#This Row],[Month]]&amp;"-2000")),1)</f>
        <v>45078</v>
      </c>
      <c r="T239" s="16">
        <f t="shared" si="37"/>
        <v>2.2398610625655366</v>
      </c>
      <c r="U239" s="16">
        <f t="shared" si="38"/>
        <v>0.27381117443158454</v>
      </c>
      <c r="V239" s="16">
        <f t="shared" si="39"/>
        <v>1088.5977142857143</v>
      </c>
      <c r="W239" s="16">
        <f t="shared" si="40"/>
        <v>2929.4822857142858</v>
      </c>
      <c r="X239" s="16">
        <f t="shared" si="41"/>
        <v>1307.8857142857144</v>
      </c>
      <c r="Y239" s="16">
        <f t="shared" si="42"/>
        <v>10698.914285714285</v>
      </c>
      <c r="Z239" s="7" t="str" cm="1">
        <f t="array" ref="Z239">_xlfn.IFS(K239&lt;2%,"Low",K239&lt;5%,"Medium",K239&lt;10%,"Good",K239&gt;10%,"Excellent")</f>
        <v>Excellent</v>
      </c>
      <c r="AA239" s="16" t="str">
        <f>Data_Validation!N237</f>
        <v>Pass</v>
      </c>
    </row>
    <row r="240" spans="1:27" x14ac:dyDescent="0.35">
      <c r="A240" s="17" t="s">
        <v>86</v>
      </c>
      <c r="B240" s="3" t="s">
        <v>35</v>
      </c>
      <c r="C240" s="3" t="s">
        <v>20</v>
      </c>
      <c r="D240" s="3" t="s">
        <v>43</v>
      </c>
      <c r="E240" s="3" t="s">
        <v>22</v>
      </c>
      <c r="F240" s="3">
        <v>29114.44</v>
      </c>
      <c r="G240" s="3">
        <v>741514</v>
      </c>
      <c r="H240" s="3">
        <v>23613</v>
      </c>
      <c r="I240" s="3">
        <v>228925.1</v>
      </c>
      <c r="J240" s="3">
        <v>21</v>
      </c>
      <c r="K240" s="15">
        <f t="shared" si="33"/>
        <v>3.1844307727163616E-2</v>
      </c>
      <c r="L240" s="16">
        <f t="shared" si="43"/>
        <v>1.2329835260238005</v>
      </c>
      <c r="M240" s="16">
        <f t="shared" si="34"/>
        <v>39.26350682522515</v>
      </c>
      <c r="N240" s="16">
        <f t="shared" si="35"/>
        <v>7.8629401767645204</v>
      </c>
      <c r="O240" s="16">
        <f t="shared" si="36"/>
        <v>6.8629401767645204</v>
      </c>
      <c r="P240" s="1">
        <v>2023</v>
      </c>
      <c r="Q240" s="1" t="s">
        <v>53</v>
      </c>
      <c r="R240" s="1" t="s">
        <v>46</v>
      </c>
      <c r="S240" s="70">
        <f>DATE(Table2[[#This Row],[Year]],MONTH(DATEVALUE("1-"&amp;Table2[[#This Row],[Month]]&amp;"-2000")),1)</f>
        <v>45078</v>
      </c>
      <c r="T240" s="16">
        <f t="shared" si="37"/>
        <v>9.6948757040613227</v>
      </c>
      <c r="U240" s="16">
        <f t="shared" si="38"/>
        <v>0.30872660529673074</v>
      </c>
      <c r="V240" s="16">
        <f t="shared" si="39"/>
        <v>1386.4019047619047</v>
      </c>
      <c r="W240" s="16">
        <f t="shared" si="40"/>
        <v>10901.195238095239</v>
      </c>
      <c r="X240" s="16">
        <f t="shared" si="41"/>
        <v>1124.4285714285713</v>
      </c>
      <c r="Y240" s="16">
        <f t="shared" si="42"/>
        <v>35310.190476190473</v>
      </c>
      <c r="Z240" s="7" t="str" cm="1">
        <f t="array" ref="Z240">_xlfn.IFS(K240&lt;2%,"Low",K240&lt;5%,"Medium",K240&lt;10%,"Good",K240&gt;10%,"Excellent")</f>
        <v>Medium</v>
      </c>
      <c r="AA240" s="16" t="str">
        <f>Data_Validation!N238</f>
        <v>Pass</v>
      </c>
    </row>
    <row r="241" spans="1:27" x14ac:dyDescent="0.35">
      <c r="A241" s="17" t="s">
        <v>85</v>
      </c>
      <c r="B241" s="3" t="s">
        <v>48</v>
      </c>
      <c r="C241" s="3" t="s">
        <v>69</v>
      </c>
      <c r="D241" s="3" t="s">
        <v>59</v>
      </c>
      <c r="E241" s="3" t="s">
        <v>22</v>
      </c>
      <c r="F241" s="3">
        <v>10706.14</v>
      </c>
      <c r="G241" s="3">
        <v>213586</v>
      </c>
      <c r="H241" s="3">
        <v>41520</v>
      </c>
      <c r="I241" s="3">
        <v>92854.6</v>
      </c>
      <c r="J241" s="3">
        <v>30</v>
      </c>
      <c r="K241" s="15">
        <f t="shared" si="33"/>
        <v>0.19439476370174075</v>
      </c>
      <c r="L241" s="16">
        <f t="shared" si="43"/>
        <v>0.25785500963391134</v>
      </c>
      <c r="M241" s="16">
        <f t="shared" si="34"/>
        <v>50.125663667094287</v>
      </c>
      <c r="N241" s="16">
        <f t="shared" si="35"/>
        <v>8.6730231437287397</v>
      </c>
      <c r="O241" s="16">
        <f t="shared" si="36"/>
        <v>7.6730231437287397</v>
      </c>
      <c r="P241" s="1">
        <v>2023</v>
      </c>
      <c r="Q241" s="1" t="s">
        <v>80</v>
      </c>
      <c r="R241" s="1" t="s">
        <v>33</v>
      </c>
      <c r="S241" s="70">
        <f>DATE(Table2[[#This Row],[Year]],MONTH(DATEVALUE("1-"&amp;Table2[[#This Row],[Month]]&amp;"-2000")),1)</f>
        <v>45108</v>
      </c>
      <c r="T241" s="16">
        <f t="shared" si="37"/>
        <v>2.2363824662813103</v>
      </c>
      <c r="U241" s="16">
        <f t="shared" si="38"/>
        <v>0.43474104107947154</v>
      </c>
      <c r="V241" s="16">
        <f t="shared" si="39"/>
        <v>356.87133333333333</v>
      </c>
      <c r="W241" s="16">
        <f t="shared" si="40"/>
        <v>3095.1533333333336</v>
      </c>
      <c r="X241" s="16">
        <f t="shared" si="41"/>
        <v>1384</v>
      </c>
      <c r="Y241" s="16">
        <f t="shared" si="42"/>
        <v>7119.5333333333338</v>
      </c>
      <c r="Z241" s="7" t="str" cm="1">
        <f t="array" ref="Z241">_xlfn.IFS(K241&lt;2%,"Low",K241&lt;5%,"Medium",K241&lt;10%,"Good",K241&gt;10%,"Excellent")</f>
        <v>Excellent</v>
      </c>
      <c r="AA241" s="16" t="str">
        <f>Data_Validation!N239</f>
        <v>Pass</v>
      </c>
    </row>
    <row r="242" spans="1:27" x14ac:dyDescent="0.35">
      <c r="A242" s="17" t="s">
        <v>101</v>
      </c>
      <c r="B242" s="3" t="s">
        <v>19</v>
      </c>
      <c r="C242" s="3" t="s">
        <v>58</v>
      </c>
      <c r="D242" s="3" t="s">
        <v>51</v>
      </c>
      <c r="E242" s="3" t="s">
        <v>22</v>
      </c>
      <c r="F242" s="3">
        <v>20488.18</v>
      </c>
      <c r="G242" s="3">
        <v>965077</v>
      </c>
      <c r="H242" s="3">
        <v>43293</v>
      </c>
      <c r="I242" s="3">
        <v>49943.86</v>
      </c>
      <c r="J242" s="3">
        <v>45</v>
      </c>
      <c r="K242" s="15">
        <f t="shared" si="33"/>
        <v>4.4859632961929463E-2</v>
      </c>
      <c r="L242" s="16">
        <f t="shared" si="43"/>
        <v>0.47324463539140277</v>
      </c>
      <c r="M242" s="16">
        <f t="shared" si="34"/>
        <v>21.229580644860462</v>
      </c>
      <c r="N242" s="16">
        <f t="shared" si="35"/>
        <v>2.4376913908409628</v>
      </c>
      <c r="O242" s="16">
        <f t="shared" si="36"/>
        <v>1.437691390840963</v>
      </c>
      <c r="P242" s="1">
        <v>2023</v>
      </c>
      <c r="Q242" s="1" t="s">
        <v>80</v>
      </c>
      <c r="R242" s="1" t="s">
        <v>33</v>
      </c>
      <c r="S242" s="70">
        <f>DATE(Table2[[#This Row],[Year]],MONTH(DATEVALUE("1-"&amp;Table2[[#This Row],[Month]]&amp;"-2000")),1)</f>
        <v>45108</v>
      </c>
      <c r="T242" s="16">
        <f t="shared" si="37"/>
        <v>1.1536243734552931</v>
      </c>
      <c r="U242" s="16">
        <f t="shared" si="38"/>
        <v>5.1751165969140284E-2</v>
      </c>
      <c r="V242" s="16">
        <f t="shared" si="39"/>
        <v>455.29288888888891</v>
      </c>
      <c r="W242" s="16">
        <f t="shared" si="40"/>
        <v>1109.8635555555556</v>
      </c>
      <c r="X242" s="16">
        <f t="shared" si="41"/>
        <v>962.06666666666672</v>
      </c>
      <c r="Y242" s="16">
        <f t="shared" si="42"/>
        <v>21446.155555555557</v>
      </c>
      <c r="Z242" s="7" t="str" cm="1">
        <f t="array" ref="Z242">_xlfn.IFS(K242&lt;2%,"Low",K242&lt;5%,"Medium",K242&lt;10%,"Good",K242&gt;10%,"Excellent")</f>
        <v>Medium</v>
      </c>
      <c r="AA242" s="16" t="str">
        <f>Data_Validation!N240</f>
        <v>Pass</v>
      </c>
    </row>
    <row r="243" spans="1:27" x14ac:dyDescent="0.35">
      <c r="A243" s="17" t="s">
        <v>88</v>
      </c>
      <c r="B243" s="3" t="s">
        <v>48</v>
      </c>
      <c r="C243" s="3" t="s">
        <v>36</v>
      </c>
      <c r="D243" s="3" t="s">
        <v>37</v>
      </c>
      <c r="E243" s="3" t="s">
        <v>22</v>
      </c>
      <c r="F243" s="3">
        <v>25676.04</v>
      </c>
      <c r="G243" s="3">
        <v>221741</v>
      </c>
      <c r="H243" s="3">
        <v>29898</v>
      </c>
      <c r="I243" s="3">
        <v>27094.02</v>
      </c>
      <c r="J243" s="3">
        <v>35</v>
      </c>
      <c r="K243" s="15">
        <f t="shared" si="33"/>
        <v>0.13483298081996564</v>
      </c>
      <c r="L243" s="16">
        <f t="shared" si="43"/>
        <v>0.85878787878787877</v>
      </c>
      <c r="M243" s="16">
        <f t="shared" si="34"/>
        <v>115.79292958902504</v>
      </c>
      <c r="N243" s="16">
        <f t="shared" si="35"/>
        <v>1.0552258058485655</v>
      </c>
      <c r="O243" s="16">
        <f t="shared" si="36"/>
        <v>5.5225805848565415E-2</v>
      </c>
      <c r="P243" s="1">
        <v>2023</v>
      </c>
      <c r="Q243" s="1" t="s">
        <v>80</v>
      </c>
      <c r="R243" s="1" t="s">
        <v>33</v>
      </c>
      <c r="S243" s="70">
        <f>DATE(Table2[[#This Row],[Year]],MONTH(DATEVALUE("1-"&amp;Table2[[#This Row],[Month]]&amp;"-2000")),1)</f>
        <v>45108</v>
      </c>
      <c r="T243" s="16">
        <f t="shared" si="37"/>
        <v>0.90621513144691956</v>
      </c>
      <c r="U243" s="16">
        <f t="shared" si="38"/>
        <v>0.12218768743714514</v>
      </c>
      <c r="V243" s="16">
        <f t="shared" si="39"/>
        <v>733.60114285714292</v>
      </c>
      <c r="W243" s="16">
        <f t="shared" si="40"/>
        <v>774.1148571428572</v>
      </c>
      <c r="X243" s="16">
        <f t="shared" si="41"/>
        <v>854.2285714285714</v>
      </c>
      <c r="Y243" s="16">
        <f t="shared" si="42"/>
        <v>6335.4571428571426</v>
      </c>
      <c r="Z243" s="7" t="str" cm="1">
        <f t="array" ref="Z243">_xlfn.IFS(K243&lt;2%,"Low",K243&lt;5%,"Medium",K243&lt;10%,"Good",K243&gt;10%,"Excellent")</f>
        <v>Excellent</v>
      </c>
      <c r="AA243" s="16" t="str">
        <f>Data_Validation!N241</f>
        <v>Pass</v>
      </c>
    </row>
    <row r="244" spans="1:27" x14ac:dyDescent="0.35">
      <c r="A244" s="17" t="s">
        <v>117</v>
      </c>
      <c r="B244" s="3" t="s">
        <v>35</v>
      </c>
      <c r="C244" s="3" t="s">
        <v>20</v>
      </c>
      <c r="D244" s="3" t="s">
        <v>21</v>
      </c>
      <c r="E244" s="3" t="s">
        <v>30</v>
      </c>
      <c r="F244" s="3">
        <v>22814.799999999999</v>
      </c>
      <c r="G244" s="3">
        <v>516773</v>
      </c>
      <c r="H244" s="3">
        <v>47000</v>
      </c>
      <c r="I244" s="3">
        <v>239159.21</v>
      </c>
      <c r="J244" s="3">
        <v>26</v>
      </c>
      <c r="K244" s="15">
        <f t="shared" si="33"/>
        <v>9.0949024039568629E-2</v>
      </c>
      <c r="L244" s="16">
        <f t="shared" si="43"/>
        <v>0.48542127659574469</v>
      </c>
      <c r="M244" s="16">
        <f t="shared" si="34"/>
        <v>44.148591354424475</v>
      </c>
      <c r="N244" s="16">
        <f t="shared" si="35"/>
        <v>10.482634517944492</v>
      </c>
      <c r="O244" s="16">
        <f t="shared" si="36"/>
        <v>9.4826345179444917</v>
      </c>
      <c r="P244" s="1">
        <v>2023</v>
      </c>
      <c r="Q244" s="1" t="s">
        <v>80</v>
      </c>
      <c r="R244" s="1" t="s">
        <v>33</v>
      </c>
      <c r="S244" s="70">
        <f>DATE(Table2[[#This Row],[Year]],MONTH(DATEVALUE("1-"&amp;Table2[[#This Row],[Month]]&amp;"-2000")),1)</f>
        <v>45108</v>
      </c>
      <c r="T244" s="16">
        <f t="shared" si="37"/>
        <v>5.0884938297872342</v>
      </c>
      <c r="U244" s="16">
        <f t="shared" si="38"/>
        <v>0.46279354765051578</v>
      </c>
      <c r="V244" s="16">
        <f t="shared" si="39"/>
        <v>877.49230769230769</v>
      </c>
      <c r="W244" s="16">
        <f t="shared" si="40"/>
        <v>9198.4311538461534</v>
      </c>
      <c r="X244" s="16">
        <f t="shared" si="41"/>
        <v>1807.6923076923076</v>
      </c>
      <c r="Y244" s="16">
        <f t="shared" si="42"/>
        <v>19875.884615384617</v>
      </c>
      <c r="Z244" s="7" t="str" cm="1">
        <f t="array" ref="Z244">_xlfn.IFS(K244&lt;2%,"Low",K244&lt;5%,"Medium",K244&lt;10%,"Good",K244&gt;10%,"Excellent")</f>
        <v>Good</v>
      </c>
      <c r="AA244" s="16" t="str">
        <f>Data_Validation!N242</f>
        <v>Pass</v>
      </c>
    </row>
    <row r="245" spans="1:27" x14ac:dyDescent="0.35">
      <c r="A245" s="17" t="s">
        <v>66</v>
      </c>
      <c r="B245" s="3" t="s">
        <v>19</v>
      </c>
      <c r="C245" s="3" t="s">
        <v>69</v>
      </c>
      <c r="D245" s="3" t="s">
        <v>37</v>
      </c>
      <c r="E245" s="3" t="s">
        <v>30</v>
      </c>
      <c r="F245" s="3">
        <v>16355.46</v>
      </c>
      <c r="G245" s="3">
        <v>211332</v>
      </c>
      <c r="H245" s="3">
        <v>14946</v>
      </c>
      <c r="I245" s="3">
        <v>249994.27</v>
      </c>
      <c r="J245" s="3">
        <v>19</v>
      </c>
      <c r="K245" s="15">
        <f t="shared" si="33"/>
        <v>7.0722843677247169E-2</v>
      </c>
      <c r="L245" s="16">
        <f t="shared" si="43"/>
        <v>1.0943034925732638</v>
      </c>
      <c r="M245" s="16">
        <f t="shared" si="34"/>
        <v>77.392254840724533</v>
      </c>
      <c r="N245" s="16">
        <f t="shared" si="35"/>
        <v>15.285065048613735</v>
      </c>
      <c r="O245" s="16">
        <f t="shared" si="36"/>
        <v>14.285065048613736</v>
      </c>
      <c r="P245" s="1">
        <v>2023</v>
      </c>
      <c r="Q245" s="1" t="s">
        <v>80</v>
      </c>
      <c r="R245" s="1" t="s">
        <v>33</v>
      </c>
      <c r="S245" s="70">
        <f>DATE(Table2[[#This Row],[Year]],MONTH(DATEVALUE("1-"&amp;Table2[[#This Row],[Month]]&amp;"-2000")),1)</f>
        <v>45108</v>
      </c>
      <c r="T245" s="16">
        <f t="shared" si="37"/>
        <v>16.726500066907533</v>
      </c>
      <c r="U245" s="16">
        <f t="shared" si="38"/>
        <v>1.182945649499366</v>
      </c>
      <c r="V245" s="16">
        <f t="shared" si="39"/>
        <v>860.81368421052628</v>
      </c>
      <c r="W245" s="16">
        <f t="shared" si="40"/>
        <v>13157.593157894737</v>
      </c>
      <c r="X245" s="16">
        <f t="shared" si="41"/>
        <v>786.63157894736844</v>
      </c>
      <c r="Y245" s="16">
        <f t="shared" si="42"/>
        <v>11122.736842105263</v>
      </c>
      <c r="Z245" s="7" t="str" cm="1">
        <f t="array" ref="Z245">_xlfn.IFS(K245&lt;2%,"Low",K245&lt;5%,"Medium",K245&lt;10%,"Good",K245&gt;10%,"Excellent")</f>
        <v>Good</v>
      </c>
      <c r="AA245" s="16" t="str">
        <f>Data_Validation!N243</f>
        <v>Pass</v>
      </c>
    </row>
    <row r="246" spans="1:27" x14ac:dyDescent="0.35">
      <c r="A246" s="17" t="s">
        <v>102</v>
      </c>
      <c r="B246" s="3" t="s">
        <v>35</v>
      </c>
      <c r="C246" s="3" t="s">
        <v>36</v>
      </c>
      <c r="D246" s="3" t="s">
        <v>59</v>
      </c>
      <c r="E246" s="3" t="s">
        <v>38</v>
      </c>
      <c r="F246" s="3">
        <v>21888.83</v>
      </c>
      <c r="G246" s="3">
        <v>105674</v>
      </c>
      <c r="H246" s="3">
        <v>30902</v>
      </c>
      <c r="I246" s="3">
        <v>90250.46</v>
      </c>
      <c r="J246" s="3">
        <v>43</v>
      </c>
      <c r="K246" s="15">
        <f t="shared" si="33"/>
        <v>0.29242765486306943</v>
      </c>
      <c r="L246" s="16">
        <f t="shared" si="43"/>
        <v>0.70833052876836455</v>
      </c>
      <c r="M246" s="16">
        <f t="shared" si="34"/>
        <v>207.1354353956508</v>
      </c>
      <c r="N246" s="16">
        <f t="shared" si="35"/>
        <v>4.1231285546098171</v>
      </c>
      <c r="O246" s="16">
        <f t="shared" si="36"/>
        <v>3.1231285546098171</v>
      </c>
      <c r="P246" s="1">
        <v>2023</v>
      </c>
      <c r="Q246" s="1" t="s">
        <v>80</v>
      </c>
      <c r="R246" s="1" t="s">
        <v>33</v>
      </c>
      <c r="S246" s="70">
        <f>DATE(Table2[[#This Row],[Year]],MONTH(DATEVALUE("1-"&amp;Table2[[#This Row],[Month]]&amp;"-2000")),1)</f>
        <v>45108</v>
      </c>
      <c r="T246" s="16">
        <f t="shared" si="37"/>
        <v>2.9205378292667143</v>
      </c>
      <c r="U246" s="16">
        <f t="shared" si="38"/>
        <v>0.8540460283513448</v>
      </c>
      <c r="V246" s="16">
        <f t="shared" si="39"/>
        <v>509.04255813953495</v>
      </c>
      <c r="W246" s="16">
        <f t="shared" si="40"/>
        <v>2098.8479069767445</v>
      </c>
      <c r="X246" s="16">
        <f t="shared" si="41"/>
        <v>718.65116279069764</v>
      </c>
      <c r="Y246" s="16">
        <f t="shared" si="42"/>
        <v>2457.5348837209303</v>
      </c>
      <c r="Z246" s="7" t="str" cm="1">
        <f t="array" ref="Z246">_xlfn.IFS(K246&lt;2%,"Low",K246&lt;5%,"Medium",K246&lt;10%,"Good",K246&gt;10%,"Excellent")</f>
        <v>Excellent</v>
      </c>
      <c r="AA246" s="16" t="str">
        <f>Data_Validation!N244</f>
        <v>Pass</v>
      </c>
    </row>
    <row r="247" spans="1:27" x14ac:dyDescent="0.35">
      <c r="A247" s="17" t="s">
        <v>93</v>
      </c>
      <c r="B247" s="3" t="s">
        <v>19</v>
      </c>
      <c r="C247" s="3" t="s">
        <v>69</v>
      </c>
      <c r="D247" s="3" t="s">
        <v>43</v>
      </c>
      <c r="E247" s="3" t="s">
        <v>22</v>
      </c>
      <c r="F247" s="3">
        <v>35155.19</v>
      </c>
      <c r="G247" s="3">
        <v>708724</v>
      </c>
      <c r="H247" s="3">
        <v>10158</v>
      </c>
      <c r="I247" s="3">
        <v>44507.4</v>
      </c>
      <c r="J247" s="3">
        <v>17</v>
      </c>
      <c r="K247" s="15">
        <f t="shared" si="33"/>
        <v>1.4332800921091991E-2</v>
      </c>
      <c r="L247" s="16">
        <f t="shared" si="43"/>
        <v>3.4608377633392404</v>
      </c>
      <c r="M247" s="16">
        <f t="shared" si="34"/>
        <v>49.603498682138607</v>
      </c>
      <c r="N247" s="16">
        <f t="shared" si="35"/>
        <v>1.2660264387704916</v>
      </c>
      <c r="O247" s="16">
        <f t="shared" si="36"/>
        <v>0.26602643877049159</v>
      </c>
      <c r="P247" s="1">
        <v>2023</v>
      </c>
      <c r="Q247" s="1" t="s">
        <v>80</v>
      </c>
      <c r="R247" s="1" t="s">
        <v>33</v>
      </c>
      <c r="S247" s="70">
        <f>DATE(Table2[[#This Row],[Year]],MONTH(DATEVALUE("1-"&amp;Table2[[#This Row],[Month]]&amp;"-2000")),1)</f>
        <v>45108</v>
      </c>
      <c r="T247" s="16">
        <f t="shared" si="37"/>
        <v>4.3815121086828119</v>
      </c>
      <c r="U247" s="16">
        <f t="shared" si="38"/>
        <v>6.279934078710471E-2</v>
      </c>
      <c r="V247" s="16">
        <f t="shared" si="39"/>
        <v>2067.9523529411767</v>
      </c>
      <c r="W247" s="16">
        <f t="shared" si="40"/>
        <v>2618.0823529411764</v>
      </c>
      <c r="X247" s="16">
        <f t="shared" si="41"/>
        <v>597.52941176470586</v>
      </c>
      <c r="Y247" s="16">
        <f t="shared" si="42"/>
        <v>41689.647058823532</v>
      </c>
      <c r="Z247" s="7" t="str" cm="1">
        <f t="array" ref="Z247">_xlfn.IFS(K247&lt;2%,"Low",K247&lt;5%,"Medium",K247&lt;10%,"Good",K247&gt;10%,"Excellent")</f>
        <v>Low</v>
      </c>
      <c r="AA247" s="16" t="str">
        <f>Data_Validation!N245</f>
        <v>Pass</v>
      </c>
    </row>
    <row r="248" spans="1:27" x14ac:dyDescent="0.35">
      <c r="A248" s="17" t="s">
        <v>105</v>
      </c>
      <c r="B248" s="3" t="s">
        <v>28</v>
      </c>
      <c r="C248" s="3" t="s">
        <v>29</v>
      </c>
      <c r="D248" s="3" t="s">
        <v>21</v>
      </c>
      <c r="E248" s="3" t="s">
        <v>30</v>
      </c>
      <c r="F248" s="3">
        <v>21613.15</v>
      </c>
      <c r="G248" s="3">
        <v>448555</v>
      </c>
      <c r="H248" s="3">
        <v>39187</v>
      </c>
      <c r="I248" s="3">
        <v>38777.49</v>
      </c>
      <c r="J248" s="3">
        <v>29</v>
      </c>
      <c r="K248" s="15">
        <f t="shared" si="33"/>
        <v>8.7362753731426476E-2</v>
      </c>
      <c r="L248" s="16">
        <f t="shared" si="43"/>
        <v>0.55153877561436193</v>
      </c>
      <c r="M248" s="16">
        <f t="shared" si="34"/>
        <v>48.183946227329983</v>
      </c>
      <c r="N248" s="16">
        <f t="shared" si="35"/>
        <v>1.7941618875545673</v>
      </c>
      <c r="O248" s="16">
        <f t="shared" si="36"/>
        <v>0.79416188755456729</v>
      </c>
      <c r="P248" s="1">
        <v>2023</v>
      </c>
      <c r="Q248" s="1" t="s">
        <v>80</v>
      </c>
      <c r="R248" s="1" t="s">
        <v>33</v>
      </c>
      <c r="S248" s="70">
        <f>DATE(Table2[[#This Row],[Year]],MONTH(DATEVALUE("1-"&amp;Table2[[#This Row],[Month]]&amp;"-2000")),1)</f>
        <v>45108</v>
      </c>
      <c r="T248" s="16">
        <f t="shared" si="37"/>
        <v>0.9895498507157986</v>
      </c>
      <c r="U248" s="16">
        <f t="shared" si="38"/>
        <v>8.644979991305414E-2</v>
      </c>
      <c r="V248" s="16">
        <f t="shared" si="39"/>
        <v>745.28103448275863</v>
      </c>
      <c r="W248" s="16">
        <f t="shared" si="40"/>
        <v>1337.1548275862069</v>
      </c>
      <c r="X248" s="16">
        <f t="shared" si="41"/>
        <v>1351.2758620689656</v>
      </c>
      <c r="Y248" s="16">
        <f t="shared" si="42"/>
        <v>15467.413793103447</v>
      </c>
      <c r="Z248" s="7" t="str" cm="1">
        <f t="array" ref="Z248">_xlfn.IFS(K248&lt;2%,"Low",K248&lt;5%,"Medium",K248&lt;10%,"Good",K248&gt;10%,"Excellent")</f>
        <v>Good</v>
      </c>
      <c r="AA248" s="16" t="str">
        <f>Data_Validation!N246</f>
        <v>Pass</v>
      </c>
    </row>
    <row r="249" spans="1:27" x14ac:dyDescent="0.35">
      <c r="A249" s="17" t="s">
        <v>89</v>
      </c>
      <c r="B249" s="3" t="s">
        <v>19</v>
      </c>
      <c r="C249" s="3" t="s">
        <v>29</v>
      </c>
      <c r="D249" s="3" t="s">
        <v>59</v>
      </c>
      <c r="E249" s="3" t="s">
        <v>38</v>
      </c>
      <c r="F249" s="3">
        <v>1867.59</v>
      </c>
      <c r="G249" s="3">
        <v>704180</v>
      </c>
      <c r="H249" s="3">
        <v>16591</v>
      </c>
      <c r="I249" s="3">
        <v>235407.15</v>
      </c>
      <c r="J249" s="3">
        <v>60</v>
      </c>
      <c r="K249" s="15">
        <f t="shared" si="33"/>
        <v>2.3560737311482859E-2</v>
      </c>
      <c r="L249" s="16">
        <f t="shared" si="43"/>
        <v>0.11256645169067567</v>
      </c>
      <c r="M249" s="16">
        <f t="shared" si="34"/>
        <v>2.652148598369735</v>
      </c>
      <c r="N249" s="16">
        <f t="shared" si="35"/>
        <v>126.04862416269096</v>
      </c>
      <c r="O249" s="16">
        <f t="shared" si="36"/>
        <v>125.04862416269096</v>
      </c>
      <c r="P249" s="1">
        <v>2023</v>
      </c>
      <c r="Q249" s="1" t="s">
        <v>80</v>
      </c>
      <c r="R249" s="1" t="s">
        <v>33</v>
      </c>
      <c r="S249" s="70">
        <f>DATE(Table2[[#This Row],[Year]],MONTH(DATEVALUE("1-"&amp;Table2[[#This Row],[Month]]&amp;"-2000")),1)</f>
        <v>45108</v>
      </c>
      <c r="T249" s="16">
        <f t="shared" si="37"/>
        <v>14.188846362485684</v>
      </c>
      <c r="U249" s="16">
        <f t="shared" si="38"/>
        <v>0.33429968189951431</v>
      </c>
      <c r="V249" s="16">
        <f t="shared" si="39"/>
        <v>31.1265</v>
      </c>
      <c r="W249" s="16">
        <f t="shared" si="40"/>
        <v>3923.4524999999999</v>
      </c>
      <c r="X249" s="16">
        <f t="shared" si="41"/>
        <v>276.51666666666665</v>
      </c>
      <c r="Y249" s="16">
        <f t="shared" si="42"/>
        <v>11736.333333333334</v>
      </c>
      <c r="Z249" s="7" t="str" cm="1">
        <f t="array" ref="Z249">_xlfn.IFS(K249&lt;2%,"Low",K249&lt;5%,"Medium",K249&lt;10%,"Good",K249&gt;10%,"Excellent")</f>
        <v>Medium</v>
      </c>
      <c r="AA249" s="16" t="str">
        <f>Data_Validation!N247</f>
        <v>Pass</v>
      </c>
    </row>
    <row r="250" spans="1:27" x14ac:dyDescent="0.35">
      <c r="A250" s="17" t="s">
        <v>96</v>
      </c>
      <c r="B250" s="3" t="s">
        <v>28</v>
      </c>
      <c r="C250" s="3" t="s">
        <v>69</v>
      </c>
      <c r="D250" s="3" t="s">
        <v>21</v>
      </c>
      <c r="E250" s="3" t="s">
        <v>30</v>
      </c>
      <c r="F250" s="3">
        <v>7719.43</v>
      </c>
      <c r="G250" s="3">
        <v>40915</v>
      </c>
      <c r="H250" s="3">
        <v>20985</v>
      </c>
      <c r="I250" s="3">
        <v>220632.32000000001</v>
      </c>
      <c r="J250" s="3">
        <v>26</v>
      </c>
      <c r="K250" s="15">
        <f t="shared" si="33"/>
        <v>0.51289258218257361</v>
      </c>
      <c r="L250" s="16">
        <f t="shared" si="43"/>
        <v>0.36785465808911127</v>
      </c>
      <c r="M250" s="16">
        <f t="shared" si="34"/>
        <v>188.66992545521202</v>
      </c>
      <c r="N250" s="16">
        <f t="shared" si="35"/>
        <v>28.581426348836636</v>
      </c>
      <c r="O250" s="16">
        <f t="shared" si="36"/>
        <v>27.581426348836636</v>
      </c>
      <c r="P250" s="1">
        <v>2023</v>
      </c>
      <c r="Q250" s="1" t="s">
        <v>80</v>
      </c>
      <c r="R250" s="1" t="s">
        <v>33</v>
      </c>
      <c r="S250" s="70">
        <f>DATE(Table2[[#This Row],[Year]],MONTH(DATEVALUE("1-"&amp;Table2[[#This Row],[Month]]&amp;"-2000")),1)</f>
        <v>45108</v>
      </c>
      <c r="T250" s="16">
        <f t="shared" si="37"/>
        <v>10.513810817250418</v>
      </c>
      <c r="U250" s="16">
        <f t="shared" si="38"/>
        <v>5.392455578638641</v>
      </c>
      <c r="V250" s="16">
        <f t="shared" si="39"/>
        <v>296.90115384615387</v>
      </c>
      <c r="W250" s="16">
        <f t="shared" si="40"/>
        <v>8485.8584615384625</v>
      </c>
      <c r="X250" s="16">
        <f t="shared" si="41"/>
        <v>807.11538461538464</v>
      </c>
      <c r="Y250" s="16">
        <f t="shared" si="42"/>
        <v>1573.6538461538462</v>
      </c>
      <c r="Z250" s="7" t="str" cm="1">
        <f t="array" ref="Z250">_xlfn.IFS(K250&lt;2%,"Low",K250&lt;5%,"Medium",K250&lt;10%,"Good",K250&gt;10%,"Excellent")</f>
        <v>Excellent</v>
      </c>
      <c r="AA250" s="16" t="str">
        <f>Data_Validation!N248</f>
        <v>Pass</v>
      </c>
    </row>
    <row r="251" spans="1:27" x14ac:dyDescent="0.35">
      <c r="A251" s="17" t="s">
        <v>91</v>
      </c>
      <c r="B251" s="3" t="s">
        <v>35</v>
      </c>
      <c r="C251" s="3" t="s">
        <v>29</v>
      </c>
      <c r="D251" s="3" t="s">
        <v>63</v>
      </c>
      <c r="E251" s="3" t="s">
        <v>30</v>
      </c>
      <c r="F251" s="3">
        <v>19957.36</v>
      </c>
      <c r="G251" s="3">
        <v>477429</v>
      </c>
      <c r="H251" s="3">
        <v>3024</v>
      </c>
      <c r="I251" s="3">
        <v>69507.509999999995</v>
      </c>
      <c r="J251" s="3">
        <v>29</v>
      </c>
      <c r="K251" s="15">
        <f t="shared" si="33"/>
        <v>6.3339260916282841E-3</v>
      </c>
      <c r="L251" s="16">
        <f t="shared" si="43"/>
        <v>6.5996560846560852</v>
      </c>
      <c r="M251" s="16">
        <f t="shared" si="34"/>
        <v>41.801733870376545</v>
      </c>
      <c r="N251" s="16">
        <f t="shared" si="35"/>
        <v>3.4828008313724856</v>
      </c>
      <c r="O251" s="16">
        <f t="shared" si="36"/>
        <v>2.4828008313724856</v>
      </c>
      <c r="P251" s="1">
        <v>2023</v>
      </c>
      <c r="Q251" s="1" t="s">
        <v>80</v>
      </c>
      <c r="R251" s="1" t="s">
        <v>33</v>
      </c>
      <c r="S251" s="70">
        <f>DATE(Table2[[#This Row],[Year]],MONTH(DATEVALUE("1-"&amp;Table2[[#This Row],[Month]]&amp;"-2000")),1)</f>
        <v>45108</v>
      </c>
      <c r="T251" s="16">
        <f t="shared" si="37"/>
        <v>22.985287698412698</v>
      </c>
      <c r="U251" s="16">
        <f t="shared" si="38"/>
        <v>0.14558711347655881</v>
      </c>
      <c r="V251" s="16">
        <f t="shared" si="39"/>
        <v>688.18482758620689</v>
      </c>
      <c r="W251" s="16">
        <f t="shared" si="40"/>
        <v>2396.8106896551722</v>
      </c>
      <c r="X251" s="16">
        <f t="shared" si="41"/>
        <v>104.27586206896552</v>
      </c>
      <c r="Y251" s="16">
        <f t="shared" si="42"/>
        <v>16463.068965517243</v>
      </c>
      <c r="Z251" s="7" t="str" cm="1">
        <f t="array" ref="Z251">_xlfn.IFS(K251&lt;2%,"Low",K251&lt;5%,"Medium",K251&lt;10%,"Good",K251&gt;10%,"Excellent")</f>
        <v>Low</v>
      </c>
      <c r="AA251" s="16" t="str">
        <f>Data_Validation!N249</f>
        <v>Pass</v>
      </c>
    </row>
    <row r="252" spans="1:27" x14ac:dyDescent="0.35">
      <c r="A252" s="17" t="s">
        <v>77</v>
      </c>
      <c r="B252" s="3" t="s">
        <v>35</v>
      </c>
      <c r="C252" s="3" t="s">
        <v>69</v>
      </c>
      <c r="D252" s="3" t="s">
        <v>43</v>
      </c>
      <c r="E252" s="3" t="s">
        <v>30</v>
      </c>
      <c r="F252" s="3">
        <v>483.35</v>
      </c>
      <c r="G252" s="3">
        <v>143882</v>
      </c>
      <c r="H252" s="3">
        <v>20525</v>
      </c>
      <c r="I252" s="3">
        <v>148207.96</v>
      </c>
      <c r="J252" s="3">
        <v>21</v>
      </c>
      <c r="K252" s="15">
        <f t="shared" si="33"/>
        <v>0.14265161729750769</v>
      </c>
      <c r="L252" s="16">
        <f t="shared" si="43"/>
        <v>2.3549330085261878E-2</v>
      </c>
      <c r="M252" s="16">
        <f t="shared" si="34"/>
        <v>3.3593500229354611</v>
      </c>
      <c r="N252" s="16">
        <f t="shared" si="35"/>
        <v>306.62658529016238</v>
      </c>
      <c r="O252" s="16">
        <f t="shared" si="36"/>
        <v>305.62658529016238</v>
      </c>
      <c r="P252" s="1">
        <v>2023</v>
      </c>
      <c r="Q252" s="1" t="s">
        <v>80</v>
      </c>
      <c r="R252" s="1" t="s">
        <v>33</v>
      </c>
      <c r="S252" s="70">
        <f>DATE(Table2[[#This Row],[Year]],MONTH(DATEVALUE("1-"&amp;Table2[[#This Row],[Month]]&amp;"-2000")),1)</f>
        <v>45108</v>
      </c>
      <c r="T252" s="16">
        <f t="shared" si="37"/>
        <v>7.2208506699147375</v>
      </c>
      <c r="U252" s="16">
        <f t="shared" si="38"/>
        <v>1.0300660263271291</v>
      </c>
      <c r="V252" s="16">
        <f t="shared" si="39"/>
        <v>23.016666666666669</v>
      </c>
      <c r="W252" s="16">
        <f t="shared" si="40"/>
        <v>7057.5219047619048</v>
      </c>
      <c r="X252" s="16">
        <f t="shared" si="41"/>
        <v>977.38095238095241</v>
      </c>
      <c r="Y252" s="16">
        <f t="shared" si="42"/>
        <v>6851.5238095238092</v>
      </c>
      <c r="Z252" s="7" t="str" cm="1">
        <f t="array" ref="Z252">_xlfn.IFS(K252&lt;2%,"Low",K252&lt;5%,"Medium",K252&lt;10%,"Good",K252&gt;10%,"Excellent")</f>
        <v>Excellent</v>
      </c>
      <c r="AA252" s="16" t="str">
        <f>Data_Validation!N250</f>
        <v>Pass</v>
      </c>
    </row>
    <row r="253" spans="1:27" x14ac:dyDescent="0.35">
      <c r="A253" s="17" t="s">
        <v>78</v>
      </c>
      <c r="B253" s="3" t="s">
        <v>28</v>
      </c>
      <c r="C253" s="3" t="s">
        <v>36</v>
      </c>
      <c r="D253" s="3" t="s">
        <v>21</v>
      </c>
      <c r="E253" s="3" t="s">
        <v>30</v>
      </c>
      <c r="F253" s="3">
        <v>15608.87</v>
      </c>
      <c r="G253" s="3">
        <v>846020</v>
      </c>
      <c r="H253" s="3">
        <v>34131</v>
      </c>
      <c r="I253" s="3">
        <v>70346.570000000007</v>
      </c>
      <c r="J253" s="3">
        <v>37</v>
      </c>
      <c r="K253" s="15">
        <f t="shared" si="33"/>
        <v>4.0343017895558025E-2</v>
      </c>
      <c r="L253" s="16">
        <f t="shared" si="43"/>
        <v>0.45732237555301636</v>
      </c>
      <c r="M253" s="16">
        <f t="shared" si="34"/>
        <v>18.449764780974444</v>
      </c>
      <c r="N253" s="16">
        <f t="shared" si="35"/>
        <v>4.5068329738155297</v>
      </c>
      <c r="O253" s="16">
        <f t="shared" si="36"/>
        <v>3.5068329738155293</v>
      </c>
      <c r="P253" s="1">
        <v>2023</v>
      </c>
      <c r="Q253" s="1" t="s">
        <v>80</v>
      </c>
      <c r="R253" s="1" t="s">
        <v>33</v>
      </c>
      <c r="S253" s="70">
        <f>DATE(Table2[[#This Row],[Year]],MONTH(DATEVALUE("1-"&amp;Table2[[#This Row],[Month]]&amp;"-2000")),1)</f>
        <v>45108</v>
      </c>
      <c r="T253" s="16">
        <f t="shared" si="37"/>
        <v>2.0610755618059828</v>
      </c>
      <c r="U253" s="16">
        <f t="shared" si="38"/>
        <v>8.3150008274036083E-2</v>
      </c>
      <c r="V253" s="16">
        <f t="shared" si="39"/>
        <v>421.86135135135135</v>
      </c>
      <c r="W253" s="16">
        <f t="shared" si="40"/>
        <v>1901.2586486486489</v>
      </c>
      <c r="X253" s="16">
        <f t="shared" si="41"/>
        <v>922.45945945945948</v>
      </c>
      <c r="Y253" s="16">
        <f t="shared" si="42"/>
        <v>22865.405405405407</v>
      </c>
      <c r="Z253" s="7" t="str" cm="1">
        <f t="array" ref="Z253">_xlfn.IFS(K253&lt;2%,"Low",K253&lt;5%,"Medium",K253&lt;10%,"Good",K253&gt;10%,"Excellent")</f>
        <v>Medium</v>
      </c>
      <c r="AA253" s="16" t="str">
        <f>Data_Validation!N251</f>
        <v>Pass</v>
      </c>
    </row>
    <row r="254" spans="1:27" x14ac:dyDescent="0.35">
      <c r="A254" s="17" t="s">
        <v>82</v>
      </c>
      <c r="B254" s="3" t="s">
        <v>19</v>
      </c>
      <c r="C254" s="3" t="s">
        <v>58</v>
      </c>
      <c r="D254" s="3" t="s">
        <v>37</v>
      </c>
      <c r="E254" s="3" t="s">
        <v>38</v>
      </c>
      <c r="F254" s="3">
        <v>5092.25</v>
      </c>
      <c r="G254" s="3">
        <v>307604</v>
      </c>
      <c r="H254" s="3">
        <v>13593</v>
      </c>
      <c r="I254" s="3">
        <v>62094.66</v>
      </c>
      <c r="J254" s="3">
        <v>18</v>
      </c>
      <c r="K254" s="15">
        <f t="shared" si="33"/>
        <v>4.4189932510630553E-2</v>
      </c>
      <c r="L254" s="16">
        <f t="shared" si="43"/>
        <v>0.3746229677039653</v>
      </c>
      <c r="M254" s="16">
        <f t="shared" si="34"/>
        <v>16.554563659770356</v>
      </c>
      <c r="N254" s="16">
        <f t="shared" si="35"/>
        <v>12.193953556875645</v>
      </c>
      <c r="O254" s="16">
        <f t="shared" si="36"/>
        <v>11.193953556875645</v>
      </c>
      <c r="P254" s="1">
        <v>2023</v>
      </c>
      <c r="Q254" s="1" t="s">
        <v>80</v>
      </c>
      <c r="R254" s="1" t="s">
        <v>33</v>
      </c>
      <c r="S254" s="70">
        <f>DATE(Table2[[#This Row],[Year]],MONTH(DATEVALUE("1-"&amp;Table2[[#This Row],[Month]]&amp;"-2000")),1)</f>
        <v>45108</v>
      </c>
      <c r="T254" s="16">
        <f t="shared" si="37"/>
        <v>4.5681350695210776</v>
      </c>
      <c r="U254" s="16">
        <f t="shared" si="38"/>
        <v>0.20186558042158101</v>
      </c>
      <c r="V254" s="16">
        <f t="shared" si="39"/>
        <v>282.90277777777777</v>
      </c>
      <c r="W254" s="16">
        <f t="shared" si="40"/>
        <v>3449.7033333333334</v>
      </c>
      <c r="X254" s="16">
        <f t="shared" si="41"/>
        <v>755.16666666666663</v>
      </c>
      <c r="Y254" s="16">
        <f t="shared" si="42"/>
        <v>17089.111111111109</v>
      </c>
      <c r="Z254" s="7" t="str" cm="1">
        <f t="array" ref="Z254">_xlfn.IFS(K254&lt;2%,"Low",K254&lt;5%,"Medium",K254&lt;10%,"Good",K254&gt;10%,"Excellent")</f>
        <v>Medium</v>
      </c>
      <c r="AA254" s="16" t="str">
        <f>Data_Validation!N252</f>
        <v>Pass</v>
      </c>
    </row>
    <row r="255" spans="1:27" x14ac:dyDescent="0.35">
      <c r="A255" s="17" t="s">
        <v>83</v>
      </c>
      <c r="B255" s="3" t="s">
        <v>48</v>
      </c>
      <c r="C255" s="3" t="s">
        <v>29</v>
      </c>
      <c r="D255" s="3" t="s">
        <v>43</v>
      </c>
      <c r="E255" s="3" t="s">
        <v>38</v>
      </c>
      <c r="F255" s="3">
        <v>5626.87</v>
      </c>
      <c r="G255" s="3">
        <v>52608</v>
      </c>
      <c r="H255" s="3">
        <v>28182</v>
      </c>
      <c r="I255" s="3">
        <v>73382.5</v>
      </c>
      <c r="J255" s="3">
        <v>17</v>
      </c>
      <c r="K255" s="15">
        <f t="shared" si="33"/>
        <v>0.53569799270072993</v>
      </c>
      <c r="L255" s="16">
        <f t="shared" si="43"/>
        <v>0.19966184089134908</v>
      </c>
      <c r="M255" s="16">
        <f t="shared" si="34"/>
        <v>106.95844738442823</v>
      </c>
      <c r="N255" s="16">
        <f t="shared" si="35"/>
        <v>13.041442222763278</v>
      </c>
      <c r="O255" s="16">
        <f t="shared" si="36"/>
        <v>12.041442222763278</v>
      </c>
      <c r="P255" s="1">
        <v>2023</v>
      </c>
      <c r="Q255" s="1" t="s">
        <v>80</v>
      </c>
      <c r="R255" s="1" t="s">
        <v>33</v>
      </c>
      <c r="S255" s="70">
        <f>DATE(Table2[[#This Row],[Year]],MONTH(DATEVALUE("1-"&amp;Table2[[#This Row],[Month]]&amp;"-2000")),1)</f>
        <v>45108</v>
      </c>
      <c r="T255" s="16">
        <f t="shared" si="37"/>
        <v>2.6038783620750836</v>
      </c>
      <c r="U255" s="16">
        <f t="shared" si="38"/>
        <v>1.3948924118004866</v>
      </c>
      <c r="V255" s="16">
        <f t="shared" si="39"/>
        <v>330.99235294117648</v>
      </c>
      <c r="W255" s="16">
        <f t="shared" si="40"/>
        <v>4316.6176470588234</v>
      </c>
      <c r="X255" s="16">
        <f t="shared" si="41"/>
        <v>1657.7647058823529</v>
      </c>
      <c r="Y255" s="16">
        <f t="shared" si="42"/>
        <v>3094.5882352941176</v>
      </c>
      <c r="Z255" s="7" t="str" cm="1">
        <f t="array" ref="Z255">_xlfn.IFS(K255&lt;2%,"Low",K255&lt;5%,"Medium",K255&lt;10%,"Good",K255&gt;10%,"Excellent")</f>
        <v>Excellent</v>
      </c>
      <c r="AA255" s="16" t="str">
        <f>Data_Validation!N253</f>
        <v>Pass</v>
      </c>
    </row>
    <row r="256" spans="1:27" x14ac:dyDescent="0.35">
      <c r="A256" s="17" t="s">
        <v>118</v>
      </c>
      <c r="B256" s="3" t="s">
        <v>35</v>
      </c>
      <c r="C256" s="3" t="s">
        <v>36</v>
      </c>
      <c r="D256" s="3" t="s">
        <v>21</v>
      </c>
      <c r="E256" s="3" t="s">
        <v>30</v>
      </c>
      <c r="F256" s="3">
        <v>16191.57</v>
      </c>
      <c r="G256" s="3">
        <v>134078</v>
      </c>
      <c r="H256" s="3">
        <v>43426</v>
      </c>
      <c r="I256" s="3">
        <v>61434.85</v>
      </c>
      <c r="J256" s="3">
        <v>16</v>
      </c>
      <c r="K256" s="15">
        <f t="shared" si="33"/>
        <v>0.32388609615298558</v>
      </c>
      <c r="L256" s="16">
        <f t="shared" si="43"/>
        <v>0.37285428084557637</v>
      </c>
      <c r="M256" s="16">
        <f t="shared" si="34"/>
        <v>120.76231745700264</v>
      </c>
      <c r="N256" s="16">
        <f t="shared" si="35"/>
        <v>3.79424910617068</v>
      </c>
      <c r="O256" s="16">
        <f t="shared" si="36"/>
        <v>2.79424910617068</v>
      </c>
      <c r="P256" s="1">
        <v>2023</v>
      </c>
      <c r="Q256" s="1" t="s">
        <v>80</v>
      </c>
      <c r="R256" s="1" t="s">
        <v>33</v>
      </c>
      <c r="S256" s="70">
        <f>DATE(Table2[[#This Row],[Year]],MONTH(DATEVALUE("1-"&amp;Table2[[#This Row],[Month]]&amp;"-2000")),1)</f>
        <v>45108</v>
      </c>
      <c r="T256" s="16">
        <f t="shared" si="37"/>
        <v>1.41470202183024</v>
      </c>
      <c r="U256" s="16">
        <f t="shared" si="38"/>
        <v>0.45820231507033221</v>
      </c>
      <c r="V256" s="16">
        <f t="shared" si="39"/>
        <v>1011.973125</v>
      </c>
      <c r="W256" s="16">
        <f t="shared" si="40"/>
        <v>3839.6781249999999</v>
      </c>
      <c r="X256" s="16">
        <f t="shared" si="41"/>
        <v>2714.125</v>
      </c>
      <c r="Y256" s="16">
        <f t="shared" si="42"/>
        <v>8379.875</v>
      </c>
      <c r="Z256" s="7" t="str" cm="1">
        <f t="array" ref="Z256">_xlfn.IFS(K256&lt;2%,"Low",K256&lt;5%,"Medium",K256&lt;10%,"Good",K256&gt;10%,"Excellent")</f>
        <v>Excellent</v>
      </c>
      <c r="AA256" s="16" t="str">
        <f>Data_Validation!N254</f>
        <v>Pass</v>
      </c>
    </row>
    <row r="257" spans="1:27" x14ac:dyDescent="0.35">
      <c r="A257" s="17" t="s">
        <v>90</v>
      </c>
      <c r="B257" s="3" t="s">
        <v>35</v>
      </c>
      <c r="C257" s="3" t="s">
        <v>69</v>
      </c>
      <c r="D257" s="3" t="s">
        <v>59</v>
      </c>
      <c r="E257" s="3" t="s">
        <v>30</v>
      </c>
      <c r="F257" s="3">
        <v>15698.3</v>
      </c>
      <c r="G257" s="3">
        <v>150727</v>
      </c>
      <c r="H257" s="3">
        <v>39562</v>
      </c>
      <c r="I257" s="3">
        <v>140257.29999999999</v>
      </c>
      <c r="J257" s="3">
        <v>15</v>
      </c>
      <c r="K257" s="15">
        <f t="shared" si="33"/>
        <v>0.2624745400624971</v>
      </c>
      <c r="L257" s="16">
        <f t="shared" si="43"/>
        <v>0.39680248723522571</v>
      </c>
      <c r="M257" s="16">
        <f t="shared" si="34"/>
        <v>104.15055033272075</v>
      </c>
      <c r="N257" s="16">
        <f t="shared" si="35"/>
        <v>8.9345534229821055</v>
      </c>
      <c r="O257" s="16">
        <f t="shared" si="36"/>
        <v>7.9345534229821055</v>
      </c>
      <c r="P257" s="1">
        <v>2023</v>
      </c>
      <c r="Q257" s="1" t="s">
        <v>80</v>
      </c>
      <c r="R257" s="1" t="s">
        <v>33</v>
      </c>
      <c r="S257" s="70">
        <f>DATE(Table2[[#This Row],[Year]],MONTH(DATEVALUE("1-"&amp;Table2[[#This Row],[Month]]&amp;"-2000")),1)</f>
        <v>45108</v>
      </c>
      <c r="T257" s="16">
        <f t="shared" si="37"/>
        <v>3.5452530205752995</v>
      </c>
      <c r="U257" s="16">
        <f t="shared" si="38"/>
        <v>0.9305386559806802</v>
      </c>
      <c r="V257" s="16">
        <f t="shared" si="39"/>
        <v>1046.5533333333333</v>
      </c>
      <c r="W257" s="16">
        <f t="shared" si="40"/>
        <v>9350.4866666666658</v>
      </c>
      <c r="X257" s="16">
        <f t="shared" si="41"/>
        <v>2637.4666666666667</v>
      </c>
      <c r="Y257" s="16">
        <f t="shared" si="42"/>
        <v>10048.466666666667</v>
      </c>
      <c r="Z257" s="7" t="str" cm="1">
        <f t="array" ref="Z257">_xlfn.IFS(K257&lt;2%,"Low",K257&lt;5%,"Medium",K257&lt;10%,"Good",K257&gt;10%,"Excellent")</f>
        <v>Excellent</v>
      </c>
      <c r="AA257" s="16" t="str">
        <f>Data_Validation!N255</f>
        <v>Pass</v>
      </c>
    </row>
    <row r="258" spans="1:27" x14ac:dyDescent="0.35">
      <c r="A258" s="17" t="s">
        <v>120</v>
      </c>
      <c r="B258" s="3" t="s">
        <v>28</v>
      </c>
      <c r="C258" s="3" t="s">
        <v>36</v>
      </c>
      <c r="D258" s="3" t="s">
        <v>21</v>
      </c>
      <c r="E258" s="3" t="s">
        <v>38</v>
      </c>
      <c r="F258" s="3">
        <v>4458.93</v>
      </c>
      <c r="G258" s="3">
        <v>508783</v>
      </c>
      <c r="H258" s="3">
        <v>44607</v>
      </c>
      <c r="I258" s="3">
        <v>95023.14</v>
      </c>
      <c r="J258" s="3">
        <v>60</v>
      </c>
      <c r="K258" s="15">
        <f t="shared" si="33"/>
        <v>8.7673919922638927E-2</v>
      </c>
      <c r="L258" s="16">
        <f t="shared" si="43"/>
        <v>9.9960320129127728E-2</v>
      </c>
      <c r="M258" s="16">
        <f t="shared" si="34"/>
        <v>8.7639131024424959</v>
      </c>
      <c r="N258" s="16">
        <f t="shared" si="35"/>
        <v>21.310749439888042</v>
      </c>
      <c r="O258" s="16">
        <f t="shared" si="36"/>
        <v>20.310749439888042</v>
      </c>
      <c r="P258" s="1">
        <v>2023</v>
      </c>
      <c r="Q258" s="1" t="s">
        <v>80</v>
      </c>
      <c r="R258" s="1" t="s">
        <v>33</v>
      </c>
      <c r="S258" s="70">
        <f>DATE(Table2[[#This Row],[Year]],MONTH(DATEVALUE("1-"&amp;Table2[[#This Row],[Month]]&amp;"-2000")),1)</f>
        <v>45108</v>
      </c>
      <c r="T258" s="16">
        <f t="shared" si="37"/>
        <v>2.1302293362028379</v>
      </c>
      <c r="U258" s="16">
        <f t="shared" si="38"/>
        <v>0.1867655562391039</v>
      </c>
      <c r="V258" s="16">
        <f t="shared" si="39"/>
        <v>74.3155</v>
      </c>
      <c r="W258" s="16">
        <f t="shared" si="40"/>
        <v>1583.7190000000001</v>
      </c>
      <c r="X258" s="16">
        <f t="shared" si="41"/>
        <v>743.45</v>
      </c>
      <c r="Y258" s="16">
        <f t="shared" si="42"/>
        <v>8479.7166666666672</v>
      </c>
      <c r="Z258" s="7" t="str" cm="1">
        <f t="array" ref="Z258">_xlfn.IFS(K258&lt;2%,"Low",K258&lt;5%,"Medium",K258&lt;10%,"Good",K258&gt;10%,"Excellent")</f>
        <v>Good</v>
      </c>
      <c r="AA258" s="16" t="str">
        <f>Data_Validation!N256</f>
        <v>Pass</v>
      </c>
    </row>
    <row r="259" spans="1:27" x14ac:dyDescent="0.35">
      <c r="A259" s="17" t="s">
        <v>99</v>
      </c>
      <c r="B259" s="3" t="s">
        <v>19</v>
      </c>
      <c r="C259" s="3" t="s">
        <v>29</v>
      </c>
      <c r="D259" s="3" t="s">
        <v>59</v>
      </c>
      <c r="E259" s="3" t="s">
        <v>30</v>
      </c>
      <c r="F259" s="3">
        <v>28543.119999999999</v>
      </c>
      <c r="G259" s="3">
        <v>666493</v>
      </c>
      <c r="H259" s="3">
        <v>2435</v>
      </c>
      <c r="I259" s="3">
        <v>237549.72</v>
      </c>
      <c r="J259" s="3">
        <v>59</v>
      </c>
      <c r="K259" s="15">
        <f t="shared" si="33"/>
        <v>3.6534517241741476E-3</v>
      </c>
      <c r="L259" s="16">
        <f t="shared" si="43"/>
        <v>11.722020533880903</v>
      </c>
      <c r="M259" s="16">
        <f t="shared" si="34"/>
        <v>42.825836130311949</v>
      </c>
      <c r="N259" s="16">
        <f t="shared" si="35"/>
        <v>8.3224861192469497</v>
      </c>
      <c r="O259" s="16">
        <f t="shared" si="36"/>
        <v>7.3224861192469506</v>
      </c>
      <c r="P259" s="1">
        <v>2023</v>
      </c>
      <c r="Q259" s="1" t="s">
        <v>80</v>
      </c>
      <c r="R259" s="1" t="s">
        <v>33</v>
      </c>
      <c r="S259" s="70">
        <f>DATE(Table2[[#This Row],[Year]],MONTH(DATEVALUE("1-"&amp;Table2[[#This Row],[Month]]&amp;"-2000")),1)</f>
        <v>45108</v>
      </c>
      <c r="T259" s="16">
        <f t="shared" si="37"/>
        <v>97.556353182751536</v>
      </c>
      <c r="U259" s="16">
        <f t="shared" si="38"/>
        <v>0.3564174267396657</v>
      </c>
      <c r="V259" s="16">
        <f t="shared" si="39"/>
        <v>483.78169491525421</v>
      </c>
      <c r="W259" s="16">
        <f t="shared" si="40"/>
        <v>4026.2664406779663</v>
      </c>
      <c r="X259" s="16">
        <f t="shared" si="41"/>
        <v>41.271186440677965</v>
      </c>
      <c r="Y259" s="16">
        <f t="shared" si="42"/>
        <v>11296.491525423729</v>
      </c>
      <c r="Z259" s="7" t="str" cm="1">
        <f t="array" ref="Z259">_xlfn.IFS(K259&lt;2%,"Low",K259&lt;5%,"Medium",K259&lt;10%,"Good",K259&gt;10%,"Excellent")</f>
        <v>Low</v>
      </c>
      <c r="AA259" s="16" t="str">
        <f>Data_Validation!N257</f>
        <v>Pass</v>
      </c>
    </row>
    <row r="260" spans="1:27" x14ac:dyDescent="0.35">
      <c r="A260" s="17" t="s">
        <v>77</v>
      </c>
      <c r="B260" s="3" t="s">
        <v>28</v>
      </c>
      <c r="C260" s="3" t="s">
        <v>36</v>
      </c>
      <c r="D260" s="3" t="s">
        <v>51</v>
      </c>
      <c r="E260" s="3" t="s">
        <v>22</v>
      </c>
      <c r="F260" s="3">
        <v>11493.12</v>
      </c>
      <c r="G260" s="3">
        <v>443020</v>
      </c>
      <c r="H260" s="3">
        <v>45352</v>
      </c>
      <c r="I260" s="3">
        <v>54953.46</v>
      </c>
      <c r="J260" s="3">
        <v>7</v>
      </c>
      <c r="K260" s="15">
        <f t="shared" si="33"/>
        <v>0.10237009615818699</v>
      </c>
      <c r="L260" s="16">
        <f t="shared" si="43"/>
        <v>0.25342035632386667</v>
      </c>
      <c r="M260" s="16">
        <f t="shared" si="34"/>
        <v>25.942666245316239</v>
      </c>
      <c r="N260" s="16">
        <f t="shared" si="35"/>
        <v>4.7814222769796189</v>
      </c>
      <c r="O260" s="16">
        <f t="shared" si="36"/>
        <v>3.7814222769796184</v>
      </c>
      <c r="P260" s="1">
        <v>2023</v>
      </c>
      <c r="Q260" s="1" t="s">
        <v>80</v>
      </c>
      <c r="R260" s="1" t="s">
        <v>33</v>
      </c>
      <c r="S260" s="70">
        <f>DATE(Table2[[#This Row],[Year]],MONTH(DATEVALUE("1-"&amp;Table2[[#This Row],[Month]]&amp;"-2000")),1)</f>
        <v>45108</v>
      </c>
      <c r="T260" s="16">
        <f t="shared" si="37"/>
        <v>1.2117097371670489</v>
      </c>
      <c r="U260" s="16">
        <f t="shared" si="38"/>
        <v>0.12404284230960227</v>
      </c>
      <c r="V260" s="16">
        <f t="shared" si="39"/>
        <v>1641.8742857142859</v>
      </c>
      <c r="W260" s="16">
        <f t="shared" si="40"/>
        <v>7850.494285714286</v>
      </c>
      <c r="X260" s="16">
        <f t="shared" si="41"/>
        <v>6478.8571428571431</v>
      </c>
      <c r="Y260" s="16">
        <f t="shared" si="42"/>
        <v>63288.571428571428</v>
      </c>
      <c r="Z260" s="7" t="str" cm="1">
        <f t="array" ref="Z260">_xlfn.IFS(K260&lt;2%,"Low",K260&lt;5%,"Medium",K260&lt;10%,"Good",K260&gt;10%,"Excellent")</f>
        <v>Excellent</v>
      </c>
      <c r="AA260" s="16" t="str">
        <f>Data_Validation!N258</f>
        <v>Pass</v>
      </c>
    </row>
    <row r="261" spans="1:27" x14ac:dyDescent="0.35">
      <c r="A261" s="17" t="s">
        <v>109</v>
      </c>
      <c r="B261" s="3" t="s">
        <v>48</v>
      </c>
      <c r="C261" s="3" t="s">
        <v>58</v>
      </c>
      <c r="D261" s="3" t="s">
        <v>63</v>
      </c>
      <c r="E261" s="3" t="s">
        <v>38</v>
      </c>
      <c r="F261" s="3">
        <v>5357.96</v>
      </c>
      <c r="G261" s="3">
        <v>997219</v>
      </c>
      <c r="H261" s="3">
        <v>19604</v>
      </c>
      <c r="I261" s="3">
        <v>193937.7</v>
      </c>
      <c r="J261" s="3">
        <v>21</v>
      </c>
      <c r="K261" s="15">
        <f t="shared" si="33"/>
        <v>1.9658670763392994E-2</v>
      </c>
      <c r="L261" s="16">
        <f t="shared" si="43"/>
        <v>0.27330952866761887</v>
      </c>
      <c r="M261" s="16">
        <f t="shared" si="34"/>
        <v>5.3729020405748384</v>
      </c>
      <c r="N261" s="16">
        <f t="shared" si="35"/>
        <v>36.196182875572049</v>
      </c>
      <c r="O261" s="16">
        <f t="shared" si="36"/>
        <v>35.196182875572049</v>
      </c>
      <c r="P261" s="1">
        <v>2023</v>
      </c>
      <c r="Q261" s="1" t="s">
        <v>80</v>
      </c>
      <c r="R261" s="1" t="s">
        <v>33</v>
      </c>
      <c r="S261" s="70">
        <f>DATE(Table2[[#This Row],[Year]],MONTH(DATEVALUE("1-"&amp;Table2[[#This Row],[Month]]&amp;"-2000")),1)</f>
        <v>45108</v>
      </c>
      <c r="T261" s="16">
        <f t="shared" si="37"/>
        <v>9.8927616812895334</v>
      </c>
      <c r="U261" s="16">
        <f t="shared" si="38"/>
        <v>0.19447854483318108</v>
      </c>
      <c r="V261" s="16">
        <f t="shared" si="39"/>
        <v>255.14095238095237</v>
      </c>
      <c r="W261" s="16">
        <f t="shared" si="40"/>
        <v>9235.1285714285714</v>
      </c>
      <c r="X261" s="16">
        <f t="shared" si="41"/>
        <v>933.52380952380952</v>
      </c>
      <c r="Y261" s="16">
        <f t="shared" si="42"/>
        <v>47486.619047619046</v>
      </c>
      <c r="Z261" s="7" t="str" cm="1">
        <f t="array" ref="Z261">_xlfn.IFS(K261&lt;2%,"Low",K261&lt;5%,"Medium",K261&lt;10%,"Good",K261&gt;10%,"Excellent")</f>
        <v>Low</v>
      </c>
      <c r="AA261" s="16" t="str">
        <f>Data_Validation!N259</f>
        <v>Pass</v>
      </c>
    </row>
    <row r="262" spans="1:27" x14ac:dyDescent="0.35">
      <c r="A262" s="17" t="s">
        <v>99</v>
      </c>
      <c r="B262" s="3" t="s">
        <v>28</v>
      </c>
      <c r="C262" s="3" t="s">
        <v>29</v>
      </c>
      <c r="D262" s="3" t="s">
        <v>21</v>
      </c>
      <c r="E262" s="3" t="s">
        <v>38</v>
      </c>
      <c r="F262" s="3">
        <v>32446.97</v>
      </c>
      <c r="G262" s="3">
        <v>850257</v>
      </c>
      <c r="H262" s="3">
        <v>37970</v>
      </c>
      <c r="I262" s="3">
        <v>110130.1</v>
      </c>
      <c r="J262" s="3">
        <v>45</v>
      </c>
      <c r="K262" s="15">
        <f t="shared" si="33"/>
        <v>4.4657086033987374E-2</v>
      </c>
      <c r="L262" s="16">
        <f t="shared" si="43"/>
        <v>0.85454227021332629</v>
      </c>
      <c r="M262" s="16">
        <f t="shared" si="34"/>
        <v>38.161367680595404</v>
      </c>
      <c r="N262" s="16">
        <f t="shared" si="35"/>
        <v>3.3941566808857653</v>
      </c>
      <c r="O262" s="16">
        <f t="shared" si="36"/>
        <v>2.3941566808857653</v>
      </c>
      <c r="P262" s="1">
        <v>2023</v>
      </c>
      <c r="Q262" s="1" t="s">
        <v>80</v>
      </c>
      <c r="R262" s="1" t="s">
        <v>33</v>
      </c>
      <c r="S262" s="70">
        <f>DATE(Table2[[#This Row],[Year]],MONTH(DATEVALUE("1-"&amp;Table2[[#This Row],[Month]]&amp;"-2000")),1)</f>
        <v>45108</v>
      </c>
      <c r="T262" s="16">
        <f t="shared" si="37"/>
        <v>2.9004503555438506</v>
      </c>
      <c r="U262" s="16">
        <f t="shared" si="38"/>
        <v>0.12952566106483099</v>
      </c>
      <c r="V262" s="16">
        <f t="shared" si="39"/>
        <v>721.04377777777779</v>
      </c>
      <c r="W262" s="16">
        <f t="shared" si="40"/>
        <v>2447.3355555555559</v>
      </c>
      <c r="X262" s="16">
        <f t="shared" si="41"/>
        <v>843.77777777777783</v>
      </c>
      <c r="Y262" s="16">
        <f t="shared" si="42"/>
        <v>18894.599999999999</v>
      </c>
      <c r="Z262" s="7" t="str" cm="1">
        <f t="array" ref="Z262">_xlfn.IFS(K262&lt;2%,"Low",K262&lt;5%,"Medium",K262&lt;10%,"Good",K262&gt;10%,"Excellent")</f>
        <v>Medium</v>
      </c>
      <c r="AA262" s="16" t="str">
        <f>Data_Validation!N260</f>
        <v>Pass</v>
      </c>
    </row>
    <row r="263" spans="1:27" x14ac:dyDescent="0.35">
      <c r="A263" s="17" t="s">
        <v>18</v>
      </c>
      <c r="B263" s="3" t="s">
        <v>19</v>
      </c>
      <c r="C263" s="3" t="s">
        <v>69</v>
      </c>
      <c r="D263" s="3" t="s">
        <v>59</v>
      </c>
      <c r="E263" s="3" t="s">
        <v>30</v>
      </c>
      <c r="F263" s="3">
        <v>24342.09</v>
      </c>
      <c r="G263" s="3">
        <v>742377</v>
      </c>
      <c r="H263" s="3">
        <v>15282</v>
      </c>
      <c r="I263" s="3">
        <v>155721.54999999999</v>
      </c>
      <c r="J263" s="3">
        <v>8</v>
      </c>
      <c r="K263" s="15">
        <f t="shared" si="33"/>
        <v>2.0585228260034994E-2</v>
      </c>
      <c r="L263" s="16">
        <f t="shared" si="43"/>
        <v>1.592860227718885</v>
      </c>
      <c r="M263" s="16">
        <f t="shared" si="34"/>
        <v>32.789391373924573</v>
      </c>
      <c r="N263" s="16">
        <f t="shared" si="35"/>
        <v>6.3972136328474667</v>
      </c>
      <c r="O263" s="16">
        <f t="shared" si="36"/>
        <v>5.3972136328474667</v>
      </c>
      <c r="P263" s="1">
        <v>2023</v>
      </c>
      <c r="Q263" s="1" t="s">
        <v>80</v>
      </c>
      <c r="R263" s="1" t="s">
        <v>33</v>
      </c>
      <c r="S263" s="70">
        <f>DATE(Table2[[#This Row],[Year]],MONTH(DATEVALUE("1-"&amp;Table2[[#This Row],[Month]]&amp;"-2000")),1)</f>
        <v>45108</v>
      </c>
      <c r="T263" s="16">
        <f t="shared" si="37"/>
        <v>10.18986716398377</v>
      </c>
      <c r="U263" s="16">
        <f t="shared" si="38"/>
        <v>0.20976074151004137</v>
      </c>
      <c r="V263" s="16">
        <f t="shared" si="39"/>
        <v>3042.76125</v>
      </c>
      <c r="W263" s="16">
        <f t="shared" si="40"/>
        <v>19465.193749999999</v>
      </c>
      <c r="X263" s="16">
        <f t="shared" si="41"/>
        <v>1910.25</v>
      </c>
      <c r="Y263" s="16">
        <f t="shared" si="42"/>
        <v>92797.125</v>
      </c>
      <c r="Z263" s="7" t="str" cm="1">
        <f t="array" ref="Z263">_xlfn.IFS(K263&lt;2%,"Low",K263&lt;5%,"Medium",K263&lt;10%,"Good",K263&gt;10%,"Excellent")</f>
        <v>Medium</v>
      </c>
      <c r="AA263" s="16" t="str">
        <f>Data_Validation!N261</f>
        <v>Pass</v>
      </c>
    </row>
    <row r="264" spans="1:27" x14ac:dyDescent="0.35">
      <c r="A264" s="17" t="s">
        <v>57</v>
      </c>
      <c r="B264" s="3" t="s">
        <v>48</v>
      </c>
      <c r="C264" s="3" t="s">
        <v>20</v>
      </c>
      <c r="D264" s="3" t="s">
        <v>43</v>
      </c>
      <c r="E264" s="3" t="s">
        <v>30</v>
      </c>
      <c r="F264" s="3">
        <v>35735.42</v>
      </c>
      <c r="G264" s="3">
        <v>505962</v>
      </c>
      <c r="H264" s="3">
        <v>738</v>
      </c>
      <c r="I264" s="3">
        <v>48268.78</v>
      </c>
      <c r="J264" s="3">
        <v>15</v>
      </c>
      <c r="K264" s="15">
        <f t="shared" si="33"/>
        <v>1.4586075634138531E-3</v>
      </c>
      <c r="L264" s="16">
        <f t="shared" si="43"/>
        <v>48.421978319783193</v>
      </c>
      <c r="M264" s="16">
        <f t="shared" si="34"/>
        <v>70.628663812697397</v>
      </c>
      <c r="N264" s="16">
        <f t="shared" si="35"/>
        <v>1.3507265340662009</v>
      </c>
      <c r="O264" s="16">
        <f t="shared" si="36"/>
        <v>0.35072653406620102</v>
      </c>
      <c r="P264" s="1">
        <v>2023</v>
      </c>
      <c r="Q264" s="1" t="s">
        <v>80</v>
      </c>
      <c r="R264" s="1" t="s">
        <v>33</v>
      </c>
      <c r="S264" s="70">
        <f>DATE(Table2[[#This Row],[Year]],MONTH(DATEVALUE("1-"&amp;Table2[[#This Row],[Month]]&amp;"-2000")),1)</f>
        <v>45108</v>
      </c>
      <c r="T264" s="16">
        <f t="shared" si="37"/>
        <v>65.404850948509477</v>
      </c>
      <c r="U264" s="16">
        <f t="shared" si="38"/>
        <v>9.5400010277451666E-2</v>
      </c>
      <c r="V264" s="16">
        <f t="shared" si="39"/>
        <v>2382.3613333333333</v>
      </c>
      <c r="W264" s="16">
        <f t="shared" si="40"/>
        <v>3217.9186666666665</v>
      </c>
      <c r="X264" s="16">
        <f t="shared" si="41"/>
        <v>49.2</v>
      </c>
      <c r="Y264" s="16">
        <f t="shared" si="42"/>
        <v>33730.800000000003</v>
      </c>
      <c r="Z264" s="7" t="str" cm="1">
        <f t="array" ref="Z264">_xlfn.IFS(K264&lt;2%,"Low",K264&lt;5%,"Medium",K264&lt;10%,"Good",K264&gt;10%,"Excellent")</f>
        <v>Low</v>
      </c>
      <c r="AA264" s="16" t="str">
        <f>Data_Validation!N262</f>
        <v>Pass</v>
      </c>
    </row>
    <row r="265" spans="1:27" x14ac:dyDescent="0.35">
      <c r="A265" s="17" t="s">
        <v>82</v>
      </c>
      <c r="B265" s="3" t="s">
        <v>48</v>
      </c>
      <c r="C265" s="3" t="s">
        <v>58</v>
      </c>
      <c r="D265" s="3" t="s">
        <v>63</v>
      </c>
      <c r="E265" s="3" t="s">
        <v>38</v>
      </c>
      <c r="F265" s="3">
        <v>19602.36</v>
      </c>
      <c r="G265" s="3">
        <v>870394</v>
      </c>
      <c r="H265" s="3">
        <v>15015</v>
      </c>
      <c r="I265" s="3">
        <v>59616.27</v>
      </c>
      <c r="J265" s="3">
        <v>58</v>
      </c>
      <c r="K265" s="15">
        <f t="shared" ref="K265:K328" si="44">H265/G265</f>
        <v>1.7250808254652489E-2</v>
      </c>
      <c r="L265" s="16">
        <f t="shared" si="43"/>
        <v>1.3055184815184815</v>
      </c>
      <c r="M265" s="16">
        <f t="shared" ref="M265:M328" si="45">F265/G265*1000</f>
        <v>22.521248997580408</v>
      </c>
      <c r="N265" s="16">
        <f t="shared" ref="N265:N328" si="46">I265/F265</f>
        <v>3.041280233604525</v>
      </c>
      <c r="O265" s="16">
        <f t="shared" ref="O265:O328" si="47">(I265-F265)/F265</f>
        <v>2.041280233604525</v>
      </c>
      <c r="P265" s="1">
        <v>2023</v>
      </c>
      <c r="Q265" s="1" t="s">
        <v>80</v>
      </c>
      <c r="R265" s="1" t="s">
        <v>33</v>
      </c>
      <c r="S265" s="70">
        <f>DATE(Table2[[#This Row],[Year]],MONTH(DATEVALUE("1-"&amp;Table2[[#This Row],[Month]]&amp;"-2000")),1)</f>
        <v>45108</v>
      </c>
      <c r="T265" s="16">
        <f t="shared" ref="T265:T328" si="48">I265/H265</f>
        <v>3.9704475524475522</v>
      </c>
      <c r="U265" s="16">
        <f t="shared" ref="U265:U328" si="49">I265/G265</f>
        <v>6.8493429412427018E-2</v>
      </c>
      <c r="V265" s="16">
        <f t="shared" ref="V265:V328" si="50">F265/J265</f>
        <v>337.97172413793106</v>
      </c>
      <c r="W265" s="16">
        <f t="shared" ref="W265:W328" si="51">I265/J265</f>
        <v>1027.866724137931</v>
      </c>
      <c r="X265" s="16">
        <f t="shared" ref="X265:X328" si="52">H265/J265</f>
        <v>258.87931034482756</v>
      </c>
      <c r="Y265" s="16">
        <f t="shared" ref="Y265:Y328" si="53">G265/J265</f>
        <v>15006.793103448275</v>
      </c>
      <c r="Z265" s="7" t="str" cm="1">
        <f t="array" ref="Z265">_xlfn.IFS(K265&lt;2%,"Low",K265&lt;5%,"Medium",K265&lt;10%,"Good",K265&gt;10%,"Excellent")</f>
        <v>Low</v>
      </c>
      <c r="AA265" s="16" t="str">
        <f>Data_Validation!N263</f>
        <v>Pass</v>
      </c>
    </row>
    <row r="266" spans="1:27" x14ac:dyDescent="0.35">
      <c r="A266" s="17" t="s">
        <v>78</v>
      </c>
      <c r="B266" s="3" t="s">
        <v>35</v>
      </c>
      <c r="C266" s="3" t="s">
        <v>69</v>
      </c>
      <c r="D266" s="3" t="s">
        <v>51</v>
      </c>
      <c r="E266" s="3" t="s">
        <v>22</v>
      </c>
      <c r="F266" s="3">
        <v>750.53</v>
      </c>
      <c r="G266" s="3">
        <v>191043</v>
      </c>
      <c r="H266" s="3">
        <v>46851</v>
      </c>
      <c r="I266" s="3">
        <v>114052.24</v>
      </c>
      <c r="J266" s="3">
        <v>13</v>
      </c>
      <c r="K266" s="15">
        <f t="shared" si="44"/>
        <v>0.24523798307187386</v>
      </c>
      <c r="L266" s="16">
        <f t="shared" ref="L266:L329" si="54">F266/H266</f>
        <v>1.6019508655098075E-2</v>
      </c>
      <c r="M266" s="16">
        <f t="shared" si="45"/>
        <v>3.9285919923786787</v>
      </c>
      <c r="N266" s="16">
        <f t="shared" si="46"/>
        <v>151.96226666489017</v>
      </c>
      <c r="O266" s="16">
        <f t="shared" si="47"/>
        <v>150.96226666489017</v>
      </c>
      <c r="P266" s="1">
        <v>2023</v>
      </c>
      <c r="Q266" s="1" t="s">
        <v>80</v>
      </c>
      <c r="R266" s="1" t="s">
        <v>33</v>
      </c>
      <c r="S266" s="70">
        <f>DATE(Table2[[#This Row],[Year]],MONTH(DATEVALUE("1-"&amp;Table2[[#This Row],[Month]]&amp;"-2000")),1)</f>
        <v>45108</v>
      </c>
      <c r="T266" s="16">
        <f t="shared" si="48"/>
        <v>2.4343608460865296</v>
      </c>
      <c r="U266" s="16">
        <f t="shared" si="49"/>
        <v>0.59699774396340088</v>
      </c>
      <c r="V266" s="16">
        <f t="shared" si="50"/>
        <v>57.733076923076922</v>
      </c>
      <c r="W266" s="16">
        <f t="shared" si="51"/>
        <v>8773.2492307692319</v>
      </c>
      <c r="X266" s="16">
        <f t="shared" si="52"/>
        <v>3603.9230769230771</v>
      </c>
      <c r="Y266" s="16">
        <f t="shared" si="53"/>
        <v>14695.615384615385</v>
      </c>
      <c r="Z266" s="7" t="str" cm="1">
        <f t="array" ref="Z266">_xlfn.IFS(K266&lt;2%,"Low",K266&lt;5%,"Medium",K266&lt;10%,"Good",K266&gt;10%,"Excellent")</f>
        <v>Excellent</v>
      </c>
      <c r="AA266" s="16" t="str">
        <f>Data_Validation!N264</f>
        <v>Pass</v>
      </c>
    </row>
    <row r="267" spans="1:27" x14ac:dyDescent="0.35">
      <c r="A267" s="17" t="s">
        <v>83</v>
      </c>
      <c r="B267" s="3" t="s">
        <v>19</v>
      </c>
      <c r="C267" s="3" t="s">
        <v>69</v>
      </c>
      <c r="D267" s="3" t="s">
        <v>43</v>
      </c>
      <c r="E267" s="3" t="s">
        <v>38</v>
      </c>
      <c r="F267" s="3">
        <v>37574.31</v>
      </c>
      <c r="G267" s="3">
        <v>88979</v>
      </c>
      <c r="H267" s="3">
        <v>35216</v>
      </c>
      <c r="I267" s="3">
        <v>57449.63</v>
      </c>
      <c r="J267" s="3">
        <v>37</v>
      </c>
      <c r="K267" s="15">
        <f t="shared" si="44"/>
        <v>0.39577877926252264</v>
      </c>
      <c r="L267" s="16">
        <f t="shared" si="54"/>
        <v>1.0669670036347114</v>
      </c>
      <c r="M267" s="16">
        <f t="shared" si="45"/>
        <v>422.28289821193761</v>
      </c>
      <c r="N267" s="16">
        <f t="shared" si="46"/>
        <v>1.5289603455126655</v>
      </c>
      <c r="O267" s="16">
        <f t="shared" si="47"/>
        <v>0.52896034551266546</v>
      </c>
      <c r="P267" s="1">
        <v>2023</v>
      </c>
      <c r="Q267" s="1" t="s">
        <v>80</v>
      </c>
      <c r="R267" s="1" t="s">
        <v>33</v>
      </c>
      <c r="S267" s="70">
        <f>DATE(Table2[[#This Row],[Year]],MONTH(DATEVALUE("1-"&amp;Table2[[#This Row],[Month]]&amp;"-2000")),1)</f>
        <v>45108</v>
      </c>
      <c r="T267" s="16">
        <f t="shared" si="48"/>
        <v>1.6313502385279417</v>
      </c>
      <c r="U267" s="16">
        <f t="shared" si="49"/>
        <v>0.64565380595421384</v>
      </c>
      <c r="V267" s="16">
        <f t="shared" si="50"/>
        <v>1015.5218918918919</v>
      </c>
      <c r="W267" s="16">
        <f t="shared" si="51"/>
        <v>1552.6927027027027</v>
      </c>
      <c r="X267" s="16">
        <f t="shared" si="52"/>
        <v>951.78378378378375</v>
      </c>
      <c r="Y267" s="16">
        <f t="shared" si="53"/>
        <v>2404.8378378378379</v>
      </c>
      <c r="Z267" s="7" t="str" cm="1">
        <f t="array" ref="Z267">_xlfn.IFS(K267&lt;2%,"Low",K267&lt;5%,"Medium",K267&lt;10%,"Good",K267&gt;10%,"Excellent")</f>
        <v>Excellent</v>
      </c>
      <c r="AA267" s="16" t="str">
        <f>Data_Validation!N265</f>
        <v>Pass</v>
      </c>
    </row>
    <row r="268" spans="1:27" x14ac:dyDescent="0.35">
      <c r="A268" s="17" t="s">
        <v>113</v>
      </c>
      <c r="B268" s="3" t="s">
        <v>19</v>
      </c>
      <c r="C268" s="3" t="s">
        <v>36</v>
      </c>
      <c r="D268" s="3" t="s">
        <v>21</v>
      </c>
      <c r="E268" s="3" t="s">
        <v>22</v>
      </c>
      <c r="F268" s="3">
        <v>19844.82</v>
      </c>
      <c r="G268" s="3">
        <v>284375</v>
      </c>
      <c r="H268" s="3">
        <v>35649</v>
      </c>
      <c r="I268" s="3">
        <v>89185.83</v>
      </c>
      <c r="J268" s="3">
        <v>24</v>
      </c>
      <c r="K268" s="15">
        <f t="shared" si="44"/>
        <v>0.12535912087912088</v>
      </c>
      <c r="L268" s="16">
        <f t="shared" si="54"/>
        <v>0.55667255743499111</v>
      </c>
      <c r="M268" s="16">
        <f t="shared" si="45"/>
        <v>69.783982417582422</v>
      </c>
      <c r="N268" s="16">
        <f t="shared" si="46"/>
        <v>4.494161700635229</v>
      </c>
      <c r="O268" s="16">
        <f t="shared" si="47"/>
        <v>3.4941617006352295</v>
      </c>
      <c r="P268" s="1">
        <v>2023</v>
      </c>
      <c r="Q268" s="1" t="s">
        <v>80</v>
      </c>
      <c r="R268" s="1" t="s">
        <v>33</v>
      </c>
      <c r="S268" s="70">
        <f>DATE(Table2[[#This Row],[Year]],MONTH(DATEVALUE("1-"&amp;Table2[[#This Row],[Month]]&amp;"-2000")),1)</f>
        <v>45108</v>
      </c>
      <c r="T268" s="16">
        <f t="shared" si="48"/>
        <v>2.501776487419002</v>
      </c>
      <c r="U268" s="16">
        <f t="shared" si="49"/>
        <v>0.31362050109890111</v>
      </c>
      <c r="V268" s="16">
        <f t="shared" si="50"/>
        <v>826.86749999999995</v>
      </c>
      <c r="W268" s="16">
        <f t="shared" si="51"/>
        <v>3716.0762500000001</v>
      </c>
      <c r="X268" s="16">
        <f t="shared" si="52"/>
        <v>1485.375</v>
      </c>
      <c r="Y268" s="16">
        <f t="shared" si="53"/>
        <v>11848.958333333334</v>
      </c>
      <c r="Z268" s="7" t="str" cm="1">
        <f t="array" ref="Z268">_xlfn.IFS(K268&lt;2%,"Low",K268&lt;5%,"Medium",K268&lt;10%,"Good",K268&gt;10%,"Excellent")</f>
        <v>Excellent</v>
      </c>
      <c r="AA268" s="16" t="str">
        <f>Data_Validation!N266</f>
        <v>Pass</v>
      </c>
    </row>
    <row r="269" spans="1:27" x14ac:dyDescent="0.35">
      <c r="A269" s="17" t="s">
        <v>100</v>
      </c>
      <c r="B269" s="3" t="s">
        <v>28</v>
      </c>
      <c r="C269" s="3" t="s">
        <v>69</v>
      </c>
      <c r="D269" s="3" t="s">
        <v>37</v>
      </c>
      <c r="E269" s="3" t="s">
        <v>30</v>
      </c>
      <c r="F269" s="3">
        <v>42313.24</v>
      </c>
      <c r="G269" s="3">
        <v>340926</v>
      </c>
      <c r="H269" s="3">
        <v>20421</v>
      </c>
      <c r="I269" s="3">
        <v>131268.98000000001</v>
      </c>
      <c r="J269" s="3">
        <v>8</v>
      </c>
      <c r="K269" s="15">
        <f t="shared" si="44"/>
        <v>5.9898629028000208E-2</v>
      </c>
      <c r="L269" s="16">
        <f t="shared" si="54"/>
        <v>2.0720454434160911</v>
      </c>
      <c r="M269" s="16">
        <f t="shared" si="45"/>
        <v>124.11268134433864</v>
      </c>
      <c r="N269" s="16">
        <f t="shared" si="46"/>
        <v>3.1023145474088021</v>
      </c>
      <c r="O269" s="16">
        <f t="shared" si="47"/>
        <v>2.1023145474088021</v>
      </c>
      <c r="P269" s="1">
        <v>2023</v>
      </c>
      <c r="Q269" s="1" t="s">
        <v>80</v>
      </c>
      <c r="R269" s="1" t="s">
        <v>33</v>
      </c>
      <c r="S269" s="70">
        <f>DATE(Table2[[#This Row],[Year]],MONTH(DATEVALUE("1-"&amp;Table2[[#This Row],[Month]]&amp;"-2000")),1)</f>
        <v>45108</v>
      </c>
      <c r="T269" s="16">
        <f t="shared" si="48"/>
        <v>6.4281367220018613</v>
      </c>
      <c r="U269" s="16">
        <f t="shared" si="49"/>
        <v>0.38503657685245479</v>
      </c>
      <c r="V269" s="16">
        <f t="shared" si="50"/>
        <v>5289.1549999999997</v>
      </c>
      <c r="W269" s="16">
        <f t="shared" si="51"/>
        <v>16408.622500000001</v>
      </c>
      <c r="X269" s="16">
        <f t="shared" si="52"/>
        <v>2552.625</v>
      </c>
      <c r="Y269" s="16">
        <f t="shared" si="53"/>
        <v>42615.75</v>
      </c>
      <c r="Z269" s="7" t="str" cm="1">
        <f t="array" ref="Z269">_xlfn.IFS(K269&lt;2%,"Low",K269&lt;5%,"Medium",K269&lt;10%,"Good",K269&gt;10%,"Excellent")</f>
        <v>Good</v>
      </c>
      <c r="AA269" s="16" t="str">
        <f>Data_Validation!N267</f>
        <v>Pass</v>
      </c>
    </row>
    <row r="270" spans="1:27" x14ac:dyDescent="0.35">
      <c r="A270" s="17" t="s">
        <v>67</v>
      </c>
      <c r="B270" s="3" t="s">
        <v>35</v>
      </c>
      <c r="C270" s="3" t="s">
        <v>20</v>
      </c>
      <c r="D270" s="3" t="s">
        <v>21</v>
      </c>
      <c r="E270" s="3" t="s">
        <v>38</v>
      </c>
      <c r="F270" s="3">
        <v>26783.94</v>
      </c>
      <c r="G270" s="3">
        <v>874637</v>
      </c>
      <c r="H270" s="3">
        <v>26264</v>
      </c>
      <c r="I270" s="3">
        <v>153187.91</v>
      </c>
      <c r="J270" s="3">
        <v>6</v>
      </c>
      <c r="K270" s="15">
        <f t="shared" si="44"/>
        <v>3.0028457520091194E-2</v>
      </c>
      <c r="L270" s="16">
        <f t="shared" si="54"/>
        <v>1.0197966798659761</v>
      </c>
      <c r="M270" s="16">
        <f t="shared" si="45"/>
        <v>30.622921280485503</v>
      </c>
      <c r="N270" s="16">
        <f t="shared" si="46"/>
        <v>5.7193941593357813</v>
      </c>
      <c r="O270" s="16">
        <f t="shared" si="47"/>
        <v>4.7193941593357813</v>
      </c>
      <c r="P270" s="1">
        <v>2023</v>
      </c>
      <c r="Q270" s="1" t="s">
        <v>80</v>
      </c>
      <c r="R270" s="1" t="s">
        <v>33</v>
      </c>
      <c r="S270" s="70">
        <f>DATE(Table2[[#This Row],[Year]],MONTH(DATEVALUE("1-"&amp;Table2[[#This Row],[Month]]&amp;"-2000")),1)</f>
        <v>45108</v>
      </c>
      <c r="T270" s="16">
        <f t="shared" si="48"/>
        <v>5.8326191745354858</v>
      </c>
      <c r="U270" s="16">
        <f t="shared" si="49"/>
        <v>0.17514455711340821</v>
      </c>
      <c r="V270" s="16">
        <f t="shared" si="50"/>
        <v>4463.99</v>
      </c>
      <c r="W270" s="16">
        <f t="shared" si="51"/>
        <v>25531.318333333333</v>
      </c>
      <c r="X270" s="16">
        <f t="shared" si="52"/>
        <v>4377.333333333333</v>
      </c>
      <c r="Y270" s="16">
        <f t="shared" si="53"/>
        <v>145772.83333333334</v>
      </c>
      <c r="Z270" s="7" t="str" cm="1">
        <f t="array" ref="Z270">_xlfn.IFS(K270&lt;2%,"Low",K270&lt;5%,"Medium",K270&lt;10%,"Good",K270&gt;10%,"Excellent")</f>
        <v>Medium</v>
      </c>
      <c r="AA270" s="16" t="str">
        <f>Data_Validation!N268</f>
        <v>Pass</v>
      </c>
    </row>
    <row r="271" spans="1:27" x14ac:dyDescent="0.35">
      <c r="A271" s="17" t="s">
        <v>27</v>
      </c>
      <c r="B271" s="3" t="s">
        <v>19</v>
      </c>
      <c r="C271" s="3" t="s">
        <v>20</v>
      </c>
      <c r="D271" s="3" t="s">
        <v>21</v>
      </c>
      <c r="E271" s="3" t="s">
        <v>22</v>
      </c>
      <c r="F271" s="3">
        <v>9804.5</v>
      </c>
      <c r="G271" s="3">
        <v>490921</v>
      </c>
      <c r="H271" s="3">
        <v>32712</v>
      </c>
      <c r="I271" s="3">
        <v>214575.71</v>
      </c>
      <c r="J271" s="3">
        <v>6</v>
      </c>
      <c r="K271" s="15">
        <f t="shared" si="44"/>
        <v>6.6633939065552303E-2</v>
      </c>
      <c r="L271" s="16">
        <f t="shared" si="54"/>
        <v>0.29972181462460257</v>
      </c>
      <c r="M271" s="16">
        <f t="shared" si="45"/>
        <v>19.971645132312531</v>
      </c>
      <c r="N271" s="16">
        <f t="shared" si="46"/>
        <v>21.885431179560406</v>
      </c>
      <c r="O271" s="16">
        <f t="shared" si="47"/>
        <v>20.885431179560406</v>
      </c>
      <c r="P271" s="1">
        <v>2023</v>
      </c>
      <c r="Q271" s="1" t="s">
        <v>80</v>
      </c>
      <c r="R271" s="1" t="s">
        <v>33</v>
      </c>
      <c r="S271" s="70">
        <f>DATE(Table2[[#This Row],[Year]],MONTH(DATEVALUE("1-"&amp;Table2[[#This Row],[Month]]&amp;"-2000")),1)</f>
        <v>45108</v>
      </c>
      <c r="T271" s="16">
        <f t="shared" si="48"/>
        <v>6.5595411469797016</v>
      </c>
      <c r="U271" s="16">
        <f t="shared" si="49"/>
        <v>0.43708806508582848</v>
      </c>
      <c r="V271" s="16">
        <f t="shared" si="50"/>
        <v>1634.0833333333333</v>
      </c>
      <c r="W271" s="16">
        <f t="shared" si="51"/>
        <v>35762.618333333332</v>
      </c>
      <c r="X271" s="16">
        <f t="shared" si="52"/>
        <v>5452</v>
      </c>
      <c r="Y271" s="16">
        <f t="shared" si="53"/>
        <v>81820.166666666672</v>
      </c>
      <c r="Z271" s="7" t="str" cm="1">
        <f t="array" ref="Z271">_xlfn.IFS(K271&lt;2%,"Low",K271&lt;5%,"Medium",K271&lt;10%,"Good",K271&gt;10%,"Excellent")</f>
        <v>Good</v>
      </c>
      <c r="AA271" s="16" t="str">
        <f>Data_Validation!N269</f>
        <v>Pass</v>
      </c>
    </row>
    <row r="272" spans="1:27" x14ac:dyDescent="0.35">
      <c r="A272" s="17" t="s">
        <v>79</v>
      </c>
      <c r="B272" s="3" t="s">
        <v>28</v>
      </c>
      <c r="C272" s="3" t="s">
        <v>69</v>
      </c>
      <c r="D272" s="3" t="s">
        <v>37</v>
      </c>
      <c r="E272" s="3" t="s">
        <v>22</v>
      </c>
      <c r="F272" s="3">
        <v>10611.46</v>
      </c>
      <c r="G272" s="3">
        <v>425011</v>
      </c>
      <c r="H272" s="3">
        <v>8677</v>
      </c>
      <c r="I272" s="3">
        <v>169564.1</v>
      </c>
      <c r="J272" s="3">
        <v>48</v>
      </c>
      <c r="K272" s="15">
        <f t="shared" si="44"/>
        <v>2.0415942175614279E-2</v>
      </c>
      <c r="L272" s="16">
        <f t="shared" si="54"/>
        <v>1.2229411086781146</v>
      </c>
      <c r="M272" s="16">
        <f t="shared" si="45"/>
        <v>24.967494958954003</v>
      </c>
      <c r="N272" s="16">
        <f t="shared" si="46"/>
        <v>15.979337433303241</v>
      </c>
      <c r="O272" s="16">
        <f t="shared" si="47"/>
        <v>14.979337433303243</v>
      </c>
      <c r="P272" s="1">
        <v>2023</v>
      </c>
      <c r="Q272" s="1" t="s">
        <v>80</v>
      </c>
      <c r="R272" s="1" t="s">
        <v>33</v>
      </c>
      <c r="S272" s="70">
        <f>DATE(Table2[[#This Row],[Year]],MONTH(DATEVALUE("1-"&amp;Table2[[#This Row],[Month]]&amp;"-2000")),1)</f>
        <v>45108</v>
      </c>
      <c r="T272" s="16">
        <f t="shared" si="48"/>
        <v>19.541788636625562</v>
      </c>
      <c r="U272" s="16">
        <f t="shared" si="49"/>
        <v>0.39896402681342369</v>
      </c>
      <c r="V272" s="16">
        <f t="shared" si="50"/>
        <v>221.07208333333332</v>
      </c>
      <c r="W272" s="16">
        <f t="shared" si="51"/>
        <v>3532.5854166666668</v>
      </c>
      <c r="X272" s="16">
        <f t="shared" si="52"/>
        <v>180.77083333333334</v>
      </c>
      <c r="Y272" s="16">
        <f t="shared" si="53"/>
        <v>8854.3958333333339</v>
      </c>
      <c r="Z272" s="7" t="str" cm="1">
        <f t="array" ref="Z272">_xlfn.IFS(K272&lt;2%,"Low",K272&lt;5%,"Medium",K272&lt;10%,"Good",K272&gt;10%,"Excellent")</f>
        <v>Medium</v>
      </c>
      <c r="AA272" s="16" t="str">
        <f>Data_Validation!N270</f>
        <v>Pass</v>
      </c>
    </row>
    <row r="273" spans="1:27" x14ac:dyDescent="0.35">
      <c r="A273" s="17" t="s">
        <v>101</v>
      </c>
      <c r="B273" s="3" t="s">
        <v>48</v>
      </c>
      <c r="C273" s="3" t="s">
        <v>29</v>
      </c>
      <c r="D273" s="3" t="s">
        <v>37</v>
      </c>
      <c r="E273" s="3" t="s">
        <v>38</v>
      </c>
      <c r="F273" s="3">
        <v>7066.41</v>
      </c>
      <c r="G273" s="3">
        <v>158433</v>
      </c>
      <c r="H273" s="3">
        <v>46260</v>
      </c>
      <c r="I273" s="3">
        <v>201980.7</v>
      </c>
      <c r="J273" s="3">
        <v>40</v>
      </c>
      <c r="K273" s="15">
        <f t="shared" si="44"/>
        <v>0.29198462441536799</v>
      </c>
      <c r="L273" s="16">
        <f t="shared" si="54"/>
        <v>0.15275421530479896</v>
      </c>
      <c r="M273" s="16">
        <f t="shared" si="45"/>
        <v>44.601882183635986</v>
      </c>
      <c r="N273" s="16">
        <f t="shared" si="46"/>
        <v>28.583212692159105</v>
      </c>
      <c r="O273" s="16">
        <f t="shared" si="47"/>
        <v>27.583212692159105</v>
      </c>
      <c r="P273" s="1">
        <v>2023</v>
      </c>
      <c r="Q273" s="1" t="s">
        <v>80</v>
      </c>
      <c r="R273" s="1" t="s">
        <v>33</v>
      </c>
      <c r="S273" s="70">
        <f>DATE(Table2[[#This Row],[Year]],MONTH(DATEVALUE("1-"&amp;Table2[[#This Row],[Month]]&amp;"-2000")),1)</f>
        <v>45108</v>
      </c>
      <c r="T273" s="16">
        <f t="shared" si="48"/>
        <v>4.3662062256809344</v>
      </c>
      <c r="U273" s="16">
        <f t="shared" si="49"/>
        <v>1.274865084925489</v>
      </c>
      <c r="V273" s="16">
        <f t="shared" si="50"/>
        <v>176.66024999999999</v>
      </c>
      <c r="W273" s="16">
        <f t="shared" si="51"/>
        <v>5049.5174999999999</v>
      </c>
      <c r="X273" s="16">
        <f t="shared" si="52"/>
        <v>1156.5</v>
      </c>
      <c r="Y273" s="16">
        <f t="shared" si="53"/>
        <v>3960.8249999999998</v>
      </c>
      <c r="Z273" s="7" t="str" cm="1">
        <f t="array" ref="Z273">_xlfn.IFS(K273&lt;2%,"Low",K273&lt;5%,"Medium",K273&lt;10%,"Good",K273&gt;10%,"Excellent")</f>
        <v>Excellent</v>
      </c>
      <c r="AA273" s="16" t="str">
        <f>Data_Validation!N271</f>
        <v>Pass</v>
      </c>
    </row>
    <row r="274" spans="1:27" x14ac:dyDescent="0.35">
      <c r="A274" s="17" t="s">
        <v>75</v>
      </c>
      <c r="B274" s="3" t="s">
        <v>28</v>
      </c>
      <c r="C274" s="3" t="s">
        <v>58</v>
      </c>
      <c r="D274" s="3" t="s">
        <v>51</v>
      </c>
      <c r="E274" s="3" t="s">
        <v>38</v>
      </c>
      <c r="F274" s="3">
        <v>37844.6</v>
      </c>
      <c r="G274" s="3">
        <v>506574</v>
      </c>
      <c r="H274" s="3">
        <v>7669</v>
      </c>
      <c r="I274" s="3">
        <v>80546.58</v>
      </c>
      <c r="J274" s="3">
        <v>16</v>
      </c>
      <c r="K274" s="15">
        <f t="shared" si="44"/>
        <v>1.5138953045359612E-2</v>
      </c>
      <c r="L274" s="16">
        <f t="shared" si="54"/>
        <v>4.9347502933889684</v>
      </c>
      <c r="M274" s="16">
        <f t="shared" si="45"/>
        <v>74.70695298219016</v>
      </c>
      <c r="N274" s="16">
        <f t="shared" si="46"/>
        <v>2.1283506761862987</v>
      </c>
      <c r="O274" s="16">
        <f t="shared" si="47"/>
        <v>1.1283506761862989</v>
      </c>
      <c r="P274" s="1">
        <v>2023</v>
      </c>
      <c r="Q274" s="1" t="s">
        <v>80</v>
      </c>
      <c r="R274" s="1" t="s">
        <v>33</v>
      </c>
      <c r="S274" s="70">
        <f>DATE(Table2[[#This Row],[Year]],MONTH(DATEVALUE("1-"&amp;Table2[[#This Row],[Month]]&amp;"-2000")),1)</f>
        <v>45108</v>
      </c>
      <c r="T274" s="16">
        <f t="shared" si="48"/>
        <v>10.502879123744947</v>
      </c>
      <c r="U274" s="16">
        <f t="shared" si="49"/>
        <v>0.15900259389546245</v>
      </c>
      <c r="V274" s="16">
        <f t="shared" si="50"/>
        <v>2365.2874999999999</v>
      </c>
      <c r="W274" s="16">
        <f t="shared" si="51"/>
        <v>5034.1612500000001</v>
      </c>
      <c r="X274" s="16">
        <f t="shared" si="52"/>
        <v>479.3125</v>
      </c>
      <c r="Y274" s="16">
        <f t="shared" si="53"/>
        <v>31660.875</v>
      </c>
      <c r="Z274" s="7" t="str" cm="1">
        <f t="array" ref="Z274">_xlfn.IFS(K274&lt;2%,"Low",K274&lt;5%,"Medium",K274&lt;10%,"Good",K274&gt;10%,"Excellent")</f>
        <v>Low</v>
      </c>
      <c r="AA274" s="16" t="str">
        <f>Data_Validation!N272</f>
        <v>Pass</v>
      </c>
    </row>
    <row r="275" spans="1:27" x14ac:dyDescent="0.35">
      <c r="A275" s="17" t="s">
        <v>68</v>
      </c>
      <c r="B275" s="3" t="s">
        <v>28</v>
      </c>
      <c r="C275" s="3" t="s">
        <v>20</v>
      </c>
      <c r="D275" s="3" t="s">
        <v>59</v>
      </c>
      <c r="E275" s="3" t="s">
        <v>38</v>
      </c>
      <c r="F275" s="3">
        <v>24577.439999999999</v>
      </c>
      <c r="G275" s="3">
        <v>255770</v>
      </c>
      <c r="H275" s="3">
        <v>26045</v>
      </c>
      <c r="I275" s="3">
        <v>58555.46</v>
      </c>
      <c r="J275" s="3">
        <v>20</v>
      </c>
      <c r="K275" s="15">
        <f t="shared" si="44"/>
        <v>0.10182976893302577</v>
      </c>
      <c r="L275" s="16">
        <f t="shared" si="54"/>
        <v>0.9436529084277212</v>
      </c>
      <c r="M275" s="16">
        <f t="shared" si="45"/>
        <v>96.091957618172572</v>
      </c>
      <c r="N275" s="16">
        <f t="shared" si="46"/>
        <v>2.3824881680109891</v>
      </c>
      <c r="O275" s="16">
        <f t="shared" si="47"/>
        <v>1.3824881680109893</v>
      </c>
      <c r="P275" s="1">
        <v>2023</v>
      </c>
      <c r="Q275" s="1" t="s">
        <v>32</v>
      </c>
      <c r="R275" s="1" t="s">
        <v>33</v>
      </c>
      <c r="S275" s="70">
        <f>DATE(Table2[[#This Row],[Year]],MONTH(DATEVALUE("1-"&amp;Table2[[#This Row],[Month]]&amp;"-2000")),1)</f>
        <v>45139</v>
      </c>
      <c r="T275" s="16">
        <f t="shared" si="48"/>
        <v>2.2482418890382032</v>
      </c>
      <c r="U275" s="16">
        <f t="shared" si="49"/>
        <v>0.22893795206630957</v>
      </c>
      <c r="V275" s="16">
        <f t="shared" si="50"/>
        <v>1228.8719999999998</v>
      </c>
      <c r="W275" s="16">
        <f t="shared" si="51"/>
        <v>2927.7730000000001</v>
      </c>
      <c r="X275" s="16">
        <f t="shared" si="52"/>
        <v>1302.25</v>
      </c>
      <c r="Y275" s="16">
        <f t="shared" si="53"/>
        <v>12788.5</v>
      </c>
      <c r="Z275" s="7" t="str" cm="1">
        <f t="array" ref="Z275">_xlfn.IFS(K275&lt;2%,"Low",K275&lt;5%,"Medium",K275&lt;10%,"Good",K275&gt;10%,"Excellent")</f>
        <v>Excellent</v>
      </c>
      <c r="AA275" s="16" t="str">
        <f>Data_Validation!N273</f>
        <v>Pass</v>
      </c>
    </row>
    <row r="276" spans="1:27" x14ac:dyDescent="0.35">
      <c r="A276" s="17" t="s">
        <v>77</v>
      </c>
      <c r="B276" s="3" t="s">
        <v>28</v>
      </c>
      <c r="C276" s="3" t="s">
        <v>20</v>
      </c>
      <c r="D276" s="3" t="s">
        <v>63</v>
      </c>
      <c r="E276" s="3" t="s">
        <v>38</v>
      </c>
      <c r="F276" s="3">
        <v>2844.22</v>
      </c>
      <c r="G276" s="3">
        <v>705732</v>
      </c>
      <c r="H276" s="3">
        <v>40397</v>
      </c>
      <c r="I276" s="3">
        <v>20893.900000000001</v>
      </c>
      <c r="J276" s="3">
        <v>52</v>
      </c>
      <c r="K276" s="15">
        <f t="shared" si="44"/>
        <v>5.7241275725062775E-2</v>
      </c>
      <c r="L276" s="16">
        <f t="shared" si="54"/>
        <v>7.0406713369804683E-2</v>
      </c>
      <c r="M276" s="16">
        <f t="shared" si="45"/>
        <v>4.0301700928964532</v>
      </c>
      <c r="N276" s="16">
        <f t="shared" si="46"/>
        <v>7.3460913712722657</v>
      </c>
      <c r="O276" s="16">
        <f t="shared" si="47"/>
        <v>6.3460913712722649</v>
      </c>
      <c r="P276" s="1">
        <v>2023</v>
      </c>
      <c r="Q276" s="1" t="s">
        <v>32</v>
      </c>
      <c r="R276" s="1" t="s">
        <v>33</v>
      </c>
      <c r="S276" s="70">
        <f>DATE(Table2[[#This Row],[Year]],MONTH(DATEVALUE("1-"&amp;Table2[[#This Row],[Month]]&amp;"-2000")),1)</f>
        <v>45139</v>
      </c>
      <c r="T276" s="16">
        <f t="shared" si="48"/>
        <v>0.51721414956556189</v>
      </c>
      <c r="U276" s="16">
        <f t="shared" si="49"/>
        <v>2.960599774418618E-2</v>
      </c>
      <c r="V276" s="16">
        <f t="shared" si="50"/>
        <v>54.696538461538459</v>
      </c>
      <c r="W276" s="16">
        <f t="shared" si="51"/>
        <v>401.80576923076927</v>
      </c>
      <c r="X276" s="16">
        <f t="shared" si="52"/>
        <v>776.86538461538464</v>
      </c>
      <c r="Y276" s="16">
        <f t="shared" si="53"/>
        <v>13571.76923076923</v>
      </c>
      <c r="Z276" s="7" t="str" cm="1">
        <f t="array" ref="Z276">_xlfn.IFS(K276&lt;2%,"Low",K276&lt;5%,"Medium",K276&lt;10%,"Good",K276&gt;10%,"Excellent")</f>
        <v>Good</v>
      </c>
      <c r="AA276" s="16" t="str">
        <f>Data_Validation!N274</f>
        <v>Pass</v>
      </c>
    </row>
    <row r="277" spans="1:27" x14ac:dyDescent="0.35">
      <c r="A277" s="17" t="s">
        <v>101</v>
      </c>
      <c r="B277" s="3" t="s">
        <v>48</v>
      </c>
      <c r="C277" s="3" t="s">
        <v>29</v>
      </c>
      <c r="D277" s="3" t="s">
        <v>51</v>
      </c>
      <c r="E277" s="3" t="s">
        <v>30</v>
      </c>
      <c r="F277" s="3">
        <v>8916.2000000000007</v>
      </c>
      <c r="G277" s="3">
        <v>33536</v>
      </c>
      <c r="H277" s="3">
        <v>16069</v>
      </c>
      <c r="I277" s="3">
        <v>15570.36</v>
      </c>
      <c r="J277" s="3">
        <v>43</v>
      </c>
      <c r="K277" s="15">
        <f t="shared" si="44"/>
        <v>0.47915672709923662</v>
      </c>
      <c r="L277" s="16">
        <f t="shared" si="54"/>
        <v>0.5548696247432946</v>
      </c>
      <c r="M277" s="16">
        <f t="shared" si="45"/>
        <v>265.86951335877865</v>
      </c>
      <c r="N277" s="16">
        <f t="shared" si="46"/>
        <v>1.7462999932706758</v>
      </c>
      <c r="O277" s="16">
        <f t="shared" si="47"/>
        <v>0.74629999327067575</v>
      </c>
      <c r="P277" s="1">
        <v>2023</v>
      </c>
      <c r="Q277" s="1" t="s">
        <v>32</v>
      </c>
      <c r="R277" s="1" t="s">
        <v>33</v>
      </c>
      <c r="S277" s="70">
        <f>DATE(Table2[[#This Row],[Year]],MONTH(DATEVALUE("1-"&amp;Table2[[#This Row],[Month]]&amp;"-2000")),1)</f>
        <v>45139</v>
      </c>
      <c r="T277" s="16">
        <f t="shared" si="48"/>
        <v>0.96896882195531775</v>
      </c>
      <c r="U277" s="16">
        <f t="shared" si="49"/>
        <v>0.46428792938931301</v>
      </c>
      <c r="V277" s="16">
        <f t="shared" si="50"/>
        <v>207.35348837209304</v>
      </c>
      <c r="W277" s="16">
        <f t="shared" si="51"/>
        <v>362.10139534883723</v>
      </c>
      <c r="X277" s="16">
        <f t="shared" si="52"/>
        <v>373.69767441860466</v>
      </c>
      <c r="Y277" s="16">
        <f t="shared" si="53"/>
        <v>779.90697674418607</v>
      </c>
      <c r="Z277" s="7" t="str" cm="1">
        <f t="array" ref="Z277">_xlfn.IFS(K277&lt;2%,"Low",K277&lt;5%,"Medium",K277&lt;10%,"Good",K277&gt;10%,"Excellent")</f>
        <v>Excellent</v>
      </c>
      <c r="AA277" s="16" t="str">
        <f>Data_Validation!N275</f>
        <v>Pass</v>
      </c>
    </row>
    <row r="278" spans="1:27" x14ac:dyDescent="0.35">
      <c r="A278" s="17" t="s">
        <v>18</v>
      </c>
      <c r="B278" s="3" t="s">
        <v>35</v>
      </c>
      <c r="C278" s="3" t="s">
        <v>20</v>
      </c>
      <c r="D278" s="3" t="s">
        <v>43</v>
      </c>
      <c r="E278" s="3" t="s">
        <v>30</v>
      </c>
      <c r="F278" s="3">
        <v>23904.18</v>
      </c>
      <c r="G278" s="3">
        <v>294263</v>
      </c>
      <c r="H278" s="3">
        <v>3151</v>
      </c>
      <c r="I278" s="3">
        <v>231419.02</v>
      </c>
      <c r="J278" s="3">
        <v>61</v>
      </c>
      <c r="K278" s="15">
        <f t="shared" si="44"/>
        <v>1.0708108053000208E-2</v>
      </c>
      <c r="L278" s="16">
        <f t="shared" si="54"/>
        <v>7.5862202475404636</v>
      </c>
      <c r="M278" s="16">
        <f t="shared" si="45"/>
        <v>81.234066124521263</v>
      </c>
      <c r="N278" s="16">
        <f t="shared" si="46"/>
        <v>9.6811110023435223</v>
      </c>
      <c r="O278" s="16">
        <f t="shared" si="47"/>
        <v>8.6811110023435223</v>
      </c>
      <c r="P278" s="1">
        <v>2023</v>
      </c>
      <c r="Q278" s="1" t="s">
        <v>32</v>
      </c>
      <c r="R278" s="1" t="s">
        <v>33</v>
      </c>
      <c r="S278" s="70">
        <f>DATE(Table2[[#This Row],[Year]],MONTH(DATEVALUE("1-"&amp;Table2[[#This Row],[Month]]&amp;"-2000")),1)</f>
        <v>45139</v>
      </c>
      <c r="T278" s="16">
        <f t="shared" si="48"/>
        <v>73.443040304665189</v>
      </c>
      <c r="U278" s="16">
        <f t="shared" si="49"/>
        <v>0.78643601132320406</v>
      </c>
      <c r="V278" s="16">
        <f t="shared" si="50"/>
        <v>391.8718032786885</v>
      </c>
      <c r="W278" s="16">
        <f t="shared" si="51"/>
        <v>3793.7544262295082</v>
      </c>
      <c r="X278" s="16">
        <f t="shared" si="52"/>
        <v>51.655737704918032</v>
      </c>
      <c r="Y278" s="16">
        <f t="shared" si="53"/>
        <v>4823.9836065573772</v>
      </c>
      <c r="Z278" s="7" t="str" cm="1">
        <f t="array" ref="Z278">_xlfn.IFS(K278&lt;2%,"Low",K278&lt;5%,"Medium",K278&lt;10%,"Good",K278&gt;10%,"Excellent")</f>
        <v>Low</v>
      </c>
      <c r="AA278" s="16" t="str">
        <f>Data_Validation!N276</f>
        <v>Pass</v>
      </c>
    </row>
    <row r="279" spans="1:27" x14ac:dyDescent="0.35">
      <c r="A279" s="17" t="s">
        <v>84</v>
      </c>
      <c r="B279" s="3" t="s">
        <v>28</v>
      </c>
      <c r="C279" s="3" t="s">
        <v>36</v>
      </c>
      <c r="D279" s="3" t="s">
        <v>21</v>
      </c>
      <c r="E279" s="3" t="s">
        <v>38</v>
      </c>
      <c r="F279" s="3">
        <v>2626.76</v>
      </c>
      <c r="G279" s="3">
        <v>348869</v>
      </c>
      <c r="H279" s="3">
        <v>3739</v>
      </c>
      <c r="I279" s="3">
        <v>187231</v>
      </c>
      <c r="J279" s="3">
        <v>61</v>
      </c>
      <c r="K279" s="15">
        <f t="shared" si="44"/>
        <v>1.0717489946082914E-2</v>
      </c>
      <c r="L279" s="16">
        <f t="shared" si="54"/>
        <v>0.70253008825889285</v>
      </c>
      <c r="M279" s="16">
        <f t="shared" si="45"/>
        <v>7.529359157735426</v>
      </c>
      <c r="N279" s="16">
        <f t="shared" si="46"/>
        <v>71.278304831808001</v>
      </c>
      <c r="O279" s="16">
        <f t="shared" si="47"/>
        <v>70.278304831808001</v>
      </c>
      <c r="P279" s="1">
        <v>2023</v>
      </c>
      <c r="Q279" s="1" t="s">
        <v>32</v>
      </c>
      <c r="R279" s="1" t="s">
        <v>33</v>
      </c>
      <c r="S279" s="70">
        <f>DATE(Table2[[#This Row],[Year]],MONTH(DATEVALUE("1-"&amp;Table2[[#This Row],[Month]]&amp;"-2000")),1)</f>
        <v>45139</v>
      </c>
      <c r="T279" s="16">
        <f t="shared" si="48"/>
        <v>50.075153784434342</v>
      </c>
      <c r="U279" s="16">
        <f t="shared" si="49"/>
        <v>0.53667995723323081</v>
      </c>
      <c r="V279" s="16">
        <f t="shared" si="50"/>
        <v>43.061639344262296</v>
      </c>
      <c r="W279" s="16">
        <f t="shared" si="51"/>
        <v>3069.3606557377047</v>
      </c>
      <c r="X279" s="16">
        <f t="shared" si="52"/>
        <v>61.295081967213115</v>
      </c>
      <c r="Y279" s="16">
        <f t="shared" si="53"/>
        <v>5719.1639344262294</v>
      </c>
      <c r="Z279" s="7" t="str" cm="1">
        <f t="array" ref="Z279">_xlfn.IFS(K279&lt;2%,"Low",K279&lt;5%,"Medium",K279&lt;10%,"Good",K279&gt;10%,"Excellent")</f>
        <v>Low</v>
      </c>
      <c r="AA279" s="16" t="str">
        <f>Data_Validation!N277</f>
        <v>Pass</v>
      </c>
    </row>
    <row r="280" spans="1:27" x14ac:dyDescent="0.35">
      <c r="A280" s="17" t="s">
        <v>71</v>
      </c>
      <c r="B280" s="3" t="s">
        <v>19</v>
      </c>
      <c r="C280" s="3" t="s">
        <v>58</v>
      </c>
      <c r="D280" s="3" t="s">
        <v>51</v>
      </c>
      <c r="E280" s="3" t="s">
        <v>38</v>
      </c>
      <c r="F280" s="3">
        <v>1266.02</v>
      </c>
      <c r="G280" s="3">
        <v>139144</v>
      </c>
      <c r="H280" s="3">
        <v>24124</v>
      </c>
      <c r="I280" s="3">
        <v>179221.97</v>
      </c>
      <c r="J280" s="3">
        <v>52</v>
      </c>
      <c r="K280" s="15">
        <f t="shared" si="44"/>
        <v>0.17337434600126489</v>
      </c>
      <c r="L280" s="16">
        <f t="shared" si="54"/>
        <v>5.2479688277234288E-2</v>
      </c>
      <c r="M280" s="16">
        <f t="shared" si="45"/>
        <v>9.0986316334157404</v>
      </c>
      <c r="N280" s="16">
        <f t="shared" si="46"/>
        <v>141.56330073774507</v>
      </c>
      <c r="O280" s="16">
        <f t="shared" si="47"/>
        <v>140.56330073774507</v>
      </c>
      <c r="P280" s="1">
        <v>2023</v>
      </c>
      <c r="Q280" s="1" t="s">
        <v>32</v>
      </c>
      <c r="R280" s="1" t="s">
        <v>33</v>
      </c>
      <c r="S280" s="70">
        <f>DATE(Table2[[#This Row],[Year]],MONTH(DATEVALUE("1-"&amp;Table2[[#This Row],[Month]]&amp;"-2000")),1)</f>
        <v>45139</v>
      </c>
      <c r="T280" s="16">
        <f t="shared" si="48"/>
        <v>7.4291978942132317</v>
      </c>
      <c r="U280" s="16">
        <f t="shared" si="49"/>
        <v>1.2880323262231932</v>
      </c>
      <c r="V280" s="16">
        <f t="shared" si="50"/>
        <v>24.346538461538461</v>
      </c>
      <c r="W280" s="16">
        <f t="shared" si="51"/>
        <v>3446.5763461538463</v>
      </c>
      <c r="X280" s="16">
        <f t="shared" si="52"/>
        <v>463.92307692307691</v>
      </c>
      <c r="Y280" s="16">
        <f t="shared" si="53"/>
        <v>2675.8461538461538</v>
      </c>
      <c r="Z280" s="7" t="str" cm="1">
        <f t="array" ref="Z280">_xlfn.IFS(K280&lt;2%,"Low",K280&lt;5%,"Medium",K280&lt;10%,"Good",K280&gt;10%,"Excellent")</f>
        <v>Excellent</v>
      </c>
      <c r="AA280" s="16" t="str">
        <f>Data_Validation!N278</f>
        <v>Pass</v>
      </c>
    </row>
    <row r="281" spans="1:27" x14ac:dyDescent="0.35">
      <c r="A281" s="17" t="s">
        <v>117</v>
      </c>
      <c r="B281" s="3" t="s">
        <v>48</v>
      </c>
      <c r="C281" s="3" t="s">
        <v>29</v>
      </c>
      <c r="D281" s="3" t="s">
        <v>63</v>
      </c>
      <c r="E281" s="3" t="s">
        <v>30</v>
      </c>
      <c r="F281" s="3">
        <v>5449.15</v>
      </c>
      <c r="G281" s="3">
        <v>486660</v>
      </c>
      <c r="H281" s="3">
        <v>2608</v>
      </c>
      <c r="I281" s="3">
        <v>138544.9</v>
      </c>
      <c r="J281" s="3">
        <v>50</v>
      </c>
      <c r="K281" s="15">
        <f t="shared" si="44"/>
        <v>5.358977520240003E-3</v>
      </c>
      <c r="L281" s="16">
        <f t="shared" si="54"/>
        <v>2.0893980061349691</v>
      </c>
      <c r="M281" s="16">
        <f t="shared" si="45"/>
        <v>11.197036945711584</v>
      </c>
      <c r="N281" s="16">
        <f t="shared" si="46"/>
        <v>25.425047943257205</v>
      </c>
      <c r="O281" s="16">
        <f t="shared" si="47"/>
        <v>24.425047943257209</v>
      </c>
      <c r="P281" s="1">
        <v>2023</v>
      </c>
      <c r="Q281" s="1" t="s">
        <v>32</v>
      </c>
      <c r="R281" s="1" t="s">
        <v>33</v>
      </c>
      <c r="S281" s="70">
        <f>DATE(Table2[[#This Row],[Year]],MONTH(DATEVALUE("1-"&amp;Table2[[#This Row],[Month]]&amp;"-2000")),1)</f>
        <v>45139</v>
      </c>
      <c r="T281" s="16">
        <f t="shared" si="48"/>
        <v>53.123044478527603</v>
      </c>
      <c r="U281" s="16">
        <f t="shared" si="49"/>
        <v>0.28468520116713925</v>
      </c>
      <c r="V281" s="16">
        <f t="shared" si="50"/>
        <v>108.98299999999999</v>
      </c>
      <c r="W281" s="16">
        <f t="shared" si="51"/>
        <v>2770.8979999999997</v>
      </c>
      <c r="X281" s="16">
        <f t="shared" si="52"/>
        <v>52.16</v>
      </c>
      <c r="Y281" s="16">
        <f t="shared" si="53"/>
        <v>9733.2000000000007</v>
      </c>
      <c r="Z281" s="7" t="str" cm="1">
        <f t="array" ref="Z281">_xlfn.IFS(K281&lt;2%,"Low",K281&lt;5%,"Medium",K281&lt;10%,"Good",K281&gt;10%,"Excellent")</f>
        <v>Low</v>
      </c>
      <c r="AA281" s="16" t="str">
        <f>Data_Validation!N279</f>
        <v>Pass</v>
      </c>
    </row>
    <row r="282" spans="1:27" x14ac:dyDescent="0.35">
      <c r="A282" s="17" t="s">
        <v>120</v>
      </c>
      <c r="B282" s="3" t="s">
        <v>35</v>
      </c>
      <c r="C282" s="3" t="s">
        <v>36</v>
      </c>
      <c r="D282" s="3" t="s">
        <v>21</v>
      </c>
      <c r="E282" s="3" t="s">
        <v>30</v>
      </c>
      <c r="F282" s="3">
        <v>3452.81</v>
      </c>
      <c r="G282" s="3">
        <v>554676</v>
      </c>
      <c r="H282" s="3">
        <v>44663</v>
      </c>
      <c r="I282" s="3">
        <v>114041.38</v>
      </c>
      <c r="J282" s="3">
        <v>36</v>
      </c>
      <c r="K282" s="15">
        <f t="shared" si="44"/>
        <v>8.0520880658258159E-2</v>
      </c>
      <c r="L282" s="16">
        <f t="shared" si="54"/>
        <v>7.7308062602153907E-2</v>
      </c>
      <c r="M282" s="16">
        <f t="shared" si="45"/>
        <v>6.2249132827091858</v>
      </c>
      <c r="N282" s="16">
        <f t="shared" si="46"/>
        <v>33.028570932081408</v>
      </c>
      <c r="O282" s="16">
        <f t="shared" si="47"/>
        <v>32.028570932081408</v>
      </c>
      <c r="P282" s="1">
        <v>2023</v>
      </c>
      <c r="Q282" s="1" t="s">
        <v>32</v>
      </c>
      <c r="R282" s="1" t="s">
        <v>33</v>
      </c>
      <c r="S282" s="70">
        <f>DATE(Table2[[#This Row],[Year]],MONTH(DATEVALUE("1-"&amp;Table2[[#This Row],[Month]]&amp;"-2000")),1)</f>
        <v>45139</v>
      </c>
      <c r="T282" s="16">
        <f t="shared" si="48"/>
        <v>2.5533748292770304</v>
      </c>
      <c r="U282" s="16">
        <f t="shared" si="49"/>
        <v>0.20559998990401604</v>
      </c>
      <c r="V282" s="16">
        <f t="shared" si="50"/>
        <v>95.911388888888894</v>
      </c>
      <c r="W282" s="16">
        <f t="shared" si="51"/>
        <v>3167.8161111111112</v>
      </c>
      <c r="X282" s="16">
        <f t="shared" si="52"/>
        <v>1240.6388888888889</v>
      </c>
      <c r="Y282" s="16">
        <f t="shared" si="53"/>
        <v>15407.666666666666</v>
      </c>
      <c r="Z282" s="7" t="str" cm="1">
        <f t="array" ref="Z282">_xlfn.IFS(K282&lt;2%,"Low",K282&lt;5%,"Medium",K282&lt;10%,"Good",K282&gt;10%,"Excellent")</f>
        <v>Good</v>
      </c>
      <c r="AA282" s="16" t="str">
        <f>Data_Validation!N280</f>
        <v>Pass</v>
      </c>
    </row>
    <row r="283" spans="1:27" x14ac:dyDescent="0.35">
      <c r="A283" s="17" t="s">
        <v>97</v>
      </c>
      <c r="B283" s="3" t="s">
        <v>48</v>
      </c>
      <c r="C283" s="3" t="s">
        <v>20</v>
      </c>
      <c r="D283" s="3" t="s">
        <v>59</v>
      </c>
      <c r="E283" s="3" t="s">
        <v>22</v>
      </c>
      <c r="F283" s="3">
        <v>11312.11</v>
      </c>
      <c r="G283" s="3">
        <v>253949</v>
      </c>
      <c r="H283" s="3">
        <v>36907</v>
      </c>
      <c r="I283" s="3">
        <v>21227.61</v>
      </c>
      <c r="J283" s="3">
        <v>35</v>
      </c>
      <c r="K283" s="15">
        <f t="shared" si="44"/>
        <v>0.1453323305073066</v>
      </c>
      <c r="L283" s="16">
        <f t="shared" si="54"/>
        <v>0.30650310239250006</v>
      </c>
      <c r="M283" s="16">
        <f t="shared" si="45"/>
        <v>44.544810178421656</v>
      </c>
      <c r="N283" s="16">
        <f t="shared" si="46"/>
        <v>1.8765385060788835</v>
      </c>
      <c r="O283" s="16">
        <f t="shared" si="47"/>
        <v>0.87653850607888351</v>
      </c>
      <c r="P283" s="1">
        <v>2023</v>
      </c>
      <c r="Q283" s="1" t="s">
        <v>32</v>
      </c>
      <c r="R283" s="1" t="s">
        <v>33</v>
      </c>
      <c r="S283" s="70">
        <f>DATE(Table2[[#This Row],[Year]],MONTH(DATEVALUE("1-"&amp;Table2[[#This Row],[Month]]&amp;"-2000")),1)</f>
        <v>45139</v>
      </c>
      <c r="T283" s="16">
        <f t="shared" si="48"/>
        <v>0.57516487387216519</v>
      </c>
      <c r="U283" s="16">
        <f t="shared" si="49"/>
        <v>8.359005154578282E-2</v>
      </c>
      <c r="V283" s="16">
        <f t="shared" si="50"/>
        <v>323.20314285714289</v>
      </c>
      <c r="W283" s="16">
        <f t="shared" si="51"/>
        <v>606.50314285714285</v>
      </c>
      <c r="X283" s="16">
        <f t="shared" si="52"/>
        <v>1054.4857142857143</v>
      </c>
      <c r="Y283" s="16">
        <f t="shared" si="53"/>
        <v>7255.6857142857143</v>
      </c>
      <c r="Z283" s="7" t="str" cm="1">
        <f t="array" ref="Z283">_xlfn.IFS(K283&lt;2%,"Low",K283&lt;5%,"Medium",K283&lt;10%,"Good",K283&gt;10%,"Excellent")</f>
        <v>Excellent</v>
      </c>
      <c r="AA283" s="16" t="str">
        <f>Data_Validation!N281</f>
        <v>Pass</v>
      </c>
    </row>
    <row r="284" spans="1:27" x14ac:dyDescent="0.35">
      <c r="A284" s="17" t="s">
        <v>72</v>
      </c>
      <c r="B284" s="3" t="s">
        <v>19</v>
      </c>
      <c r="C284" s="3" t="s">
        <v>58</v>
      </c>
      <c r="D284" s="3" t="s">
        <v>43</v>
      </c>
      <c r="E284" s="3" t="s">
        <v>38</v>
      </c>
      <c r="F284" s="3">
        <v>25527.439999999999</v>
      </c>
      <c r="G284" s="3">
        <v>238026</v>
      </c>
      <c r="H284" s="3">
        <v>20076</v>
      </c>
      <c r="I284" s="3">
        <v>232631.71</v>
      </c>
      <c r="J284" s="3">
        <v>6</v>
      </c>
      <c r="K284" s="15">
        <f t="shared" si="44"/>
        <v>8.4343727155856918E-2</v>
      </c>
      <c r="L284" s="16">
        <f t="shared" si="54"/>
        <v>1.271540147439729</v>
      </c>
      <c r="M284" s="16">
        <f t="shared" si="45"/>
        <v>107.24643526337459</v>
      </c>
      <c r="N284" s="16">
        <f t="shared" si="46"/>
        <v>9.1130058478249296</v>
      </c>
      <c r="O284" s="16">
        <f t="shared" si="47"/>
        <v>8.1130058478249296</v>
      </c>
      <c r="P284" s="1">
        <v>2023</v>
      </c>
      <c r="Q284" s="1" t="s">
        <v>32</v>
      </c>
      <c r="R284" s="1" t="s">
        <v>33</v>
      </c>
      <c r="S284" s="70">
        <f>DATE(Table2[[#This Row],[Year]],MONTH(DATEVALUE("1-"&amp;Table2[[#This Row],[Month]]&amp;"-2000")),1)</f>
        <v>45139</v>
      </c>
      <c r="T284" s="16">
        <f t="shared" si="48"/>
        <v>11.587552799362422</v>
      </c>
      <c r="U284" s="16">
        <f t="shared" si="49"/>
        <v>0.97733739171351031</v>
      </c>
      <c r="V284" s="16">
        <f t="shared" si="50"/>
        <v>4254.5733333333328</v>
      </c>
      <c r="W284" s="16">
        <f t="shared" si="51"/>
        <v>38771.951666666668</v>
      </c>
      <c r="X284" s="16">
        <f t="shared" si="52"/>
        <v>3346</v>
      </c>
      <c r="Y284" s="16">
        <f t="shared" si="53"/>
        <v>39671</v>
      </c>
      <c r="Z284" s="7" t="str" cm="1">
        <f t="array" ref="Z284">_xlfn.IFS(K284&lt;2%,"Low",K284&lt;5%,"Medium",K284&lt;10%,"Good",K284&gt;10%,"Excellent")</f>
        <v>Good</v>
      </c>
      <c r="AA284" s="16" t="str">
        <f>Data_Validation!N282</f>
        <v>Pass</v>
      </c>
    </row>
    <row r="285" spans="1:27" x14ac:dyDescent="0.35">
      <c r="A285" s="17" t="s">
        <v>71</v>
      </c>
      <c r="B285" s="3" t="s">
        <v>28</v>
      </c>
      <c r="C285" s="3" t="s">
        <v>58</v>
      </c>
      <c r="D285" s="3" t="s">
        <v>59</v>
      </c>
      <c r="E285" s="3" t="s">
        <v>22</v>
      </c>
      <c r="F285" s="3">
        <v>8405.9699999999993</v>
      </c>
      <c r="G285" s="3">
        <v>608782</v>
      </c>
      <c r="H285" s="3">
        <v>37862</v>
      </c>
      <c r="I285" s="3">
        <v>120804.4</v>
      </c>
      <c r="J285" s="3">
        <v>40</v>
      </c>
      <c r="K285" s="15">
        <f t="shared" si="44"/>
        <v>6.2193034616660807E-2</v>
      </c>
      <c r="L285" s="16">
        <f t="shared" si="54"/>
        <v>0.22201600549363476</v>
      </c>
      <c r="M285" s="16">
        <f t="shared" si="45"/>
        <v>13.807849115118382</v>
      </c>
      <c r="N285" s="16">
        <f t="shared" si="46"/>
        <v>14.371262329035199</v>
      </c>
      <c r="O285" s="16">
        <f t="shared" si="47"/>
        <v>13.371262329035197</v>
      </c>
      <c r="P285" s="1">
        <v>2023</v>
      </c>
      <c r="Q285" s="1" t="s">
        <v>32</v>
      </c>
      <c r="R285" s="1" t="s">
        <v>33</v>
      </c>
      <c r="S285" s="70">
        <f>DATE(Table2[[#This Row],[Year]],MONTH(DATEVALUE("1-"&amp;Table2[[#This Row],[Month]]&amp;"-2000")),1)</f>
        <v>45139</v>
      </c>
      <c r="T285" s="16">
        <f t="shared" si="48"/>
        <v>3.1906502561935448</v>
      </c>
      <c r="U285" s="16">
        <f t="shared" si="49"/>
        <v>0.1984362218331028</v>
      </c>
      <c r="V285" s="16">
        <f t="shared" si="50"/>
        <v>210.14924999999999</v>
      </c>
      <c r="W285" s="16">
        <f t="shared" si="51"/>
        <v>3020.1099999999997</v>
      </c>
      <c r="X285" s="16">
        <f t="shared" si="52"/>
        <v>946.55</v>
      </c>
      <c r="Y285" s="16">
        <f t="shared" si="53"/>
        <v>15219.55</v>
      </c>
      <c r="Z285" s="7" t="str" cm="1">
        <f t="array" ref="Z285">_xlfn.IFS(K285&lt;2%,"Low",K285&lt;5%,"Medium",K285&lt;10%,"Good",K285&gt;10%,"Excellent")</f>
        <v>Good</v>
      </c>
      <c r="AA285" s="16" t="str">
        <f>Data_Validation!N283</f>
        <v>Pass</v>
      </c>
    </row>
    <row r="286" spans="1:27" x14ac:dyDescent="0.35">
      <c r="A286" s="17" t="s">
        <v>72</v>
      </c>
      <c r="B286" s="3" t="s">
        <v>19</v>
      </c>
      <c r="C286" s="3" t="s">
        <v>36</v>
      </c>
      <c r="D286" s="3" t="s">
        <v>59</v>
      </c>
      <c r="E286" s="3" t="s">
        <v>30</v>
      </c>
      <c r="F286" s="3">
        <v>2035.23</v>
      </c>
      <c r="G286" s="3">
        <v>771538</v>
      </c>
      <c r="H286" s="3">
        <v>9935</v>
      </c>
      <c r="I286" s="3">
        <v>98366.97</v>
      </c>
      <c r="J286" s="3">
        <v>30</v>
      </c>
      <c r="K286" s="15">
        <f t="shared" si="44"/>
        <v>1.2876877094841732E-2</v>
      </c>
      <c r="L286" s="16">
        <f t="shared" si="54"/>
        <v>0.20485455460493207</v>
      </c>
      <c r="M286" s="16">
        <f t="shared" si="45"/>
        <v>2.6378869219662544</v>
      </c>
      <c r="N286" s="16">
        <f t="shared" si="46"/>
        <v>48.33211479783612</v>
      </c>
      <c r="O286" s="16">
        <f t="shared" si="47"/>
        <v>47.33211479783612</v>
      </c>
      <c r="P286" s="1">
        <v>2023</v>
      </c>
      <c r="Q286" s="1" t="s">
        <v>32</v>
      </c>
      <c r="R286" s="1" t="s">
        <v>33</v>
      </c>
      <c r="S286" s="70">
        <f>DATE(Table2[[#This Row],[Year]],MONTH(DATEVALUE("1-"&amp;Table2[[#This Row],[Month]]&amp;"-2000")),1)</f>
        <v>45139</v>
      </c>
      <c r="T286" s="16">
        <f t="shared" si="48"/>
        <v>9.9010538500251641</v>
      </c>
      <c r="U286" s="16">
        <f t="shared" si="49"/>
        <v>0.12749465353618358</v>
      </c>
      <c r="V286" s="16">
        <f t="shared" si="50"/>
        <v>67.840999999999994</v>
      </c>
      <c r="W286" s="16">
        <f t="shared" si="51"/>
        <v>3278.8989999999999</v>
      </c>
      <c r="X286" s="16">
        <f t="shared" si="52"/>
        <v>331.16666666666669</v>
      </c>
      <c r="Y286" s="16">
        <f t="shared" si="53"/>
        <v>25717.933333333334</v>
      </c>
      <c r="Z286" s="7" t="str" cm="1">
        <f t="array" ref="Z286">_xlfn.IFS(K286&lt;2%,"Low",K286&lt;5%,"Medium",K286&lt;10%,"Good",K286&gt;10%,"Excellent")</f>
        <v>Low</v>
      </c>
      <c r="AA286" s="16" t="str">
        <f>Data_Validation!N284</f>
        <v>Pass</v>
      </c>
    </row>
    <row r="287" spans="1:27" x14ac:dyDescent="0.35">
      <c r="A287" s="17" t="s">
        <v>111</v>
      </c>
      <c r="B287" s="3" t="s">
        <v>35</v>
      </c>
      <c r="C287" s="3" t="s">
        <v>36</v>
      </c>
      <c r="D287" s="3" t="s">
        <v>63</v>
      </c>
      <c r="E287" s="3" t="s">
        <v>38</v>
      </c>
      <c r="F287" s="3">
        <v>2678.62</v>
      </c>
      <c r="G287" s="3">
        <v>722641</v>
      </c>
      <c r="H287" s="3">
        <v>37903</v>
      </c>
      <c r="I287" s="3">
        <v>239000.59</v>
      </c>
      <c r="J287" s="3">
        <v>28</v>
      </c>
      <c r="K287" s="15">
        <f t="shared" si="44"/>
        <v>5.2450663607517427E-2</v>
      </c>
      <c r="L287" s="16">
        <f t="shared" si="54"/>
        <v>7.0670395483207138E-2</v>
      </c>
      <c r="M287" s="16">
        <f t="shared" si="45"/>
        <v>3.7067091404999162</v>
      </c>
      <c r="N287" s="16">
        <f t="shared" si="46"/>
        <v>89.225268981789128</v>
      </c>
      <c r="O287" s="16">
        <f t="shared" si="47"/>
        <v>88.225268981789128</v>
      </c>
      <c r="P287" s="1">
        <v>2023</v>
      </c>
      <c r="Q287" s="1" t="s">
        <v>32</v>
      </c>
      <c r="R287" s="1" t="s">
        <v>33</v>
      </c>
      <c r="S287" s="70">
        <f>DATE(Table2[[#This Row],[Year]],MONTH(DATEVALUE("1-"&amp;Table2[[#This Row],[Month]]&amp;"-2000")),1)</f>
        <v>45139</v>
      </c>
      <c r="T287" s="16">
        <f t="shared" si="48"/>
        <v>6.3055850460385718</v>
      </c>
      <c r="U287" s="16">
        <f t="shared" si="49"/>
        <v>0.33073212009836145</v>
      </c>
      <c r="V287" s="16">
        <f t="shared" si="50"/>
        <v>95.664999999999992</v>
      </c>
      <c r="W287" s="16">
        <f t="shared" si="51"/>
        <v>8535.7353571428575</v>
      </c>
      <c r="X287" s="16">
        <f t="shared" si="52"/>
        <v>1353.6785714285713</v>
      </c>
      <c r="Y287" s="16">
        <f t="shared" si="53"/>
        <v>25808.607142857141</v>
      </c>
      <c r="Z287" s="7" t="str" cm="1">
        <f t="array" ref="Z287">_xlfn.IFS(K287&lt;2%,"Low",K287&lt;5%,"Medium",K287&lt;10%,"Good",K287&gt;10%,"Excellent")</f>
        <v>Good</v>
      </c>
      <c r="AA287" s="16" t="str">
        <f>Data_Validation!N285</f>
        <v>Pass</v>
      </c>
    </row>
    <row r="288" spans="1:27" x14ac:dyDescent="0.35">
      <c r="A288" s="17" t="s">
        <v>34</v>
      </c>
      <c r="B288" s="3" t="s">
        <v>48</v>
      </c>
      <c r="C288" s="3" t="s">
        <v>29</v>
      </c>
      <c r="D288" s="3" t="s">
        <v>21</v>
      </c>
      <c r="E288" s="3" t="s">
        <v>30</v>
      </c>
      <c r="F288" s="3">
        <v>5473.43</v>
      </c>
      <c r="G288" s="3">
        <v>801662</v>
      </c>
      <c r="H288" s="3">
        <v>41789</v>
      </c>
      <c r="I288" s="3">
        <v>203410.65</v>
      </c>
      <c r="J288" s="3">
        <v>58</v>
      </c>
      <c r="K288" s="15">
        <f t="shared" si="44"/>
        <v>5.2127954175201018E-2</v>
      </c>
      <c r="L288" s="16">
        <f t="shared" si="54"/>
        <v>0.13097776926942498</v>
      </c>
      <c r="M288" s="16">
        <f t="shared" si="45"/>
        <v>6.8276031544466376</v>
      </c>
      <c r="N288" s="16">
        <f t="shared" si="46"/>
        <v>37.163287006502316</v>
      </c>
      <c r="O288" s="16">
        <f t="shared" si="47"/>
        <v>36.163287006502323</v>
      </c>
      <c r="P288" s="1">
        <v>2023</v>
      </c>
      <c r="Q288" s="1" t="s">
        <v>32</v>
      </c>
      <c r="R288" s="1" t="s">
        <v>33</v>
      </c>
      <c r="S288" s="70">
        <f>DATE(Table2[[#This Row],[Year]],MONTH(DATEVALUE("1-"&amp;Table2[[#This Row],[Month]]&amp;"-2000")),1)</f>
        <v>45139</v>
      </c>
      <c r="T288" s="16">
        <f t="shared" si="48"/>
        <v>4.8675644308310799</v>
      </c>
      <c r="U288" s="16">
        <f t="shared" si="49"/>
        <v>0.25373617559520095</v>
      </c>
      <c r="V288" s="16">
        <f t="shared" si="50"/>
        <v>94.369482758620691</v>
      </c>
      <c r="W288" s="16">
        <f t="shared" si="51"/>
        <v>3507.0801724137932</v>
      </c>
      <c r="X288" s="16">
        <f t="shared" si="52"/>
        <v>720.5</v>
      </c>
      <c r="Y288" s="16">
        <f t="shared" si="53"/>
        <v>13821.758620689656</v>
      </c>
      <c r="Z288" s="7" t="str" cm="1">
        <f t="array" ref="Z288">_xlfn.IFS(K288&lt;2%,"Low",K288&lt;5%,"Medium",K288&lt;10%,"Good",K288&gt;10%,"Excellent")</f>
        <v>Good</v>
      </c>
      <c r="AA288" s="16" t="str">
        <f>Data_Validation!N286</f>
        <v>Pass</v>
      </c>
    </row>
    <row r="289" spans="1:27" x14ac:dyDescent="0.35">
      <c r="A289" s="17" t="s">
        <v>27</v>
      </c>
      <c r="B289" s="3" t="s">
        <v>28</v>
      </c>
      <c r="C289" s="3" t="s">
        <v>29</v>
      </c>
      <c r="D289" s="3" t="s">
        <v>21</v>
      </c>
      <c r="E289" s="3" t="s">
        <v>30</v>
      </c>
      <c r="F289" s="3">
        <v>1071.72</v>
      </c>
      <c r="G289" s="3">
        <v>218496</v>
      </c>
      <c r="H289" s="3">
        <v>47025</v>
      </c>
      <c r="I289" s="3">
        <v>164221.69</v>
      </c>
      <c r="J289" s="3">
        <v>20</v>
      </c>
      <c r="K289" s="15">
        <f t="shared" si="44"/>
        <v>0.21522133128295254</v>
      </c>
      <c r="L289" s="16">
        <f t="shared" si="54"/>
        <v>2.2790430622009569E-2</v>
      </c>
      <c r="M289" s="16">
        <f t="shared" si="45"/>
        <v>4.9049868189806682</v>
      </c>
      <c r="N289" s="16">
        <f t="shared" si="46"/>
        <v>153.23189825700743</v>
      </c>
      <c r="O289" s="16">
        <f t="shared" si="47"/>
        <v>152.23189825700743</v>
      </c>
      <c r="P289" s="1">
        <v>2023</v>
      </c>
      <c r="Q289" s="1" t="s">
        <v>32</v>
      </c>
      <c r="R289" s="1" t="s">
        <v>33</v>
      </c>
      <c r="S289" s="70">
        <f>DATE(Table2[[#This Row],[Year]],MONTH(DATEVALUE("1-"&amp;Table2[[#This Row],[Month]]&amp;"-2000")),1)</f>
        <v>45139</v>
      </c>
      <c r="T289" s="16">
        <f t="shared" si="48"/>
        <v>3.492220946305157</v>
      </c>
      <c r="U289" s="16">
        <f t="shared" si="49"/>
        <v>0.75160044119800817</v>
      </c>
      <c r="V289" s="16">
        <f t="shared" si="50"/>
        <v>53.585999999999999</v>
      </c>
      <c r="W289" s="16">
        <f t="shared" si="51"/>
        <v>8211.0845000000008</v>
      </c>
      <c r="X289" s="16">
        <f t="shared" si="52"/>
        <v>2351.25</v>
      </c>
      <c r="Y289" s="16">
        <f t="shared" si="53"/>
        <v>10924.8</v>
      </c>
      <c r="Z289" s="7" t="str" cm="1">
        <f t="array" ref="Z289">_xlfn.IFS(K289&lt;2%,"Low",K289&lt;5%,"Medium",K289&lt;10%,"Good",K289&gt;10%,"Excellent")</f>
        <v>Excellent</v>
      </c>
      <c r="AA289" s="16" t="str">
        <f>Data_Validation!N287</f>
        <v>Pass</v>
      </c>
    </row>
    <row r="290" spans="1:27" x14ac:dyDescent="0.35">
      <c r="A290" s="17" t="s">
        <v>95</v>
      </c>
      <c r="B290" s="3" t="s">
        <v>48</v>
      </c>
      <c r="C290" s="3" t="s">
        <v>69</v>
      </c>
      <c r="D290" s="3" t="s">
        <v>63</v>
      </c>
      <c r="E290" s="3" t="s">
        <v>38</v>
      </c>
      <c r="F290" s="3">
        <v>3702.69</v>
      </c>
      <c r="G290" s="3">
        <v>224353</v>
      </c>
      <c r="H290" s="3">
        <v>19853</v>
      </c>
      <c r="I290" s="3">
        <v>236604.4</v>
      </c>
      <c r="J290" s="3">
        <v>31</v>
      </c>
      <c r="K290" s="15">
        <f t="shared" si="44"/>
        <v>8.8490013505502493E-2</v>
      </c>
      <c r="L290" s="16">
        <f t="shared" si="54"/>
        <v>0.18650531405832871</v>
      </c>
      <c r="M290" s="16">
        <f t="shared" si="45"/>
        <v>16.50385775986949</v>
      </c>
      <c r="N290" s="16">
        <f t="shared" si="46"/>
        <v>63.900677615463351</v>
      </c>
      <c r="O290" s="16">
        <f t="shared" si="47"/>
        <v>62.900677615463351</v>
      </c>
      <c r="P290" s="1">
        <v>2023</v>
      </c>
      <c r="Q290" s="1" t="s">
        <v>32</v>
      </c>
      <c r="R290" s="1" t="s">
        <v>33</v>
      </c>
      <c r="S290" s="70">
        <f>DATE(Table2[[#This Row],[Year]],MONTH(DATEVALUE("1-"&amp;Table2[[#This Row],[Month]]&amp;"-2000")),1)</f>
        <v>45139</v>
      </c>
      <c r="T290" s="16">
        <f t="shared" si="48"/>
        <v>11.917815947212008</v>
      </c>
      <c r="U290" s="16">
        <f t="shared" si="49"/>
        <v>1.0546076941248834</v>
      </c>
      <c r="V290" s="16">
        <f t="shared" si="50"/>
        <v>119.4416129032258</v>
      </c>
      <c r="W290" s="16">
        <f t="shared" si="51"/>
        <v>7632.4</v>
      </c>
      <c r="X290" s="16">
        <f t="shared" si="52"/>
        <v>640.41935483870964</v>
      </c>
      <c r="Y290" s="16">
        <f t="shared" si="53"/>
        <v>7237.1935483870966</v>
      </c>
      <c r="Z290" s="7" t="str" cm="1">
        <f t="array" ref="Z290">_xlfn.IFS(K290&lt;2%,"Low",K290&lt;5%,"Medium",K290&lt;10%,"Good",K290&gt;10%,"Excellent")</f>
        <v>Good</v>
      </c>
      <c r="AA290" s="16" t="str">
        <f>Data_Validation!N288</f>
        <v>Pass</v>
      </c>
    </row>
    <row r="291" spans="1:27" x14ac:dyDescent="0.35">
      <c r="A291" s="17" t="s">
        <v>18</v>
      </c>
      <c r="B291" s="3" t="s">
        <v>35</v>
      </c>
      <c r="C291" s="3" t="s">
        <v>69</v>
      </c>
      <c r="D291" s="3" t="s">
        <v>51</v>
      </c>
      <c r="E291" s="3" t="s">
        <v>30</v>
      </c>
      <c r="F291" s="3">
        <v>3680.97</v>
      </c>
      <c r="G291" s="3">
        <v>551704</v>
      </c>
      <c r="H291" s="3">
        <v>40287</v>
      </c>
      <c r="I291" s="3">
        <v>202855.86</v>
      </c>
      <c r="J291" s="3">
        <v>22</v>
      </c>
      <c r="K291" s="15">
        <f t="shared" si="44"/>
        <v>7.3022852834128446E-2</v>
      </c>
      <c r="L291" s="16">
        <f t="shared" si="54"/>
        <v>9.1368679722987553E-2</v>
      </c>
      <c r="M291" s="16">
        <f t="shared" si="45"/>
        <v>6.6720016530603363</v>
      </c>
      <c r="N291" s="16">
        <f t="shared" si="46"/>
        <v>55.109348894449013</v>
      </c>
      <c r="O291" s="16">
        <f t="shared" si="47"/>
        <v>54.109348894449013</v>
      </c>
      <c r="P291" s="1">
        <v>2023</v>
      </c>
      <c r="Q291" s="1" t="s">
        <v>32</v>
      </c>
      <c r="R291" s="1" t="s">
        <v>33</v>
      </c>
      <c r="S291" s="70">
        <f>DATE(Table2[[#This Row],[Year]],MONTH(DATEVALUE("1-"&amp;Table2[[#This Row],[Month]]&amp;"-2000")),1)</f>
        <v>45139</v>
      </c>
      <c r="T291" s="16">
        <f t="shared" si="48"/>
        <v>5.0352684488792905</v>
      </c>
      <c r="U291" s="16">
        <f t="shared" si="49"/>
        <v>0.36768966692284266</v>
      </c>
      <c r="V291" s="16">
        <f t="shared" si="50"/>
        <v>167.31681818181818</v>
      </c>
      <c r="W291" s="16">
        <f t="shared" si="51"/>
        <v>9220.7209090909091</v>
      </c>
      <c r="X291" s="16">
        <f t="shared" si="52"/>
        <v>1831.2272727272727</v>
      </c>
      <c r="Y291" s="16">
        <f t="shared" si="53"/>
        <v>25077.454545454544</v>
      </c>
      <c r="Z291" s="7" t="str" cm="1">
        <f t="array" ref="Z291">_xlfn.IFS(K291&lt;2%,"Low",K291&lt;5%,"Medium",K291&lt;10%,"Good",K291&gt;10%,"Excellent")</f>
        <v>Good</v>
      </c>
      <c r="AA291" s="16" t="str">
        <f>Data_Validation!N289</f>
        <v>Pass</v>
      </c>
    </row>
    <row r="292" spans="1:27" x14ac:dyDescent="0.35">
      <c r="A292" s="17" t="s">
        <v>27</v>
      </c>
      <c r="B292" s="3" t="s">
        <v>19</v>
      </c>
      <c r="C292" s="3" t="s">
        <v>20</v>
      </c>
      <c r="D292" s="3" t="s">
        <v>63</v>
      </c>
      <c r="E292" s="3" t="s">
        <v>38</v>
      </c>
      <c r="F292" s="3">
        <v>2176.69</v>
      </c>
      <c r="G292" s="3">
        <v>848095</v>
      </c>
      <c r="H292" s="3">
        <v>27833</v>
      </c>
      <c r="I292" s="3">
        <v>122188.42</v>
      </c>
      <c r="J292" s="3">
        <v>54</v>
      </c>
      <c r="K292" s="15">
        <f t="shared" si="44"/>
        <v>3.2818257388618023E-2</v>
      </c>
      <c r="L292" s="16">
        <f t="shared" si="54"/>
        <v>7.8205367728954839E-2</v>
      </c>
      <c r="M292" s="16">
        <f t="shared" si="45"/>
        <v>2.5665638873003616</v>
      </c>
      <c r="N292" s="16">
        <f t="shared" si="46"/>
        <v>56.134966393928394</v>
      </c>
      <c r="O292" s="16">
        <f t="shared" si="47"/>
        <v>55.134966393928394</v>
      </c>
      <c r="P292" s="1">
        <v>2023</v>
      </c>
      <c r="Q292" s="1" t="s">
        <v>32</v>
      </c>
      <c r="R292" s="1" t="s">
        <v>33</v>
      </c>
      <c r="S292" s="70">
        <f>DATE(Table2[[#This Row],[Year]],MONTH(DATEVALUE("1-"&amp;Table2[[#This Row],[Month]]&amp;"-2000")),1)</f>
        <v>45139</v>
      </c>
      <c r="T292" s="16">
        <f t="shared" si="48"/>
        <v>4.3900556892896923</v>
      </c>
      <c r="U292" s="16">
        <f t="shared" si="49"/>
        <v>0.14407397756147602</v>
      </c>
      <c r="V292" s="16">
        <f t="shared" si="50"/>
        <v>40.309074074074076</v>
      </c>
      <c r="W292" s="16">
        <f t="shared" si="51"/>
        <v>2262.7485185185183</v>
      </c>
      <c r="X292" s="16">
        <f t="shared" si="52"/>
        <v>515.42592592592598</v>
      </c>
      <c r="Y292" s="16">
        <f t="shared" si="53"/>
        <v>15705.462962962964</v>
      </c>
      <c r="Z292" s="7" t="str" cm="1">
        <f t="array" ref="Z292">_xlfn.IFS(K292&lt;2%,"Low",K292&lt;5%,"Medium",K292&lt;10%,"Good",K292&gt;10%,"Excellent")</f>
        <v>Medium</v>
      </c>
      <c r="AA292" s="16" t="str">
        <f>Data_Validation!N290</f>
        <v>Pass</v>
      </c>
    </row>
    <row r="293" spans="1:27" x14ac:dyDescent="0.35">
      <c r="A293" s="17" t="s">
        <v>111</v>
      </c>
      <c r="B293" s="3" t="s">
        <v>28</v>
      </c>
      <c r="C293" s="3" t="s">
        <v>58</v>
      </c>
      <c r="D293" s="3" t="s">
        <v>51</v>
      </c>
      <c r="E293" s="3" t="s">
        <v>30</v>
      </c>
      <c r="F293" s="3">
        <v>25339.57</v>
      </c>
      <c r="G293" s="3">
        <v>731068</v>
      </c>
      <c r="H293" s="3">
        <v>37798</v>
      </c>
      <c r="I293" s="3">
        <v>59152.78</v>
      </c>
      <c r="J293" s="3">
        <v>38</v>
      </c>
      <c r="K293" s="15">
        <f t="shared" si="44"/>
        <v>5.1702440812619349E-2</v>
      </c>
      <c r="L293" s="16">
        <f t="shared" si="54"/>
        <v>0.67039446531562519</v>
      </c>
      <c r="M293" s="16">
        <f t="shared" si="45"/>
        <v>34.6610301640887</v>
      </c>
      <c r="N293" s="16">
        <f t="shared" si="46"/>
        <v>2.3344034646207494</v>
      </c>
      <c r="O293" s="16">
        <f t="shared" si="47"/>
        <v>1.3344034646207492</v>
      </c>
      <c r="P293" s="1">
        <v>2023</v>
      </c>
      <c r="Q293" s="1" t="s">
        <v>32</v>
      </c>
      <c r="R293" s="1" t="s">
        <v>33</v>
      </c>
      <c r="S293" s="70">
        <f>DATE(Table2[[#This Row],[Year]],MONTH(DATEVALUE("1-"&amp;Table2[[#This Row],[Month]]&amp;"-2000")),1)</f>
        <v>45139</v>
      </c>
      <c r="T293" s="16">
        <f t="shared" si="48"/>
        <v>1.5649711624953702</v>
      </c>
      <c r="U293" s="16">
        <f t="shared" si="49"/>
        <v>8.091282890237296E-2</v>
      </c>
      <c r="V293" s="16">
        <f t="shared" si="50"/>
        <v>666.83078947368415</v>
      </c>
      <c r="W293" s="16">
        <f t="shared" si="51"/>
        <v>1556.6521052631579</v>
      </c>
      <c r="X293" s="16">
        <f t="shared" si="52"/>
        <v>994.68421052631584</v>
      </c>
      <c r="Y293" s="16">
        <f t="shared" si="53"/>
        <v>19238.63157894737</v>
      </c>
      <c r="Z293" s="7" t="str" cm="1">
        <f t="array" ref="Z293">_xlfn.IFS(K293&lt;2%,"Low",K293&lt;5%,"Medium",K293&lt;10%,"Good",K293&gt;10%,"Excellent")</f>
        <v>Good</v>
      </c>
      <c r="AA293" s="16" t="str">
        <f>Data_Validation!N291</f>
        <v>Pass</v>
      </c>
    </row>
    <row r="294" spans="1:27" x14ac:dyDescent="0.35">
      <c r="A294" s="17" t="s">
        <v>90</v>
      </c>
      <c r="B294" s="3" t="s">
        <v>35</v>
      </c>
      <c r="C294" s="3" t="s">
        <v>58</v>
      </c>
      <c r="D294" s="3" t="s">
        <v>37</v>
      </c>
      <c r="E294" s="3" t="s">
        <v>38</v>
      </c>
      <c r="F294" s="3">
        <v>12504.39</v>
      </c>
      <c r="G294" s="3">
        <v>450897</v>
      </c>
      <c r="H294" s="3">
        <v>21813</v>
      </c>
      <c r="I294" s="3">
        <v>96062.2</v>
      </c>
      <c r="J294" s="3">
        <v>28</v>
      </c>
      <c r="K294" s="15">
        <f t="shared" si="44"/>
        <v>4.8376902041929751E-2</v>
      </c>
      <c r="L294" s="16">
        <f t="shared" si="54"/>
        <v>0.57325402283042215</v>
      </c>
      <c r="M294" s="16">
        <f t="shared" si="45"/>
        <v>27.732253707609498</v>
      </c>
      <c r="N294" s="16">
        <f t="shared" si="46"/>
        <v>7.6822779839720292</v>
      </c>
      <c r="O294" s="16">
        <f t="shared" si="47"/>
        <v>6.6822779839720292</v>
      </c>
      <c r="P294" s="1">
        <v>2023</v>
      </c>
      <c r="Q294" s="1" t="s">
        <v>32</v>
      </c>
      <c r="R294" s="1" t="s">
        <v>33</v>
      </c>
      <c r="S294" s="70">
        <f>DATE(Table2[[#This Row],[Year]],MONTH(DATEVALUE("1-"&amp;Table2[[#This Row],[Month]]&amp;"-2000")),1)</f>
        <v>45139</v>
      </c>
      <c r="T294" s="16">
        <f t="shared" si="48"/>
        <v>4.4038967588135511</v>
      </c>
      <c r="U294" s="16">
        <f t="shared" si="49"/>
        <v>0.21304688210389511</v>
      </c>
      <c r="V294" s="16">
        <f t="shared" si="50"/>
        <v>446.58535714285711</v>
      </c>
      <c r="W294" s="16">
        <f t="shared" si="51"/>
        <v>3430.792857142857</v>
      </c>
      <c r="X294" s="16">
        <f t="shared" si="52"/>
        <v>779.03571428571433</v>
      </c>
      <c r="Y294" s="16">
        <f t="shared" si="53"/>
        <v>16103.464285714286</v>
      </c>
      <c r="Z294" s="7" t="str" cm="1">
        <f t="array" ref="Z294">_xlfn.IFS(K294&lt;2%,"Low",K294&lt;5%,"Medium",K294&lt;10%,"Good",K294&gt;10%,"Excellent")</f>
        <v>Medium</v>
      </c>
      <c r="AA294" s="16" t="str">
        <f>Data_Validation!N292</f>
        <v>Pass</v>
      </c>
    </row>
    <row r="295" spans="1:27" x14ac:dyDescent="0.35">
      <c r="A295" s="17" t="s">
        <v>106</v>
      </c>
      <c r="B295" s="3" t="s">
        <v>19</v>
      </c>
      <c r="C295" s="3" t="s">
        <v>58</v>
      </c>
      <c r="D295" s="3" t="s">
        <v>51</v>
      </c>
      <c r="E295" s="3" t="s">
        <v>22</v>
      </c>
      <c r="F295" s="3">
        <v>7711.32</v>
      </c>
      <c r="G295" s="3">
        <v>247580</v>
      </c>
      <c r="H295" s="3">
        <v>20247</v>
      </c>
      <c r="I295" s="3">
        <v>35709.32</v>
      </c>
      <c r="J295" s="3">
        <v>14</v>
      </c>
      <c r="K295" s="15">
        <f t="shared" si="44"/>
        <v>8.177962678730108E-2</v>
      </c>
      <c r="L295" s="16">
        <f t="shared" si="54"/>
        <v>0.38086234997777446</v>
      </c>
      <c r="M295" s="16">
        <f t="shared" si="45"/>
        <v>31.146780838516843</v>
      </c>
      <c r="N295" s="16">
        <f t="shared" si="46"/>
        <v>4.6307661982643697</v>
      </c>
      <c r="O295" s="16">
        <f t="shared" si="47"/>
        <v>3.6307661982643697</v>
      </c>
      <c r="P295" s="1">
        <v>2023</v>
      </c>
      <c r="Q295" s="1" t="s">
        <v>32</v>
      </c>
      <c r="R295" s="1" t="s">
        <v>33</v>
      </c>
      <c r="S295" s="70">
        <f>DATE(Table2[[#This Row],[Year]],MONTH(DATEVALUE("1-"&amp;Table2[[#This Row],[Month]]&amp;"-2000")),1)</f>
        <v>45139</v>
      </c>
      <c r="T295" s="16">
        <f t="shared" si="48"/>
        <v>1.7636844964686127</v>
      </c>
      <c r="U295" s="16">
        <f t="shared" si="49"/>
        <v>0.14423345989175215</v>
      </c>
      <c r="V295" s="16">
        <f t="shared" si="50"/>
        <v>550.80857142857144</v>
      </c>
      <c r="W295" s="16">
        <f t="shared" si="51"/>
        <v>2550.6657142857143</v>
      </c>
      <c r="X295" s="16">
        <f t="shared" si="52"/>
        <v>1446.2142857142858</v>
      </c>
      <c r="Y295" s="16">
        <f t="shared" si="53"/>
        <v>17684.285714285714</v>
      </c>
      <c r="Z295" s="7" t="str" cm="1">
        <f t="array" ref="Z295">_xlfn.IFS(K295&lt;2%,"Low",K295&lt;5%,"Medium",K295&lt;10%,"Good",K295&gt;10%,"Excellent")</f>
        <v>Good</v>
      </c>
      <c r="AA295" s="16" t="str">
        <f>Data_Validation!N293</f>
        <v>Pass</v>
      </c>
    </row>
    <row r="296" spans="1:27" x14ac:dyDescent="0.35">
      <c r="A296" s="17" t="s">
        <v>101</v>
      </c>
      <c r="B296" s="3" t="s">
        <v>19</v>
      </c>
      <c r="C296" s="3" t="s">
        <v>69</v>
      </c>
      <c r="D296" s="3" t="s">
        <v>63</v>
      </c>
      <c r="E296" s="3" t="s">
        <v>22</v>
      </c>
      <c r="F296" s="3">
        <v>23553.08</v>
      </c>
      <c r="G296" s="3">
        <v>253390</v>
      </c>
      <c r="H296" s="3">
        <v>29400</v>
      </c>
      <c r="I296" s="3">
        <v>95606.3</v>
      </c>
      <c r="J296" s="3">
        <v>42</v>
      </c>
      <c r="K296" s="15">
        <f t="shared" si="44"/>
        <v>0.11602667824302458</v>
      </c>
      <c r="L296" s="16">
        <f t="shared" si="54"/>
        <v>0.8011251700680273</v>
      </c>
      <c r="M296" s="16">
        <f t="shared" si="45"/>
        <v>92.95189233987135</v>
      </c>
      <c r="N296" s="16">
        <f t="shared" si="46"/>
        <v>4.0591846161945693</v>
      </c>
      <c r="O296" s="16">
        <f t="shared" si="47"/>
        <v>3.0591846161945697</v>
      </c>
      <c r="P296" s="1">
        <v>2023</v>
      </c>
      <c r="Q296" s="1" t="s">
        <v>32</v>
      </c>
      <c r="R296" s="1" t="s">
        <v>33</v>
      </c>
      <c r="S296" s="70">
        <f>DATE(Table2[[#This Row],[Year]],MONTH(DATEVALUE("1-"&amp;Table2[[#This Row],[Month]]&amp;"-2000")),1)</f>
        <v>45139</v>
      </c>
      <c r="T296" s="16">
        <f t="shared" si="48"/>
        <v>3.2519149659863946</v>
      </c>
      <c r="U296" s="16">
        <f t="shared" si="49"/>
        <v>0.37730889143217966</v>
      </c>
      <c r="V296" s="16">
        <f t="shared" si="50"/>
        <v>560.78761904761905</v>
      </c>
      <c r="W296" s="16">
        <f t="shared" si="51"/>
        <v>2276.3404761904762</v>
      </c>
      <c r="X296" s="16">
        <f t="shared" si="52"/>
        <v>700</v>
      </c>
      <c r="Y296" s="16">
        <f t="shared" si="53"/>
        <v>6033.0952380952385</v>
      </c>
      <c r="Z296" s="7" t="str" cm="1">
        <f t="array" ref="Z296">_xlfn.IFS(K296&lt;2%,"Low",K296&lt;5%,"Medium",K296&lt;10%,"Good",K296&gt;10%,"Excellent")</f>
        <v>Excellent</v>
      </c>
      <c r="AA296" s="16" t="str">
        <f>Data_Validation!N294</f>
        <v>Pass</v>
      </c>
    </row>
    <row r="297" spans="1:27" x14ac:dyDescent="0.35">
      <c r="A297" s="17" t="s">
        <v>68</v>
      </c>
      <c r="B297" s="3" t="s">
        <v>35</v>
      </c>
      <c r="C297" s="3" t="s">
        <v>69</v>
      </c>
      <c r="D297" s="3" t="s">
        <v>63</v>
      </c>
      <c r="E297" s="3" t="s">
        <v>22</v>
      </c>
      <c r="F297" s="3">
        <v>9678.93</v>
      </c>
      <c r="G297" s="3">
        <v>446196</v>
      </c>
      <c r="H297" s="3">
        <v>47915</v>
      </c>
      <c r="I297" s="3">
        <v>28296.03</v>
      </c>
      <c r="J297" s="3">
        <v>32</v>
      </c>
      <c r="K297" s="15">
        <f t="shared" si="44"/>
        <v>0.10738554357277967</v>
      </c>
      <c r="L297" s="16">
        <f t="shared" si="54"/>
        <v>0.20200208702911407</v>
      </c>
      <c r="M297" s="16">
        <f t="shared" si="45"/>
        <v>21.692103918457359</v>
      </c>
      <c r="N297" s="16">
        <f t="shared" si="46"/>
        <v>2.923466746840818</v>
      </c>
      <c r="O297" s="16">
        <f t="shared" si="47"/>
        <v>1.923466746840818</v>
      </c>
      <c r="P297" s="1">
        <v>2023</v>
      </c>
      <c r="Q297" s="1" t="s">
        <v>32</v>
      </c>
      <c r="R297" s="1" t="s">
        <v>33</v>
      </c>
      <c r="S297" s="70">
        <f>DATE(Table2[[#This Row],[Year]],MONTH(DATEVALUE("1-"&amp;Table2[[#This Row],[Month]]&amp;"-2000")),1)</f>
        <v>45139</v>
      </c>
      <c r="T297" s="16">
        <f t="shared" si="48"/>
        <v>0.59054638422205985</v>
      </c>
      <c r="U297" s="16">
        <f t="shared" si="49"/>
        <v>6.3416144474625499E-2</v>
      </c>
      <c r="V297" s="16">
        <f t="shared" si="50"/>
        <v>302.46656250000001</v>
      </c>
      <c r="W297" s="16">
        <f t="shared" si="51"/>
        <v>884.25093749999996</v>
      </c>
      <c r="X297" s="16">
        <f t="shared" si="52"/>
        <v>1497.34375</v>
      </c>
      <c r="Y297" s="16">
        <f t="shared" si="53"/>
        <v>13943.625</v>
      </c>
      <c r="Z297" s="7" t="str" cm="1">
        <f t="array" ref="Z297">_xlfn.IFS(K297&lt;2%,"Low",K297&lt;5%,"Medium",K297&lt;10%,"Good",K297&gt;10%,"Excellent")</f>
        <v>Excellent</v>
      </c>
      <c r="AA297" s="16" t="str">
        <f>Data_Validation!N295</f>
        <v>Pass</v>
      </c>
    </row>
    <row r="298" spans="1:27" x14ac:dyDescent="0.35">
      <c r="A298" s="17" t="s">
        <v>105</v>
      </c>
      <c r="B298" s="3" t="s">
        <v>19</v>
      </c>
      <c r="C298" s="3" t="s">
        <v>20</v>
      </c>
      <c r="D298" s="3" t="s">
        <v>63</v>
      </c>
      <c r="E298" s="3" t="s">
        <v>22</v>
      </c>
      <c r="F298" s="3">
        <v>12835.55</v>
      </c>
      <c r="G298" s="3">
        <v>204760</v>
      </c>
      <c r="H298" s="3">
        <v>44644</v>
      </c>
      <c r="I298" s="3">
        <v>148539.4</v>
      </c>
      <c r="J298" s="3">
        <v>28</v>
      </c>
      <c r="K298" s="15">
        <f t="shared" si="44"/>
        <v>0.21803086540339911</v>
      </c>
      <c r="L298" s="16">
        <f t="shared" si="54"/>
        <v>0.28750895977062985</v>
      </c>
      <c r="M298" s="16">
        <f t="shared" si="45"/>
        <v>62.68582731002148</v>
      </c>
      <c r="N298" s="16">
        <f t="shared" si="46"/>
        <v>11.572499814967026</v>
      </c>
      <c r="O298" s="16">
        <f t="shared" si="47"/>
        <v>10.572499814967026</v>
      </c>
      <c r="P298" s="1">
        <v>2023</v>
      </c>
      <c r="Q298" s="1" t="s">
        <v>32</v>
      </c>
      <c r="R298" s="1" t="s">
        <v>33</v>
      </c>
      <c r="S298" s="70">
        <f>DATE(Table2[[#This Row],[Year]],MONTH(DATEVALUE("1-"&amp;Table2[[#This Row],[Month]]&amp;"-2000")),1)</f>
        <v>45139</v>
      </c>
      <c r="T298" s="16">
        <f t="shared" si="48"/>
        <v>3.3271973837469759</v>
      </c>
      <c r="U298" s="16">
        <f t="shared" si="49"/>
        <v>0.7254317249462785</v>
      </c>
      <c r="V298" s="16">
        <f t="shared" si="50"/>
        <v>458.41249999999997</v>
      </c>
      <c r="W298" s="16">
        <f t="shared" si="51"/>
        <v>5304.9785714285708</v>
      </c>
      <c r="X298" s="16">
        <f t="shared" si="52"/>
        <v>1594.4285714285713</v>
      </c>
      <c r="Y298" s="16">
        <f t="shared" si="53"/>
        <v>7312.8571428571431</v>
      </c>
      <c r="Z298" s="7" t="str" cm="1">
        <f t="array" ref="Z298">_xlfn.IFS(K298&lt;2%,"Low",K298&lt;5%,"Medium",K298&lt;10%,"Good",K298&gt;10%,"Excellent")</f>
        <v>Excellent</v>
      </c>
      <c r="AA298" s="16" t="str">
        <f>Data_Validation!N296</f>
        <v>Pass</v>
      </c>
    </row>
    <row r="299" spans="1:27" x14ac:dyDescent="0.35">
      <c r="A299" s="17" t="s">
        <v>85</v>
      </c>
      <c r="B299" s="3" t="s">
        <v>28</v>
      </c>
      <c r="C299" s="3" t="s">
        <v>58</v>
      </c>
      <c r="D299" s="3" t="s">
        <v>37</v>
      </c>
      <c r="E299" s="3" t="s">
        <v>38</v>
      </c>
      <c r="F299" s="3">
        <v>129.57</v>
      </c>
      <c r="G299" s="3">
        <v>614402</v>
      </c>
      <c r="H299" s="3">
        <v>20799</v>
      </c>
      <c r="I299" s="3">
        <v>140547.64000000001</v>
      </c>
      <c r="J299" s="3">
        <v>51</v>
      </c>
      <c r="K299" s="15">
        <f t="shared" si="44"/>
        <v>3.3852428865791449E-2</v>
      </c>
      <c r="L299" s="16">
        <f t="shared" si="54"/>
        <v>6.229626424347324E-3</v>
      </c>
      <c r="M299" s="16">
        <f t="shared" si="45"/>
        <v>0.21088798539067255</v>
      </c>
      <c r="N299" s="16">
        <f t="shared" si="46"/>
        <v>1084.7236242957476</v>
      </c>
      <c r="O299" s="16">
        <f t="shared" si="47"/>
        <v>1083.7236242957476</v>
      </c>
      <c r="P299" s="1">
        <v>2023</v>
      </c>
      <c r="Q299" s="1" t="s">
        <v>32</v>
      </c>
      <c r="R299" s="1" t="s">
        <v>33</v>
      </c>
      <c r="S299" s="70">
        <f>DATE(Table2[[#This Row],[Year]],MONTH(DATEVALUE("1-"&amp;Table2[[#This Row],[Month]]&amp;"-2000")),1)</f>
        <v>45139</v>
      </c>
      <c r="T299" s="16">
        <f t="shared" si="48"/>
        <v>6.7574229530265884</v>
      </c>
      <c r="U299" s="16">
        <f t="shared" si="49"/>
        <v>0.22875517983339899</v>
      </c>
      <c r="V299" s="16">
        <f t="shared" si="50"/>
        <v>2.5405882352941176</v>
      </c>
      <c r="W299" s="16">
        <f t="shared" si="51"/>
        <v>2755.8360784313727</v>
      </c>
      <c r="X299" s="16">
        <f t="shared" si="52"/>
        <v>407.8235294117647</v>
      </c>
      <c r="Y299" s="16">
        <f t="shared" si="53"/>
        <v>12047.098039215687</v>
      </c>
      <c r="Z299" s="7" t="str" cm="1">
        <f t="array" ref="Z299">_xlfn.IFS(K299&lt;2%,"Low",K299&lt;5%,"Medium",K299&lt;10%,"Good",K299&gt;10%,"Excellent")</f>
        <v>Medium</v>
      </c>
      <c r="AA299" s="16" t="str">
        <f>Data_Validation!N297</f>
        <v>Pass</v>
      </c>
    </row>
    <row r="300" spans="1:27" x14ac:dyDescent="0.35">
      <c r="A300" s="17" t="s">
        <v>72</v>
      </c>
      <c r="B300" s="3" t="s">
        <v>19</v>
      </c>
      <c r="C300" s="3" t="s">
        <v>29</v>
      </c>
      <c r="D300" s="3" t="s">
        <v>51</v>
      </c>
      <c r="E300" s="3" t="s">
        <v>22</v>
      </c>
      <c r="F300" s="3">
        <v>1135.9000000000001</v>
      </c>
      <c r="G300" s="3">
        <v>713011</v>
      </c>
      <c r="H300" s="3">
        <v>29138</v>
      </c>
      <c r="I300" s="3">
        <v>185298.63</v>
      </c>
      <c r="J300" s="3">
        <v>31</v>
      </c>
      <c r="K300" s="15">
        <f t="shared" si="44"/>
        <v>4.0866129695053793E-2</v>
      </c>
      <c r="L300" s="16">
        <f t="shared" si="54"/>
        <v>3.8983458027318278E-2</v>
      </c>
      <c r="M300" s="16">
        <f t="shared" si="45"/>
        <v>1.5931030517060747</v>
      </c>
      <c r="N300" s="16">
        <f t="shared" si="46"/>
        <v>163.12935117527951</v>
      </c>
      <c r="O300" s="16">
        <f t="shared" si="47"/>
        <v>162.12935117527951</v>
      </c>
      <c r="P300" s="1">
        <v>2023</v>
      </c>
      <c r="Q300" s="1" t="s">
        <v>32</v>
      </c>
      <c r="R300" s="1" t="s">
        <v>33</v>
      </c>
      <c r="S300" s="70">
        <f>DATE(Table2[[#This Row],[Year]],MONTH(DATEVALUE("1-"&amp;Table2[[#This Row],[Month]]&amp;"-2000")),1)</f>
        <v>45139</v>
      </c>
      <c r="T300" s="16">
        <f t="shared" si="48"/>
        <v>6.3593462145651731</v>
      </c>
      <c r="U300" s="16">
        <f t="shared" si="49"/>
        <v>0.25988186718016976</v>
      </c>
      <c r="V300" s="16">
        <f t="shared" si="50"/>
        <v>36.641935483870974</v>
      </c>
      <c r="W300" s="16">
        <f t="shared" si="51"/>
        <v>5977.3751612903225</v>
      </c>
      <c r="X300" s="16">
        <f t="shared" si="52"/>
        <v>939.93548387096769</v>
      </c>
      <c r="Y300" s="16">
        <f t="shared" si="53"/>
        <v>23000.354838709678</v>
      </c>
      <c r="Z300" s="7" t="str" cm="1">
        <f t="array" ref="Z300">_xlfn.IFS(K300&lt;2%,"Low",K300&lt;5%,"Medium",K300&lt;10%,"Good",K300&gt;10%,"Excellent")</f>
        <v>Medium</v>
      </c>
      <c r="AA300" s="16" t="str">
        <f>Data_Validation!N298</f>
        <v>Pass</v>
      </c>
    </row>
    <row r="301" spans="1:27" x14ac:dyDescent="0.35">
      <c r="A301" s="17" t="s">
        <v>102</v>
      </c>
      <c r="B301" s="3" t="s">
        <v>19</v>
      </c>
      <c r="C301" s="3" t="s">
        <v>69</v>
      </c>
      <c r="D301" s="3" t="s">
        <v>59</v>
      </c>
      <c r="E301" s="3" t="s">
        <v>38</v>
      </c>
      <c r="F301" s="3">
        <v>19869.900000000001</v>
      </c>
      <c r="G301" s="3">
        <v>501507</v>
      </c>
      <c r="H301" s="3">
        <v>47450</v>
      </c>
      <c r="I301" s="3">
        <v>204527.44</v>
      </c>
      <c r="J301" s="3">
        <v>39</v>
      </c>
      <c r="K301" s="15">
        <f t="shared" si="44"/>
        <v>9.4614830899668406E-2</v>
      </c>
      <c r="L301" s="16">
        <f t="shared" si="54"/>
        <v>0.41875447839831403</v>
      </c>
      <c r="M301" s="16">
        <f t="shared" si="45"/>
        <v>39.620384162135331</v>
      </c>
      <c r="N301" s="16">
        <f t="shared" si="46"/>
        <v>10.293330112381039</v>
      </c>
      <c r="O301" s="16">
        <f t="shared" si="47"/>
        <v>9.2933301123810388</v>
      </c>
      <c r="P301" s="1">
        <v>2023</v>
      </c>
      <c r="Q301" s="1" t="s">
        <v>32</v>
      </c>
      <c r="R301" s="1" t="s">
        <v>33</v>
      </c>
      <c r="S301" s="70">
        <f>DATE(Table2[[#This Row],[Year]],MONTH(DATEVALUE("1-"&amp;Table2[[#This Row],[Month]]&amp;"-2000")),1)</f>
        <v>45139</v>
      </c>
      <c r="T301" s="16">
        <f t="shared" si="48"/>
        <v>4.3103780821917805</v>
      </c>
      <c r="U301" s="16">
        <f t="shared" si="49"/>
        <v>0.40782569336021235</v>
      </c>
      <c r="V301" s="16">
        <f t="shared" si="50"/>
        <v>509.48461538461544</v>
      </c>
      <c r="W301" s="16">
        <f t="shared" si="51"/>
        <v>5244.2933333333331</v>
      </c>
      <c r="X301" s="16">
        <f t="shared" si="52"/>
        <v>1216.6666666666667</v>
      </c>
      <c r="Y301" s="16">
        <f t="shared" si="53"/>
        <v>12859.153846153846</v>
      </c>
      <c r="Z301" s="7" t="str" cm="1">
        <f t="array" ref="Z301">_xlfn.IFS(K301&lt;2%,"Low",K301&lt;5%,"Medium",K301&lt;10%,"Good",K301&gt;10%,"Excellent")</f>
        <v>Good</v>
      </c>
      <c r="AA301" s="16" t="str">
        <f>Data_Validation!N299</f>
        <v>Pass</v>
      </c>
    </row>
    <row r="302" spans="1:27" x14ac:dyDescent="0.35">
      <c r="A302" s="17" t="s">
        <v>70</v>
      </c>
      <c r="B302" s="3" t="s">
        <v>35</v>
      </c>
      <c r="C302" s="3" t="s">
        <v>69</v>
      </c>
      <c r="D302" s="3" t="s">
        <v>43</v>
      </c>
      <c r="E302" s="3" t="s">
        <v>38</v>
      </c>
      <c r="F302" s="3">
        <v>20754.16</v>
      </c>
      <c r="G302" s="3">
        <v>129787</v>
      </c>
      <c r="H302" s="3">
        <v>1495</v>
      </c>
      <c r="I302" s="3">
        <v>127232.34</v>
      </c>
      <c r="J302" s="3">
        <v>50</v>
      </c>
      <c r="K302" s="15">
        <f t="shared" si="44"/>
        <v>1.1518873230755006E-2</v>
      </c>
      <c r="L302" s="16">
        <f t="shared" si="54"/>
        <v>13.882381270903011</v>
      </c>
      <c r="M302" s="16">
        <f t="shared" si="45"/>
        <v>159.90939000053933</v>
      </c>
      <c r="N302" s="16">
        <f t="shared" si="46"/>
        <v>6.1304499917125046</v>
      </c>
      <c r="O302" s="16">
        <f t="shared" si="47"/>
        <v>5.1304499917125046</v>
      </c>
      <c r="P302" s="1">
        <v>2023</v>
      </c>
      <c r="Q302" s="1" t="s">
        <v>32</v>
      </c>
      <c r="R302" s="1" t="s">
        <v>33</v>
      </c>
      <c r="S302" s="70">
        <f>DATE(Table2[[#This Row],[Year]],MONTH(DATEVALUE("1-"&amp;Table2[[#This Row],[Month]]&amp;"-2000")),1)</f>
        <v>45139</v>
      </c>
      <c r="T302" s="16">
        <f t="shared" si="48"/>
        <v>85.105244147157194</v>
      </c>
      <c r="U302" s="16">
        <f t="shared" si="49"/>
        <v>0.98031651860355806</v>
      </c>
      <c r="V302" s="16">
        <f t="shared" si="50"/>
        <v>415.08319999999998</v>
      </c>
      <c r="W302" s="16">
        <f t="shared" si="51"/>
        <v>2544.6468</v>
      </c>
      <c r="X302" s="16">
        <f t="shared" si="52"/>
        <v>29.9</v>
      </c>
      <c r="Y302" s="16">
        <f t="shared" si="53"/>
        <v>2595.7399999999998</v>
      </c>
      <c r="Z302" s="7" t="str" cm="1">
        <f t="array" ref="Z302">_xlfn.IFS(K302&lt;2%,"Low",K302&lt;5%,"Medium",K302&lt;10%,"Good",K302&gt;10%,"Excellent")</f>
        <v>Low</v>
      </c>
      <c r="AA302" s="16" t="str">
        <f>Data_Validation!N300</f>
        <v>Pass</v>
      </c>
    </row>
    <row r="303" spans="1:27" x14ac:dyDescent="0.35">
      <c r="A303" s="17" t="s">
        <v>47</v>
      </c>
      <c r="B303" s="3" t="s">
        <v>48</v>
      </c>
      <c r="C303" s="3" t="s">
        <v>69</v>
      </c>
      <c r="D303" s="3" t="s">
        <v>63</v>
      </c>
      <c r="E303" s="3" t="s">
        <v>38</v>
      </c>
      <c r="F303" s="3">
        <v>26358.34</v>
      </c>
      <c r="G303" s="3">
        <v>759361</v>
      </c>
      <c r="H303" s="3">
        <v>41239</v>
      </c>
      <c r="I303" s="3">
        <v>168052.53</v>
      </c>
      <c r="J303" s="3">
        <v>57</v>
      </c>
      <c r="K303" s="15">
        <f t="shared" si="44"/>
        <v>5.4307503282365041E-2</v>
      </c>
      <c r="L303" s="16">
        <f t="shared" si="54"/>
        <v>0.63916050340696917</v>
      </c>
      <c r="M303" s="16">
        <f t="shared" si="45"/>
        <v>34.711211136732068</v>
      </c>
      <c r="N303" s="16">
        <f t="shared" si="46"/>
        <v>6.3756871639109294</v>
      </c>
      <c r="O303" s="16">
        <f t="shared" si="47"/>
        <v>5.3756871639109294</v>
      </c>
      <c r="P303" s="1">
        <v>2023</v>
      </c>
      <c r="Q303" s="1" t="s">
        <v>32</v>
      </c>
      <c r="R303" s="1" t="s">
        <v>33</v>
      </c>
      <c r="S303" s="70">
        <f>DATE(Table2[[#This Row],[Year]],MONTH(DATEVALUE("1-"&amp;Table2[[#This Row],[Month]]&amp;"-2000")),1)</f>
        <v>45139</v>
      </c>
      <c r="T303" s="16">
        <f t="shared" si="48"/>
        <v>4.0750874172506606</v>
      </c>
      <c r="U303" s="16">
        <f t="shared" si="49"/>
        <v>0.22130782328826473</v>
      </c>
      <c r="V303" s="16">
        <f t="shared" si="50"/>
        <v>462.42701754385968</v>
      </c>
      <c r="W303" s="16">
        <f t="shared" si="51"/>
        <v>2948.29</v>
      </c>
      <c r="X303" s="16">
        <f t="shared" si="52"/>
        <v>723.49122807017545</v>
      </c>
      <c r="Y303" s="16">
        <f t="shared" si="53"/>
        <v>13322.122807017544</v>
      </c>
      <c r="Z303" s="7" t="str" cm="1">
        <f t="array" ref="Z303">_xlfn.IFS(K303&lt;2%,"Low",K303&lt;5%,"Medium",K303&lt;10%,"Good",K303&gt;10%,"Excellent")</f>
        <v>Good</v>
      </c>
      <c r="AA303" s="16" t="str">
        <f>Data_Validation!N301</f>
        <v>Pass</v>
      </c>
    </row>
    <row r="304" spans="1:27" x14ac:dyDescent="0.35">
      <c r="A304" s="17" t="s">
        <v>67</v>
      </c>
      <c r="B304" s="3" t="s">
        <v>28</v>
      </c>
      <c r="C304" s="3" t="s">
        <v>29</v>
      </c>
      <c r="D304" s="3" t="s">
        <v>43</v>
      </c>
      <c r="E304" s="3" t="s">
        <v>22</v>
      </c>
      <c r="F304" s="3">
        <v>4215.1899999999996</v>
      </c>
      <c r="G304" s="3">
        <v>336592</v>
      </c>
      <c r="H304" s="3">
        <v>10858</v>
      </c>
      <c r="I304" s="3">
        <v>181810.07</v>
      </c>
      <c r="J304" s="3">
        <v>38</v>
      </c>
      <c r="K304" s="15">
        <f t="shared" si="44"/>
        <v>3.2258639539858344E-2</v>
      </c>
      <c r="L304" s="16">
        <f t="shared" si="54"/>
        <v>0.38821053601031491</v>
      </c>
      <c r="M304" s="16">
        <f t="shared" si="45"/>
        <v>12.523143746731948</v>
      </c>
      <c r="N304" s="16">
        <f t="shared" si="46"/>
        <v>43.132117413449933</v>
      </c>
      <c r="O304" s="16">
        <f t="shared" si="47"/>
        <v>42.132117413449933</v>
      </c>
      <c r="P304" s="1">
        <v>2023</v>
      </c>
      <c r="Q304" s="1" t="s">
        <v>32</v>
      </c>
      <c r="R304" s="1" t="s">
        <v>33</v>
      </c>
      <c r="S304" s="70">
        <f>DATE(Table2[[#This Row],[Year]],MONTH(DATEVALUE("1-"&amp;Table2[[#This Row],[Month]]&amp;"-2000")),1)</f>
        <v>45139</v>
      </c>
      <c r="T304" s="16">
        <f t="shared" si="48"/>
        <v>16.744342420335236</v>
      </c>
      <c r="U304" s="16">
        <f t="shared" si="49"/>
        <v>0.54014970646955363</v>
      </c>
      <c r="V304" s="16">
        <f t="shared" si="50"/>
        <v>110.92605263157894</v>
      </c>
      <c r="W304" s="16">
        <f t="shared" si="51"/>
        <v>4784.4755263157895</v>
      </c>
      <c r="X304" s="16">
        <f t="shared" si="52"/>
        <v>285.73684210526318</v>
      </c>
      <c r="Y304" s="16">
        <f t="shared" si="53"/>
        <v>8857.6842105263149</v>
      </c>
      <c r="Z304" s="7" t="str" cm="1">
        <f t="array" ref="Z304">_xlfn.IFS(K304&lt;2%,"Low",K304&lt;5%,"Medium",K304&lt;10%,"Good",K304&gt;10%,"Excellent")</f>
        <v>Medium</v>
      </c>
      <c r="AA304" s="16" t="str">
        <f>Data_Validation!N302</f>
        <v>Pass</v>
      </c>
    </row>
    <row r="305" spans="1:27" x14ac:dyDescent="0.35">
      <c r="A305" s="17" t="s">
        <v>55</v>
      </c>
      <c r="B305" s="3" t="s">
        <v>35</v>
      </c>
      <c r="C305" s="3" t="s">
        <v>29</v>
      </c>
      <c r="D305" s="3" t="s">
        <v>59</v>
      </c>
      <c r="E305" s="3" t="s">
        <v>22</v>
      </c>
      <c r="F305" s="3">
        <v>22682.65</v>
      </c>
      <c r="G305" s="3">
        <v>39556</v>
      </c>
      <c r="H305" s="3">
        <v>20985</v>
      </c>
      <c r="I305" s="3">
        <v>233052.35</v>
      </c>
      <c r="J305" s="3">
        <v>30</v>
      </c>
      <c r="K305" s="15">
        <f t="shared" si="44"/>
        <v>0.5305137020932349</v>
      </c>
      <c r="L305" s="16">
        <f t="shared" si="54"/>
        <v>1.080898260662378</v>
      </c>
      <c r="M305" s="16">
        <f t="shared" si="45"/>
        <v>573.43133785013652</v>
      </c>
      <c r="N305" s="16">
        <f t="shared" si="46"/>
        <v>10.274476306780732</v>
      </c>
      <c r="O305" s="16">
        <f t="shared" si="47"/>
        <v>9.2744763067807341</v>
      </c>
      <c r="P305" s="1">
        <v>2023</v>
      </c>
      <c r="Q305" s="1" t="s">
        <v>32</v>
      </c>
      <c r="R305" s="1" t="s">
        <v>33</v>
      </c>
      <c r="S305" s="70">
        <f>DATE(Table2[[#This Row],[Year]],MONTH(DATEVALUE("1-"&amp;Table2[[#This Row],[Month]]&amp;"-2000")),1)</f>
        <v>45139</v>
      </c>
      <c r="T305" s="16">
        <f t="shared" si="48"/>
        <v>11.105663569216107</v>
      </c>
      <c r="U305" s="16">
        <f t="shared" si="49"/>
        <v>5.8917066943068059</v>
      </c>
      <c r="V305" s="16">
        <f t="shared" si="50"/>
        <v>756.08833333333337</v>
      </c>
      <c r="W305" s="16">
        <f t="shared" si="51"/>
        <v>7768.4116666666669</v>
      </c>
      <c r="X305" s="16">
        <f t="shared" si="52"/>
        <v>699.5</v>
      </c>
      <c r="Y305" s="16">
        <f t="shared" si="53"/>
        <v>1318.5333333333333</v>
      </c>
      <c r="Z305" s="7" t="str" cm="1">
        <f t="array" ref="Z305">_xlfn.IFS(K305&lt;2%,"Low",K305&lt;5%,"Medium",K305&lt;10%,"Good",K305&gt;10%,"Excellent")</f>
        <v>Excellent</v>
      </c>
      <c r="AA305" s="16" t="str">
        <f>Data_Validation!N303</f>
        <v>Pass</v>
      </c>
    </row>
    <row r="306" spans="1:27" x14ac:dyDescent="0.35">
      <c r="A306" s="17" t="s">
        <v>118</v>
      </c>
      <c r="B306" s="3" t="s">
        <v>19</v>
      </c>
      <c r="C306" s="3" t="s">
        <v>36</v>
      </c>
      <c r="D306" s="3" t="s">
        <v>51</v>
      </c>
      <c r="E306" s="3" t="s">
        <v>22</v>
      </c>
      <c r="F306" s="3">
        <v>121.17</v>
      </c>
      <c r="G306" s="3">
        <v>443130</v>
      </c>
      <c r="H306" s="3">
        <v>49086</v>
      </c>
      <c r="I306" s="3">
        <v>189379.42</v>
      </c>
      <c r="J306" s="3">
        <v>20</v>
      </c>
      <c r="K306" s="15">
        <f t="shared" si="44"/>
        <v>0.11077110554464829</v>
      </c>
      <c r="L306" s="16">
        <f t="shared" si="54"/>
        <v>2.468524630240802E-3</v>
      </c>
      <c r="M306" s="16">
        <f t="shared" si="45"/>
        <v>0.27344120235596781</v>
      </c>
      <c r="N306" s="16">
        <f t="shared" si="46"/>
        <v>1562.923330857473</v>
      </c>
      <c r="O306" s="16">
        <f t="shared" si="47"/>
        <v>1561.923330857473</v>
      </c>
      <c r="P306" s="1">
        <v>2023</v>
      </c>
      <c r="Q306" s="1" t="s">
        <v>74</v>
      </c>
      <c r="R306" s="1" t="s">
        <v>33</v>
      </c>
      <c r="S306" s="70">
        <f>DATE(Table2[[#This Row],[Year]],MONTH(DATEVALUE("1-"&amp;Table2[[#This Row],[Month]]&amp;"-2000")),1)</f>
        <v>45170</v>
      </c>
      <c r="T306" s="16">
        <f t="shared" si="48"/>
        <v>3.8581147373996663</v>
      </c>
      <c r="U306" s="16">
        <f t="shared" si="49"/>
        <v>0.42736763477986145</v>
      </c>
      <c r="V306" s="16">
        <f t="shared" si="50"/>
        <v>6.0585000000000004</v>
      </c>
      <c r="W306" s="16">
        <f t="shared" si="51"/>
        <v>9468.9710000000014</v>
      </c>
      <c r="X306" s="16">
        <f t="shared" si="52"/>
        <v>2454.3000000000002</v>
      </c>
      <c r="Y306" s="16">
        <f t="shared" si="53"/>
        <v>22156.5</v>
      </c>
      <c r="Z306" s="7" t="str" cm="1">
        <f t="array" ref="Z306">_xlfn.IFS(K306&lt;2%,"Low",K306&lt;5%,"Medium",K306&lt;10%,"Good",K306&gt;10%,"Excellent")</f>
        <v>Excellent</v>
      </c>
      <c r="AA306" s="16" t="str">
        <f>Data_Validation!N304</f>
        <v>Pass</v>
      </c>
    </row>
    <row r="307" spans="1:27" x14ac:dyDescent="0.35">
      <c r="A307" s="17" t="s">
        <v>89</v>
      </c>
      <c r="B307" s="3" t="s">
        <v>48</v>
      </c>
      <c r="C307" s="3" t="s">
        <v>29</v>
      </c>
      <c r="D307" s="3" t="s">
        <v>63</v>
      </c>
      <c r="E307" s="3" t="s">
        <v>38</v>
      </c>
      <c r="F307" s="3">
        <v>3803.37</v>
      </c>
      <c r="G307" s="3">
        <v>994767</v>
      </c>
      <c r="H307" s="3">
        <v>49401</v>
      </c>
      <c r="I307" s="3">
        <v>147129.25</v>
      </c>
      <c r="J307" s="3">
        <v>40</v>
      </c>
      <c r="K307" s="15">
        <f t="shared" si="44"/>
        <v>4.9660875360762871E-2</v>
      </c>
      <c r="L307" s="16">
        <f t="shared" si="54"/>
        <v>7.6989737049857287E-2</v>
      </c>
      <c r="M307" s="16">
        <f t="shared" si="45"/>
        <v>3.8233777356908702</v>
      </c>
      <c r="N307" s="16">
        <f t="shared" si="46"/>
        <v>38.683917157678586</v>
      </c>
      <c r="O307" s="16">
        <f t="shared" si="47"/>
        <v>37.683917157678586</v>
      </c>
      <c r="P307" s="1">
        <v>2023</v>
      </c>
      <c r="Q307" s="1" t="s">
        <v>74</v>
      </c>
      <c r="R307" s="1" t="s">
        <v>33</v>
      </c>
      <c r="S307" s="70">
        <f>DATE(Table2[[#This Row],[Year]],MONTH(DATEVALUE("1-"&amp;Table2[[#This Row],[Month]]&amp;"-2000")),1)</f>
        <v>45170</v>
      </c>
      <c r="T307" s="16">
        <f t="shared" si="48"/>
        <v>2.9782646100281371</v>
      </c>
      <c r="U307" s="16">
        <f t="shared" si="49"/>
        <v>0.14790322758997837</v>
      </c>
      <c r="V307" s="16">
        <f t="shared" si="50"/>
        <v>95.084249999999997</v>
      </c>
      <c r="W307" s="16">
        <f t="shared" si="51"/>
        <v>3678.2312499999998</v>
      </c>
      <c r="X307" s="16">
        <f t="shared" si="52"/>
        <v>1235.0250000000001</v>
      </c>
      <c r="Y307" s="16">
        <f t="shared" si="53"/>
        <v>24869.174999999999</v>
      </c>
      <c r="Z307" s="7" t="str" cm="1">
        <f t="array" ref="Z307">_xlfn.IFS(K307&lt;2%,"Low",K307&lt;5%,"Medium",K307&lt;10%,"Good",K307&gt;10%,"Excellent")</f>
        <v>Medium</v>
      </c>
      <c r="AA307" s="16" t="str">
        <f>Data_Validation!N305</f>
        <v>Pass</v>
      </c>
    </row>
    <row r="308" spans="1:27" x14ac:dyDescent="0.35">
      <c r="A308" s="17" t="s">
        <v>100</v>
      </c>
      <c r="B308" s="3" t="s">
        <v>19</v>
      </c>
      <c r="C308" s="3" t="s">
        <v>58</v>
      </c>
      <c r="D308" s="3" t="s">
        <v>43</v>
      </c>
      <c r="E308" s="3" t="s">
        <v>22</v>
      </c>
      <c r="F308" s="3">
        <v>888.62</v>
      </c>
      <c r="G308" s="3">
        <v>673393</v>
      </c>
      <c r="H308" s="3">
        <v>3374</v>
      </c>
      <c r="I308" s="3">
        <v>226642.28</v>
      </c>
      <c r="J308" s="3">
        <v>50</v>
      </c>
      <c r="K308" s="15">
        <f t="shared" si="44"/>
        <v>5.010447094044637E-3</v>
      </c>
      <c r="L308" s="16">
        <f t="shared" si="54"/>
        <v>0.26337285121517484</v>
      </c>
      <c r="M308" s="16">
        <f t="shared" si="45"/>
        <v>1.3196157370213235</v>
      </c>
      <c r="N308" s="16">
        <f t="shared" si="46"/>
        <v>255.0497175395557</v>
      </c>
      <c r="O308" s="16">
        <f t="shared" si="47"/>
        <v>254.04971753955573</v>
      </c>
      <c r="P308" s="1">
        <v>2023</v>
      </c>
      <c r="Q308" s="1" t="s">
        <v>74</v>
      </c>
      <c r="R308" s="1" t="s">
        <v>33</v>
      </c>
      <c r="S308" s="70">
        <f>DATE(Table2[[#This Row],[Year]],MONTH(DATEVALUE("1-"&amp;Table2[[#This Row],[Month]]&amp;"-2000")),1)</f>
        <v>45170</v>
      </c>
      <c r="T308" s="16">
        <f t="shared" si="48"/>
        <v>67.173171310017779</v>
      </c>
      <c r="U308" s="16">
        <f t="shared" si="49"/>
        <v>0.33656762098804116</v>
      </c>
      <c r="V308" s="16">
        <f t="shared" si="50"/>
        <v>17.772400000000001</v>
      </c>
      <c r="W308" s="16">
        <f t="shared" si="51"/>
        <v>4532.8455999999996</v>
      </c>
      <c r="X308" s="16">
        <f t="shared" si="52"/>
        <v>67.48</v>
      </c>
      <c r="Y308" s="16">
        <f t="shared" si="53"/>
        <v>13467.86</v>
      </c>
      <c r="Z308" s="7" t="str" cm="1">
        <f t="array" ref="Z308">_xlfn.IFS(K308&lt;2%,"Low",K308&lt;5%,"Medium",K308&lt;10%,"Good",K308&gt;10%,"Excellent")</f>
        <v>Low</v>
      </c>
      <c r="AA308" s="16" t="str">
        <f>Data_Validation!N306</f>
        <v>Pass</v>
      </c>
    </row>
    <row r="309" spans="1:27" x14ac:dyDescent="0.35">
      <c r="A309" s="17" t="s">
        <v>89</v>
      </c>
      <c r="B309" s="3" t="s">
        <v>48</v>
      </c>
      <c r="C309" s="3" t="s">
        <v>20</v>
      </c>
      <c r="D309" s="3" t="s">
        <v>21</v>
      </c>
      <c r="E309" s="3" t="s">
        <v>30</v>
      </c>
      <c r="F309" s="3">
        <v>29864.48</v>
      </c>
      <c r="G309" s="3">
        <v>707309</v>
      </c>
      <c r="H309" s="3">
        <v>16375</v>
      </c>
      <c r="I309" s="3">
        <v>201355.69</v>
      </c>
      <c r="J309" s="3">
        <v>19</v>
      </c>
      <c r="K309" s="15">
        <f t="shared" si="44"/>
        <v>2.3151126311131344E-2</v>
      </c>
      <c r="L309" s="16">
        <f t="shared" si="54"/>
        <v>1.8237850381679388</v>
      </c>
      <c r="M309" s="16">
        <f t="shared" si="45"/>
        <v>42.222677782977456</v>
      </c>
      <c r="N309" s="16">
        <f t="shared" si="46"/>
        <v>6.7423136113536888</v>
      </c>
      <c r="O309" s="16">
        <f t="shared" si="47"/>
        <v>5.7423136113536879</v>
      </c>
      <c r="P309" s="1">
        <v>2023</v>
      </c>
      <c r="Q309" s="1" t="s">
        <v>74</v>
      </c>
      <c r="R309" s="1" t="s">
        <v>33</v>
      </c>
      <c r="S309" s="70">
        <f>DATE(Table2[[#This Row],[Year]],MONTH(DATEVALUE("1-"&amp;Table2[[#This Row],[Month]]&amp;"-2000")),1)</f>
        <v>45170</v>
      </c>
      <c r="T309" s="16">
        <f t="shared" si="48"/>
        <v>12.296530687022901</v>
      </c>
      <c r="U309" s="16">
        <f t="shared" si="49"/>
        <v>0.28467853512396984</v>
      </c>
      <c r="V309" s="16">
        <f t="shared" si="50"/>
        <v>1571.8147368421053</v>
      </c>
      <c r="W309" s="16">
        <f t="shared" si="51"/>
        <v>10597.667894736842</v>
      </c>
      <c r="X309" s="16">
        <f t="shared" si="52"/>
        <v>861.84210526315792</v>
      </c>
      <c r="Y309" s="16">
        <f t="shared" si="53"/>
        <v>37226.789473684214</v>
      </c>
      <c r="Z309" s="7" t="str" cm="1">
        <f t="array" ref="Z309">_xlfn.IFS(K309&lt;2%,"Low",K309&lt;5%,"Medium",K309&lt;10%,"Good",K309&gt;10%,"Excellent")</f>
        <v>Medium</v>
      </c>
      <c r="AA309" s="16" t="str">
        <f>Data_Validation!N307</f>
        <v>Pass</v>
      </c>
    </row>
    <row r="310" spans="1:27" x14ac:dyDescent="0.35">
      <c r="A310" s="17" t="s">
        <v>109</v>
      </c>
      <c r="B310" s="3" t="s">
        <v>48</v>
      </c>
      <c r="C310" s="3" t="s">
        <v>58</v>
      </c>
      <c r="D310" s="3" t="s">
        <v>51</v>
      </c>
      <c r="E310" s="3" t="s">
        <v>22</v>
      </c>
      <c r="F310" s="3">
        <v>3179.59</v>
      </c>
      <c r="G310" s="3">
        <v>154495</v>
      </c>
      <c r="H310" s="3">
        <v>7783</v>
      </c>
      <c r="I310" s="3">
        <v>240702.74</v>
      </c>
      <c r="J310" s="3">
        <v>19</v>
      </c>
      <c r="K310" s="15">
        <f t="shared" si="44"/>
        <v>5.0377034855496938E-2</v>
      </c>
      <c r="L310" s="16">
        <f t="shared" si="54"/>
        <v>0.40853012977001157</v>
      </c>
      <c r="M310" s="16">
        <f t="shared" si="45"/>
        <v>20.580536586944561</v>
      </c>
      <c r="N310" s="16">
        <f t="shared" si="46"/>
        <v>75.702445912837817</v>
      </c>
      <c r="O310" s="16">
        <f t="shared" si="47"/>
        <v>74.702445912837817</v>
      </c>
      <c r="P310" s="1">
        <v>2023</v>
      </c>
      <c r="Q310" s="1" t="s">
        <v>74</v>
      </c>
      <c r="R310" s="1" t="s">
        <v>33</v>
      </c>
      <c r="S310" s="70">
        <f>DATE(Table2[[#This Row],[Year]],MONTH(DATEVALUE("1-"&amp;Table2[[#This Row],[Month]]&amp;"-2000")),1)</f>
        <v>45170</v>
      </c>
      <c r="T310" s="16">
        <f t="shared" si="48"/>
        <v>30.926730052678913</v>
      </c>
      <c r="U310" s="16">
        <f t="shared" si="49"/>
        <v>1.5579969578303505</v>
      </c>
      <c r="V310" s="16">
        <f t="shared" si="50"/>
        <v>167.34684210526316</v>
      </c>
      <c r="W310" s="16">
        <f t="shared" si="51"/>
        <v>12668.565263157894</v>
      </c>
      <c r="X310" s="16">
        <f t="shared" si="52"/>
        <v>409.63157894736844</v>
      </c>
      <c r="Y310" s="16">
        <f t="shared" si="53"/>
        <v>8131.3157894736842</v>
      </c>
      <c r="Z310" s="7" t="str" cm="1">
        <f t="array" ref="Z310">_xlfn.IFS(K310&lt;2%,"Low",K310&lt;5%,"Medium",K310&lt;10%,"Good",K310&gt;10%,"Excellent")</f>
        <v>Good</v>
      </c>
      <c r="AA310" s="16" t="str">
        <f>Data_Validation!N308</f>
        <v>Pass</v>
      </c>
    </row>
    <row r="311" spans="1:27" x14ac:dyDescent="0.35">
      <c r="A311" s="17" t="s">
        <v>96</v>
      </c>
      <c r="B311" s="3" t="s">
        <v>35</v>
      </c>
      <c r="C311" s="3" t="s">
        <v>58</v>
      </c>
      <c r="D311" s="3" t="s">
        <v>37</v>
      </c>
      <c r="E311" s="3" t="s">
        <v>30</v>
      </c>
      <c r="F311" s="3">
        <v>21710.25</v>
      </c>
      <c r="G311" s="3">
        <v>678933</v>
      </c>
      <c r="H311" s="3">
        <v>15359</v>
      </c>
      <c r="I311" s="3">
        <v>17860.32</v>
      </c>
      <c r="J311" s="3">
        <v>9</v>
      </c>
      <c r="K311" s="15">
        <f t="shared" si="44"/>
        <v>2.2622261695925815E-2</v>
      </c>
      <c r="L311" s="16">
        <f t="shared" si="54"/>
        <v>1.4135197604010679</v>
      </c>
      <c r="M311" s="16">
        <f t="shared" si="45"/>
        <v>31.977013932155309</v>
      </c>
      <c r="N311" s="16">
        <f t="shared" si="46"/>
        <v>0.82266763395170484</v>
      </c>
      <c r="O311" s="16">
        <f t="shared" si="47"/>
        <v>-0.17733236604829516</v>
      </c>
      <c r="P311" s="1">
        <v>2023</v>
      </c>
      <c r="Q311" s="1" t="s">
        <v>74</v>
      </c>
      <c r="R311" s="1" t="s">
        <v>33</v>
      </c>
      <c r="S311" s="70">
        <f>DATE(Table2[[#This Row],[Year]],MONTH(DATEVALUE("1-"&amp;Table2[[#This Row],[Month]]&amp;"-2000")),1)</f>
        <v>45170</v>
      </c>
      <c r="T311" s="16">
        <f t="shared" si="48"/>
        <v>1.1628569568331271</v>
      </c>
      <c r="U311" s="16">
        <f t="shared" si="49"/>
        <v>2.6306454392406909E-2</v>
      </c>
      <c r="V311" s="16">
        <f t="shared" si="50"/>
        <v>2412.25</v>
      </c>
      <c r="W311" s="16">
        <f t="shared" si="51"/>
        <v>1984.48</v>
      </c>
      <c r="X311" s="16">
        <f t="shared" si="52"/>
        <v>1706.5555555555557</v>
      </c>
      <c r="Y311" s="16">
        <f t="shared" si="53"/>
        <v>75437</v>
      </c>
      <c r="Z311" s="7" t="str" cm="1">
        <f t="array" ref="Z311">_xlfn.IFS(K311&lt;2%,"Low",K311&lt;5%,"Medium",K311&lt;10%,"Good",K311&gt;10%,"Excellent")</f>
        <v>Medium</v>
      </c>
      <c r="AA311" s="16" t="str">
        <f>Data_Validation!N309</f>
        <v>Pass</v>
      </c>
    </row>
    <row r="312" spans="1:27" x14ac:dyDescent="0.35">
      <c r="A312" s="17" t="s">
        <v>87</v>
      </c>
      <c r="B312" s="3" t="s">
        <v>19</v>
      </c>
      <c r="C312" s="3" t="s">
        <v>29</v>
      </c>
      <c r="D312" s="3" t="s">
        <v>21</v>
      </c>
      <c r="E312" s="3" t="s">
        <v>30</v>
      </c>
      <c r="F312" s="3">
        <v>11922.93</v>
      </c>
      <c r="G312" s="3">
        <v>389547</v>
      </c>
      <c r="H312" s="3">
        <v>15231</v>
      </c>
      <c r="I312" s="3">
        <v>116676.19</v>
      </c>
      <c r="J312" s="3">
        <v>27</v>
      </c>
      <c r="K312" s="15">
        <f t="shared" si="44"/>
        <v>3.9099261449837885E-2</v>
      </c>
      <c r="L312" s="16">
        <f t="shared" si="54"/>
        <v>0.7828067756549143</v>
      </c>
      <c r="M312" s="16">
        <f t="shared" si="45"/>
        <v>30.607166786036089</v>
      </c>
      <c r="N312" s="16">
        <f t="shared" si="46"/>
        <v>9.7858655548594182</v>
      </c>
      <c r="O312" s="16">
        <f t="shared" si="47"/>
        <v>8.7858655548594182</v>
      </c>
      <c r="P312" s="1">
        <v>2023</v>
      </c>
      <c r="Q312" s="1" t="s">
        <v>74</v>
      </c>
      <c r="R312" s="1" t="s">
        <v>33</v>
      </c>
      <c r="S312" s="70">
        <f>DATE(Table2[[#This Row],[Year]],MONTH(DATEVALUE("1-"&amp;Table2[[#This Row],[Month]]&amp;"-2000")),1)</f>
        <v>45170</v>
      </c>
      <c r="T312" s="16">
        <f t="shared" si="48"/>
        <v>7.6604418619919903</v>
      </c>
      <c r="U312" s="16">
        <f t="shared" si="49"/>
        <v>0.29951761918330777</v>
      </c>
      <c r="V312" s="16">
        <f t="shared" si="50"/>
        <v>441.59000000000003</v>
      </c>
      <c r="W312" s="16">
        <f t="shared" si="51"/>
        <v>4321.3403703703707</v>
      </c>
      <c r="X312" s="16">
        <f t="shared" si="52"/>
        <v>564.11111111111109</v>
      </c>
      <c r="Y312" s="16">
        <f t="shared" si="53"/>
        <v>14427.666666666666</v>
      </c>
      <c r="Z312" s="7" t="str" cm="1">
        <f t="array" ref="Z312">_xlfn.IFS(K312&lt;2%,"Low",K312&lt;5%,"Medium",K312&lt;10%,"Good",K312&gt;10%,"Excellent")</f>
        <v>Medium</v>
      </c>
      <c r="AA312" s="16" t="str">
        <f>Data_Validation!N310</f>
        <v>Pass</v>
      </c>
    </row>
    <row r="313" spans="1:27" x14ac:dyDescent="0.35">
      <c r="A313" s="17" t="s">
        <v>109</v>
      </c>
      <c r="B313" s="3" t="s">
        <v>19</v>
      </c>
      <c r="C313" s="3" t="s">
        <v>29</v>
      </c>
      <c r="D313" s="3" t="s">
        <v>63</v>
      </c>
      <c r="E313" s="3" t="s">
        <v>38</v>
      </c>
      <c r="F313" s="3">
        <v>10600.54</v>
      </c>
      <c r="G313" s="3">
        <v>743907</v>
      </c>
      <c r="H313" s="3">
        <v>5961</v>
      </c>
      <c r="I313" s="3">
        <v>30840.07</v>
      </c>
      <c r="J313" s="3">
        <v>19</v>
      </c>
      <c r="K313" s="15">
        <f t="shared" si="44"/>
        <v>8.0130984114949854E-3</v>
      </c>
      <c r="L313" s="16">
        <f t="shared" si="54"/>
        <v>1.7783157188391212</v>
      </c>
      <c r="M313" s="16">
        <f t="shared" si="45"/>
        <v>14.249818861766324</v>
      </c>
      <c r="N313" s="16">
        <f t="shared" si="46"/>
        <v>2.9092923568044644</v>
      </c>
      <c r="O313" s="16">
        <f t="shared" si="47"/>
        <v>1.9092923568044644</v>
      </c>
      <c r="P313" s="1">
        <v>2023</v>
      </c>
      <c r="Q313" s="1" t="s">
        <v>74</v>
      </c>
      <c r="R313" s="1" t="s">
        <v>33</v>
      </c>
      <c r="S313" s="70">
        <f>DATE(Table2[[#This Row],[Year]],MONTH(DATEVALUE("1-"&amp;Table2[[#This Row],[Month]]&amp;"-2000")),1)</f>
        <v>45170</v>
      </c>
      <c r="T313" s="16">
        <f t="shared" si="48"/>
        <v>5.1736403288038924</v>
      </c>
      <c r="U313" s="16">
        <f t="shared" si="49"/>
        <v>4.1456889100384857E-2</v>
      </c>
      <c r="V313" s="16">
        <f t="shared" si="50"/>
        <v>557.92315789473685</v>
      </c>
      <c r="W313" s="16">
        <f t="shared" si="51"/>
        <v>1623.1615789473683</v>
      </c>
      <c r="X313" s="16">
        <f t="shared" si="52"/>
        <v>313.73684210526318</v>
      </c>
      <c r="Y313" s="16">
        <f t="shared" si="53"/>
        <v>39153</v>
      </c>
      <c r="Z313" s="7" t="str" cm="1">
        <f t="array" ref="Z313">_xlfn.IFS(K313&lt;2%,"Low",K313&lt;5%,"Medium",K313&lt;10%,"Good",K313&gt;10%,"Excellent")</f>
        <v>Low</v>
      </c>
      <c r="AA313" s="16" t="str">
        <f>Data_Validation!N311</f>
        <v>Pass</v>
      </c>
    </row>
    <row r="314" spans="1:27" x14ac:dyDescent="0.35">
      <c r="A314" s="17" t="s">
        <v>82</v>
      </c>
      <c r="B314" s="3" t="s">
        <v>48</v>
      </c>
      <c r="C314" s="3" t="s">
        <v>36</v>
      </c>
      <c r="D314" s="3" t="s">
        <v>37</v>
      </c>
      <c r="E314" s="3" t="s">
        <v>30</v>
      </c>
      <c r="F314" s="3">
        <v>6853.4</v>
      </c>
      <c r="G314" s="3">
        <v>652039</v>
      </c>
      <c r="H314" s="3">
        <v>40000</v>
      </c>
      <c r="I314" s="3">
        <v>18482.009999999998</v>
      </c>
      <c r="J314" s="3">
        <v>11</v>
      </c>
      <c r="K314" s="15">
        <f t="shared" si="44"/>
        <v>6.1346023780786116E-2</v>
      </c>
      <c r="L314" s="16">
        <f t="shared" si="54"/>
        <v>0.17133499999999999</v>
      </c>
      <c r="M314" s="16">
        <f t="shared" si="45"/>
        <v>10.510720984480988</v>
      </c>
      <c r="N314" s="16">
        <f t="shared" si="46"/>
        <v>2.6967651092888199</v>
      </c>
      <c r="O314" s="16">
        <f t="shared" si="47"/>
        <v>1.6967651092888201</v>
      </c>
      <c r="P314" s="1">
        <v>2023</v>
      </c>
      <c r="Q314" s="1" t="s">
        <v>74</v>
      </c>
      <c r="R314" s="1" t="s">
        <v>33</v>
      </c>
      <c r="S314" s="70">
        <f>DATE(Table2[[#This Row],[Year]],MONTH(DATEVALUE("1-"&amp;Table2[[#This Row],[Month]]&amp;"-2000")),1)</f>
        <v>45170</v>
      </c>
      <c r="T314" s="16">
        <f t="shared" si="48"/>
        <v>0.46205024999999994</v>
      </c>
      <c r="U314" s="16">
        <f t="shared" si="49"/>
        <v>2.834494562441817E-2</v>
      </c>
      <c r="V314" s="16">
        <f t="shared" si="50"/>
        <v>623.0363636363636</v>
      </c>
      <c r="W314" s="16">
        <f t="shared" si="51"/>
        <v>1680.1827272727271</v>
      </c>
      <c r="X314" s="16">
        <f t="shared" si="52"/>
        <v>3636.3636363636365</v>
      </c>
      <c r="Y314" s="16">
        <f t="shared" si="53"/>
        <v>59276.272727272728</v>
      </c>
      <c r="Z314" s="7" t="str" cm="1">
        <f t="array" ref="Z314">_xlfn.IFS(K314&lt;2%,"Low",K314&lt;5%,"Medium",K314&lt;10%,"Good",K314&gt;10%,"Excellent")</f>
        <v>Good</v>
      </c>
      <c r="AA314" s="16" t="str">
        <f>Data_Validation!N312</f>
        <v>Pass</v>
      </c>
    </row>
    <row r="315" spans="1:27" x14ac:dyDescent="0.35">
      <c r="A315" s="17" t="s">
        <v>103</v>
      </c>
      <c r="B315" s="3" t="s">
        <v>48</v>
      </c>
      <c r="C315" s="3" t="s">
        <v>36</v>
      </c>
      <c r="D315" s="3" t="s">
        <v>43</v>
      </c>
      <c r="E315" s="3" t="s">
        <v>38</v>
      </c>
      <c r="F315" s="3">
        <v>20478.509999999998</v>
      </c>
      <c r="G315" s="3">
        <v>492134</v>
      </c>
      <c r="H315" s="3">
        <v>39389</v>
      </c>
      <c r="I315" s="3">
        <v>85472.02</v>
      </c>
      <c r="J315" s="3">
        <v>48</v>
      </c>
      <c r="K315" s="15">
        <f t="shared" si="44"/>
        <v>8.0037144354992748E-2</v>
      </c>
      <c r="L315" s="16">
        <f t="shared" si="54"/>
        <v>0.51990428799918753</v>
      </c>
      <c r="M315" s="16">
        <f t="shared" si="45"/>
        <v>41.611654549370698</v>
      </c>
      <c r="N315" s="16">
        <f t="shared" si="46"/>
        <v>4.1737421326063275</v>
      </c>
      <c r="O315" s="16">
        <f t="shared" si="47"/>
        <v>3.173742132606328</v>
      </c>
      <c r="P315" s="1">
        <v>2023</v>
      </c>
      <c r="Q315" s="1" t="s">
        <v>74</v>
      </c>
      <c r="R315" s="1" t="s">
        <v>33</v>
      </c>
      <c r="S315" s="70">
        <f>DATE(Table2[[#This Row],[Year]],MONTH(DATEVALUE("1-"&amp;Table2[[#This Row],[Month]]&amp;"-2000")),1)</f>
        <v>45170</v>
      </c>
      <c r="T315" s="16">
        <f t="shared" si="48"/>
        <v>2.1699464317449033</v>
      </c>
      <c r="U315" s="16">
        <f t="shared" si="49"/>
        <v>0.17367631580016826</v>
      </c>
      <c r="V315" s="16">
        <f t="shared" si="50"/>
        <v>426.63562499999995</v>
      </c>
      <c r="W315" s="16">
        <f t="shared" si="51"/>
        <v>1780.6670833333335</v>
      </c>
      <c r="X315" s="16">
        <f t="shared" si="52"/>
        <v>820.60416666666663</v>
      </c>
      <c r="Y315" s="16">
        <f t="shared" si="53"/>
        <v>10252.791666666666</v>
      </c>
      <c r="Z315" s="7" t="str" cm="1">
        <f t="array" ref="Z315">_xlfn.IFS(K315&lt;2%,"Low",K315&lt;5%,"Medium",K315&lt;10%,"Good",K315&gt;10%,"Excellent")</f>
        <v>Good</v>
      </c>
      <c r="AA315" s="16" t="str">
        <f>Data_Validation!N313</f>
        <v>Pass</v>
      </c>
    </row>
    <row r="316" spans="1:27" x14ac:dyDescent="0.35">
      <c r="A316" s="17" t="s">
        <v>111</v>
      </c>
      <c r="B316" s="3" t="s">
        <v>35</v>
      </c>
      <c r="C316" s="3" t="s">
        <v>58</v>
      </c>
      <c r="D316" s="3" t="s">
        <v>21</v>
      </c>
      <c r="E316" s="3" t="s">
        <v>38</v>
      </c>
      <c r="F316" s="3">
        <v>11963.69</v>
      </c>
      <c r="G316" s="3">
        <v>558141</v>
      </c>
      <c r="H316" s="3">
        <v>40064</v>
      </c>
      <c r="I316" s="3">
        <v>43892.82</v>
      </c>
      <c r="J316" s="3">
        <v>51</v>
      </c>
      <c r="K316" s="15">
        <f t="shared" si="44"/>
        <v>7.1781144907827957E-2</v>
      </c>
      <c r="L316" s="16">
        <f t="shared" si="54"/>
        <v>0.29861446685303517</v>
      </c>
      <c r="M316" s="16">
        <f t="shared" si="45"/>
        <v>21.434888316751504</v>
      </c>
      <c r="N316" s="16">
        <f t="shared" si="46"/>
        <v>3.6688362871321472</v>
      </c>
      <c r="O316" s="16">
        <f t="shared" si="47"/>
        <v>2.6688362871321472</v>
      </c>
      <c r="P316" s="1">
        <v>2023</v>
      </c>
      <c r="Q316" s="1" t="s">
        <v>74</v>
      </c>
      <c r="R316" s="1" t="s">
        <v>33</v>
      </c>
      <c r="S316" s="70">
        <f>DATE(Table2[[#This Row],[Year]],MONTH(DATEVALUE("1-"&amp;Table2[[#This Row],[Month]]&amp;"-2000")),1)</f>
        <v>45170</v>
      </c>
      <c r="T316" s="16">
        <f t="shared" si="48"/>
        <v>1.0955675918530352</v>
      </c>
      <c r="U316" s="16">
        <f t="shared" si="49"/>
        <v>7.8641096067122829E-2</v>
      </c>
      <c r="V316" s="16">
        <f t="shared" si="50"/>
        <v>234.58215686274511</v>
      </c>
      <c r="W316" s="16">
        <f t="shared" si="51"/>
        <v>860.64352941176469</v>
      </c>
      <c r="X316" s="16">
        <f t="shared" si="52"/>
        <v>785.56862745098044</v>
      </c>
      <c r="Y316" s="16">
        <f t="shared" si="53"/>
        <v>10943.941176470587</v>
      </c>
      <c r="Z316" s="7" t="str" cm="1">
        <f t="array" ref="Z316">_xlfn.IFS(K316&lt;2%,"Low",K316&lt;5%,"Medium",K316&lt;10%,"Good",K316&gt;10%,"Excellent")</f>
        <v>Good</v>
      </c>
      <c r="AA316" s="16" t="str">
        <f>Data_Validation!N314</f>
        <v>Pass</v>
      </c>
    </row>
    <row r="317" spans="1:27" x14ac:dyDescent="0.35">
      <c r="A317" s="17" t="s">
        <v>78</v>
      </c>
      <c r="B317" s="3" t="s">
        <v>28</v>
      </c>
      <c r="C317" s="3" t="s">
        <v>58</v>
      </c>
      <c r="D317" s="3" t="s">
        <v>51</v>
      </c>
      <c r="E317" s="3" t="s">
        <v>30</v>
      </c>
      <c r="F317" s="3">
        <v>23426.99</v>
      </c>
      <c r="G317" s="3">
        <v>179268</v>
      </c>
      <c r="H317" s="3">
        <v>908</v>
      </c>
      <c r="I317" s="3">
        <v>33599.01</v>
      </c>
      <c r="J317" s="3">
        <v>44</v>
      </c>
      <c r="K317" s="15">
        <f t="shared" si="44"/>
        <v>5.0650422830622313E-3</v>
      </c>
      <c r="L317" s="16">
        <f t="shared" si="54"/>
        <v>25.800649779735686</v>
      </c>
      <c r="M317" s="16">
        <f t="shared" si="45"/>
        <v>130.68138206484147</v>
      </c>
      <c r="N317" s="16">
        <f t="shared" si="46"/>
        <v>1.4342008939261937</v>
      </c>
      <c r="O317" s="16">
        <f t="shared" si="47"/>
        <v>0.43420089392619365</v>
      </c>
      <c r="P317" s="1">
        <v>2023</v>
      </c>
      <c r="Q317" s="1" t="s">
        <v>74</v>
      </c>
      <c r="R317" s="1" t="s">
        <v>33</v>
      </c>
      <c r="S317" s="70">
        <f>DATE(Table2[[#This Row],[Year]],MONTH(DATEVALUE("1-"&amp;Table2[[#This Row],[Month]]&amp;"-2000")),1)</f>
        <v>45170</v>
      </c>
      <c r="T317" s="16">
        <f t="shared" si="48"/>
        <v>37.003314977973574</v>
      </c>
      <c r="U317" s="16">
        <f t="shared" si="49"/>
        <v>0.1874233549769061</v>
      </c>
      <c r="V317" s="16">
        <f t="shared" si="50"/>
        <v>532.43159090909091</v>
      </c>
      <c r="W317" s="16">
        <f t="shared" si="51"/>
        <v>763.6138636363637</v>
      </c>
      <c r="X317" s="16">
        <f t="shared" si="52"/>
        <v>20.636363636363637</v>
      </c>
      <c r="Y317" s="16">
        <f t="shared" si="53"/>
        <v>4074.2727272727275</v>
      </c>
      <c r="Z317" s="7" t="str" cm="1">
        <f t="array" ref="Z317">_xlfn.IFS(K317&lt;2%,"Low",K317&lt;5%,"Medium",K317&lt;10%,"Good",K317&gt;10%,"Excellent")</f>
        <v>Low</v>
      </c>
      <c r="AA317" s="16" t="str">
        <f>Data_Validation!N315</f>
        <v>Pass</v>
      </c>
    </row>
    <row r="318" spans="1:27" x14ac:dyDescent="0.35">
      <c r="A318" s="17" t="s">
        <v>70</v>
      </c>
      <c r="B318" s="3" t="s">
        <v>28</v>
      </c>
      <c r="C318" s="3" t="s">
        <v>20</v>
      </c>
      <c r="D318" s="3" t="s">
        <v>37</v>
      </c>
      <c r="E318" s="3" t="s">
        <v>22</v>
      </c>
      <c r="F318" s="3">
        <v>6071.1</v>
      </c>
      <c r="G318" s="3">
        <v>992946</v>
      </c>
      <c r="H318" s="3">
        <v>47615</v>
      </c>
      <c r="I318" s="3">
        <v>192545.03</v>
      </c>
      <c r="J318" s="3">
        <v>35</v>
      </c>
      <c r="K318" s="15">
        <f t="shared" si="44"/>
        <v>4.7953262312351329E-2</v>
      </c>
      <c r="L318" s="16">
        <f t="shared" si="54"/>
        <v>0.12750393783471595</v>
      </c>
      <c r="M318" s="16">
        <f t="shared" si="45"/>
        <v>6.1142297768458711</v>
      </c>
      <c r="N318" s="16">
        <f t="shared" si="46"/>
        <v>31.715015400833455</v>
      </c>
      <c r="O318" s="16">
        <f t="shared" si="47"/>
        <v>30.715015400833455</v>
      </c>
      <c r="P318" s="1">
        <v>2023</v>
      </c>
      <c r="Q318" s="1" t="s">
        <v>74</v>
      </c>
      <c r="R318" s="1" t="s">
        <v>33</v>
      </c>
      <c r="S318" s="70">
        <f>DATE(Table2[[#This Row],[Year]],MONTH(DATEVALUE("1-"&amp;Table2[[#This Row],[Month]]&amp;"-2000")),1)</f>
        <v>45170</v>
      </c>
      <c r="T318" s="16">
        <f t="shared" si="48"/>
        <v>4.0437893520949277</v>
      </c>
      <c r="U318" s="16">
        <f t="shared" si="49"/>
        <v>0.19391289153690131</v>
      </c>
      <c r="V318" s="16">
        <f t="shared" si="50"/>
        <v>173.46</v>
      </c>
      <c r="W318" s="16">
        <f t="shared" si="51"/>
        <v>5501.2865714285717</v>
      </c>
      <c r="X318" s="16">
        <f t="shared" si="52"/>
        <v>1360.4285714285713</v>
      </c>
      <c r="Y318" s="16">
        <f t="shared" si="53"/>
        <v>28369.885714285716</v>
      </c>
      <c r="Z318" s="7" t="str" cm="1">
        <f t="array" ref="Z318">_xlfn.IFS(K318&lt;2%,"Low",K318&lt;5%,"Medium",K318&lt;10%,"Good",K318&gt;10%,"Excellent")</f>
        <v>Medium</v>
      </c>
      <c r="AA318" s="16" t="str">
        <f>Data_Validation!N316</f>
        <v>Pass</v>
      </c>
    </row>
    <row r="319" spans="1:27" x14ac:dyDescent="0.35">
      <c r="A319" s="17" t="s">
        <v>103</v>
      </c>
      <c r="B319" s="3" t="s">
        <v>19</v>
      </c>
      <c r="C319" s="3" t="s">
        <v>58</v>
      </c>
      <c r="D319" s="3" t="s">
        <v>37</v>
      </c>
      <c r="E319" s="3" t="s">
        <v>22</v>
      </c>
      <c r="F319" s="3">
        <v>6119.82</v>
      </c>
      <c r="G319" s="3">
        <v>982532</v>
      </c>
      <c r="H319" s="3">
        <v>38882</v>
      </c>
      <c r="I319" s="3">
        <v>236831.83</v>
      </c>
      <c r="J319" s="3">
        <v>26</v>
      </c>
      <c r="K319" s="15">
        <f t="shared" si="44"/>
        <v>3.957326580711875E-2</v>
      </c>
      <c r="L319" s="16">
        <f t="shared" si="54"/>
        <v>0.15739468134355228</v>
      </c>
      <c r="M319" s="16">
        <f t="shared" si="45"/>
        <v>6.2286215614351486</v>
      </c>
      <c r="N319" s="16">
        <f t="shared" si="46"/>
        <v>38.699149648192268</v>
      </c>
      <c r="O319" s="16">
        <f t="shared" si="47"/>
        <v>37.699149648192268</v>
      </c>
      <c r="P319" s="1">
        <v>2023</v>
      </c>
      <c r="Q319" s="1" t="s">
        <v>74</v>
      </c>
      <c r="R319" s="1" t="s">
        <v>33</v>
      </c>
      <c r="S319" s="70">
        <f>DATE(Table2[[#This Row],[Year]],MONTH(DATEVALUE("1-"&amp;Table2[[#This Row],[Month]]&amp;"-2000")),1)</f>
        <v>45170</v>
      </c>
      <c r="T319" s="16">
        <f t="shared" si="48"/>
        <v>6.0910403271436655</v>
      </c>
      <c r="U319" s="16">
        <f t="shared" si="49"/>
        <v>0.24104235790793582</v>
      </c>
      <c r="V319" s="16">
        <f t="shared" si="50"/>
        <v>235.37769230769229</v>
      </c>
      <c r="W319" s="16">
        <f t="shared" si="51"/>
        <v>9108.9165384615371</v>
      </c>
      <c r="X319" s="16">
        <f t="shared" si="52"/>
        <v>1495.4615384615386</v>
      </c>
      <c r="Y319" s="16">
        <f t="shared" si="53"/>
        <v>37789.692307692305</v>
      </c>
      <c r="Z319" s="7" t="str" cm="1">
        <f t="array" ref="Z319">_xlfn.IFS(K319&lt;2%,"Low",K319&lt;5%,"Medium",K319&lt;10%,"Good",K319&gt;10%,"Excellent")</f>
        <v>Medium</v>
      </c>
      <c r="AA319" s="16" t="str">
        <f>Data_Validation!N317</f>
        <v>Pass</v>
      </c>
    </row>
    <row r="320" spans="1:27" x14ac:dyDescent="0.35">
      <c r="A320" s="17" t="s">
        <v>93</v>
      </c>
      <c r="B320" s="3" t="s">
        <v>48</v>
      </c>
      <c r="C320" s="3" t="s">
        <v>58</v>
      </c>
      <c r="D320" s="3" t="s">
        <v>51</v>
      </c>
      <c r="E320" s="3" t="s">
        <v>38</v>
      </c>
      <c r="F320" s="3">
        <v>31566.38</v>
      </c>
      <c r="G320" s="3">
        <v>260132</v>
      </c>
      <c r="H320" s="3">
        <v>8372</v>
      </c>
      <c r="I320" s="3">
        <v>121022.46</v>
      </c>
      <c r="J320" s="3">
        <v>18</v>
      </c>
      <c r="K320" s="15">
        <f t="shared" si="44"/>
        <v>3.2183660603078437E-2</v>
      </c>
      <c r="L320" s="16">
        <f t="shared" si="54"/>
        <v>3.7704706163401815</v>
      </c>
      <c r="M320" s="16">
        <f t="shared" si="45"/>
        <v>121.34754663017237</v>
      </c>
      <c r="N320" s="16">
        <f t="shared" si="46"/>
        <v>3.8339036658622243</v>
      </c>
      <c r="O320" s="16">
        <f t="shared" si="47"/>
        <v>2.8339036658622243</v>
      </c>
      <c r="P320" s="1">
        <v>2023</v>
      </c>
      <c r="Q320" s="1" t="s">
        <v>74</v>
      </c>
      <c r="R320" s="1" t="s">
        <v>33</v>
      </c>
      <c r="S320" s="70">
        <f>DATE(Table2[[#This Row],[Year]],MONTH(DATEVALUE("1-"&amp;Table2[[#This Row],[Month]]&amp;"-2000")),1)</f>
        <v>45170</v>
      </c>
      <c r="T320" s="16">
        <f t="shared" si="48"/>
        <v>14.455621118012424</v>
      </c>
      <c r="U320" s="16">
        <f t="shared" si="49"/>
        <v>0.46523480386880511</v>
      </c>
      <c r="V320" s="16">
        <f t="shared" si="50"/>
        <v>1753.6877777777779</v>
      </c>
      <c r="W320" s="16">
        <f t="shared" si="51"/>
        <v>6723.47</v>
      </c>
      <c r="X320" s="16">
        <f t="shared" si="52"/>
        <v>465.11111111111109</v>
      </c>
      <c r="Y320" s="16">
        <f t="shared" si="53"/>
        <v>14451.777777777777</v>
      </c>
      <c r="Z320" s="7" t="str" cm="1">
        <f t="array" ref="Z320">_xlfn.IFS(K320&lt;2%,"Low",K320&lt;5%,"Medium",K320&lt;10%,"Good",K320&gt;10%,"Excellent")</f>
        <v>Medium</v>
      </c>
      <c r="AA320" s="16" t="str">
        <f>Data_Validation!N318</f>
        <v>Pass</v>
      </c>
    </row>
    <row r="321" spans="1:27" x14ac:dyDescent="0.35">
      <c r="A321" s="17" t="s">
        <v>67</v>
      </c>
      <c r="B321" s="3" t="s">
        <v>19</v>
      </c>
      <c r="C321" s="3" t="s">
        <v>58</v>
      </c>
      <c r="D321" s="3" t="s">
        <v>43</v>
      </c>
      <c r="E321" s="3" t="s">
        <v>22</v>
      </c>
      <c r="F321" s="3">
        <v>5613.18</v>
      </c>
      <c r="G321" s="3">
        <v>452374</v>
      </c>
      <c r="H321" s="3">
        <v>12125</v>
      </c>
      <c r="I321" s="3">
        <v>73243.56</v>
      </c>
      <c r="J321" s="3">
        <v>18</v>
      </c>
      <c r="K321" s="15">
        <f t="shared" si="44"/>
        <v>2.6803043499405359E-2</v>
      </c>
      <c r="L321" s="16">
        <f t="shared" si="54"/>
        <v>0.46294268041237113</v>
      </c>
      <c r="M321" s="16">
        <f t="shared" si="45"/>
        <v>12.408272800824097</v>
      </c>
      <c r="N321" s="16">
        <f t="shared" si="46"/>
        <v>13.048496574134447</v>
      </c>
      <c r="O321" s="16">
        <f t="shared" si="47"/>
        <v>12.048496574134449</v>
      </c>
      <c r="P321" s="1">
        <v>2023</v>
      </c>
      <c r="Q321" s="1" t="s">
        <v>74</v>
      </c>
      <c r="R321" s="1" t="s">
        <v>33</v>
      </c>
      <c r="S321" s="70">
        <f>DATE(Table2[[#This Row],[Year]],MONTH(DATEVALUE("1-"&amp;Table2[[#This Row],[Month]]&amp;"-2000")),1)</f>
        <v>45170</v>
      </c>
      <c r="T321" s="16">
        <f t="shared" si="48"/>
        <v>6.0407059793814435</v>
      </c>
      <c r="U321" s="16">
        <f t="shared" si="49"/>
        <v>0.16190930513247886</v>
      </c>
      <c r="V321" s="16">
        <f t="shared" si="50"/>
        <v>311.84333333333336</v>
      </c>
      <c r="W321" s="16">
        <f t="shared" si="51"/>
        <v>4069.0866666666666</v>
      </c>
      <c r="X321" s="16">
        <f t="shared" si="52"/>
        <v>673.61111111111109</v>
      </c>
      <c r="Y321" s="16">
        <f t="shared" si="53"/>
        <v>25131.888888888891</v>
      </c>
      <c r="Z321" s="7" t="str" cm="1">
        <f t="array" ref="Z321">_xlfn.IFS(K321&lt;2%,"Low",K321&lt;5%,"Medium",K321&lt;10%,"Good",K321&gt;10%,"Excellent")</f>
        <v>Medium</v>
      </c>
      <c r="AA321" s="16" t="str">
        <f>Data_Validation!N319</f>
        <v>Pass</v>
      </c>
    </row>
    <row r="322" spans="1:27" x14ac:dyDescent="0.35">
      <c r="A322" s="17" t="s">
        <v>111</v>
      </c>
      <c r="B322" s="3" t="s">
        <v>35</v>
      </c>
      <c r="C322" s="3" t="s">
        <v>69</v>
      </c>
      <c r="D322" s="3" t="s">
        <v>51</v>
      </c>
      <c r="E322" s="3" t="s">
        <v>30</v>
      </c>
      <c r="F322" s="3">
        <v>11361.86</v>
      </c>
      <c r="G322" s="3">
        <v>423769</v>
      </c>
      <c r="H322" s="3">
        <v>2630</v>
      </c>
      <c r="I322" s="3">
        <v>155809.07999999999</v>
      </c>
      <c r="J322" s="3">
        <v>55</v>
      </c>
      <c r="K322" s="15">
        <f t="shared" si="44"/>
        <v>6.2062114029105483E-3</v>
      </c>
      <c r="L322" s="16">
        <f t="shared" si="54"/>
        <v>4.32009885931559</v>
      </c>
      <c r="M322" s="16">
        <f t="shared" si="45"/>
        <v>26.811446802385262</v>
      </c>
      <c r="N322" s="16">
        <f t="shared" si="46"/>
        <v>13.713342709732384</v>
      </c>
      <c r="O322" s="16">
        <f t="shared" si="47"/>
        <v>12.713342709732382</v>
      </c>
      <c r="P322" s="1">
        <v>2023</v>
      </c>
      <c r="Q322" s="1" t="s">
        <v>74</v>
      </c>
      <c r="R322" s="1" t="s">
        <v>33</v>
      </c>
      <c r="S322" s="70">
        <f>DATE(Table2[[#This Row],[Year]],MONTH(DATEVALUE("1-"&amp;Table2[[#This Row],[Month]]&amp;"-2000")),1)</f>
        <v>45170</v>
      </c>
      <c r="T322" s="16">
        <f t="shared" si="48"/>
        <v>59.242996197718625</v>
      </c>
      <c r="U322" s="16">
        <f t="shared" si="49"/>
        <v>0.36767455854486758</v>
      </c>
      <c r="V322" s="16">
        <f t="shared" si="50"/>
        <v>206.57927272727275</v>
      </c>
      <c r="W322" s="16">
        <f t="shared" si="51"/>
        <v>2832.8923636363634</v>
      </c>
      <c r="X322" s="16">
        <f t="shared" si="52"/>
        <v>47.81818181818182</v>
      </c>
      <c r="Y322" s="16">
        <f t="shared" si="53"/>
        <v>7704.8909090909092</v>
      </c>
      <c r="Z322" s="7" t="str" cm="1">
        <f t="array" ref="Z322">_xlfn.IFS(K322&lt;2%,"Low",K322&lt;5%,"Medium",K322&lt;10%,"Good",K322&gt;10%,"Excellent")</f>
        <v>Low</v>
      </c>
      <c r="AA322" s="16" t="str">
        <f>Data_Validation!N320</f>
        <v>Pass</v>
      </c>
    </row>
    <row r="323" spans="1:27" x14ac:dyDescent="0.35">
      <c r="A323" s="17" t="s">
        <v>66</v>
      </c>
      <c r="B323" s="3" t="s">
        <v>35</v>
      </c>
      <c r="C323" s="3" t="s">
        <v>58</v>
      </c>
      <c r="D323" s="3" t="s">
        <v>21</v>
      </c>
      <c r="E323" s="3" t="s">
        <v>38</v>
      </c>
      <c r="F323" s="3">
        <v>35711.33</v>
      </c>
      <c r="G323" s="3">
        <v>808462</v>
      </c>
      <c r="H323" s="3">
        <v>44417</v>
      </c>
      <c r="I323" s="3">
        <v>101211.68</v>
      </c>
      <c r="J323" s="3">
        <v>15</v>
      </c>
      <c r="K323" s="15">
        <f t="shared" si="44"/>
        <v>5.4940120871481903E-2</v>
      </c>
      <c r="L323" s="16">
        <f t="shared" si="54"/>
        <v>0.80400139586194475</v>
      </c>
      <c r="M323" s="16">
        <f t="shared" si="45"/>
        <v>44.171933869495419</v>
      </c>
      <c r="N323" s="16">
        <f t="shared" si="46"/>
        <v>2.8341615952136197</v>
      </c>
      <c r="O323" s="16">
        <f t="shared" si="47"/>
        <v>1.8341615952136197</v>
      </c>
      <c r="P323" s="1">
        <v>2023</v>
      </c>
      <c r="Q323" s="1" t="s">
        <v>74</v>
      </c>
      <c r="R323" s="1" t="s">
        <v>33</v>
      </c>
      <c r="S323" s="70">
        <f>DATE(Table2[[#This Row],[Year]],MONTH(DATEVALUE("1-"&amp;Table2[[#This Row],[Month]]&amp;"-2000")),1)</f>
        <v>45170</v>
      </c>
      <c r="T323" s="16">
        <f t="shared" si="48"/>
        <v>2.2786698786500663</v>
      </c>
      <c r="U323" s="16">
        <f t="shared" si="49"/>
        <v>0.12519039855923964</v>
      </c>
      <c r="V323" s="16">
        <f t="shared" si="50"/>
        <v>2380.7553333333335</v>
      </c>
      <c r="W323" s="16">
        <f t="shared" si="51"/>
        <v>6747.4453333333331</v>
      </c>
      <c r="X323" s="16">
        <f t="shared" si="52"/>
        <v>2961.1333333333332</v>
      </c>
      <c r="Y323" s="16">
        <f t="shared" si="53"/>
        <v>53897.466666666667</v>
      </c>
      <c r="Z323" s="7" t="str" cm="1">
        <f t="array" ref="Z323">_xlfn.IFS(K323&lt;2%,"Low",K323&lt;5%,"Medium",K323&lt;10%,"Good",K323&gt;10%,"Excellent")</f>
        <v>Good</v>
      </c>
      <c r="AA323" s="16" t="str">
        <f>Data_Validation!N321</f>
        <v>Pass</v>
      </c>
    </row>
    <row r="324" spans="1:27" x14ac:dyDescent="0.35">
      <c r="A324" s="17" t="s">
        <v>79</v>
      </c>
      <c r="B324" s="3" t="s">
        <v>48</v>
      </c>
      <c r="C324" s="3" t="s">
        <v>58</v>
      </c>
      <c r="D324" s="3" t="s">
        <v>51</v>
      </c>
      <c r="E324" s="3" t="s">
        <v>22</v>
      </c>
      <c r="F324" s="3">
        <v>20863.68</v>
      </c>
      <c r="G324" s="3">
        <v>183565</v>
      </c>
      <c r="H324" s="3">
        <v>3493</v>
      </c>
      <c r="I324" s="3">
        <v>102103.67999999999</v>
      </c>
      <c r="J324" s="3">
        <v>11</v>
      </c>
      <c r="K324" s="15">
        <f t="shared" si="44"/>
        <v>1.9028681938277996E-2</v>
      </c>
      <c r="L324" s="16">
        <f t="shared" si="54"/>
        <v>5.9729974234182652</v>
      </c>
      <c r="M324" s="16">
        <f t="shared" si="45"/>
        <v>113.65826818838013</v>
      </c>
      <c r="N324" s="16">
        <f t="shared" si="46"/>
        <v>4.8938480651543728</v>
      </c>
      <c r="O324" s="16">
        <f t="shared" si="47"/>
        <v>3.8938480651543736</v>
      </c>
      <c r="P324" s="1">
        <v>2023</v>
      </c>
      <c r="Q324" s="1" t="s">
        <v>74</v>
      </c>
      <c r="R324" s="1" t="s">
        <v>33</v>
      </c>
      <c r="S324" s="70">
        <f>DATE(Table2[[#This Row],[Year]],MONTH(DATEVALUE("1-"&amp;Table2[[#This Row],[Month]]&amp;"-2000")),1)</f>
        <v>45170</v>
      </c>
      <c r="T324" s="16">
        <f t="shared" si="48"/>
        <v>29.230941883767532</v>
      </c>
      <c r="U324" s="16">
        <f t="shared" si="49"/>
        <v>0.55622629586250094</v>
      </c>
      <c r="V324" s="16">
        <f t="shared" si="50"/>
        <v>1896.6981818181819</v>
      </c>
      <c r="W324" s="16">
        <f t="shared" si="51"/>
        <v>9282.1527272727271</v>
      </c>
      <c r="X324" s="16">
        <f t="shared" si="52"/>
        <v>317.54545454545456</v>
      </c>
      <c r="Y324" s="16">
        <f t="shared" si="53"/>
        <v>16687.727272727272</v>
      </c>
      <c r="Z324" s="7" t="str" cm="1">
        <f t="array" ref="Z324">_xlfn.IFS(K324&lt;2%,"Low",K324&lt;5%,"Medium",K324&lt;10%,"Good",K324&gt;10%,"Excellent")</f>
        <v>Low</v>
      </c>
      <c r="AA324" s="16" t="str">
        <f>Data_Validation!N322</f>
        <v>Pass</v>
      </c>
    </row>
    <row r="325" spans="1:27" x14ac:dyDescent="0.35">
      <c r="A325" s="17" t="s">
        <v>34</v>
      </c>
      <c r="B325" s="3" t="s">
        <v>48</v>
      </c>
      <c r="C325" s="3" t="s">
        <v>29</v>
      </c>
      <c r="D325" s="3" t="s">
        <v>59</v>
      </c>
      <c r="E325" s="3" t="s">
        <v>30</v>
      </c>
      <c r="F325" s="3">
        <v>1653.38</v>
      </c>
      <c r="G325" s="3">
        <v>135362</v>
      </c>
      <c r="H325" s="3">
        <v>48785</v>
      </c>
      <c r="I325" s="3">
        <v>136286.67000000001</v>
      </c>
      <c r="J325" s="3">
        <v>20</v>
      </c>
      <c r="K325" s="15">
        <f t="shared" si="44"/>
        <v>0.36040395384228957</v>
      </c>
      <c r="L325" s="16">
        <f t="shared" si="54"/>
        <v>3.3891155068156195E-2</v>
      </c>
      <c r="M325" s="16">
        <f t="shared" si="45"/>
        <v>12.214506286845644</v>
      </c>
      <c r="N325" s="16">
        <f t="shared" si="46"/>
        <v>82.429127000447565</v>
      </c>
      <c r="O325" s="16">
        <f t="shared" si="47"/>
        <v>81.429127000447565</v>
      </c>
      <c r="P325" s="1">
        <v>2023</v>
      </c>
      <c r="Q325" s="1" t="s">
        <v>74</v>
      </c>
      <c r="R325" s="1" t="s">
        <v>33</v>
      </c>
      <c r="S325" s="70">
        <f>DATE(Table2[[#This Row],[Year]],MONTH(DATEVALUE("1-"&amp;Table2[[#This Row],[Month]]&amp;"-2000")),1)</f>
        <v>45170</v>
      </c>
      <c r="T325" s="16">
        <f t="shared" si="48"/>
        <v>2.7936183253049096</v>
      </c>
      <c r="U325" s="16">
        <f t="shared" si="49"/>
        <v>1.006831089966165</v>
      </c>
      <c r="V325" s="16">
        <f t="shared" si="50"/>
        <v>82.669000000000011</v>
      </c>
      <c r="W325" s="16">
        <f t="shared" si="51"/>
        <v>6814.3335000000006</v>
      </c>
      <c r="X325" s="16">
        <f t="shared" si="52"/>
        <v>2439.25</v>
      </c>
      <c r="Y325" s="16">
        <f t="shared" si="53"/>
        <v>6768.1</v>
      </c>
      <c r="Z325" s="7" t="str" cm="1">
        <f t="array" ref="Z325">_xlfn.IFS(K325&lt;2%,"Low",K325&lt;5%,"Medium",K325&lt;10%,"Good",K325&gt;10%,"Excellent")</f>
        <v>Excellent</v>
      </c>
      <c r="AA325" s="16" t="str">
        <f>Data_Validation!N323</f>
        <v>Pass</v>
      </c>
    </row>
    <row r="326" spans="1:27" x14ac:dyDescent="0.35">
      <c r="A326" s="17" t="s">
        <v>93</v>
      </c>
      <c r="B326" s="3" t="s">
        <v>28</v>
      </c>
      <c r="C326" s="3" t="s">
        <v>36</v>
      </c>
      <c r="D326" s="3" t="s">
        <v>63</v>
      </c>
      <c r="E326" s="3" t="s">
        <v>38</v>
      </c>
      <c r="F326" s="3">
        <v>44937.05</v>
      </c>
      <c r="G326" s="3">
        <v>473518</v>
      </c>
      <c r="H326" s="3">
        <v>42717</v>
      </c>
      <c r="I326" s="3">
        <v>231419.39</v>
      </c>
      <c r="J326" s="3">
        <v>36</v>
      </c>
      <c r="K326" s="15">
        <f t="shared" si="44"/>
        <v>9.0211987717467967E-2</v>
      </c>
      <c r="L326" s="16">
        <f t="shared" si="54"/>
        <v>1.0519711122035724</v>
      </c>
      <c r="M326" s="16">
        <f t="shared" si="45"/>
        <v>94.900405053239794</v>
      </c>
      <c r="N326" s="16">
        <f t="shared" si="46"/>
        <v>5.1498571891123248</v>
      </c>
      <c r="O326" s="16">
        <f t="shared" si="47"/>
        <v>4.1498571891123248</v>
      </c>
      <c r="P326" s="1">
        <v>2023</v>
      </c>
      <c r="Q326" s="1" t="s">
        <v>74</v>
      </c>
      <c r="R326" s="1" t="s">
        <v>33</v>
      </c>
      <c r="S326" s="70">
        <f>DATE(Table2[[#This Row],[Year]],MONTH(DATEVALUE("1-"&amp;Table2[[#This Row],[Month]]&amp;"-2000")),1)</f>
        <v>45170</v>
      </c>
      <c r="T326" s="16">
        <f t="shared" si="48"/>
        <v>5.4175009949200552</v>
      </c>
      <c r="U326" s="16">
        <f t="shared" si="49"/>
        <v>0.48872353321309858</v>
      </c>
      <c r="V326" s="16">
        <f t="shared" si="50"/>
        <v>1248.2513888888889</v>
      </c>
      <c r="W326" s="16">
        <f t="shared" si="51"/>
        <v>6428.3163888888894</v>
      </c>
      <c r="X326" s="16">
        <f t="shared" si="52"/>
        <v>1186.5833333333333</v>
      </c>
      <c r="Y326" s="16">
        <f t="shared" si="53"/>
        <v>13153.277777777777</v>
      </c>
      <c r="Z326" s="7" t="str" cm="1">
        <f t="array" ref="Z326">_xlfn.IFS(K326&lt;2%,"Low",K326&lt;5%,"Medium",K326&lt;10%,"Good",K326&gt;10%,"Excellent")</f>
        <v>Good</v>
      </c>
      <c r="AA326" s="16" t="str">
        <f>Data_Validation!N324</f>
        <v>Pass</v>
      </c>
    </row>
    <row r="327" spans="1:27" x14ac:dyDescent="0.35">
      <c r="A327" s="17" t="s">
        <v>72</v>
      </c>
      <c r="B327" s="3" t="s">
        <v>19</v>
      </c>
      <c r="C327" s="3" t="s">
        <v>29</v>
      </c>
      <c r="D327" s="3" t="s">
        <v>37</v>
      </c>
      <c r="E327" s="3" t="s">
        <v>30</v>
      </c>
      <c r="F327" s="3">
        <v>7085.58</v>
      </c>
      <c r="G327" s="3">
        <v>192971</v>
      </c>
      <c r="H327" s="3">
        <v>9727</v>
      </c>
      <c r="I327" s="3">
        <v>218453.6</v>
      </c>
      <c r="J327" s="3">
        <v>61</v>
      </c>
      <c r="K327" s="15">
        <f t="shared" si="44"/>
        <v>5.040653776992398E-2</v>
      </c>
      <c r="L327" s="16">
        <f t="shared" si="54"/>
        <v>0.72844453582810731</v>
      </c>
      <c r="M327" s="16">
        <f t="shared" si="45"/>
        <v>36.718367008514235</v>
      </c>
      <c r="N327" s="16">
        <f t="shared" si="46"/>
        <v>30.830729453340446</v>
      </c>
      <c r="O327" s="16">
        <f t="shared" si="47"/>
        <v>29.830729453340449</v>
      </c>
      <c r="P327" s="1">
        <v>2023</v>
      </c>
      <c r="Q327" s="1" t="s">
        <v>74</v>
      </c>
      <c r="R327" s="1" t="s">
        <v>33</v>
      </c>
      <c r="S327" s="70">
        <f>DATE(Table2[[#This Row],[Year]],MONTH(DATEVALUE("1-"&amp;Table2[[#This Row],[Month]]&amp;"-2000")),1)</f>
        <v>45170</v>
      </c>
      <c r="T327" s="16">
        <f t="shared" si="48"/>
        <v>22.458476405880539</v>
      </c>
      <c r="U327" s="16">
        <f t="shared" si="49"/>
        <v>1.1320540392079639</v>
      </c>
      <c r="V327" s="16">
        <f t="shared" si="50"/>
        <v>116.15704918032787</v>
      </c>
      <c r="W327" s="16">
        <f t="shared" si="51"/>
        <v>3581.2065573770492</v>
      </c>
      <c r="X327" s="16">
        <f t="shared" si="52"/>
        <v>159.45901639344262</v>
      </c>
      <c r="Y327" s="16">
        <f t="shared" si="53"/>
        <v>3163.4590163934427</v>
      </c>
      <c r="Z327" s="7" t="str" cm="1">
        <f t="array" ref="Z327">_xlfn.IFS(K327&lt;2%,"Low",K327&lt;5%,"Medium",K327&lt;10%,"Good",K327&gt;10%,"Excellent")</f>
        <v>Good</v>
      </c>
      <c r="AA327" s="16" t="str">
        <f>Data_Validation!N325</f>
        <v>Pass</v>
      </c>
    </row>
    <row r="328" spans="1:27" x14ac:dyDescent="0.35">
      <c r="A328" s="17" t="s">
        <v>119</v>
      </c>
      <c r="B328" s="3" t="s">
        <v>35</v>
      </c>
      <c r="C328" s="3" t="s">
        <v>20</v>
      </c>
      <c r="D328" s="3" t="s">
        <v>51</v>
      </c>
      <c r="E328" s="3" t="s">
        <v>22</v>
      </c>
      <c r="F328" s="3">
        <v>4068.95</v>
      </c>
      <c r="G328" s="3">
        <v>803310</v>
      </c>
      <c r="H328" s="3">
        <v>42761</v>
      </c>
      <c r="I328" s="3">
        <v>235629.04</v>
      </c>
      <c r="J328" s="3">
        <v>46</v>
      </c>
      <c r="K328" s="15">
        <f t="shared" si="44"/>
        <v>5.323100670973846E-2</v>
      </c>
      <c r="L328" s="16">
        <f t="shared" si="54"/>
        <v>9.5155632468838416E-2</v>
      </c>
      <c r="M328" s="16">
        <f t="shared" si="45"/>
        <v>5.0652301104181445</v>
      </c>
      <c r="N328" s="16">
        <f t="shared" si="46"/>
        <v>57.909052704014556</v>
      </c>
      <c r="O328" s="16">
        <f t="shared" si="47"/>
        <v>56.909052704014549</v>
      </c>
      <c r="P328" s="1">
        <v>2023</v>
      </c>
      <c r="Q328" s="1" t="s">
        <v>74</v>
      </c>
      <c r="R328" s="1" t="s">
        <v>33</v>
      </c>
      <c r="S328" s="70">
        <f>DATE(Table2[[#This Row],[Year]],MONTH(DATEVALUE("1-"&amp;Table2[[#This Row],[Month]]&amp;"-2000")),1)</f>
        <v>45170</v>
      </c>
      <c r="T328" s="16">
        <f t="shared" si="48"/>
        <v>5.5103725357218032</v>
      </c>
      <c r="U328" s="16">
        <f t="shared" si="49"/>
        <v>0.29332267742216578</v>
      </c>
      <c r="V328" s="16">
        <f t="shared" si="50"/>
        <v>88.455434782608691</v>
      </c>
      <c r="W328" s="16">
        <f t="shared" si="51"/>
        <v>5122.3704347826088</v>
      </c>
      <c r="X328" s="16">
        <f t="shared" si="52"/>
        <v>929.58695652173913</v>
      </c>
      <c r="Y328" s="16">
        <f t="shared" si="53"/>
        <v>17463.260869565216</v>
      </c>
      <c r="Z328" s="7" t="str" cm="1">
        <f t="array" ref="Z328">_xlfn.IFS(K328&lt;2%,"Low",K328&lt;5%,"Medium",K328&lt;10%,"Good",K328&gt;10%,"Excellent")</f>
        <v>Good</v>
      </c>
      <c r="AA328" s="16" t="str">
        <f>Data_Validation!N326</f>
        <v>Pass</v>
      </c>
    </row>
    <row r="329" spans="1:27" x14ac:dyDescent="0.35">
      <c r="A329" s="17" t="s">
        <v>18</v>
      </c>
      <c r="B329" s="3" t="s">
        <v>19</v>
      </c>
      <c r="C329" s="3" t="s">
        <v>20</v>
      </c>
      <c r="D329" s="3" t="s">
        <v>43</v>
      </c>
      <c r="E329" s="3" t="s">
        <v>38</v>
      </c>
      <c r="F329" s="3">
        <v>45424.91</v>
      </c>
      <c r="G329" s="3">
        <v>774305</v>
      </c>
      <c r="H329" s="3">
        <v>18078</v>
      </c>
      <c r="I329" s="3">
        <v>52003.63</v>
      </c>
      <c r="J329" s="3">
        <v>42</v>
      </c>
      <c r="K329" s="15">
        <f t="shared" ref="K329:K392" si="55">H329/G329</f>
        <v>2.3347388948799244E-2</v>
      </c>
      <c r="L329" s="16">
        <f t="shared" si="54"/>
        <v>2.5127176678836158</v>
      </c>
      <c r="M329" s="16">
        <f t="shared" ref="M329:M392" si="56">F329/G329*1000</f>
        <v>58.665396710598543</v>
      </c>
      <c r="N329" s="16">
        <f t="shared" ref="N329:N392" si="57">I329/F329</f>
        <v>1.1448262638274902</v>
      </c>
      <c r="O329" s="16">
        <f t="shared" ref="O329:O392" si="58">(I329-F329)/F329</f>
        <v>0.14482626382749011</v>
      </c>
      <c r="P329" s="1">
        <v>2023</v>
      </c>
      <c r="Q329" s="1" t="s">
        <v>74</v>
      </c>
      <c r="R329" s="1" t="s">
        <v>33</v>
      </c>
      <c r="S329" s="70">
        <f>DATE(Table2[[#This Row],[Year]],MONTH(DATEVALUE("1-"&amp;Table2[[#This Row],[Month]]&amp;"-2000")),1)</f>
        <v>45170</v>
      </c>
      <c r="T329" s="16">
        <f t="shared" ref="T329:T392" si="59">I329/H329</f>
        <v>2.8766251797765237</v>
      </c>
      <c r="U329" s="16">
        <f t="shared" ref="U329:U392" si="60">I329/G329</f>
        <v>6.7161686932152062E-2</v>
      </c>
      <c r="V329" s="16">
        <f t="shared" ref="V329:V392" si="61">F329/J329</f>
        <v>1081.5454761904762</v>
      </c>
      <c r="W329" s="16">
        <f t="shared" ref="W329:W392" si="62">I329/J329</f>
        <v>1238.1816666666666</v>
      </c>
      <c r="X329" s="16">
        <f t="shared" ref="X329:X392" si="63">H329/J329</f>
        <v>430.42857142857144</v>
      </c>
      <c r="Y329" s="16">
        <f t="shared" ref="Y329:Y392" si="64">G329/J329</f>
        <v>18435.833333333332</v>
      </c>
      <c r="Z329" s="7" t="str" cm="1">
        <f t="array" ref="Z329">_xlfn.IFS(K329&lt;2%,"Low",K329&lt;5%,"Medium",K329&lt;10%,"Good",K329&gt;10%,"Excellent")</f>
        <v>Medium</v>
      </c>
      <c r="AA329" s="16" t="str">
        <f>Data_Validation!N327</f>
        <v>Pass</v>
      </c>
    </row>
    <row r="330" spans="1:27" x14ac:dyDescent="0.35">
      <c r="A330" s="17" t="s">
        <v>119</v>
      </c>
      <c r="B330" s="3" t="s">
        <v>35</v>
      </c>
      <c r="C330" s="3" t="s">
        <v>29</v>
      </c>
      <c r="D330" s="3" t="s">
        <v>37</v>
      </c>
      <c r="E330" s="3" t="s">
        <v>22</v>
      </c>
      <c r="F330" s="3">
        <v>15827.33</v>
      </c>
      <c r="G330" s="3">
        <v>744764</v>
      </c>
      <c r="H330" s="3">
        <v>48292</v>
      </c>
      <c r="I330" s="3">
        <v>84931.63</v>
      </c>
      <c r="J330" s="3">
        <v>60</v>
      </c>
      <c r="K330" s="15">
        <f t="shared" si="55"/>
        <v>6.4842017068494184E-2</v>
      </c>
      <c r="L330" s="16">
        <f t="shared" ref="L330:L393" si="65">F330/H330</f>
        <v>0.32774227615340012</v>
      </c>
      <c r="M330" s="16">
        <f t="shared" si="56"/>
        <v>21.251470264405906</v>
      </c>
      <c r="N330" s="16">
        <f t="shared" si="57"/>
        <v>5.3661375607888386</v>
      </c>
      <c r="O330" s="16">
        <f t="shared" si="58"/>
        <v>4.3661375607888386</v>
      </c>
      <c r="P330" s="1">
        <v>2023</v>
      </c>
      <c r="Q330" s="1" t="s">
        <v>74</v>
      </c>
      <c r="R330" s="1" t="s">
        <v>33</v>
      </c>
      <c r="S330" s="70">
        <f>DATE(Table2[[#This Row],[Year]],MONTH(DATEVALUE("1-"&amp;Table2[[#This Row],[Month]]&amp;"-2000")),1)</f>
        <v>45170</v>
      </c>
      <c r="T330" s="16">
        <f t="shared" si="59"/>
        <v>1.7587101383251886</v>
      </c>
      <c r="U330" s="16">
        <f t="shared" si="60"/>
        <v>0.11403831280781564</v>
      </c>
      <c r="V330" s="16">
        <f t="shared" si="61"/>
        <v>263.78883333333334</v>
      </c>
      <c r="W330" s="16">
        <f t="shared" si="62"/>
        <v>1415.5271666666667</v>
      </c>
      <c r="X330" s="16">
        <f t="shared" si="63"/>
        <v>804.86666666666667</v>
      </c>
      <c r="Y330" s="16">
        <f t="shared" si="64"/>
        <v>12412.733333333334</v>
      </c>
      <c r="Z330" s="7" t="str" cm="1">
        <f t="array" ref="Z330">_xlfn.IFS(K330&lt;2%,"Low",K330&lt;5%,"Medium",K330&lt;10%,"Good",K330&gt;10%,"Excellent")</f>
        <v>Good</v>
      </c>
      <c r="AA330" s="16" t="str">
        <f>Data_Validation!N328</f>
        <v>Pass</v>
      </c>
    </row>
    <row r="331" spans="1:27" x14ac:dyDescent="0.35">
      <c r="A331" s="17" t="s">
        <v>64</v>
      </c>
      <c r="B331" s="3" t="s">
        <v>28</v>
      </c>
      <c r="C331" s="3" t="s">
        <v>20</v>
      </c>
      <c r="D331" s="3" t="s">
        <v>51</v>
      </c>
      <c r="E331" s="3" t="s">
        <v>38</v>
      </c>
      <c r="F331" s="3">
        <v>5421.58</v>
      </c>
      <c r="G331" s="3">
        <v>710224</v>
      </c>
      <c r="H331" s="3">
        <v>7847</v>
      </c>
      <c r="I331" s="3">
        <v>119021.77</v>
      </c>
      <c r="J331" s="3">
        <v>47</v>
      </c>
      <c r="K331" s="15">
        <f t="shared" si="55"/>
        <v>1.104862691207281E-2</v>
      </c>
      <c r="L331" s="16">
        <f t="shared" si="65"/>
        <v>0.69091117624569898</v>
      </c>
      <c r="M331" s="16">
        <f t="shared" si="56"/>
        <v>7.6336198157201105</v>
      </c>
      <c r="N331" s="16">
        <f t="shared" si="57"/>
        <v>21.953336481247167</v>
      </c>
      <c r="O331" s="16">
        <f t="shared" si="58"/>
        <v>20.953336481247163</v>
      </c>
      <c r="P331" s="1">
        <v>2023</v>
      </c>
      <c r="Q331" s="1" t="s">
        <v>74</v>
      </c>
      <c r="R331" s="1" t="s">
        <v>33</v>
      </c>
      <c r="S331" s="70">
        <f>DATE(Table2[[#This Row],[Year]],MONTH(DATEVALUE("1-"&amp;Table2[[#This Row],[Month]]&amp;"-2000")),1)</f>
        <v>45170</v>
      </c>
      <c r="T331" s="16">
        <f t="shared" si="59"/>
        <v>15.167805530776093</v>
      </c>
      <c r="U331" s="16">
        <f t="shared" si="60"/>
        <v>0.16758342438441956</v>
      </c>
      <c r="V331" s="16">
        <f t="shared" si="61"/>
        <v>115.35276595744681</v>
      </c>
      <c r="W331" s="16">
        <f t="shared" si="62"/>
        <v>2532.378085106383</v>
      </c>
      <c r="X331" s="16">
        <f t="shared" si="63"/>
        <v>166.95744680851064</v>
      </c>
      <c r="Y331" s="16">
        <f t="shared" si="64"/>
        <v>15111.148936170213</v>
      </c>
      <c r="Z331" s="7" t="str" cm="1">
        <f t="array" ref="Z331">_xlfn.IFS(K331&lt;2%,"Low",K331&lt;5%,"Medium",K331&lt;10%,"Good",K331&gt;10%,"Excellent")</f>
        <v>Low</v>
      </c>
      <c r="AA331" s="16" t="str">
        <f>Data_Validation!N329</f>
        <v>Pass</v>
      </c>
    </row>
    <row r="332" spans="1:27" x14ac:dyDescent="0.35">
      <c r="A332" s="17" t="s">
        <v>107</v>
      </c>
      <c r="B332" s="3" t="s">
        <v>28</v>
      </c>
      <c r="C332" s="3" t="s">
        <v>20</v>
      </c>
      <c r="D332" s="3" t="s">
        <v>37</v>
      </c>
      <c r="E332" s="3" t="s">
        <v>38</v>
      </c>
      <c r="F332" s="3">
        <v>27605.74</v>
      </c>
      <c r="G332" s="3">
        <v>680153</v>
      </c>
      <c r="H332" s="3">
        <v>20639</v>
      </c>
      <c r="I332" s="3">
        <v>151257.85</v>
      </c>
      <c r="J332" s="3">
        <v>48</v>
      </c>
      <c r="K332" s="15">
        <f t="shared" si="55"/>
        <v>3.0344643043550494E-2</v>
      </c>
      <c r="L332" s="16">
        <f t="shared" si="65"/>
        <v>1.3375522069867727</v>
      </c>
      <c r="M332" s="16">
        <f t="shared" si="56"/>
        <v>40.587544273126781</v>
      </c>
      <c r="N332" s="16">
        <f t="shared" si="57"/>
        <v>5.4792173656638079</v>
      </c>
      <c r="O332" s="16">
        <f t="shared" si="58"/>
        <v>4.479217365663807</v>
      </c>
      <c r="P332" s="1">
        <v>2023</v>
      </c>
      <c r="Q332" s="1" t="s">
        <v>74</v>
      </c>
      <c r="R332" s="1" t="s">
        <v>33</v>
      </c>
      <c r="S332" s="70">
        <f>DATE(Table2[[#This Row],[Year]],MONTH(DATEVALUE("1-"&amp;Table2[[#This Row],[Month]]&amp;"-2000")),1)</f>
        <v>45170</v>
      </c>
      <c r="T332" s="16">
        <f t="shared" si="59"/>
        <v>7.3287392800038766</v>
      </c>
      <c r="U332" s="16">
        <f t="shared" si="60"/>
        <v>0.22238797741096489</v>
      </c>
      <c r="V332" s="16">
        <f t="shared" si="61"/>
        <v>575.11958333333337</v>
      </c>
      <c r="W332" s="16">
        <f t="shared" si="62"/>
        <v>3151.2052083333333</v>
      </c>
      <c r="X332" s="16">
        <f t="shared" si="63"/>
        <v>429.97916666666669</v>
      </c>
      <c r="Y332" s="16">
        <f t="shared" si="64"/>
        <v>14169.854166666666</v>
      </c>
      <c r="Z332" s="7" t="str" cm="1">
        <f t="array" ref="Z332">_xlfn.IFS(K332&lt;2%,"Low",K332&lt;5%,"Medium",K332&lt;10%,"Good",K332&gt;10%,"Excellent")</f>
        <v>Medium</v>
      </c>
      <c r="AA332" s="16" t="str">
        <f>Data_Validation!N330</f>
        <v>Pass</v>
      </c>
    </row>
    <row r="333" spans="1:27" x14ac:dyDescent="0.35">
      <c r="A333" s="17" t="s">
        <v>89</v>
      </c>
      <c r="B333" s="3" t="s">
        <v>19</v>
      </c>
      <c r="C333" s="3" t="s">
        <v>29</v>
      </c>
      <c r="D333" s="3" t="s">
        <v>37</v>
      </c>
      <c r="E333" s="3" t="s">
        <v>38</v>
      </c>
      <c r="F333" s="3">
        <v>3626.17</v>
      </c>
      <c r="G333" s="3">
        <v>69830</v>
      </c>
      <c r="H333" s="3">
        <v>48664</v>
      </c>
      <c r="I333" s="3">
        <v>198694.71</v>
      </c>
      <c r="J333" s="3">
        <v>49</v>
      </c>
      <c r="K333" s="15">
        <f t="shared" si="55"/>
        <v>0.69689245310038661</v>
      </c>
      <c r="L333" s="16">
        <f t="shared" si="65"/>
        <v>7.4514425447969754E-2</v>
      </c>
      <c r="M333" s="16">
        <f t="shared" si="56"/>
        <v>51.92854074180152</v>
      </c>
      <c r="N333" s="16">
        <f t="shared" si="57"/>
        <v>54.794648347981479</v>
      </c>
      <c r="O333" s="16">
        <f t="shared" si="58"/>
        <v>53.794648347981472</v>
      </c>
      <c r="P333" s="1">
        <v>2023</v>
      </c>
      <c r="Q333" s="1" t="s">
        <v>74</v>
      </c>
      <c r="R333" s="1" t="s">
        <v>33</v>
      </c>
      <c r="S333" s="70">
        <f>DATE(Table2[[#This Row],[Year]],MONTH(DATEVALUE("1-"&amp;Table2[[#This Row],[Month]]&amp;"-2000")),1)</f>
        <v>45170</v>
      </c>
      <c r="T333" s="16">
        <f t="shared" si="59"/>
        <v>4.0829917392733845</v>
      </c>
      <c r="U333" s="16">
        <f t="shared" si="60"/>
        <v>2.8454061291708435</v>
      </c>
      <c r="V333" s="16">
        <f t="shared" si="61"/>
        <v>74.003469387755104</v>
      </c>
      <c r="W333" s="16">
        <f t="shared" si="62"/>
        <v>4054.994081632653</v>
      </c>
      <c r="X333" s="16">
        <f t="shared" si="63"/>
        <v>993.14285714285711</v>
      </c>
      <c r="Y333" s="16">
        <f t="shared" si="64"/>
        <v>1425.1020408163265</v>
      </c>
      <c r="Z333" s="7" t="str" cm="1">
        <f t="array" ref="Z333">_xlfn.IFS(K333&lt;2%,"Low",K333&lt;5%,"Medium",K333&lt;10%,"Good",K333&gt;10%,"Excellent")</f>
        <v>Excellent</v>
      </c>
      <c r="AA333" s="16" t="str">
        <f>Data_Validation!N331</f>
        <v>Pass</v>
      </c>
    </row>
    <row r="334" spans="1:27" x14ac:dyDescent="0.35">
      <c r="A334" s="17" t="s">
        <v>111</v>
      </c>
      <c r="B334" s="3" t="s">
        <v>35</v>
      </c>
      <c r="C334" s="3" t="s">
        <v>58</v>
      </c>
      <c r="D334" s="3" t="s">
        <v>51</v>
      </c>
      <c r="E334" s="3" t="s">
        <v>22</v>
      </c>
      <c r="F334" s="3">
        <v>3376.91</v>
      </c>
      <c r="G334" s="3">
        <v>926602</v>
      </c>
      <c r="H334" s="3">
        <v>2685</v>
      </c>
      <c r="I334" s="3">
        <v>213800.93</v>
      </c>
      <c r="J334" s="3">
        <v>35</v>
      </c>
      <c r="K334" s="15">
        <f t="shared" si="55"/>
        <v>2.8976842268848978E-3</v>
      </c>
      <c r="L334" s="16">
        <f t="shared" si="65"/>
        <v>1.2576945996275604</v>
      </c>
      <c r="M334" s="16">
        <f t="shared" si="56"/>
        <v>3.6444018035790986</v>
      </c>
      <c r="N334" s="16">
        <f t="shared" si="57"/>
        <v>63.312593465623898</v>
      </c>
      <c r="O334" s="16">
        <f t="shared" si="58"/>
        <v>62.312593465623898</v>
      </c>
      <c r="P334" s="1">
        <v>2023</v>
      </c>
      <c r="Q334" s="1" t="s">
        <v>74</v>
      </c>
      <c r="R334" s="1" t="s">
        <v>33</v>
      </c>
      <c r="S334" s="70">
        <f>DATE(Table2[[#This Row],[Year]],MONTH(DATEVALUE("1-"&amp;Table2[[#This Row],[Month]]&amp;"-2000")),1)</f>
        <v>45170</v>
      </c>
      <c r="T334" s="16">
        <f t="shared" si="59"/>
        <v>79.627906890130348</v>
      </c>
      <c r="U334" s="16">
        <f t="shared" si="60"/>
        <v>0.23073652981538997</v>
      </c>
      <c r="V334" s="16">
        <f t="shared" si="61"/>
        <v>96.483142857142852</v>
      </c>
      <c r="W334" s="16">
        <f t="shared" si="62"/>
        <v>6108.598</v>
      </c>
      <c r="X334" s="16">
        <f t="shared" si="63"/>
        <v>76.714285714285708</v>
      </c>
      <c r="Y334" s="16">
        <f t="shared" si="64"/>
        <v>26474.342857142856</v>
      </c>
      <c r="Z334" s="7" t="str" cm="1">
        <f t="array" ref="Z334">_xlfn.IFS(K334&lt;2%,"Low",K334&lt;5%,"Medium",K334&lt;10%,"Good",K334&gt;10%,"Excellent")</f>
        <v>Low</v>
      </c>
      <c r="AA334" s="16" t="str">
        <f>Data_Validation!N332</f>
        <v>Pass</v>
      </c>
    </row>
    <row r="335" spans="1:27" x14ac:dyDescent="0.35">
      <c r="A335" s="17" t="s">
        <v>100</v>
      </c>
      <c r="B335" s="3" t="s">
        <v>35</v>
      </c>
      <c r="C335" s="3" t="s">
        <v>58</v>
      </c>
      <c r="D335" s="3" t="s">
        <v>37</v>
      </c>
      <c r="E335" s="3" t="s">
        <v>38</v>
      </c>
      <c r="F335" s="3">
        <v>645.54</v>
      </c>
      <c r="G335" s="3">
        <v>841131</v>
      </c>
      <c r="H335" s="3">
        <v>20259</v>
      </c>
      <c r="I335" s="3">
        <v>150785.79</v>
      </c>
      <c r="J335" s="3">
        <v>58</v>
      </c>
      <c r="K335" s="15">
        <f t="shared" si="55"/>
        <v>2.4085427834665468E-2</v>
      </c>
      <c r="L335" s="16">
        <f t="shared" si="65"/>
        <v>3.1864356582259737E-2</v>
      </c>
      <c r="M335" s="16">
        <f t="shared" si="56"/>
        <v>0.76746666096006444</v>
      </c>
      <c r="N335" s="16">
        <f t="shared" si="57"/>
        <v>233.58086253369274</v>
      </c>
      <c r="O335" s="16">
        <f t="shared" si="58"/>
        <v>232.58086253369274</v>
      </c>
      <c r="P335" s="1">
        <v>2023</v>
      </c>
      <c r="Q335" s="1" t="s">
        <v>74</v>
      </c>
      <c r="R335" s="1" t="s">
        <v>33</v>
      </c>
      <c r="S335" s="70">
        <f>DATE(Table2[[#This Row],[Year]],MONTH(DATEVALUE("1-"&amp;Table2[[#This Row],[Month]]&amp;"-2000")),1)</f>
        <v>45170</v>
      </c>
      <c r="T335" s="16">
        <f t="shared" si="59"/>
        <v>7.4429038945653785</v>
      </c>
      <c r="U335" s="16">
        <f t="shared" si="60"/>
        <v>0.17926552463290499</v>
      </c>
      <c r="V335" s="16">
        <f t="shared" si="61"/>
        <v>11.129999999999999</v>
      </c>
      <c r="W335" s="16">
        <f t="shared" si="62"/>
        <v>2599.7550000000001</v>
      </c>
      <c r="X335" s="16">
        <f t="shared" si="63"/>
        <v>349.29310344827587</v>
      </c>
      <c r="Y335" s="16">
        <f t="shared" si="64"/>
        <v>14502.258620689656</v>
      </c>
      <c r="Z335" s="7" t="str" cm="1">
        <f t="array" ref="Z335">_xlfn.IFS(K335&lt;2%,"Low",K335&lt;5%,"Medium",K335&lt;10%,"Good",K335&gt;10%,"Excellent")</f>
        <v>Medium</v>
      </c>
      <c r="AA335" s="16" t="str">
        <f>Data_Validation!N333</f>
        <v>Pass</v>
      </c>
    </row>
    <row r="336" spans="1:27" x14ac:dyDescent="0.35">
      <c r="A336" s="17" t="s">
        <v>34</v>
      </c>
      <c r="B336" s="3" t="s">
        <v>28</v>
      </c>
      <c r="C336" s="3" t="s">
        <v>29</v>
      </c>
      <c r="D336" s="3" t="s">
        <v>59</v>
      </c>
      <c r="E336" s="3" t="s">
        <v>38</v>
      </c>
      <c r="F336" s="3">
        <v>18162.97</v>
      </c>
      <c r="G336" s="3">
        <v>670016</v>
      </c>
      <c r="H336" s="3">
        <v>43681</v>
      </c>
      <c r="I336" s="3">
        <v>65135.56</v>
      </c>
      <c r="J336" s="3">
        <v>29</v>
      </c>
      <c r="K336" s="15">
        <f t="shared" si="55"/>
        <v>6.5193965517241381E-2</v>
      </c>
      <c r="L336" s="16">
        <f t="shared" si="65"/>
        <v>0.41580939081064999</v>
      </c>
      <c r="M336" s="16">
        <f t="shared" si="56"/>
        <v>27.108263086254656</v>
      </c>
      <c r="N336" s="16">
        <f t="shared" si="57"/>
        <v>3.5861734066620157</v>
      </c>
      <c r="O336" s="16">
        <f t="shared" si="58"/>
        <v>2.5861734066620157</v>
      </c>
      <c r="P336" s="1">
        <v>2023</v>
      </c>
      <c r="Q336" s="1" t="s">
        <v>74</v>
      </c>
      <c r="R336" s="1" t="s">
        <v>33</v>
      </c>
      <c r="S336" s="70">
        <f>DATE(Table2[[#This Row],[Year]],MONTH(DATEVALUE("1-"&amp;Table2[[#This Row],[Month]]&amp;"-2000")),1)</f>
        <v>45170</v>
      </c>
      <c r="T336" s="16">
        <f t="shared" si="59"/>
        <v>1.491164579565486</v>
      </c>
      <c r="U336" s="16">
        <f t="shared" si="60"/>
        <v>9.7214932180724037E-2</v>
      </c>
      <c r="V336" s="16">
        <f t="shared" si="61"/>
        <v>626.30931034482762</v>
      </c>
      <c r="W336" s="16">
        <f t="shared" si="62"/>
        <v>2246.0537931034482</v>
      </c>
      <c r="X336" s="16">
        <f t="shared" si="63"/>
        <v>1506.2413793103449</v>
      </c>
      <c r="Y336" s="16">
        <f t="shared" si="64"/>
        <v>23104</v>
      </c>
      <c r="Z336" s="7" t="str" cm="1">
        <f t="array" ref="Z336">_xlfn.IFS(K336&lt;2%,"Low",K336&lt;5%,"Medium",K336&lt;10%,"Good",K336&gt;10%,"Excellent")</f>
        <v>Good</v>
      </c>
      <c r="AA336" s="16" t="str">
        <f>Data_Validation!N334</f>
        <v>Pass</v>
      </c>
    </row>
    <row r="337" spans="1:27" x14ac:dyDescent="0.35">
      <c r="A337" s="17" t="s">
        <v>115</v>
      </c>
      <c r="B337" s="3" t="s">
        <v>28</v>
      </c>
      <c r="C337" s="3" t="s">
        <v>20</v>
      </c>
      <c r="D337" s="3" t="s">
        <v>59</v>
      </c>
      <c r="E337" s="3" t="s">
        <v>38</v>
      </c>
      <c r="F337" s="3">
        <v>32836.43</v>
      </c>
      <c r="G337" s="3">
        <v>578373</v>
      </c>
      <c r="H337" s="3">
        <v>49696</v>
      </c>
      <c r="I337" s="3">
        <v>15194.58</v>
      </c>
      <c r="J337" s="3">
        <v>55</v>
      </c>
      <c r="K337" s="15">
        <f t="shared" si="55"/>
        <v>8.5923789665146882E-2</v>
      </c>
      <c r="L337" s="16">
        <f t="shared" si="65"/>
        <v>0.66074593528654213</v>
      </c>
      <c r="M337" s="16">
        <f t="shared" si="56"/>
        <v>56.773794765661606</v>
      </c>
      <c r="N337" s="16">
        <f t="shared" si="57"/>
        <v>0.46273544353024976</v>
      </c>
      <c r="O337" s="16">
        <f t="shared" si="58"/>
        <v>-0.53726455646975013</v>
      </c>
      <c r="P337" s="1">
        <v>2023</v>
      </c>
      <c r="Q337" s="1" t="s">
        <v>24</v>
      </c>
      <c r="R337" s="1" t="s">
        <v>25</v>
      </c>
      <c r="S337" s="70">
        <f>DATE(Table2[[#This Row],[Year]],MONTH(DATEVALUE("1-"&amp;Table2[[#This Row],[Month]]&amp;"-2000")),1)</f>
        <v>45200</v>
      </c>
      <c r="T337" s="16">
        <f t="shared" si="59"/>
        <v>0.30575056342562784</v>
      </c>
      <c r="U337" s="16">
        <f t="shared" si="60"/>
        <v>2.6271247101783798E-2</v>
      </c>
      <c r="V337" s="16">
        <f t="shared" si="61"/>
        <v>597.02599999999995</v>
      </c>
      <c r="W337" s="16">
        <f t="shared" si="62"/>
        <v>276.26509090909093</v>
      </c>
      <c r="X337" s="16">
        <f t="shared" si="63"/>
        <v>903.56363636363642</v>
      </c>
      <c r="Y337" s="16">
        <f t="shared" si="64"/>
        <v>10515.872727272726</v>
      </c>
      <c r="Z337" s="7" t="str" cm="1">
        <f t="array" ref="Z337">_xlfn.IFS(K337&lt;2%,"Low",K337&lt;5%,"Medium",K337&lt;10%,"Good",K337&gt;10%,"Excellent")</f>
        <v>Good</v>
      </c>
      <c r="AA337" s="16" t="str">
        <f>Data_Validation!N335</f>
        <v>Pass</v>
      </c>
    </row>
    <row r="338" spans="1:27" x14ac:dyDescent="0.35">
      <c r="A338" s="17" t="s">
        <v>111</v>
      </c>
      <c r="B338" s="3" t="s">
        <v>19</v>
      </c>
      <c r="C338" s="3" t="s">
        <v>36</v>
      </c>
      <c r="D338" s="3" t="s">
        <v>37</v>
      </c>
      <c r="E338" s="3" t="s">
        <v>38</v>
      </c>
      <c r="F338" s="3">
        <v>18497.740000000002</v>
      </c>
      <c r="G338" s="3">
        <v>171771</v>
      </c>
      <c r="H338" s="3">
        <v>48574</v>
      </c>
      <c r="I338" s="3">
        <v>100457.38</v>
      </c>
      <c r="J338" s="3">
        <v>15</v>
      </c>
      <c r="K338" s="15">
        <f t="shared" si="55"/>
        <v>0.28278347334532605</v>
      </c>
      <c r="L338" s="16">
        <f t="shared" si="65"/>
        <v>0.38081566270021</v>
      </c>
      <c r="M338" s="16">
        <f t="shared" si="56"/>
        <v>107.68837580266752</v>
      </c>
      <c r="N338" s="16">
        <f t="shared" si="57"/>
        <v>5.4307920859521213</v>
      </c>
      <c r="O338" s="16">
        <f t="shared" si="58"/>
        <v>4.4307920859521213</v>
      </c>
      <c r="P338" s="1">
        <v>2023</v>
      </c>
      <c r="Q338" s="1" t="s">
        <v>24</v>
      </c>
      <c r="R338" s="1" t="s">
        <v>25</v>
      </c>
      <c r="S338" s="70">
        <f>DATE(Table2[[#This Row],[Year]],MONTH(DATEVALUE("1-"&amp;Table2[[#This Row],[Month]]&amp;"-2000")),1)</f>
        <v>45200</v>
      </c>
      <c r="T338" s="16">
        <f t="shared" si="59"/>
        <v>2.0681306871989129</v>
      </c>
      <c r="U338" s="16">
        <f t="shared" si="60"/>
        <v>0.58483317905816468</v>
      </c>
      <c r="V338" s="16">
        <f t="shared" si="61"/>
        <v>1233.1826666666668</v>
      </c>
      <c r="W338" s="16">
        <f t="shared" si="62"/>
        <v>6697.1586666666672</v>
      </c>
      <c r="X338" s="16">
        <f t="shared" si="63"/>
        <v>3238.2666666666669</v>
      </c>
      <c r="Y338" s="16">
        <f t="shared" si="64"/>
        <v>11451.4</v>
      </c>
      <c r="Z338" s="7" t="str" cm="1">
        <f t="array" ref="Z338">_xlfn.IFS(K338&lt;2%,"Low",K338&lt;5%,"Medium",K338&lt;10%,"Good",K338&gt;10%,"Excellent")</f>
        <v>Excellent</v>
      </c>
      <c r="AA338" s="16" t="str">
        <f>Data_Validation!N336</f>
        <v>Pass</v>
      </c>
    </row>
    <row r="339" spans="1:27" x14ac:dyDescent="0.35">
      <c r="A339" s="17" t="s">
        <v>100</v>
      </c>
      <c r="B339" s="3" t="s">
        <v>28</v>
      </c>
      <c r="C339" s="3" t="s">
        <v>58</v>
      </c>
      <c r="D339" s="3" t="s">
        <v>43</v>
      </c>
      <c r="E339" s="3" t="s">
        <v>38</v>
      </c>
      <c r="F339" s="3">
        <v>16670.490000000002</v>
      </c>
      <c r="G339" s="3">
        <v>207064</v>
      </c>
      <c r="H339" s="3">
        <v>29048</v>
      </c>
      <c r="I339" s="3">
        <v>56790.67</v>
      </c>
      <c r="J339" s="3">
        <v>52</v>
      </c>
      <c r="K339" s="15">
        <f t="shared" si="55"/>
        <v>0.14028512923540548</v>
      </c>
      <c r="L339" s="16">
        <f t="shared" si="65"/>
        <v>0.57389458826769491</v>
      </c>
      <c r="M339" s="16">
        <f t="shared" si="56"/>
        <v>80.508876482633397</v>
      </c>
      <c r="N339" s="16">
        <f t="shared" si="57"/>
        <v>3.4066587124913541</v>
      </c>
      <c r="O339" s="16">
        <f t="shared" si="58"/>
        <v>2.4066587124913537</v>
      </c>
      <c r="P339" s="1">
        <v>2023</v>
      </c>
      <c r="Q339" s="1" t="s">
        <v>24</v>
      </c>
      <c r="R339" s="1" t="s">
        <v>25</v>
      </c>
      <c r="S339" s="70">
        <f>DATE(Table2[[#This Row],[Year]],MONTH(DATEVALUE("1-"&amp;Table2[[#This Row],[Month]]&amp;"-2000")),1)</f>
        <v>45200</v>
      </c>
      <c r="T339" s="16">
        <f t="shared" si="59"/>
        <v>1.9550629991737813</v>
      </c>
      <c r="U339" s="16">
        <f t="shared" si="60"/>
        <v>0.27426626550245337</v>
      </c>
      <c r="V339" s="16">
        <f t="shared" si="61"/>
        <v>320.58634615384619</v>
      </c>
      <c r="W339" s="16">
        <f t="shared" si="62"/>
        <v>1092.1282692307691</v>
      </c>
      <c r="X339" s="16">
        <f t="shared" si="63"/>
        <v>558.61538461538464</v>
      </c>
      <c r="Y339" s="16">
        <f t="shared" si="64"/>
        <v>3982</v>
      </c>
      <c r="Z339" s="7" t="str" cm="1">
        <f t="array" ref="Z339">_xlfn.IFS(K339&lt;2%,"Low",K339&lt;5%,"Medium",K339&lt;10%,"Good",K339&gt;10%,"Excellent")</f>
        <v>Excellent</v>
      </c>
      <c r="AA339" s="16" t="str">
        <f>Data_Validation!N337</f>
        <v>Pass</v>
      </c>
    </row>
    <row r="340" spans="1:27" x14ac:dyDescent="0.35">
      <c r="A340" s="17" t="s">
        <v>57</v>
      </c>
      <c r="B340" s="3" t="s">
        <v>19</v>
      </c>
      <c r="C340" s="3" t="s">
        <v>29</v>
      </c>
      <c r="D340" s="3" t="s">
        <v>59</v>
      </c>
      <c r="E340" s="3" t="s">
        <v>38</v>
      </c>
      <c r="F340" s="3">
        <v>1956.96</v>
      </c>
      <c r="G340" s="3">
        <v>327776</v>
      </c>
      <c r="H340" s="3">
        <v>20478</v>
      </c>
      <c r="I340" s="3">
        <v>73684.929999999993</v>
      </c>
      <c r="J340" s="3">
        <v>29</v>
      </c>
      <c r="K340" s="15">
        <f t="shared" si="55"/>
        <v>6.2475593087962508E-2</v>
      </c>
      <c r="L340" s="16">
        <f t="shared" si="65"/>
        <v>9.5564019923820687E-2</v>
      </c>
      <c r="M340" s="16">
        <f t="shared" si="56"/>
        <v>5.9704188226105641</v>
      </c>
      <c r="N340" s="16">
        <f t="shared" si="57"/>
        <v>37.652752227945378</v>
      </c>
      <c r="O340" s="16">
        <f t="shared" si="58"/>
        <v>36.652752227945378</v>
      </c>
      <c r="P340" s="1">
        <v>2023</v>
      </c>
      <c r="Q340" s="1" t="s">
        <v>24</v>
      </c>
      <c r="R340" s="1" t="s">
        <v>25</v>
      </c>
      <c r="S340" s="70">
        <f>DATE(Table2[[#This Row],[Year]],MONTH(DATEVALUE("1-"&amp;Table2[[#This Row],[Month]]&amp;"-2000")),1)</f>
        <v>45200</v>
      </c>
      <c r="T340" s="16">
        <f t="shared" si="59"/>
        <v>3.598248364098056</v>
      </c>
      <c r="U340" s="16">
        <f t="shared" si="60"/>
        <v>0.22480270062481691</v>
      </c>
      <c r="V340" s="16">
        <f t="shared" si="61"/>
        <v>67.481379310344835</v>
      </c>
      <c r="W340" s="16">
        <f t="shared" si="62"/>
        <v>2540.8596551724136</v>
      </c>
      <c r="X340" s="16">
        <f t="shared" si="63"/>
        <v>706.13793103448279</v>
      </c>
      <c r="Y340" s="16">
        <f t="shared" si="64"/>
        <v>11302.620689655172</v>
      </c>
      <c r="Z340" s="7" t="str" cm="1">
        <f t="array" ref="Z340">_xlfn.IFS(K340&lt;2%,"Low",K340&lt;5%,"Medium",K340&lt;10%,"Good",K340&gt;10%,"Excellent")</f>
        <v>Good</v>
      </c>
      <c r="AA340" s="16" t="str">
        <f>Data_Validation!N338</f>
        <v>Pass</v>
      </c>
    </row>
    <row r="341" spans="1:27" x14ac:dyDescent="0.35">
      <c r="A341" s="17" t="s">
        <v>113</v>
      </c>
      <c r="B341" s="3" t="s">
        <v>48</v>
      </c>
      <c r="C341" s="3" t="s">
        <v>20</v>
      </c>
      <c r="D341" s="3" t="s">
        <v>21</v>
      </c>
      <c r="E341" s="3" t="s">
        <v>30</v>
      </c>
      <c r="F341" s="3">
        <v>1625.37</v>
      </c>
      <c r="G341" s="3">
        <v>493072</v>
      </c>
      <c r="H341" s="3">
        <v>7957</v>
      </c>
      <c r="I341" s="3">
        <v>35940.730000000003</v>
      </c>
      <c r="J341" s="3">
        <v>50</v>
      </c>
      <c r="K341" s="15">
        <f t="shared" si="55"/>
        <v>1.6137602621929453E-2</v>
      </c>
      <c r="L341" s="16">
        <f t="shared" si="65"/>
        <v>0.20426919693351764</v>
      </c>
      <c r="M341" s="16">
        <f t="shared" si="56"/>
        <v>3.2964151280137584</v>
      </c>
      <c r="N341" s="16">
        <f t="shared" si="57"/>
        <v>22.112337498538796</v>
      </c>
      <c r="O341" s="16">
        <f t="shared" si="58"/>
        <v>21.112337498538796</v>
      </c>
      <c r="P341" s="1">
        <v>2023</v>
      </c>
      <c r="Q341" s="1" t="s">
        <v>24</v>
      </c>
      <c r="R341" s="1" t="s">
        <v>25</v>
      </c>
      <c r="S341" s="70">
        <f>DATE(Table2[[#This Row],[Year]],MONTH(DATEVALUE("1-"&amp;Table2[[#This Row],[Month]]&amp;"-2000")),1)</f>
        <v>45200</v>
      </c>
      <c r="T341" s="16">
        <f t="shared" si="59"/>
        <v>4.5168694231494282</v>
      </c>
      <c r="U341" s="16">
        <f t="shared" si="60"/>
        <v>7.2891443845929202E-2</v>
      </c>
      <c r="V341" s="16">
        <f t="shared" si="61"/>
        <v>32.507399999999997</v>
      </c>
      <c r="W341" s="16">
        <f t="shared" si="62"/>
        <v>718.81460000000004</v>
      </c>
      <c r="X341" s="16">
        <f t="shared" si="63"/>
        <v>159.13999999999999</v>
      </c>
      <c r="Y341" s="16">
        <f t="shared" si="64"/>
        <v>9861.44</v>
      </c>
      <c r="Z341" s="7" t="str" cm="1">
        <f t="array" ref="Z341">_xlfn.IFS(K341&lt;2%,"Low",K341&lt;5%,"Medium",K341&lt;10%,"Good",K341&gt;10%,"Excellent")</f>
        <v>Low</v>
      </c>
      <c r="AA341" s="16" t="str">
        <f>Data_Validation!N339</f>
        <v>Pass</v>
      </c>
    </row>
    <row r="342" spans="1:27" x14ac:dyDescent="0.35">
      <c r="A342" s="17" t="s">
        <v>110</v>
      </c>
      <c r="B342" s="3" t="s">
        <v>48</v>
      </c>
      <c r="C342" s="3" t="s">
        <v>20</v>
      </c>
      <c r="D342" s="3" t="s">
        <v>37</v>
      </c>
      <c r="E342" s="3" t="s">
        <v>38</v>
      </c>
      <c r="F342" s="3">
        <v>2184.75</v>
      </c>
      <c r="G342" s="3">
        <v>536428</v>
      </c>
      <c r="H342" s="3">
        <v>44227</v>
      </c>
      <c r="I342" s="3">
        <v>225975.55</v>
      </c>
      <c r="J342" s="3">
        <v>58</v>
      </c>
      <c r="K342" s="15">
        <f t="shared" si="55"/>
        <v>8.2447224977070549E-2</v>
      </c>
      <c r="L342" s="16">
        <f t="shared" si="65"/>
        <v>4.9398557442286384E-2</v>
      </c>
      <c r="M342" s="16">
        <f t="shared" si="56"/>
        <v>4.0727739789869277</v>
      </c>
      <c r="N342" s="16">
        <f t="shared" si="57"/>
        <v>103.43313880306671</v>
      </c>
      <c r="O342" s="16">
        <f t="shared" si="58"/>
        <v>102.43313880306671</v>
      </c>
      <c r="P342" s="1">
        <v>2023</v>
      </c>
      <c r="Q342" s="1" t="s">
        <v>24</v>
      </c>
      <c r="R342" s="1" t="s">
        <v>25</v>
      </c>
      <c r="S342" s="70">
        <f>DATE(Table2[[#This Row],[Year]],MONTH(DATEVALUE("1-"&amp;Table2[[#This Row],[Month]]&amp;"-2000")),1)</f>
        <v>45200</v>
      </c>
      <c r="T342" s="16">
        <f t="shared" si="59"/>
        <v>5.109447848599272</v>
      </c>
      <c r="U342" s="16">
        <f t="shared" si="60"/>
        <v>0.42125979628207327</v>
      </c>
      <c r="V342" s="16">
        <f t="shared" si="61"/>
        <v>37.668103448275865</v>
      </c>
      <c r="W342" s="16">
        <f t="shared" si="62"/>
        <v>3896.1301724137929</v>
      </c>
      <c r="X342" s="16">
        <f t="shared" si="63"/>
        <v>762.5344827586207</v>
      </c>
      <c r="Y342" s="16">
        <f t="shared" si="64"/>
        <v>9248.7586206896558</v>
      </c>
      <c r="Z342" s="7" t="str" cm="1">
        <f t="array" ref="Z342">_xlfn.IFS(K342&lt;2%,"Low",K342&lt;5%,"Medium",K342&lt;10%,"Good",K342&gt;10%,"Excellent")</f>
        <v>Good</v>
      </c>
      <c r="AA342" s="16" t="str">
        <f>Data_Validation!N340</f>
        <v>Pass</v>
      </c>
    </row>
    <row r="343" spans="1:27" x14ac:dyDescent="0.35">
      <c r="A343" s="17" t="s">
        <v>87</v>
      </c>
      <c r="B343" s="3" t="s">
        <v>35</v>
      </c>
      <c r="C343" s="3" t="s">
        <v>20</v>
      </c>
      <c r="D343" s="3" t="s">
        <v>63</v>
      </c>
      <c r="E343" s="3" t="s">
        <v>22</v>
      </c>
      <c r="F343" s="3">
        <v>14578.04</v>
      </c>
      <c r="G343" s="3">
        <v>637086</v>
      </c>
      <c r="H343" s="3">
        <v>2712</v>
      </c>
      <c r="I343" s="3">
        <v>222908.61</v>
      </c>
      <c r="J343" s="3">
        <v>38</v>
      </c>
      <c r="K343" s="15">
        <f t="shared" si="55"/>
        <v>4.2568821163861707E-3</v>
      </c>
      <c r="L343" s="16">
        <f t="shared" si="65"/>
        <v>5.3753834808259588</v>
      </c>
      <c r="M343" s="16">
        <f t="shared" si="56"/>
        <v>22.882373808245671</v>
      </c>
      <c r="N343" s="16">
        <f t="shared" si="57"/>
        <v>15.290711920120946</v>
      </c>
      <c r="O343" s="16">
        <f t="shared" si="58"/>
        <v>14.290711920120946</v>
      </c>
      <c r="P343" s="1">
        <v>2023</v>
      </c>
      <c r="Q343" s="1" t="s">
        <v>24</v>
      </c>
      <c r="R343" s="1" t="s">
        <v>25</v>
      </c>
      <c r="S343" s="70">
        <f>DATE(Table2[[#This Row],[Year]],MONTH(DATEVALUE("1-"&amp;Table2[[#This Row],[Month]]&amp;"-2000")),1)</f>
        <v>45200</v>
      </c>
      <c r="T343" s="16">
        <f t="shared" si="59"/>
        <v>82.193440265486714</v>
      </c>
      <c r="U343" s="16">
        <f t="shared" si="60"/>
        <v>0.34988778595040543</v>
      </c>
      <c r="V343" s="16">
        <f t="shared" si="61"/>
        <v>383.63263157894738</v>
      </c>
      <c r="W343" s="16">
        <f t="shared" si="62"/>
        <v>5866.0160526315785</v>
      </c>
      <c r="X343" s="16">
        <f t="shared" si="63"/>
        <v>71.368421052631575</v>
      </c>
      <c r="Y343" s="16">
        <f t="shared" si="64"/>
        <v>16765.42105263158</v>
      </c>
      <c r="Z343" s="7" t="str" cm="1">
        <f t="array" ref="Z343">_xlfn.IFS(K343&lt;2%,"Low",K343&lt;5%,"Medium",K343&lt;10%,"Good",K343&gt;10%,"Excellent")</f>
        <v>Low</v>
      </c>
      <c r="AA343" s="16" t="str">
        <f>Data_Validation!N341</f>
        <v>Pass</v>
      </c>
    </row>
    <row r="344" spans="1:27" x14ac:dyDescent="0.35">
      <c r="A344" s="17" t="s">
        <v>89</v>
      </c>
      <c r="B344" s="3" t="s">
        <v>48</v>
      </c>
      <c r="C344" s="3" t="s">
        <v>29</v>
      </c>
      <c r="D344" s="3" t="s">
        <v>37</v>
      </c>
      <c r="E344" s="3" t="s">
        <v>38</v>
      </c>
      <c r="F344" s="3">
        <v>10879.41</v>
      </c>
      <c r="G344" s="3">
        <v>155095</v>
      </c>
      <c r="H344" s="3">
        <v>9984</v>
      </c>
      <c r="I344" s="3">
        <v>61659.06</v>
      </c>
      <c r="J344" s="3">
        <v>27</v>
      </c>
      <c r="K344" s="15">
        <f t="shared" si="55"/>
        <v>6.4373448531545183E-2</v>
      </c>
      <c r="L344" s="16">
        <f t="shared" si="65"/>
        <v>1.0896844951923077</v>
      </c>
      <c r="M344" s="16">
        <f t="shared" si="56"/>
        <v>70.146748766884812</v>
      </c>
      <c r="N344" s="16">
        <f t="shared" si="57"/>
        <v>5.6675003515815652</v>
      </c>
      <c r="O344" s="16">
        <f t="shared" si="58"/>
        <v>4.6675003515815652</v>
      </c>
      <c r="P344" s="1">
        <v>2023</v>
      </c>
      <c r="Q344" s="1" t="s">
        <v>24</v>
      </c>
      <c r="R344" s="1" t="s">
        <v>25</v>
      </c>
      <c r="S344" s="70">
        <f>DATE(Table2[[#This Row],[Year]],MONTH(DATEVALUE("1-"&amp;Table2[[#This Row],[Month]]&amp;"-2000")),1)</f>
        <v>45200</v>
      </c>
      <c r="T344" s="16">
        <f t="shared" si="59"/>
        <v>6.175787259615384</v>
      </c>
      <c r="U344" s="16">
        <f t="shared" si="60"/>
        <v>0.3975567232986234</v>
      </c>
      <c r="V344" s="16">
        <f t="shared" si="61"/>
        <v>402.94111111111113</v>
      </c>
      <c r="W344" s="16">
        <f t="shared" si="62"/>
        <v>2283.6688888888889</v>
      </c>
      <c r="X344" s="16">
        <f t="shared" si="63"/>
        <v>369.77777777777777</v>
      </c>
      <c r="Y344" s="16">
        <f t="shared" si="64"/>
        <v>5744.2592592592591</v>
      </c>
      <c r="Z344" s="7" t="str" cm="1">
        <f t="array" ref="Z344">_xlfn.IFS(K344&lt;2%,"Low",K344&lt;5%,"Medium",K344&lt;10%,"Good",K344&gt;10%,"Excellent")</f>
        <v>Good</v>
      </c>
      <c r="AA344" s="16" t="str">
        <f>Data_Validation!N342</f>
        <v>Pass</v>
      </c>
    </row>
    <row r="345" spans="1:27" x14ac:dyDescent="0.35">
      <c r="A345" s="17" t="s">
        <v>83</v>
      </c>
      <c r="B345" s="3" t="s">
        <v>28</v>
      </c>
      <c r="C345" s="3" t="s">
        <v>69</v>
      </c>
      <c r="D345" s="3" t="s">
        <v>37</v>
      </c>
      <c r="E345" s="3" t="s">
        <v>22</v>
      </c>
      <c r="F345" s="3">
        <v>26470.07</v>
      </c>
      <c r="G345" s="3">
        <v>223487</v>
      </c>
      <c r="H345" s="3">
        <v>45155</v>
      </c>
      <c r="I345" s="3">
        <v>160388.29999999999</v>
      </c>
      <c r="J345" s="3">
        <v>24</v>
      </c>
      <c r="K345" s="15">
        <f t="shared" si="55"/>
        <v>0.20204754638972289</v>
      </c>
      <c r="L345" s="16">
        <f t="shared" si="65"/>
        <v>0.58620462850182709</v>
      </c>
      <c r="M345" s="16">
        <f t="shared" si="56"/>
        <v>118.44120687109317</v>
      </c>
      <c r="N345" s="16">
        <f t="shared" si="57"/>
        <v>6.0592321818567152</v>
      </c>
      <c r="O345" s="16">
        <f t="shared" si="58"/>
        <v>5.0592321818567152</v>
      </c>
      <c r="P345" s="1">
        <v>2023</v>
      </c>
      <c r="Q345" s="1" t="s">
        <v>24</v>
      </c>
      <c r="R345" s="1" t="s">
        <v>25</v>
      </c>
      <c r="S345" s="70">
        <f>DATE(Table2[[#This Row],[Year]],MONTH(DATEVALUE("1-"&amp;Table2[[#This Row],[Month]]&amp;"-2000")),1)</f>
        <v>45200</v>
      </c>
      <c r="T345" s="16">
        <f t="shared" si="59"/>
        <v>3.5519499501716307</v>
      </c>
      <c r="U345" s="16">
        <f t="shared" si="60"/>
        <v>0.71766277233127651</v>
      </c>
      <c r="V345" s="16">
        <f t="shared" si="61"/>
        <v>1102.9195833333333</v>
      </c>
      <c r="W345" s="16">
        <f t="shared" si="62"/>
        <v>6682.8458333333328</v>
      </c>
      <c r="X345" s="16">
        <f t="shared" si="63"/>
        <v>1881.4583333333333</v>
      </c>
      <c r="Y345" s="16">
        <f t="shared" si="64"/>
        <v>9311.9583333333339</v>
      </c>
      <c r="Z345" s="7" t="str" cm="1">
        <f t="array" ref="Z345">_xlfn.IFS(K345&lt;2%,"Low",K345&lt;5%,"Medium",K345&lt;10%,"Good",K345&gt;10%,"Excellent")</f>
        <v>Excellent</v>
      </c>
      <c r="AA345" s="16" t="str">
        <f>Data_Validation!N343</f>
        <v>Pass</v>
      </c>
    </row>
    <row r="346" spans="1:27" x14ac:dyDescent="0.35">
      <c r="A346" s="17" t="s">
        <v>72</v>
      </c>
      <c r="B346" s="3" t="s">
        <v>28</v>
      </c>
      <c r="C346" s="3" t="s">
        <v>69</v>
      </c>
      <c r="D346" s="3" t="s">
        <v>43</v>
      </c>
      <c r="E346" s="3" t="s">
        <v>22</v>
      </c>
      <c r="F346" s="3">
        <v>35845.35</v>
      </c>
      <c r="G346" s="3">
        <v>199893</v>
      </c>
      <c r="H346" s="3">
        <v>25263</v>
      </c>
      <c r="I346" s="3">
        <v>123626.91</v>
      </c>
      <c r="J346" s="3">
        <v>50</v>
      </c>
      <c r="K346" s="15">
        <f t="shared" si="55"/>
        <v>0.12638261469886389</v>
      </c>
      <c r="L346" s="16">
        <f t="shared" si="65"/>
        <v>1.4188873055456597</v>
      </c>
      <c r="M346" s="16">
        <f t="shared" si="56"/>
        <v>179.32268763788625</v>
      </c>
      <c r="N346" s="16">
        <f t="shared" si="57"/>
        <v>3.44889671882127</v>
      </c>
      <c r="O346" s="16">
        <f t="shared" si="58"/>
        <v>2.4488967188212696</v>
      </c>
      <c r="P346" s="1">
        <v>2023</v>
      </c>
      <c r="Q346" s="1" t="s">
        <v>24</v>
      </c>
      <c r="R346" s="1" t="s">
        <v>25</v>
      </c>
      <c r="S346" s="70">
        <f>DATE(Table2[[#This Row],[Year]],MONTH(DATEVALUE("1-"&amp;Table2[[#This Row],[Month]]&amp;"-2000")),1)</f>
        <v>45200</v>
      </c>
      <c r="T346" s="16">
        <f t="shared" si="59"/>
        <v>4.8935957724735779</v>
      </c>
      <c r="U346" s="16">
        <f t="shared" si="60"/>
        <v>0.6184654290045174</v>
      </c>
      <c r="V346" s="16">
        <f t="shared" si="61"/>
        <v>716.90699999999993</v>
      </c>
      <c r="W346" s="16">
        <f t="shared" si="62"/>
        <v>2472.5382</v>
      </c>
      <c r="X346" s="16">
        <f t="shared" si="63"/>
        <v>505.26</v>
      </c>
      <c r="Y346" s="16">
        <f t="shared" si="64"/>
        <v>3997.86</v>
      </c>
      <c r="Z346" s="7" t="str" cm="1">
        <f t="array" ref="Z346">_xlfn.IFS(K346&lt;2%,"Low",K346&lt;5%,"Medium",K346&lt;10%,"Good",K346&gt;10%,"Excellent")</f>
        <v>Excellent</v>
      </c>
      <c r="AA346" s="16" t="str">
        <f>Data_Validation!N344</f>
        <v>Pass</v>
      </c>
    </row>
    <row r="347" spans="1:27" x14ac:dyDescent="0.35">
      <c r="A347" s="17" t="s">
        <v>108</v>
      </c>
      <c r="B347" s="3" t="s">
        <v>48</v>
      </c>
      <c r="C347" s="3" t="s">
        <v>58</v>
      </c>
      <c r="D347" s="3" t="s">
        <v>21</v>
      </c>
      <c r="E347" s="3" t="s">
        <v>30</v>
      </c>
      <c r="F347" s="3">
        <v>21969.56</v>
      </c>
      <c r="G347" s="3">
        <v>79986</v>
      </c>
      <c r="H347" s="3">
        <v>45847</v>
      </c>
      <c r="I347" s="3">
        <v>183001.75</v>
      </c>
      <c r="J347" s="3">
        <v>46</v>
      </c>
      <c r="K347" s="15">
        <f t="shared" si="55"/>
        <v>0.57318780786637658</v>
      </c>
      <c r="L347" s="16">
        <f t="shared" si="65"/>
        <v>0.47919296791502175</v>
      </c>
      <c r="M347" s="16">
        <f t="shared" si="56"/>
        <v>274.66756682419424</v>
      </c>
      <c r="N347" s="16">
        <f t="shared" si="57"/>
        <v>8.3297867594981412</v>
      </c>
      <c r="O347" s="16">
        <f t="shared" si="58"/>
        <v>7.3297867594981421</v>
      </c>
      <c r="P347" s="1">
        <v>2023</v>
      </c>
      <c r="Q347" s="1" t="s">
        <v>24</v>
      </c>
      <c r="R347" s="1" t="s">
        <v>25</v>
      </c>
      <c r="S347" s="70">
        <f>DATE(Table2[[#This Row],[Year]],MONTH(DATEVALUE("1-"&amp;Table2[[#This Row],[Month]]&amp;"-2000")),1)</f>
        <v>45200</v>
      </c>
      <c r="T347" s="16">
        <f t="shared" si="59"/>
        <v>3.9915752393831658</v>
      </c>
      <c r="U347" s="16">
        <f t="shared" si="60"/>
        <v>2.2879222613957442</v>
      </c>
      <c r="V347" s="16">
        <f t="shared" si="61"/>
        <v>477.59913043478264</v>
      </c>
      <c r="W347" s="16">
        <f t="shared" si="62"/>
        <v>3978.2989130434785</v>
      </c>
      <c r="X347" s="16">
        <f t="shared" si="63"/>
        <v>996.67391304347825</v>
      </c>
      <c r="Y347" s="16">
        <f t="shared" si="64"/>
        <v>1738.8260869565217</v>
      </c>
      <c r="Z347" s="7" t="str" cm="1">
        <f t="array" ref="Z347">_xlfn.IFS(K347&lt;2%,"Low",K347&lt;5%,"Medium",K347&lt;10%,"Good",K347&gt;10%,"Excellent")</f>
        <v>Excellent</v>
      </c>
      <c r="AA347" s="16" t="str">
        <f>Data_Validation!N345</f>
        <v>Pass</v>
      </c>
    </row>
    <row r="348" spans="1:27" x14ac:dyDescent="0.35">
      <c r="A348" s="17" t="s">
        <v>91</v>
      </c>
      <c r="B348" s="3" t="s">
        <v>28</v>
      </c>
      <c r="C348" s="3" t="s">
        <v>58</v>
      </c>
      <c r="D348" s="3" t="s">
        <v>43</v>
      </c>
      <c r="E348" s="3" t="s">
        <v>38</v>
      </c>
      <c r="F348" s="3">
        <v>1285.06</v>
      </c>
      <c r="G348" s="3">
        <v>752479</v>
      </c>
      <c r="H348" s="3">
        <v>36242</v>
      </c>
      <c r="I348" s="3">
        <v>164721.51</v>
      </c>
      <c r="J348" s="3">
        <v>36</v>
      </c>
      <c r="K348" s="15">
        <f t="shared" si="55"/>
        <v>4.8163470342693949E-2</v>
      </c>
      <c r="L348" s="16">
        <f t="shared" si="65"/>
        <v>3.5457756194470502E-2</v>
      </c>
      <c r="M348" s="16">
        <f t="shared" si="56"/>
        <v>1.7077685888908527</v>
      </c>
      <c r="N348" s="16">
        <f t="shared" si="57"/>
        <v>128.18196037539104</v>
      </c>
      <c r="O348" s="16">
        <f t="shared" si="58"/>
        <v>127.18196037539104</v>
      </c>
      <c r="P348" s="1">
        <v>2023</v>
      </c>
      <c r="Q348" s="1" t="s">
        <v>24</v>
      </c>
      <c r="R348" s="1" t="s">
        <v>25</v>
      </c>
      <c r="S348" s="70">
        <f>DATE(Table2[[#This Row],[Year]],MONTH(DATEVALUE("1-"&amp;Table2[[#This Row],[Month]]&amp;"-2000")),1)</f>
        <v>45200</v>
      </c>
      <c r="T348" s="16">
        <f t="shared" si="59"/>
        <v>4.5450446995198943</v>
      </c>
      <c r="U348" s="16">
        <f t="shared" si="60"/>
        <v>0.21890512559154476</v>
      </c>
      <c r="V348" s="16">
        <f t="shared" si="61"/>
        <v>35.696111111111108</v>
      </c>
      <c r="W348" s="16">
        <f t="shared" si="62"/>
        <v>4575.5974999999999</v>
      </c>
      <c r="X348" s="16">
        <f t="shared" si="63"/>
        <v>1006.7222222222222</v>
      </c>
      <c r="Y348" s="16">
        <f t="shared" si="64"/>
        <v>20902.194444444445</v>
      </c>
      <c r="Z348" s="7" t="str" cm="1">
        <f t="array" ref="Z348">_xlfn.IFS(K348&lt;2%,"Low",K348&lt;5%,"Medium",K348&lt;10%,"Good",K348&gt;10%,"Excellent")</f>
        <v>Medium</v>
      </c>
      <c r="AA348" s="16" t="str">
        <f>Data_Validation!N346</f>
        <v>Pass</v>
      </c>
    </row>
    <row r="349" spans="1:27" x14ac:dyDescent="0.35">
      <c r="A349" s="17" t="s">
        <v>97</v>
      </c>
      <c r="B349" s="3" t="s">
        <v>28</v>
      </c>
      <c r="C349" s="3" t="s">
        <v>36</v>
      </c>
      <c r="D349" s="3" t="s">
        <v>59</v>
      </c>
      <c r="E349" s="3" t="s">
        <v>38</v>
      </c>
      <c r="F349" s="3">
        <v>3547</v>
      </c>
      <c r="G349" s="3">
        <v>697919</v>
      </c>
      <c r="H349" s="3">
        <v>37861</v>
      </c>
      <c r="I349" s="3">
        <v>120493.09</v>
      </c>
      <c r="J349" s="3">
        <v>35</v>
      </c>
      <c r="K349" s="15">
        <f t="shared" si="55"/>
        <v>5.4248415647087989E-2</v>
      </c>
      <c r="L349" s="16">
        <f t="shared" si="65"/>
        <v>9.3684794379440592E-2</v>
      </c>
      <c r="M349" s="16">
        <f t="shared" si="56"/>
        <v>5.0822516653078651</v>
      </c>
      <c r="N349" s="16">
        <f t="shared" si="57"/>
        <v>33.970422892585283</v>
      </c>
      <c r="O349" s="16">
        <f t="shared" si="58"/>
        <v>32.970422892585283</v>
      </c>
      <c r="P349" s="1">
        <v>2023</v>
      </c>
      <c r="Q349" s="1" t="s">
        <v>24</v>
      </c>
      <c r="R349" s="1" t="s">
        <v>25</v>
      </c>
      <c r="S349" s="70">
        <f>DATE(Table2[[#This Row],[Year]],MONTH(DATEVALUE("1-"&amp;Table2[[#This Row],[Month]]&amp;"-2000")),1)</f>
        <v>45200</v>
      </c>
      <c r="T349" s="16">
        <f t="shared" si="59"/>
        <v>3.1825120836744936</v>
      </c>
      <c r="U349" s="16">
        <f t="shared" si="60"/>
        <v>0.17264623831705397</v>
      </c>
      <c r="V349" s="16">
        <f t="shared" si="61"/>
        <v>101.34285714285714</v>
      </c>
      <c r="W349" s="16">
        <f t="shared" si="62"/>
        <v>3442.659714285714</v>
      </c>
      <c r="X349" s="16">
        <f t="shared" si="63"/>
        <v>1081.7428571428572</v>
      </c>
      <c r="Y349" s="16">
        <f t="shared" si="64"/>
        <v>19940.542857142857</v>
      </c>
      <c r="Z349" s="7" t="str" cm="1">
        <f t="array" ref="Z349">_xlfn.IFS(K349&lt;2%,"Low",K349&lt;5%,"Medium",K349&lt;10%,"Good",K349&gt;10%,"Excellent")</f>
        <v>Good</v>
      </c>
      <c r="AA349" s="16" t="str">
        <f>Data_Validation!N347</f>
        <v>Pass</v>
      </c>
    </row>
    <row r="350" spans="1:27" x14ac:dyDescent="0.35">
      <c r="A350" s="17" t="s">
        <v>34</v>
      </c>
      <c r="B350" s="3" t="s">
        <v>28</v>
      </c>
      <c r="C350" s="3" t="s">
        <v>36</v>
      </c>
      <c r="D350" s="3" t="s">
        <v>37</v>
      </c>
      <c r="E350" s="3" t="s">
        <v>30</v>
      </c>
      <c r="F350" s="3">
        <v>32582.99</v>
      </c>
      <c r="G350" s="3">
        <v>741295</v>
      </c>
      <c r="H350" s="3">
        <v>8375</v>
      </c>
      <c r="I350" s="3">
        <v>161278.07</v>
      </c>
      <c r="J350" s="3">
        <v>8</v>
      </c>
      <c r="K350" s="15">
        <f t="shared" si="55"/>
        <v>1.1297796423825873E-2</v>
      </c>
      <c r="L350" s="16">
        <f t="shared" si="65"/>
        <v>3.8905062686567167</v>
      </c>
      <c r="M350" s="16">
        <f t="shared" si="56"/>
        <v>43.954147808901993</v>
      </c>
      <c r="N350" s="16">
        <f t="shared" si="57"/>
        <v>4.9497627443030856</v>
      </c>
      <c r="O350" s="16">
        <f t="shared" si="58"/>
        <v>3.9497627443030856</v>
      </c>
      <c r="P350" s="1">
        <v>2023</v>
      </c>
      <c r="Q350" s="1" t="s">
        <v>24</v>
      </c>
      <c r="R350" s="1" t="s">
        <v>25</v>
      </c>
      <c r="S350" s="70">
        <f>DATE(Table2[[#This Row],[Year]],MONTH(DATEVALUE("1-"&amp;Table2[[#This Row],[Month]]&amp;"-2000")),1)</f>
        <v>45200</v>
      </c>
      <c r="T350" s="16">
        <f t="shared" si="59"/>
        <v>19.257082985074629</v>
      </c>
      <c r="U350" s="16">
        <f t="shared" si="60"/>
        <v>0.21756260328209417</v>
      </c>
      <c r="V350" s="16">
        <f t="shared" si="61"/>
        <v>4072.8737500000002</v>
      </c>
      <c r="W350" s="16">
        <f t="shared" si="62"/>
        <v>20159.758750000001</v>
      </c>
      <c r="X350" s="16">
        <f t="shared" si="63"/>
        <v>1046.875</v>
      </c>
      <c r="Y350" s="16">
        <f t="shared" si="64"/>
        <v>92661.875</v>
      </c>
      <c r="Z350" s="7" t="str" cm="1">
        <f t="array" ref="Z350">_xlfn.IFS(K350&lt;2%,"Low",K350&lt;5%,"Medium",K350&lt;10%,"Good",K350&gt;10%,"Excellent")</f>
        <v>Low</v>
      </c>
      <c r="AA350" s="16" t="str">
        <f>Data_Validation!N348</f>
        <v>Pass</v>
      </c>
    </row>
    <row r="351" spans="1:27" x14ac:dyDescent="0.35">
      <c r="A351" s="17" t="s">
        <v>85</v>
      </c>
      <c r="B351" s="3" t="s">
        <v>19</v>
      </c>
      <c r="C351" s="3" t="s">
        <v>36</v>
      </c>
      <c r="D351" s="3" t="s">
        <v>43</v>
      </c>
      <c r="E351" s="3" t="s">
        <v>30</v>
      </c>
      <c r="F351" s="3">
        <v>8899.85</v>
      </c>
      <c r="G351" s="3">
        <v>133365</v>
      </c>
      <c r="H351" s="3">
        <v>17968</v>
      </c>
      <c r="I351" s="3">
        <v>41583.58</v>
      </c>
      <c r="J351" s="3">
        <v>40</v>
      </c>
      <c r="K351" s="15">
        <f t="shared" si="55"/>
        <v>0.13472800209950136</v>
      </c>
      <c r="L351" s="16">
        <f t="shared" si="65"/>
        <v>0.49531667408726626</v>
      </c>
      <c r="M351" s="16">
        <f t="shared" si="56"/>
        <v>66.733025906347251</v>
      </c>
      <c r="N351" s="16">
        <f t="shared" si="57"/>
        <v>4.6723911077152982</v>
      </c>
      <c r="O351" s="16">
        <f t="shared" si="58"/>
        <v>3.6723911077152986</v>
      </c>
      <c r="P351" s="1">
        <v>2023</v>
      </c>
      <c r="Q351" s="1" t="s">
        <v>24</v>
      </c>
      <c r="R351" s="1" t="s">
        <v>25</v>
      </c>
      <c r="S351" s="70">
        <f>DATE(Table2[[#This Row],[Year]],MONTH(DATEVALUE("1-"&amp;Table2[[#This Row],[Month]]&amp;"-2000")),1)</f>
        <v>45200</v>
      </c>
      <c r="T351" s="16">
        <f t="shared" si="59"/>
        <v>2.3143132235084596</v>
      </c>
      <c r="U351" s="16">
        <f t="shared" si="60"/>
        <v>0.31180279683575152</v>
      </c>
      <c r="V351" s="16">
        <f t="shared" si="61"/>
        <v>222.49625</v>
      </c>
      <c r="W351" s="16">
        <f t="shared" si="62"/>
        <v>1039.5895</v>
      </c>
      <c r="X351" s="16">
        <f t="shared" si="63"/>
        <v>449.2</v>
      </c>
      <c r="Y351" s="16">
        <f t="shared" si="64"/>
        <v>3334.125</v>
      </c>
      <c r="Z351" s="7" t="str" cm="1">
        <f t="array" ref="Z351">_xlfn.IFS(K351&lt;2%,"Low",K351&lt;5%,"Medium",K351&lt;10%,"Good",K351&gt;10%,"Excellent")</f>
        <v>Excellent</v>
      </c>
      <c r="AA351" s="16" t="str">
        <f>Data_Validation!N349</f>
        <v>Pass</v>
      </c>
    </row>
    <row r="352" spans="1:27" x14ac:dyDescent="0.35">
      <c r="A352" s="17" t="s">
        <v>93</v>
      </c>
      <c r="B352" s="3" t="s">
        <v>28</v>
      </c>
      <c r="C352" s="3" t="s">
        <v>20</v>
      </c>
      <c r="D352" s="3" t="s">
        <v>51</v>
      </c>
      <c r="E352" s="3" t="s">
        <v>30</v>
      </c>
      <c r="F352" s="3">
        <v>1727.42</v>
      </c>
      <c r="G352" s="3">
        <v>519845</v>
      </c>
      <c r="H352" s="3">
        <v>32963</v>
      </c>
      <c r="I352" s="3">
        <v>134037.24</v>
      </c>
      <c r="J352" s="3">
        <v>9</v>
      </c>
      <c r="K352" s="15">
        <f t="shared" si="55"/>
        <v>6.340928546008906E-2</v>
      </c>
      <c r="L352" s="16">
        <f t="shared" si="65"/>
        <v>5.2404817522676943E-2</v>
      </c>
      <c r="M352" s="16">
        <f t="shared" si="56"/>
        <v>3.3229520337792997</v>
      </c>
      <c r="N352" s="16">
        <f t="shared" si="57"/>
        <v>77.593891468201122</v>
      </c>
      <c r="O352" s="16">
        <f t="shared" si="58"/>
        <v>76.593891468201122</v>
      </c>
      <c r="P352" s="1">
        <v>2023</v>
      </c>
      <c r="Q352" s="1" t="s">
        <v>24</v>
      </c>
      <c r="R352" s="1" t="s">
        <v>25</v>
      </c>
      <c r="S352" s="70">
        <f>DATE(Table2[[#This Row],[Year]],MONTH(DATEVALUE("1-"&amp;Table2[[#This Row],[Month]]&amp;"-2000")),1)</f>
        <v>45200</v>
      </c>
      <c r="T352" s="16">
        <f t="shared" si="59"/>
        <v>4.0662937232654794</v>
      </c>
      <c r="U352" s="16">
        <f t="shared" si="60"/>
        <v>0.25784077946310918</v>
      </c>
      <c r="V352" s="16">
        <f t="shared" si="61"/>
        <v>191.93555555555557</v>
      </c>
      <c r="W352" s="16">
        <f t="shared" si="62"/>
        <v>14893.026666666665</v>
      </c>
      <c r="X352" s="16">
        <f t="shared" si="63"/>
        <v>3662.5555555555557</v>
      </c>
      <c r="Y352" s="16">
        <f t="shared" si="64"/>
        <v>57760.555555555555</v>
      </c>
      <c r="Z352" s="7" t="str" cm="1">
        <f t="array" ref="Z352">_xlfn.IFS(K352&lt;2%,"Low",K352&lt;5%,"Medium",K352&lt;10%,"Good",K352&gt;10%,"Excellent")</f>
        <v>Good</v>
      </c>
      <c r="AA352" s="16" t="str">
        <f>Data_Validation!N350</f>
        <v>Pass</v>
      </c>
    </row>
    <row r="353" spans="1:27" x14ac:dyDescent="0.35">
      <c r="A353" s="17" t="s">
        <v>108</v>
      </c>
      <c r="B353" s="3" t="s">
        <v>28</v>
      </c>
      <c r="C353" s="3" t="s">
        <v>20</v>
      </c>
      <c r="D353" s="3" t="s">
        <v>37</v>
      </c>
      <c r="E353" s="3" t="s">
        <v>22</v>
      </c>
      <c r="F353" s="3">
        <v>21395.45</v>
      </c>
      <c r="G353" s="3">
        <v>907412</v>
      </c>
      <c r="H353" s="3">
        <v>33078</v>
      </c>
      <c r="I353" s="3">
        <v>56641.13</v>
      </c>
      <c r="J353" s="3">
        <v>6</v>
      </c>
      <c r="K353" s="15">
        <f t="shared" si="55"/>
        <v>3.6453121625017085E-2</v>
      </c>
      <c r="L353" s="16">
        <f t="shared" si="65"/>
        <v>0.64681812685168394</v>
      </c>
      <c r="M353" s="16">
        <f t="shared" si="56"/>
        <v>23.578539847390161</v>
      </c>
      <c r="N353" s="16">
        <f t="shared" si="57"/>
        <v>2.6473446457073817</v>
      </c>
      <c r="O353" s="16">
        <f t="shared" si="58"/>
        <v>1.6473446457073813</v>
      </c>
      <c r="P353" s="1">
        <v>2023</v>
      </c>
      <c r="Q353" s="1" t="s">
        <v>24</v>
      </c>
      <c r="R353" s="1" t="s">
        <v>25</v>
      </c>
      <c r="S353" s="70">
        <f>DATE(Table2[[#This Row],[Year]],MONTH(DATEVALUE("1-"&amp;Table2[[#This Row],[Month]]&amp;"-2000")),1)</f>
        <v>45200</v>
      </c>
      <c r="T353" s="16">
        <f t="shared" si="59"/>
        <v>1.7123505048672834</v>
      </c>
      <c r="U353" s="16">
        <f t="shared" si="60"/>
        <v>6.2420521218586482E-2</v>
      </c>
      <c r="V353" s="16">
        <f t="shared" si="61"/>
        <v>3565.9083333333333</v>
      </c>
      <c r="W353" s="16">
        <f t="shared" si="62"/>
        <v>9440.1883333333335</v>
      </c>
      <c r="X353" s="16">
        <f t="shared" si="63"/>
        <v>5513</v>
      </c>
      <c r="Y353" s="16">
        <f t="shared" si="64"/>
        <v>151235.33333333334</v>
      </c>
      <c r="Z353" s="7" t="str" cm="1">
        <f t="array" ref="Z353">_xlfn.IFS(K353&lt;2%,"Low",K353&lt;5%,"Medium",K353&lt;10%,"Good",K353&gt;10%,"Excellent")</f>
        <v>Medium</v>
      </c>
      <c r="AA353" s="16" t="str">
        <f>Data_Validation!N351</f>
        <v>Pass</v>
      </c>
    </row>
    <row r="354" spans="1:27" x14ac:dyDescent="0.35">
      <c r="A354" s="17" t="s">
        <v>75</v>
      </c>
      <c r="B354" s="3" t="s">
        <v>19</v>
      </c>
      <c r="C354" s="3" t="s">
        <v>69</v>
      </c>
      <c r="D354" s="3" t="s">
        <v>51</v>
      </c>
      <c r="E354" s="3" t="s">
        <v>38</v>
      </c>
      <c r="F354" s="3">
        <v>10010.69</v>
      </c>
      <c r="G354" s="3">
        <v>223068</v>
      </c>
      <c r="H354" s="3">
        <v>10282</v>
      </c>
      <c r="I354" s="3">
        <v>136415.59</v>
      </c>
      <c r="J354" s="3">
        <v>11</v>
      </c>
      <c r="K354" s="15">
        <f t="shared" si="55"/>
        <v>4.6093567880646259E-2</v>
      </c>
      <c r="L354" s="16">
        <f t="shared" si="65"/>
        <v>0.97361311028982689</v>
      </c>
      <c r="M354" s="16">
        <f t="shared" si="56"/>
        <v>44.877301988631267</v>
      </c>
      <c r="N354" s="16">
        <f t="shared" si="57"/>
        <v>13.626991745823714</v>
      </c>
      <c r="O354" s="16">
        <f t="shared" si="58"/>
        <v>12.626991745823712</v>
      </c>
      <c r="P354" s="1">
        <v>2023</v>
      </c>
      <c r="Q354" s="1" t="s">
        <v>24</v>
      </c>
      <c r="R354" s="1" t="s">
        <v>25</v>
      </c>
      <c r="S354" s="70">
        <f>DATE(Table2[[#This Row],[Year]],MONTH(DATEVALUE("1-"&amp;Table2[[#This Row],[Month]]&amp;"-2000")),1)</f>
        <v>45200</v>
      </c>
      <c r="T354" s="16">
        <f t="shared" si="59"/>
        <v>13.267417817545224</v>
      </c>
      <c r="U354" s="16">
        <f t="shared" si="60"/>
        <v>0.61154262377391644</v>
      </c>
      <c r="V354" s="16">
        <f t="shared" si="61"/>
        <v>910.06272727272733</v>
      </c>
      <c r="W354" s="16">
        <f t="shared" si="62"/>
        <v>12401.417272727273</v>
      </c>
      <c r="X354" s="16">
        <f t="shared" si="63"/>
        <v>934.72727272727275</v>
      </c>
      <c r="Y354" s="16">
        <f t="shared" si="64"/>
        <v>20278.909090909092</v>
      </c>
      <c r="Z354" s="7" t="str" cm="1">
        <f t="array" ref="Z354">_xlfn.IFS(K354&lt;2%,"Low",K354&lt;5%,"Medium",K354&lt;10%,"Good",K354&gt;10%,"Excellent")</f>
        <v>Medium</v>
      </c>
      <c r="AA354" s="16" t="str">
        <f>Data_Validation!N352</f>
        <v>Pass</v>
      </c>
    </row>
    <row r="355" spans="1:27" x14ac:dyDescent="0.35">
      <c r="A355" s="17" t="s">
        <v>84</v>
      </c>
      <c r="B355" s="3" t="s">
        <v>48</v>
      </c>
      <c r="C355" s="3" t="s">
        <v>36</v>
      </c>
      <c r="D355" s="3" t="s">
        <v>63</v>
      </c>
      <c r="E355" s="3" t="s">
        <v>30</v>
      </c>
      <c r="F355" s="3">
        <v>1900.73</v>
      </c>
      <c r="G355" s="3">
        <v>556302</v>
      </c>
      <c r="H355" s="3">
        <v>15208</v>
      </c>
      <c r="I355" s="3">
        <v>79710.100000000006</v>
      </c>
      <c r="J355" s="3">
        <v>11</v>
      </c>
      <c r="K355" s="15">
        <f t="shared" si="55"/>
        <v>2.7337669107786778E-2</v>
      </c>
      <c r="L355" s="16">
        <f t="shared" si="65"/>
        <v>0.12498224618621778</v>
      </c>
      <c r="M355" s="16">
        <f t="shared" si="56"/>
        <v>3.4167232905867677</v>
      </c>
      <c r="N355" s="16">
        <f t="shared" si="57"/>
        <v>41.936571738226895</v>
      </c>
      <c r="O355" s="16">
        <f t="shared" si="58"/>
        <v>40.936571738226895</v>
      </c>
      <c r="P355" s="1">
        <v>2023</v>
      </c>
      <c r="Q355" s="1" t="s">
        <v>24</v>
      </c>
      <c r="R355" s="1" t="s">
        <v>25</v>
      </c>
      <c r="S355" s="70">
        <f>DATE(Table2[[#This Row],[Year]],MONTH(DATEVALUE("1-"&amp;Table2[[#This Row],[Month]]&amp;"-2000")),1)</f>
        <v>45200</v>
      </c>
      <c r="T355" s="16">
        <f t="shared" si="59"/>
        <v>5.241326933193057</v>
      </c>
      <c r="U355" s="16">
        <f t="shared" si="60"/>
        <v>0.14328566138536264</v>
      </c>
      <c r="V355" s="16">
        <f t="shared" si="61"/>
        <v>172.79363636363635</v>
      </c>
      <c r="W355" s="16">
        <f t="shared" si="62"/>
        <v>7246.3727272727274</v>
      </c>
      <c r="X355" s="16">
        <f t="shared" si="63"/>
        <v>1382.5454545454545</v>
      </c>
      <c r="Y355" s="16">
        <f t="shared" si="64"/>
        <v>50572.909090909088</v>
      </c>
      <c r="Z355" s="7" t="str" cm="1">
        <f t="array" ref="Z355">_xlfn.IFS(K355&lt;2%,"Low",K355&lt;5%,"Medium",K355&lt;10%,"Good",K355&gt;10%,"Excellent")</f>
        <v>Medium</v>
      </c>
      <c r="AA355" s="16" t="str">
        <f>Data_Validation!N353</f>
        <v>Pass</v>
      </c>
    </row>
    <row r="356" spans="1:27" x14ac:dyDescent="0.35">
      <c r="A356" s="17" t="s">
        <v>100</v>
      </c>
      <c r="B356" s="3" t="s">
        <v>28</v>
      </c>
      <c r="C356" s="3" t="s">
        <v>36</v>
      </c>
      <c r="D356" s="3" t="s">
        <v>63</v>
      </c>
      <c r="E356" s="3" t="s">
        <v>30</v>
      </c>
      <c r="F356" s="3">
        <v>38581.660000000003</v>
      </c>
      <c r="G356" s="3">
        <v>229242</v>
      </c>
      <c r="H356" s="3">
        <v>567</v>
      </c>
      <c r="I356" s="3">
        <v>53041.26</v>
      </c>
      <c r="J356" s="3">
        <v>37</v>
      </c>
      <c r="K356" s="15">
        <f t="shared" si="55"/>
        <v>2.4733687544167297E-3</v>
      </c>
      <c r="L356" s="16">
        <f t="shared" si="65"/>
        <v>68.04525573192241</v>
      </c>
      <c r="M356" s="16">
        <f t="shared" si="56"/>
        <v>168.30100941363276</v>
      </c>
      <c r="N356" s="16">
        <f t="shared" si="57"/>
        <v>1.3747791048907694</v>
      </c>
      <c r="O356" s="16">
        <f t="shared" si="58"/>
        <v>0.37477910489076927</v>
      </c>
      <c r="P356" s="1">
        <v>2023</v>
      </c>
      <c r="Q356" s="1" t="s">
        <v>24</v>
      </c>
      <c r="R356" s="1" t="s">
        <v>25</v>
      </c>
      <c r="S356" s="70">
        <f>DATE(Table2[[#This Row],[Year]],MONTH(DATEVALUE("1-"&amp;Table2[[#This Row],[Month]]&amp;"-2000")),1)</f>
        <v>45200</v>
      </c>
      <c r="T356" s="16">
        <f t="shared" si="59"/>
        <v>93.547195767195774</v>
      </c>
      <c r="U356" s="16">
        <f t="shared" si="60"/>
        <v>0.23137671107388699</v>
      </c>
      <c r="V356" s="16">
        <f t="shared" si="61"/>
        <v>1042.7475675675676</v>
      </c>
      <c r="W356" s="16">
        <f t="shared" si="62"/>
        <v>1433.5475675675675</v>
      </c>
      <c r="X356" s="16">
        <f t="shared" si="63"/>
        <v>15.324324324324325</v>
      </c>
      <c r="Y356" s="16">
        <f t="shared" si="64"/>
        <v>6195.72972972973</v>
      </c>
      <c r="Z356" s="7" t="str" cm="1">
        <f t="array" ref="Z356">_xlfn.IFS(K356&lt;2%,"Low",K356&lt;5%,"Medium",K356&lt;10%,"Good",K356&gt;10%,"Excellent")</f>
        <v>Low</v>
      </c>
      <c r="AA356" s="16" t="str">
        <f>Data_Validation!N354</f>
        <v>Pass</v>
      </c>
    </row>
    <row r="357" spans="1:27" x14ac:dyDescent="0.35">
      <c r="A357" s="17" t="s">
        <v>62</v>
      </c>
      <c r="B357" s="3" t="s">
        <v>35</v>
      </c>
      <c r="C357" s="3" t="s">
        <v>20</v>
      </c>
      <c r="D357" s="3" t="s">
        <v>59</v>
      </c>
      <c r="E357" s="3" t="s">
        <v>30</v>
      </c>
      <c r="F357" s="3">
        <v>3634.61</v>
      </c>
      <c r="G357" s="3">
        <v>448539</v>
      </c>
      <c r="H357" s="3">
        <v>11319</v>
      </c>
      <c r="I357" s="3">
        <v>191283.20000000001</v>
      </c>
      <c r="J357" s="3">
        <v>14</v>
      </c>
      <c r="K357" s="15">
        <f t="shared" si="55"/>
        <v>2.5235263823212697E-2</v>
      </c>
      <c r="L357" s="16">
        <f t="shared" si="65"/>
        <v>0.3211069882498454</v>
      </c>
      <c r="M357" s="16">
        <f t="shared" si="56"/>
        <v>8.1032195639621083</v>
      </c>
      <c r="N357" s="16">
        <f t="shared" si="57"/>
        <v>52.628259978374572</v>
      </c>
      <c r="O357" s="16">
        <f t="shared" si="58"/>
        <v>51.628259978374579</v>
      </c>
      <c r="P357" s="1">
        <v>2023</v>
      </c>
      <c r="Q357" s="1" t="s">
        <v>24</v>
      </c>
      <c r="R357" s="1" t="s">
        <v>25</v>
      </c>
      <c r="S357" s="70">
        <f>DATE(Table2[[#This Row],[Year]],MONTH(DATEVALUE("1-"&amp;Table2[[#This Row],[Month]]&amp;"-2000")),1)</f>
        <v>45200</v>
      </c>
      <c r="T357" s="16">
        <f t="shared" si="59"/>
        <v>16.899302058485734</v>
      </c>
      <c r="U357" s="16">
        <f t="shared" si="60"/>
        <v>0.42645834587404891</v>
      </c>
      <c r="V357" s="16">
        <f t="shared" si="61"/>
        <v>259.61500000000001</v>
      </c>
      <c r="W357" s="16">
        <f t="shared" si="62"/>
        <v>13663.085714285715</v>
      </c>
      <c r="X357" s="16">
        <f t="shared" si="63"/>
        <v>808.5</v>
      </c>
      <c r="Y357" s="16">
        <f t="shared" si="64"/>
        <v>32038.5</v>
      </c>
      <c r="Z357" s="7" t="str" cm="1">
        <f t="array" ref="Z357">_xlfn.IFS(K357&lt;2%,"Low",K357&lt;5%,"Medium",K357&lt;10%,"Good",K357&gt;10%,"Excellent")</f>
        <v>Medium</v>
      </c>
      <c r="AA357" s="16" t="str">
        <f>Data_Validation!N355</f>
        <v>Pass</v>
      </c>
    </row>
    <row r="358" spans="1:27" x14ac:dyDescent="0.35">
      <c r="A358" s="17" t="s">
        <v>109</v>
      </c>
      <c r="B358" s="3" t="s">
        <v>19</v>
      </c>
      <c r="C358" s="3" t="s">
        <v>69</v>
      </c>
      <c r="D358" s="3" t="s">
        <v>43</v>
      </c>
      <c r="E358" s="3" t="s">
        <v>30</v>
      </c>
      <c r="F358" s="3">
        <v>12547.21</v>
      </c>
      <c r="G358" s="3">
        <v>542623</v>
      </c>
      <c r="H358" s="3">
        <v>6845</v>
      </c>
      <c r="I358" s="3">
        <v>104393.07</v>
      </c>
      <c r="J358" s="3">
        <v>55</v>
      </c>
      <c r="K358" s="15">
        <f t="shared" si="55"/>
        <v>1.261465142465395E-2</v>
      </c>
      <c r="L358" s="16">
        <f t="shared" si="65"/>
        <v>1.8330474799123446</v>
      </c>
      <c r="M358" s="16">
        <f t="shared" si="56"/>
        <v>23.123255003934592</v>
      </c>
      <c r="N358" s="16">
        <f t="shared" si="57"/>
        <v>8.3200225388751772</v>
      </c>
      <c r="O358" s="16">
        <f t="shared" si="58"/>
        <v>7.3200225388751781</v>
      </c>
      <c r="P358" s="1">
        <v>2023</v>
      </c>
      <c r="Q358" s="1" t="s">
        <v>24</v>
      </c>
      <c r="R358" s="1" t="s">
        <v>25</v>
      </c>
      <c r="S358" s="70">
        <f>DATE(Table2[[#This Row],[Year]],MONTH(DATEVALUE("1-"&amp;Table2[[#This Row],[Month]]&amp;"-2000")),1)</f>
        <v>45200</v>
      </c>
      <c r="T358" s="16">
        <f t="shared" si="59"/>
        <v>15.250996347699051</v>
      </c>
      <c r="U358" s="16">
        <f t="shared" si="60"/>
        <v>0.19238600280489401</v>
      </c>
      <c r="V358" s="16">
        <f t="shared" si="61"/>
        <v>228.13109090909089</v>
      </c>
      <c r="W358" s="16">
        <f t="shared" si="62"/>
        <v>1898.0558181818183</v>
      </c>
      <c r="X358" s="16">
        <f t="shared" si="63"/>
        <v>124.45454545454545</v>
      </c>
      <c r="Y358" s="16">
        <f t="shared" si="64"/>
        <v>9865.8727272727265</v>
      </c>
      <c r="Z358" s="7" t="str" cm="1">
        <f t="array" ref="Z358">_xlfn.IFS(K358&lt;2%,"Low",K358&lt;5%,"Medium",K358&lt;10%,"Good",K358&gt;10%,"Excellent")</f>
        <v>Low</v>
      </c>
      <c r="AA358" s="16" t="str">
        <f>Data_Validation!N356</f>
        <v>Pass</v>
      </c>
    </row>
    <row r="359" spans="1:27" x14ac:dyDescent="0.35">
      <c r="A359" s="17" t="s">
        <v>108</v>
      </c>
      <c r="B359" s="3" t="s">
        <v>48</v>
      </c>
      <c r="C359" s="3" t="s">
        <v>69</v>
      </c>
      <c r="D359" s="3" t="s">
        <v>51</v>
      </c>
      <c r="E359" s="3" t="s">
        <v>38</v>
      </c>
      <c r="F359" s="3">
        <v>28436.13</v>
      </c>
      <c r="G359" s="3">
        <v>286570</v>
      </c>
      <c r="H359" s="3">
        <v>33980</v>
      </c>
      <c r="I359" s="3">
        <v>81687.53</v>
      </c>
      <c r="J359" s="3">
        <v>22</v>
      </c>
      <c r="K359" s="15">
        <f t="shared" si="55"/>
        <v>0.11857486826953274</v>
      </c>
      <c r="L359" s="16">
        <f t="shared" si="65"/>
        <v>0.83684902884049439</v>
      </c>
      <c r="M359" s="16">
        <f t="shared" si="56"/>
        <v>99.22926335624804</v>
      </c>
      <c r="N359" s="16">
        <f t="shared" si="57"/>
        <v>2.8726669205690083</v>
      </c>
      <c r="O359" s="16">
        <f t="shared" si="58"/>
        <v>1.8726669205690083</v>
      </c>
      <c r="P359" s="1">
        <v>2023</v>
      </c>
      <c r="Q359" s="1" t="s">
        <v>24</v>
      </c>
      <c r="R359" s="1" t="s">
        <v>25</v>
      </c>
      <c r="S359" s="70">
        <f>DATE(Table2[[#This Row],[Year]],MONTH(DATEVALUE("1-"&amp;Table2[[#This Row],[Month]]&amp;"-2000")),1)</f>
        <v>45200</v>
      </c>
      <c r="T359" s="16">
        <f t="shared" si="59"/>
        <v>2.4039885226603883</v>
      </c>
      <c r="U359" s="16">
        <f t="shared" si="60"/>
        <v>0.28505262239592422</v>
      </c>
      <c r="V359" s="16">
        <f t="shared" si="61"/>
        <v>1292.5513636363637</v>
      </c>
      <c r="W359" s="16">
        <f t="shared" si="62"/>
        <v>3713.0695454545453</v>
      </c>
      <c r="X359" s="16">
        <f t="shared" si="63"/>
        <v>1544.5454545454545</v>
      </c>
      <c r="Y359" s="16">
        <f t="shared" si="64"/>
        <v>13025.90909090909</v>
      </c>
      <c r="Z359" s="7" t="str" cm="1">
        <f t="array" ref="Z359">_xlfn.IFS(K359&lt;2%,"Low",K359&lt;5%,"Medium",K359&lt;10%,"Good",K359&gt;10%,"Excellent")</f>
        <v>Excellent</v>
      </c>
      <c r="AA359" s="16" t="str">
        <f>Data_Validation!N357</f>
        <v>Pass</v>
      </c>
    </row>
    <row r="360" spans="1:27" x14ac:dyDescent="0.35">
      <c r="A360" s="17" t="s">
        <v>82</v>
      </c>
      <c r="B360" s="3" t="s">
        <v>35</v>
      </c>
      <c r="C360" s="3" t="s">
        <v>20</v>
      </c>
      <c r="D360" s="3" t="s">
        <v>59</v>
      </c>
      <c r="E360" s="3" t="s">
        <v>30</v>
      </c>
      <c r="F360" s="3">
        <v>1062.28</v>
      </c>
      <c r="G360" s="3">
        <v>519462</v>
      </c>
      <c r="H360" s="3">
        <v>29633</v>
      </c>
      <c r="I360" s="3">
        <v>85444.79</v>
      </c>
      <c r="J360" s="3">
        <v>45</v>
      </c>
      <c r="K360" s="15">
        <f t="shared" si="55"/>
        <v>5.7045558674166733E-2</v>
      </c>
      <c r="L360" s="16">
        <f t="shared" si="65"/>
        <v>3.5847872304525359E-2</v>
      </c>
      <c r="M360" s="16">
        <f t="shared" si="56"/>
        <v>2.044961902891838</v>
      </c>
      <c r="N360" s="16">
        <f t="shared" si="57"/>
        <v>80.435280716948441</v>
      </c>
      <c r="O360" s="16">
        <f t="shared" si="58"/>
        <v>79.435280716948441</v>
      </c>
      <c r="P360" s="1">
        <v>2023</v>
      </c>
      <c r="Q360" s="1" t="s">
        <v>24</v>
      </c>
      <c r="R360" s="1" t="s">
        <v>25</v>
      </c>
      <c r="S360" s="70">
        <f>DATE(Table2[[#This Row],[Year]],MONTH(DATEVALUE("1-"&amp;Table2[[#This Row],[Month]]&amp;"-2000")),1)</f>
        <v>45200</v>
      </c>
      <c r="T360" s="16">
        <f t="shared" si="59"/>
        <v>2.883433671919819</v>
      </c>
      <c r="U360" s="16">
        <f t="shared" si="60"/>
        <v>0.16448708471457008</v>
      </c>
      <c r="V360" s="16">
        <f t="shared" si="61"/>
        <v>23.606222222222222</v>
      </c>
      <c r="W360" s="16">
        <f t="shared" si="62"/>
        <v>1898.7731111111109</v>
      </c>
      <c r="X360" s="16">
        <f t="shared" si="63"/>
        <v>658.51111111111106</v>
      </c>
      <c r="Y360" s="16">
        <f t="shared" si="64"/>
        <v>11543.6</v>
      </c>
      <c r="Z360" s="7" t="str" cm="1">
        <f t="array" ref="Z360">_xlfn.IFS(K360&lt;2%,"Low",K360&lt;5%,"Medium",K360&lt;10%,"Good",K360&gt;10%,"Excellent")</f>
        <v>Good</v>
      </c>
      <c r="AA360" s="16" t="str">
        <f>Data_Validation!N358</f>
        <v>Pass</v>
      </c>
    </row>
    <row r="361" spans="1:27" x14ac:dyDescent="0.35">
      <c r="A361" s="17" t="s">
        <v>62</v>
      </c>
      <c r="B361" s="3" t="s">
        <v>48</v>
      </c>
      <c r="C361" s="3" t="s">
        <v>69</v>
      </c>
      <c r="D361" s="3" t="s">
        <v>37</v>
      </c>
      <c r="E361" s="3" t="s">
        <v>30</v>
      </c>
      <c r="F361" s="3">
        <v>307.24</v>
      </c>
      <c r="G361" s="3">
        <v>943572</v>
      </c>
      <c r="H361" s="3">
        <v>19881</v>
      </c>
      <c r="I361" s="3">
        <v>6609.36</v>
      </c>
      <c r="J361" s="3">
        <v>44</v>
      </c>
      <c r="K361" s="15">
        <f t="shared" si="55"/>
        <v>2.1069934249850569E-2</v>
      </c>
      <c r="L361" s="16">
        <f t="shared" si="65"/>
        <v>1.5453951008500579E-2</v>
      </c>
      <c r="M361" s="16">
        <f t="shared" si="56"/>
        <v>0.32561373164951907</v>
      </c>
      <c r="N361" s="16">
        <f t="shared" si="57"/>
        <v>21.512042702773076</v>
      </c>
      <c r="O361" s="16">
        <f t="shared" si="58"/>
        <v>20.512042702773076</v>
      </c>
      <c r="P361" s="1">
        <v>2023</v>
      </c>
      <c r="Q361" s="1" t="s">
        <v>24</v>
      </c>
      <c r="R361" s="1" t="s">
        <v>25</v>
      </c>
      <c r="S361" s="70">
        <f>DATE(Table2[[#This Row],[Year]],MONTH(DATEVALUE("1-"&amp;Table2[[#This Row],[Month]]&amp;"-2000")),1)</f>
        <v>45200</v>
      </c>
      <c r="T361" s="16">
        <f t="shared" si="59"/>
        <v>0.33244605402142746</v>
      </c>
      <c r="U361" s="16">
        <f t="shared" si="60"/>
        <v>7.0046164998537469E-3</v>
      </c>
      <c r="V361" s="16">
        <f t="shared" si="61"/>
        <v>6.9827272727272733</v>
      </c>
      <c r="W361" s="16">
        <f t="shared" si="62"/>
        <v>150.21272727272728</v>
      </c>
      <c r="X361" s="16">
        <f t="shared" si="63"/>
        <v>451.84090909090907</v>
      </c>
      <c r="Y361" s="16">
        <f t="shared" si="64"/>
        <v>21444.81818181818</v>
      </c>
      <c r="Z361" s="7" t="str" cm="1">
        <f t="array" ref="Z361">_xlfn.IFS(K361&lt;2%,"Low",K361&lt;5%,"Medium",K361&lt;10%,"Good",K361&gt;10%,"Excellent")</f>
        <v>Medium</v>
      </c>
      <c r="AA361" s="16" t="str">
        <f>Data_Validation!N359</f>
        <v>Pass</v>
      </c>
    </row>
    <row r="362" spans="1:27" x14ac:dyDescent="0.35">
      <c r="A362" s="17" t="s">
        <v>87</v>
      </c>
      <c r="B362" s="3" t="s">
        <v>48</v>
      </c>
      <c r="C362" s="3" t="s">
        <v>58</v>
      </c>
      <c r="D362" s="3" t="s">
        <v>43</v>
      </c>
      <c r="E362" s="3" t="s">
        <v>38</v>
      </c>
      <c r="F362" s="3">
        <v>18059.36</v>
      </c>
      <c r="G362" s="3">
        <v>160152</v>
      </c>
      <c r="H362" s="3">
        <v>2848</v>
      </c>
      <c r="I362" s="3">
        <v>204426.86</v>
      </c>
      <c r="J362" s="3">
        <v>26</v>
      </c>
      <c r="K362" s="15">
        <f t="shared" si="55"/>
        <v>1.7783106049253209E-2</v>
      </c>
      <c r="L362" s="16">
        <f t="shared" si="65"/>
        <v>6.3410674157303371</v>
      </c>
      <c r="M362" s="16">
        <f t="shared" si="56"/>
        <v>112.76387431939658</v>
      </c>
      <c r="N362" s="16">
        <f t="shared" si="57"/>
        <v>11.319717863755969</v>
      </c>
      <c r="O362" s="16">
        <f t="shared" si="58"/>
        <v>10.319717863755969</v>
      </c>
      <c r="P362" s="1">
        <v>2023</v>
      </c>
      <c r="Q362" s="1" t="s">
        <v>24</v>
      </c>
      <c r="R362" s="1" t="s">
        <v>25</v>
      </c>
      <c r="S362" s="70">
        <f>DATE(Table2[[#This Row],[Year]],MONTH(DATEVALUE("1-"&amp;Table2[[#This Row],[Month]]&amp;"-2000")),1)</f>
        <v>45200</v>
      </c>
      <c r="T362" s="16">
        <f t="shared" si="59"/>
        <v>71.77909410112359</v>
      </c>
      <c r="U362" s="16">
        <f t="shared" si="60"/>
        <v>1.2764552425196063</v>
      </c>
      <c r="V362" s="16">
        <f t="shared" si="61"/>
        <v>694.5907692307693</v>
      </c>
      <c r="W362" s="16">
        <f t="shared" si="62"/>
        <v>7862.5715384615378</v>
      </c>
      <c r="X362" s="16">
        <f t="shared" si="63"/>
        <v>109.53846153846153</v>
      </c>
      <c r="Y362" s="16">
        <f t="shared" si="64"/>
        <v>6159.6923076923076</v>
      </c>
      <c r="Z362" s="7" t="str" cm="1">
        <f t="array" ref="Z362">_xlfn.IFS(K362&lt;2%,"Low",K362&lt;5%,"Medium",K362&lt;10%,"Good",K362&gt;10%,"Excellent")</f>
        <v>Low</v>
      </c>
      <c r="AA362" s="16" t="str">
        <f>Data_Validation!N360</f>
        <v>Pass</v>
      </c>
    </row>
    <row r="363" spans="1:27" x14ac:dyDescent="0.35">
      <c r="A363" s="17" t="s">
        <v>67</v>
      </c>
      <c r="B363" s="3" t="s">
        <v>48</v>
      </c>
      <c r="C363" s="3" t="s">
        <v>69</v>
      </c>
      <c r="D363" s="3" t="s">
        <v>43</v>
      </c>
      <c r="E363" s="3" t="s">
        <v>22</v>
      </c>
      <c r="F363" s="3">
        <v>25913.96</v>
      </c>
      <c r="G363" s="3">
        <v>40271</v>
      </c>
      <c r="H363" s="3">
        <v>41389</v>
      </c>
      <c r="I363" s="3">
        <v>154173.56</v>
      </c>
      <c r="J363" s="3">
        <v>34</v>
      </c>
      <c r="K363" s="15">
        <f t="shared" si="55"/>
        <v>1.0277619130391598</v>
      </c>
      <c r="L363" s="16">
        <f t="shared" si="65"/>
        <v>0.62610741984585272</v>
      </c>
      <c r="M363" s="16">
        <f t="shared" si="56"/>
        <v>643.48935958878599</v>
      </c>
      <c r="N363" s="16">
        <f t="shared" si="57"/>
        <v>5.9494403788537147</v>
      </c>
      <c r="O363" s="16">
        <f t="shared" si="58"/>
        <v>4.9494403788537147</v>
      </c>
      <c r="P363" s="1">
        <v>2023</v>
      </c>
      <c r="Q363" s="1" t="s">
        <v>24</v>
      </c>
      <c r="R363" s="1" t="s">
        <v>25</v>
      </c>
      <c r="S363" s="70">
        <f>DATE(Table2[[#This Row],[Year]],MONTH(DATEVALUE("1-"&amp;Table2[[#This Row],[Month]]&amp;"-2000")),1)</f>
        <v>45200</v>
      </c>
      <c r="T363" s="16">
        <f t="shared" si="59"/>
        <v>3.7249887651308318</v>
      </c>
      <c r="U363" s="16">
        <f t="shared" si="60"/>
        <v>3.8284015793002406</v>
      </c>
      <c r="V363" s="16">
        <f t="shared" si="61"/>
        <v>762.17529411764701</v>
      </c>
      <c r="W363" s="16">
        <f t="shared" si="62"/>
        <v>4534.5164705882353</v>
      </c>
      <c r="X363" s="16">
        <f t="shared" si="63"/>
        <v>1217.3235294117646</v>
      </c>
      <c r="Y363" s="16">
        <f t="shared" si="64"/>
        <v>1184.4411764705883</v>
      </c>
      <c r="Z363" s="7" t="str" cm="1">
        <f t="array" ref="Z363">_xlfn.IFS(K363&lt;2%,"Low",K363&lt;5%,"Medium",K363&lt;10%,"Good",K363&gt;10%,"Excellent")</f>
        <v>Excellent</v>
      </c>
      <c r="AA363" s="16" t="str">
        <f>Data_Validation!N361</f>
        <v>Fail</v>
      </c>
    </row>
    <row r="364" spans="1:27" x14ac:dyDescent="0.35">
      <c r="A364" s="17" t="s">
        <v>95</v>
      </c>
      <c r="B364" s="3" t="s">
        <v>48</v>
      </c>
      <c r="C364" s="3" t="s">
        <v>69</v>
      </c>
      <c r="D364" s="3" t="s">
        <v>37</v>
      </c>
      <c r="E364" s="3" t="s">
        <v>38</v>
      </c>
      <c r="F364" s="3">
        <v>19101.48</v>
      </c>
      <c r="G364" s="3">
        <v>949272</v>
      </c>
      <c r="H364" s="3">
        <v>25956</v>
      </c>
      <c r="I364" s="3">
        <v>205502.48</v>
      </c>
      <c r="J364" s="3">
        <v>13</v>
      </c>
      <c r="K364" s="15">
        <f t="shared" si="55"/>
        <v>2.7343058680757464E-2</v>
      </c>
      <c r="L364" s="16">
        <f t="shared" si="65"/>
        <v>0.7359177068885806</v>
      </c>
      <c r="M364" s="16">
        <f t="shared" si="56"/>
        <v>20.122241043662932</v>
      </c>
      <c r="N364" s="16">
        <f t="shared" si="57"/>
        <v>10.758458506880096</v>
      </c>
      <c r="O364" s="16">
        <f t="shared" si="58"/>
        <v>9.7584585068800962</v>
      </c>
      <c r="P364" s="1">
        <v>2023</v>
      </c>
      <c r="Q364" s="1" t="s">
        <v>24</v>
      </c>
      <c r="R364" s="1" t="s">
        <v>25</v>
      </c>
      <c r="S364" s="70">
        <f>DATE(Table2[[#This Row],[Year]],MONTH(DATEVALUE("1-"&amp;Table2[[#This Row],[Month]]&amp;"-2000")),1)</f>
        <v>45200</v>
      </c>
      <c r="T364" s="16">
        <f t="shared" si="59"/>
        <v>7.9173401140391437</v>
      </c>
      <c r="U364" s="16">
        <f t="shared" si="60"/>
        <v>0.21648429533368729</v>
      </c>
      <c r="V364" s="16">
        <f t="shared" si="61"/>
        <v>1469.3446153846153</v>
      </c>
      <c r="W364" s="16">
        <f t="shared" si="62"/>
        <v>15807.883076923077</v>
      </c>
      <c r="X364" s="16">
        <f t="shared" si="63"/>
        <v>1996.6153846153845</v>
      </c>
      <c r="Y364" s="16">
        <f t="shared" si="64"/>
        <v>73020.923076923078</v>
      </c>
      <c r="Z364" s="7" t="str" cm="1">
        <f t="array" ref="Z364">_xlfn.IFS(K364&lt;2%,"Low",K364&lt;5%,"Medium",K364&lt;10%,"Good",K364&gt;10%,"Excellent")</f>
        <v>Medium</v>
      </c>
      <c r="AA364" s="16" t="str">
        <f>Data_Validation!N362</f>
        <v>Pass</v>
      </c>
    </row>
    <row r="365" spans="1:27" x14ac:dyDescent="0.35">
      <c r="A365" s="17" t="s">
        <v>88</v>
      </c>
      <c r="B365" s="3" t="s">
        <v>35</v>
      </c>
      <c r="C365" s="3" t="s">
        <v>69</v>
      </c>
      <c r="D365" s="3" t="s">
        <v>37</v>
      </c>
      <c r="E365" s="3" t="s">
        <v>38</v>
      </c>
      <c r="F365" s="3">
        <v>46278.29</v>
      </c>
      <c r="G365" s="3">
        <v>586818</v>
      </c>
      <c r="H365" s="3">
        <v>2504</v>
      </c>
      <c r="I365" s="3">
        <v>116432.35</v>
      </c>
      <c r="J365" s="3">
        <v>48</v>
      </c>
      <c r="K365" s="15">
        <f t="shared" si="55"/>
        <v>4.2670811052149052E-3</v>
      </c>
      <c r="L365" s="16">
        <f t="shared" si="65"/>
        <v>18.481745207667732</v>
      </c>
      <c r="M365" s="16">
        <f t="shared" si="56"/>
        <v>78.863105767035094</v>
      </c>
      <c r="N365" s="16">
        <f t="shared" si="57"/>
        <v>2.5159172908074177</v>
      </c>
      <c r="O365" s="16">
        <f t="shared" si="58"/>
        <v>1.5159172908074174</v>
      </c>
      <c r="P365" s="1">
        <v>2023</v>
      </c>
      <c r="Q365" s="1" t="s">
        <v>24</v>
      </c>
      <c r="R365" s="1" t="s">
        <v>25</v>
      </c>
      <c r="S365" s="70">
        <f>DATE(Table2[[#This Row],[Year]],MONTH(DATEVALUE("1-"&amp;Table2[[#This Row],[Month]]&amp;"-2000")),1)</f>
        <v>45200</v>
      </c>
      <c r="T365" s="16">
        <f t="shared" si="59"/>
        <v>46.498542332268372</v>
      </c>
      <c r="U365" s="16">
        <f t="shared" si="60"/>
        <v>0.19841305140605778</v>
      </c>
      <c r="V365" s="16">
        <f t="shared" si="61"/>
        <v>964.13104166666665</v>
      </c>
      <c r="W365" s="16">
        <f t="shared" si="62"/>
        <v>2425.6739583333333</v>
      </c>
      <c r="X365" s="16">
        <f t="shared" si="63"/>
        <v>52.166666666666664</v>
      </c>
      <c r="Y365" s="16">
        <f t="shared" si="64"/>
        <v>12225.375</v>
      </c>
      <c r="Z365" s="7" t="str" cm="1">
        <f t="array" ref="Z365">_xlfn.IFS(K365&lt;2%,"Low",K365&lt;5%,"Medium",K365&lt;10%,"Good",K365&gt;10%,"Excellent")</f>
        <v>Low</v>
      </c>
      <c r="AA365" s="16" t="str">
        <f>Data_Validation!N363</f>
        <v>Pass</v>
      </c>
    </row>
    <row r="366" spans="1:27" x14ac:dyDescent="0.35">
      <c r="A366" s="17" t="s">
        <v>66</v>
      </c>
      <c r="B366" s="3" t="s">
        <v>35</v>
      </c>
      <c r="C366" s="3" t="s">
        <v>20</v>
      </c>
      <c r="D366" s="3" t="s">
        <v>43</v>
      </c>
      <c r="E366" s="3" t="s">
        <v>30</v>
      </c>
      <c r="F366" s="3">
        <v>29281.88</v>
      </c>
      <c r="G366" s="3">
        <v>728826</v>
      </c>
      <c r="H366" s="3">
        <v>9742</v>
      </c>
      <c r="I366" s="3">
        <v>119247.78</v>
      </c>
      <c r="J366" s="3">
        <v>13</v>
      </c>
      <c r="K366" s="15">
        <f t="shared" si="55"/>
        <v>1.3366702066062407E-2</v>
      </c>
      <c r="L366" s="16">
        <f t="shared" si="65"/>
        <v>3.0057359885033876</v>
      </c>
      <c r="M366" s="16">
        <f t="shared" si="56"/>
        <v>40.176777447566366</v>
      </c>
      <c r="N366" s="16">
        <f t="shared" si="57"/>
        <v>4.0724086021799142</v>
      </c>
      <c r="O366" s="16">
        <f t="shared" si="58"/>
        <v>3.0724086021799142</v>
      </c>
      <c r="P366" s="1">
        <v>2023</v>
      </c>
      <c r="Q366" s="1" t="s">
        <v>24</v>
      </c>
      <c r="R366" s="1" t="s">
        <v>25</v>
      </c>
      <c r="S366" s="70">
        <f>DATE(Table2[[#This Row],[Year]],MONTH(DATEVALUE("1-"&amp;Table2[[#This Row],[Month]]&amp;"-2000")),1)</f>
        <v>45200</v>
      </c>
      <c r="T366" s="16">
        <f t="shared" si="59"/>
        <v>12.240585095462944</v>
      </c>
      <c r="U366" s="16">
        <f t="shared" si="60"/>
        <v>0.16361625408533723</v>
      </c>
      <c r="V366" s="16">
        <f t="shared" si="61"/>
        <v>2252.4523076923078</v>
      </c>
      <c r="W366" s="16">
        <f t="shared" si="62"/>
        <v>9172.9061538461538</v>
      </c>
      <c r="X366" s="16">
        <f t="shared" si="63"/>
        <v>749.38461538461536</v>
      </c>
      <c r="Y366" s="16">
        <f t="shared" si="64"/>
        <v>56063.538461538461</v>
      </c>
      <c r="Z366" s="7" t="str" cm="1">
        <f t="array" ref="Z366">_xlfn.IFS(K366&lt;2%,"Low",K366&lt;5%,"Medium",K366&lt;10%,"Good",K366&gt;10%,"Excellent")</f>
        <v>Low</v>
      </c>
      <c r="AA366" s="16" t="str">
        <f>Data_Validation!N364</f>
        <v>Pass</v>
      </c>
    </row>
    <row r="367" spans="1:27" x14ac:dyDescent="0.35">
      <c r="A367" s="17" t="s">
        <v>42</v>
      </c>
      <c r="B367" s="3" t="s">
        <v>28</v>
      </c>
      <c r="C367" s="3" t="s">
        <v>69</v>
      </c>
      <c r="D367" s="3" t="s">
        <v>51</v>
      </c>
      <c r="E367" s="3" t="s">
        <v>22</v>
      </c>
      <c r="F367" s="3">
        <v>33979.57</v>
      </c>
      <c r="G367" s="3">
        <v>164228</v>
      </c>
      <c r="H367" s="3">
        <v>37143</v>
      </c>
      <c r="I367" s="3">
        <v>183493.23</v>
      </c>
      <c r="J367" s="3">
        <v>54</v>
      </c>
      <c r="K367" s="15">
        <f t="shared" si="55"/>
        <v>0.22616727963562852</v>
      </c>
      <c r="L367" s="16">
        <f t="shared" si="65"/>
        <v>0.91483105834208334</v>
      </c>
      <c r="M367" s="16">
        <f t="shared" si="56"/>
        <v>206.90485179141194</v>
      </c>
      <c r="N367" s="16">
        <f t="shared" si="57"/>
        <v>5.4001045334005111</v>
      </c>
      <c r="O367" s="16">
        <f t="shared" si="58"/>
        <v>4.4001045334005111</v>
      </c>
      <c r="P367" s="1">
        <v>2023</v>
      </c>
      <c r="Q367" s="1" t="s">
        <v>24</v>
      </c>
      <c r="R367" s="1" t="s">
        <v>25</v>
      </c>
      <c r="S367" s="70">
        <f>DATE(Table2[[#This Row],[Year]],MONTH(DATEVALUE("1-"&amp;Table2[[#This Row],[Month]]&amp;"-2000")),1)</f>
        <v>45200</v>
      </c>
      <c r="T367" s="16">
        <f t="shared" si="59"/>
        <v>4.9401833454486717</v>
      </c>
      <c r="U367" s="16">
        <f t="shared" si="60"/>
        <v>1.1173078281413644</v>
      </c>
      <c r="V367" s="16">
        <f t="shared" si="61"/>
        <v>629.25129629629635</v>
      </c>
      <c r="W367" s="16">
        <f t="shared" si="62"/>
        <v>3398.0227777777782</v>
      </c>
      <c r="X367" s="16">
        <f t="shared" si="63"/>
        <v>687.83333333333337</v>
      </c>
      <c r="Y367" s="16">
        <f t="shared" si="64"/>
        <v>3041.2592592592591</v>
      </c>
      <c r="Z367" s="7" t="str" cm="1">
        <f t="array" ref="Z367">_xlfn.IFS(K367&lt;2%,"Low",K367&lt;5%,"Medium",K367&lt;10%,"Good",K367&gt;10%,"Excellent")</f>
        <v>Excellent</v>
      </c>
      <c r="AA367" s="16" t="str">
        <f>Data_Validation!N365</f>
        <v>Pass</v>
      </c>
    </row>
    <row r="368" spans="1:27" x14ac:dyDescent="0.35">
      <c r="A368" s="17" t="s">
        <v>106</v>
      </c>
      <c r="B368" s="3" t="s">
        <v>28</v>
      </c>
      <c r="C368" s="3" t="s">
        <v>36</v>
      </c>
      <c r="D368" s="3" t="s">
        <v>63</v>
      </c>
      <c r="E368" s="3" t="s">
        <v>30</v>
      </c>
      <c r="F368" s="3">
        <v>14536.9</v>
      </c>
      <c r="G368" s="3">
        <v>953881</v>
      </c>
      <c r="H368" s="3">
        <v>44618</v>
      </c>
      <c r="I368" s="3">
        <v>204719.32</v>
      </c>
      <c r="J368" s="3">
        <v>42</v>
      </c>
      <c r="K368" s="15">
        <f t="shared" si="55"/>
        <v>4.6775226679218899E-2</v>
      </c>
      <c r="L368" s="16">
        <f t="shared" si="65"/>
        <v>0.32580796987762783</v>
      </c>
      <c r="M368" s="16">
        <f t="shared" si="56"/>
        <v>15.239741644922166</v>
      </c>
      <c r="N368" s="16">
        <f t="shared" si="57"/>
        <v>14.082735658909398</v>
      </c>
      <c r="O368" s="16">
        <f t="shared" si="58"/>
        <v>13.082735658909398</v>
      </c>
      <c r="P368" s="1">
        <v>2023</v>
      </c>
      <c r="Q368" s="1" t="s">
        <v>24</v>
      </c>
      <c r="R368" s="1" t="s">
        <v>25</v>
      </c>
      <c r="S368" s="70">
        <f>DATE(Table2[[#This Row],[Year]],MONTH(DATEVALUE("1-"&amp;Table2[[#This Row],[Month]]&amp;"-2000")),1)</f>
        <v>45200</v>
      </c>
      <c r="T368" s="16">
        <f t="shared" si="59"/>
        <v>4.5882675153525483</v>
      </c>
      <c r="U368" s="16">
        <f t="shared" si="60"/>
        <v>0.21461725309551191</v>
      </c>
      <c r="V368" s="16">
        <f t="shared" si="61"/>
        <v>346.11666666666667</v>
      </c>
      <c r="W368" s="16">
        <f t="shared" si="62"/>
        <v>4874.2695238095239</v>
      </c>
      <c r="X368" s="16">
        <f t="shared" si="63"/>
        <v>1062.3333333333333</v>
      </c>
      <c r="Y368" s="16">
        <f t="shared" si="64"/>
        <v>22711.452380952382</v>
      </c>
      <c r="Z368" s="7" t="str" cm="1">
        <f t="array" ref="Z368">_xlfn.IFS(K368&lt;2%,"Low",K368&lt;5%,"Medium",K368&lt;10%,"Good",K368&gt;10%,"Excellent")</f>
        <v>Medium</v>
      </c>
      <c r="AA368" s="16" t="str">
        <f>Data_Validation!N366</f>
        <v>Pass</v>
      </c>
    </row>
    <row r="369" spans="1:27" x14ac:dyDescent="0.35">
      <c r="A369" s="17" t="s">
        <v>102</v>
      </c>
      <c r="B369" s="3" t="s">
        <v>35</v>
      </c>
      <c r="C369" s="3" t="s">
        <v>29</v>
      </c>
      <c r="D369" s="3" t="s">
        <v>51</v>
      </c>
      <c r="E369" s="3" t="s">
        <v>30</v>
      </c>
      <c r="F369" s="3">
        <v>545.77</v>
      </c>
      <c r="G369" s="3">
        <v>770835</v>
      </c>
      <c r="H369" s="3">
        <v>38149</v>
      </c>
      <c r="I369" s="3">
        <v>124361.65</v>
      </c>
      <c r="J369" s="3">
        <v>48</v>
      </c>
      <c r="K369" s="15">
        <f t="shared" si="55"/>
        <v>4.9490487588134943E-2</v>
      </c>
      <c r="L369" s="16">
        <f t="shared" si="65"/>
        <v>1.430627277254974E-2</v>
      </c>
      <c r="M369" s="16">
        <f t="shared" si="56"/>
        <v>0.70802441508234581</v>
      </c>
      <c r="N369" s="16">
        <f t="shared" si="57"/>
        <v>227.86457665316891</v>
      </c>
      <c r="O369" s="16">
        <f t="shared" si="58"/>
        <v>226.86457665316891</v>
      </c>
      <c r="P369" s="1">
        <v>2023</v>
      </c>
      <c r="Q369" s="1" t="s">
        <v>24</v>
      </c>
      <c r="R369" s="1" t="s">
        <v>25</v>
      </c>
      <c r="S369" s="70">
        <f>DATE(Table2[[#This Row],[Year]],MONTH(DATEVALUE("1-"&amp;Table2[[#This Row],[Month]]&amp;"-2000")),1)</f>
        <v>45200</v>
      </c>
      <c r="T369" s="16">
        <f t="shared" si="59"/>
        <v>3.2598927888018032</v>
      </c>
      <c r="U369" s="16">
        <f t="shared" si="60"/>
        <v>0.16133368360284625</v>
      </c>
      <c r="V369" s="16">
        <f t="shared" si="61"/>
        <v>11.370208333333332</v>
      </c>
      <c r="W369" s="16">
        <f t="shared" si="62"/>
        <v>2590.8677083333332</v>
      </c>
      <c r="X369" s="16">
        <f t="shared" si="63"/>
        <v>794.77083333333337</v>
      </c>
      <c r="Y369" s="16">
        <f t="shared" si="64"/>
        <v>16059.0625</v>
      </c>
      <c r="Z369" s="7" t="str" cm="1">
        <f t="array" ref="Z369">_xlfn.IFS(K369&lt;2%,"Low",K369&lt;5%,"Medium",K369&lt;10%,"Good",K369&gt;10%,"Excellent")</f>
        <v>Medium</v>
      </c>
      <c r="AA369" s="16" t="str">
        <f>Data_Validation!N367</f>
        <v>Pass</v>
      </c>
    </row>
    <row r="370" spans="1:27" x14ac:dyDescent="0.35">
      <c r="A370" s="17" t="s">
        <v>106</v>
      </c>
      <c r="B370" s="3" t="s">
        <v>35</v>
      </c>
      <c r="C370" s="3" t="s">
        <v>29</v>
      </c>
      <c r="D370" s="3" t="s">
        <v>43</v>
      </c>
      <c r="E370" s="3" t="s">
        <v>38</v>
      </c>
      <c r="F370" s="3">
        <v>24440.19</v>
      </c>
      <c r="G370" s="3">
        <v>510811</v>
      </c>
      <c r="H370" s="3">
        <v>19786</v>
      </c>
      <c r="I370" s="3">
        <v>41408.6</v>
      </c>
      <c r="J370" s="3">
        <v>35</v>
      </c>
      <c r="K370" s="15">
        <f t="shared" si="55"/>
        <v>3.8734483008392537E-2</v>
      </c>
      <c r="L370" s="16">
        <f t="shared" si="65"/>
        <v>1.2352264227231375</v>
      </c>
      <c r="M370" s="16">
        <f t="shared" si="56"/>
        <v>47.845856882486871</v>
      </c>
      <c r="N370" s="16">
        <f t="shared" si="57"/>
        <v>1.694283064084199</v>
      </c>
      <c r="O370" s="16">
        <f t="shared" si="58"/>
        <v>0.69428306408419904</v>
      </c>
      <c r="P370" s="1">
        <v>2023</v>
      </c>
      <c r="Q370" s="1" t="s">
        <v>24</v>
      </c>
      <c r="R370" s="1" t="s">
        <v>25</v>
      </c>
      <c r="S370" s="70">
        <f>DATE(Table2[[#This Row],[Year]],MONTH(DATEVALUE("1-"&amp;Table2[[#This Row],[Month]]&amp;"-2000")),1)</f>
        <v>45200</v>
      </c>
      <c r="T370" s="16">
        <f t="shared" si="59"/>
        <v>2.0928232083291216</v>
      </c>
      <c r="U370" s="16">
        <f t="shared" si="60"/>
        <v>8.1064425002593907E-2</v>
      </c>
      <c r="V370" s="16">
        <f t="shared" si="61"/>
        <v>698.29114285714286</v>
      </c>
      <c r="W370" s="16">
        <f t="shared" si="62"/>
        <v>1183.1028571428571</v>
      </c>
      <c r="X370" s="16">
        <f t="shared" si="63"/>
        <v>565.31428571428569</v>
      </c>
      <c r="Y370" s="16">
        <f t="shared" si="64"/>
        <v>14594.6</v>
      </c>
      <c r="Z370" s="7" t="str" cm="1">
        <f t="array" ref="Z370">_xlfn.IFS(K370&lt;2%,"Low",K370&lt;5%,"Medium",K370&lt;10%,"Good",K370&gt;10%,"Excellent")</f>
        <v>Medium</v>
      </c>
      <c r="AA370" s="16" t="str">
        <f>Data_Validation!N368</f>
        <v>Pass</v>
      </c>
    </row>
    <row r="371" spans="1:27" x14ac:dyDescent="0.35">
      <c r="A371" s="17" t="s">
        <v>95</v>
      </c>
      <c r="B371" s="3" t="s">
        <v>35</v>
      </c>
      <c r="C371" s="3" t="s">
        <v>69</v>
      </c>
      <c r="D371" s="3" t="s">
        <v>51</v>
      </c>
      <c r="E371" s="3" t="s">
        <v>38</v>
      </c>
      <c r="F371" s="3">
        <v>27649.11</v>
      </c>
      <c r="G371" s="3">
        <v>830854</v>
      </c>
      <c r="H371" s="3">
        <v>26904</v>
      </c>
      <c r="I371" s="3">
        <v>19896.8</v>
      </c>
      <c r="J371" s="3">
        <v>23</v>
      </c>
      <c r="K371" s="15">
        <f t="shared" si="55"/>
        <v>3.2381140368825327E-2</v>
      </c>
      <c r="L371" s="16">
        <f t="shared" si="65"/>
        <v>1.0276951382694024</v>
      </c>
      <c r="M371" s="16">
        <f t="shared" si="56"/>
        <v>33.277940528660871</v>
      </c>
      <c r="N371" s="16">
        <f t="shared" si="57"/>
        <v>0.71961809982310454</v>
      </c>
      <c r="O371" s="16">
        <f t="shared" si="58"/>
        <v>-0.2803819001768954</v>
      </c>
      <c r="P371" s="1">
        <v>2023</v>
      </c>
      <c r="Q371" s="1" t="s">
        <v>24</v>
      </c>
      <c r="R371" s="1" t="s">
        <v>25</v>
      </c>
      <c r="S371" s="70">
        <f>DATE(Table2[[#This Row],[Year]],MONTH(DATEVALUE("1-"&amp;Table2[[#This Row],[Month]]&amp;"-2000")),1)</f>
        <v>45200</v>
      </c>
      <c r="T371" s="16">
        <f t="shared" si="59"/>
        <v>0.73954802259886998</v>
      </c>
      <c r="U371" s="16">
        <f t="shared" si="60"/>
        <v>2.3947408329261215E-2</v>
      </c>
      <c r="V371" s="16">
        <f t="shared" si="61"/>
        <v>1202.1352173913044</v>
      </c>
      <c r="W371" s="16">
        <f t="shared" si="62"/>
        <v>865.07826086956516</v>
      </c>
      <c r="X371" s="16">
        <f t="shared" si="63"/>
        <v>1169.7391304347825</v>
      </c>
      <c r="Y371" s="16">
        <f t="shared" si="64"/>
        <v>36124.086956521736</v>
      </c>
      <c r="Z371" s="7" t="str" cm="1">
        <f t="array" ref="Z371">_xlfn.IFS(K371&lt;2%,"Low",K371&lt;5%,"Medium",K371&lt;10%,"Good",K371&gt;10%,"Excellent")</f>
        <v>Medium</v>
      </c>
      <c r="AA371" s="16" t="str">
        <f>Data_Validation!N369</f>
        <v>Pass</v>
      </c>
    </row>
    <row r="372" spans="1:27" x14ac:dyDescent="0.35">
      <c r="A372" s="17" t="s">
        <v>68</v>
      </c>
      <c r="B372" s="3" t="s">
        <v>35</v>
      </c>
      <c r="C372" s="3" t="s">
        <v>20</v>
      </c>
      <c r="D372" s="3" t="s">
        <v>37</v>
      </c>
      <c r="E372" s="3" t="s">
        <v>30</v>
      </c>
      <c r="F372" s="3">
        <v>7635.67</v>
      </c>
      <c r="G372" s="3">
        <v>877823</v>
      </c>
      <c r="H372" s="3">
        <v>18837</v>
      </c>
      <c r="I372" s="3">
        <v>118030.06</v>
      </c>
      <c r="J372" s="3">
        <v>34</v>
      </c>
      <c r="K372" s="15">
        <f t="shared" si="55"/>
        <v>2.1458767883730547E-2</v>
      </c>
      <c r="L372" s="16">
        <f t="shared" si="65"/>
        <v>0.40535488665923447</v>
      </c>
      <c r="M372" s="16">
        <f t="shared" si="56"/>
        <v>8.6984164233564165</v>
      </c>
      <c r="N372" s="16">
        <f t="shared" si="57"/>
        <v>15.457721457318087</v>
      </c>
      <c r="O372" s="16">
        <f t="shared" si="58"/>
        <v>14.457721457318087</v>
      </c>
      <c r="P372" s="1">
        <v>2023</v>
      </c>
      <c r="Q372" s="1" t="s">
        <v>24</v>
      </c>
      <c r="R372" s="1" t="s">
        <v>25</v>
      </c>
      <c r="S372" s="70">
        <f>DATE(Table2[[#This Row],[Year]],MONTH(DATEVALUE("1-"&amp;Table2[[#This Row],[Month]]&amp;"-2000")),1)</f>
        <v>45200</v>
      </c>
      <c r="T372" s="16">
        <f t="shared" si="59"/>
        <v>6.26586292934119</v>
      </c>
      <c r="U372" s="16">
        <f t="shared" si="60"/>
        <v>0.13445769819200454</v>
      </c>
      <c r="V372" s="16">
        <f t="shared" si="61"/>
        <v>224.57852941176472</v>
      </c>
      <c r="W372" s="16">
        <f t="shared" si="62"/>
        <v>3471.4723529411763</v>
      </c>
      <c r="X372" s="16">
        <f t="shared" si="63"/>
        <v>554.02941176470586</v>
      </c>
      <c r="Y372" s="16">
        <f t="shared" si="64"/>
        <v>25818.323529411766</v>
      </c>
      <c r="Z372" s="7" t="str" cm="1">
        <f t="array" ref="Z372">_xlfn.IFS(K372&lt;2%,"Low",K372&lt;5%,"Medium",K372&lt;10%,"Good",K372&gt;10%,"Excellent")</f>
        <v>Medium</v>
      </c>
      <c r="AA372" s="16" t="str">
        <f>Data_Validation!N370</f>
        <v>Pass</v>
      </c>
    </row>
    <row r="373" spans="1:27" x14ac:dyDescent="0.35">
      <c r="A373" s="17" t="s">
        <v>95</v>
      </c>
      <c r="B373" s="3" t="s">
        <v>28</v>
      </c>
      <c r="C373" s="3" t="s">
        <v>20</v>
      </c>
      <c r="D373" s="3" t="s">
        <v>43</v>
      </c>
      <c r="E373" s="3" t="s">
        <v>22</v>
      </c>
      <c r="F373" s="3">
        <v>9401.17</v>
      </c>
      <c r="G373" s="3">
        <v>186379</v>
      </c>
      <c r="H373" s="3">
        <v>30071</v>
      </c>
      <c r="I373" s="3">
        <v>143584.35999999999</v>
      </c>
      <c r="J373" s="3">
        <v>8</v>
      </c>
      <c r="K373" s="15">
        <f t="shared" si="55"/>
        <v>0.16134328438289722</v>
      </c>
      <c r="L373" s="16">
        <f t="shared" si="65"/>
        <v>0.3126324365667919</v>
      </c>
      <c r="M373" s="16">
        <f t="shared" si="56"/>
        <v>50.441144120313979</v>
      </c>
      <c r="N373" s="16">
        <f t="shared" si="57"/>
        <v>15.273030909982479</v>
      </c>
      <c r="O373" s="16">
        <f t="shared" si="58"/>
        <v>14.273030909982477</v>
      </c>
      <c r="P373" s="1">
        <v>2023</v>
      </c>
      <c r="Q373" s="1" t="s">
        <v>24</v>
      </c>
      <c r="R373" s="1" t="s">
        <v>25</v>
      </c>
      <c r="S373" s="70">
        <f>DATE(Table2[[#This Row],[Year]],MONTH(DATEVALUE("1-"&amp;Table2[[#This Row],[Month]]&amp;"-2000")),1)</f>
        <v>45200</v>
      </c>
      <c r="T373" s="16">
        <f t="shared" si="59"/>
        <v>4.7748448671477499</v>
      </c>
      <c r="U373" s="16">
        <f t="shared" si="60"/>
        <v>0.77038915328443647</v>
      </c>
      <c r="V373" s="16">
        <f t="shared" si="61"/>
        <v>1175.14625</v>
      </c>
      <c r="W373" s="16">
        <f t="shared" si="62"/>
        <v>17948.044999999998</v>
      </c>
      <c r="X373" s="16">
        <f t="shared" si="63"/>
        <v>3758.875</v>
      </c>
      <c r="Y373" s="16">
        <f t="shared" si="64"/>
        <v>23297.375</v>
      </c>
      <c r="Z373" s="7" t="str" cm="1">
        <f t="array" ref="Z373">_xlfn.IFS(K373&lt;2%,"Low",K373&lt;5%,"Medium",K373&lt;10%,"Good",K373&gt;10%,"Excellent")</f>
        <v>Excellent</v>
      </c>
      <c r="AA373" s="16" t="str">
        <f>Data_Validation!N371</f>
        <v>Pass</v>
      </c>
    </row>
    <row r="374" spans="1:27" x14ac:dyDescent="0.35">
      <c r="A374" s="17" t="s">
        <v>93</v>
      </c>
      <c r="B374" s="3" t="s">
        <v>48</v>
      </c>
      <c r="C374" s="3" t="s">
        <v>29</v>
      </c>
      <c r="D374" s="3" t="s">
        <v>51</v>
      </c>
      <c r="E374" s="3" t="s">
        <v>30</v>
      </c>
      <c r="F374" s="3">
        <v>27241.64</v>
      </c>
      <c r="G374" s="3">
        <v>375509</v>
      </c>
      <c r="H374" s="3">
        <v>5800</v>
      </c>
      <c r="I374" s="3">
        <v>112572.13</v>
      </c>
      <c r="J374" s="3">
        <v>61</v>
      </c>
      <c r="K374" s="15">
        <f t="shared" si="55"/>
        <v>1.5445701700891323E-2</v>
      </c>
      <c r="L374" s="16">
        <f t="shared" si="65"/>
        <v>4.6968344827586206</v>
      </c>
      <c r="M374" s="16">
        <f t="shared" si="56"/>
        <v>72.545904359149844</v>
      </c>
      <c r="N374" s="16">
        <f t="shared" si="57"/>
        <v>4.1323551005005577</v>
      </c>
      <c r="O374" s="16">
        <f t="shared" si="58"/>
        <v>3.1323551005005577</v>
      </c>
      <c r="P374" s="1">
        <v>2023</v>
      </c>
      <c r="Q374" s="1" t="s">
        <v>65</v>
      </c>
      <c r="R374" s="1" t="s">
        <v>25</v>
      </c>
      <c r="S374" s="70">
        <f>DATE(Table2[[#This Row],[Year]],MONTH(DATEVALUE("1-"&amp;Table2[[#This Row],[Month]]&amp;"-2000")),1)</f>
        <v>45231</v>
      </c>
      <c r="T374" s="16">
        <f t="shared" si="59"/>
        <v>19.408987931034485</v>
      </c>
      <c r="U374" s="16">
        <f t="shared" si="60"/>
        <v>0.29978543789895851</v>
      </c>
      <c r="V374" s="16">
        <f t="shared" si="61"/>
        <v>446.58426229508194</v>
      </c>
      <c r="W374" s="16">
        <f t="shared" si="62"/>
        <v>1845.4447540983608</v>
      </c>
      <c r="X374" s="16">
        <f t="shared" si="63"/>
        <v>95.081967213114751</v>
      </c>
      <c r="Y374" s="16">
        <f t="shared" si="64"/>
        <v>6155.8852459016398</v>
      </c>
      <c r="Z374" s="7" t="str" cm="1">
        <f t="array" ref="Z374">_xlfn.IFS(K374&lt;2%,"Low",K374&lt;5%,"Medium",K374&lt;10%,"Good",K374&gt;10%,"Excellent")</f>
        <v>Low</v>
      </c>
      <c r="AA374" s="16" t="str">
        <f>Data_Validation!N372</f>
        <v>Pass</v>
      </c>
    </row>
    <row r="375" spans="1:27" x14ac:dyDescent="0.35">
      <c r="A375" s="17" t="s">
        <v>87</v>
      </c>
      <c r="B375" s="3" t="s">
        <v>48</v>
      </c>
      <c r="C375" s="3" t="s">
        <v>58</v>
      </c>
      <c r="D375" s="3" t="s">
        <v>59</v>
      </c>
      <c r="E375" s="3" t="s">
        <v>38</v>
      </c>
      <c r="F375" s="3">
        <v>21539.119999999999</v>
      </c>
      <c r="G375" s="3">
        <v>886325</v>
      </c>
      <c r="H375" s="3">
        <v>27560</v>
      </c>
      <c r="I375" s="3">
        <v>136864.04</v>
      </c>
      <c r="J375" s="3">
        <v>54</v>
      </c>
      <c r="K375" s="15">
        <f t="shared" si="55"/>
        <v>3.1094688742842637E-2</v>
      </c>
      <c r="L375" s="16">
        <f t="shared" si="65"/>
        <v>0.7815355587808418</v>
      </c>
      <c r="M375" s="16">
        <f t="shared" si="56"/>
        <v>24.301604941753869</v>
      </c>
      <c r="N375" s="16">
        <f t="shared" si="57"/>
        <v>6.3542075999390883</v>
      </c>
      <c r="O375" s="16">
        <f t="shared" si="58"/>
        <v>5.3542075999390883</v>
      </c>
      <c r="P375" s="1">
        <v>2023</v>
      </c>
      <c r="Q375" s="1" t="s">
        <v>65</v>
      </c>
      <c r="R375" s="1" t="s">
        <v>25</v>
      </c>
      <c r="S375" s="70">
        <f>DATE(Table2[[#This Row],[Year]],MONTH(DATEVALUE("1-"&amp;Table2[[#This Row],[Month]]&amp;"-2000")),1)</f>
        <v>45231</v>
      </c>
      <c r="T375" s="16">
        <f t="shared" si="59"/>
        <v>4.9660391872278664</v>
      </c>
      <c r="U375" s="16">
        <f t="shared" si="60"/>
        <v>0.15441744281160974</v>
      </c>
      <c r="V375" s="16">
        <f t="shared" si="61"/>
        <v>398.87259259259258</v>
      </c>
      <c r="W375" s="16">
        <f t="shared" si="62"/>
        <v>2534.5192592592593</v>
      </c>
      <c r="X375" s="16">
        <f t="shared" si="63"/>
        <v>510.37037037037038</v>
      </c>
      <c r="Y375" s="16">
        <f t="shared" si="64"/>
        <v>16413.425925925927</v>
      </c>
      <c r="Z375" s="7" t="str" cm="1">
        <f t="array" ref="Z375">_xlfn.IFS(K375&lt;2%,"Low",K375&lt;5%,"Medium",K375&lt;10%,"Good",K375&gt;10%,"Excellent")</f>
        <v>Medium</v>
      </c>
      <c r="AA375" s="16" t="str">
        <f>Data_Validation!N373</f>
        <v>Pass</v>
      </c>
    </row>
    <row r="376" spans="1:27" x14ac:dyDescent="0.35">
      <c r="A376" s="17" t="s">
        <v>111</v>
      </c>
      <c r="B376" s="3" t="s">
        <v>48</v>
      </c>
      <c r="C376" s="3" t="s">
        <v>36</v>
      </c>
      <c r="D376" s="3" t="s">
        <v>59</v>
      </c>
      <c r="E376" s="3" t="s">
        <v>22</v>
      </c>
      <c r="F376" s="3">
        <v>7448.45</v>
      </c>
      <c r="G376" s="3">
        <v>744233</v>
      </c>
      <c r="H376" s="3">
        <v>41892</v>
      </c>
      <c r="I376" s="3">
        <v>47652.3</v>
      </c>
      <c r="J376" s="3">
        <v>60</v>
      </c>
      <c r="K376" s="15">
        <f t="shared" si="55"/>
        <v>5.6288823527040593E-2</v>
      </c>
      <c r="L376" s="16">
        <f t="shared" si="65"/>
        <v>0.17780125083548171</v>
      </c>
      <c r="M376" s="16">
        <f t="shared" si="56"/>
        <v>10.008223231165509</v>
      </c>
      <c r="N376" s="16">
        <f t="shared" si="57"/>
        <v>6.3976129261792725</v>
      </c>
      <c r="O376" s="16">
        <f t="shared" si="58"/>
        <v>5.3976129261792734</v>
      </c>
      <c r="P376" s="1">
        <v>2023</v>
      </c>
      <c r="Q376" s="1" t="s">
        <v>65</v>
      </c>
      <c r="R376" s="1" t="s">
        <v>25</v>
      </c>
      <c r="S376" s="70">
        <f>DATE(Table2[[#This Row],[Year]],MONTH(DATEVALUE("1-"&amp;Table2[[#This Row],[Month]]&amp;"-2000")),1)</f>
        <v>45231</v>
      </c>
      <c r="T376" s="16">
        <f t="shared" si="59"/>
        <v>1.1375035806359211</v>
      </c>
      <c r="U376" s="16">
        <f t="shared" si="60"/>
        <v>6.4028738311792149E-2</v>
      </c>
      <c r="V376" s="16">
        <f t="shared" si="61"/>
        <v>124.14083333333333</v>
      </c>
      <c r="W376" s="16">
        <f t="shared" si="62"/>
        <v>794.20500000000004</v>
      </c>
      <c r="X376" s="16">
        <f t="shared" si="63"/>
        <v>698.2</v>
      </c>
      <c r="Y376" s="16">
        <f t="shared" si="64"/>
        <v>12403.883333333333</v>
      </c>
      <c r="Z376" s="7" t="str" cm="1">
        <f t="array" ref="Z376">_xlfn.IFS(K376&lt;2%,"Low",K376&lt;5%,"Medium",K376&lt;10%,"Good",K376&gt;10%,"Excellent")</f>
        <v>Good</v>
      </c>
      <c r="AA376" s="16" t="str">
        <f>Data_Validation!N374</f>
        <v>Pass</v>
      </c>
    </row>
    <row r="377" spans="1:27" x14ac:dyDescent="0.35">
      <c r="A377" s="17" t="s">
        <v>92</v>
      </c>
      <c r="B377" s="3" t="s">
        <v>48</v>
      </c>
      <c r="C377" s="3" t="s">
        <v>69</v>
      </c>
      <c r="D377" s="3" t="s">
        <v>21</v>
      </c>
      <c r="E377" s="3" t="s">
        <v>30</v>
      </c>
      <c r="F377" s="3">
        <v>19573.16</v>
      </c>
      <c r="G377" s="3">
        <v>427754</v>
      </c>
      <c r="H377" s="3">
        <v>6586</v>
      </c>
      <c r="I377" s="3">
        <v>174183.08</v>
      </c>
      <c r="J377" s="3">
        <v>22</v>
      </c>
      <c r="K377" s="15">
        <f t="shared" si="55"/>
        <v>1.5396699972414052E-2</v>
      </c>
      <c r="L377" s="16">
        <f t="shared" si="65"/>
        <v>2.9719344063164286</v>
      </c>
      <c r="M377" s="16">
        <f t="shared" si="56"/>
        <v>45.757982391748527</v>
      </c>
      <c r="N377" s="16">
        <f t="shared" si="57"/>
        <v>8.8990781253512452</v>
      </c>
      <c r="O377" s="16">
        <f t="shared" si="58"/>
        <v>7.8990781253512452</v>
      </c>
      <c r="P377" s="1">
        <v>2023</v>
      </c>
      <c r="Q377" s="1" t="s">
        <v>65</v>
      </c>
      <c r="R377" s="1" t="s">
        <v>25</v>
      </c>
      <c r="S377" s="70">
        <f>DATE(Table2[[#This Row],[Year]],MONTH(DATEVALUE("1-"&amp;Table2[[#This Row],[Month]]&amp;"-2000")),1)</f>
        <v>45231</v>
      </c>
      <c r="T377" s="16">
        <f t="shared" si="59"/>
        <v>26.447476465229272</v>
      </c>
      <c r="U377" s="16">
        <f t="shared" si="60"/>
        <v>0.40720386016261678</v>
      </c>
      <c r="V377" s="16">
        <f t="shared" si="61"/>
        <v>889.68909090909085</v>
      </c>
      <c r="W377" s="16">
        <f t="shared" si="62"/>
        <v>7917.4127272727264</v>
      </c>
      <c r="X377" s="16">
        <f t="shared" si="63"/>
        <v>299.36363636363637</v>
      </c>
      <c r="Y377" s="16">
        <f t="shared" si="64"/>
        <v>19443.363636363636</v>
      </c>
      <c r="Z377" s="7" t="str" cm="1">
        <f t="array" ref="Z377">_xlfn.IFS(K377&lt;2%,"Low",K377&lt;5%,"Medium",K377&lt;10%,"Good",K377&gt;10%,"Excellent")</f>
        <v>Low</v>
      </c>
      <c r="AA377" s="16" t="str">
        <f>Data_Validation!N375</f>
        <v>Pass</v>
      </c>
    </row>
    <row r="378" spans="1:27" x14ac:dyDescent="0.35">
      <c r="A378" s="17" t="s">
        <v>108</v>
      </c>
      <c r="B378" s="3" t="s">
        <v>48</v>
      </c>
      <c r="C378" s="3" t="s">
        <v>29</v>
      </c>
      <c r="D378" s="3" t="s">
        <v>51</v>
      </c>
      <c r="E378" s="3" t="s">
        <v>38</v>
      </c>
      <c r="F378" s="3">
        <v>187.62</v>
      </c>
      <c r="G378" s="3">
        <v>139806</v>
      </c>
      <c r="H378" s="3">
        <v>39539</v>
      </c>
      <c r="I378" s="3">
        <v>55323.29</v>
      </c>
      <c r="J378" s="3">
        <v>48</v>
      </c>
      <c r="K378" s="15">
        <f t="shared" si="55"/>
        <v>0.28281332703889678</v>
      </c>
      <c r="L378" s="16">
        <f t="shared" si="65"/>
        <v>4.74518829510104E-3</v>
      </c>
      <c r="M378" s="16">
        <f t="shared" si="56"/>
        <v>1.3420024891635554</v>
      </c>
      <c r="N378" s="16">
        <f t="shared" si="57"/>
        <v>294.86883061507302</v>
      </c>
      <c r="O378" s="16">
        <f t="shared" si="58"/>
        <v>293.86883061507302</v>
      </c>
      <c r="P378" s="1">
        <v>2023</v>
      </c>
      <c r="Q378" s="1" t="s">
        <v>65</v>
      </c>
      <c r="R378" s="1" t="s">
        <v>25</v>
      </c>
      <c r="S378" s="70">
        <f>DATE(Table2[[#This Row],[Year]],MONTH(DATEVALUE("1-"&amp;Table2[[#This Row],[Month]]&amp;"-2000")),1)</f>
        <v>45231</v>
      </c>
      <c r="T378" s="16">
        <f t="shared" si="59"/>
        <v>1.3992081236247755</v>
      </c>
      <c r="U378" s="16">
        <f t="shared" si="60"/>
        <v>0.39571470466217473</v>
      </c>
      <c r="V378" s="16">
        <f t="shared" si="61"/>
        <v>3.9087499999999999</v>
      </c>
      <c r="W378" s="16">
        <f t="shared" si="62"/>
        <v>1152.5685416666668</v>
      </c>
      <c r="X378" s="16">
        <f t="shared" si="63"/>
        <v>823.72916666666663</v>
      </c>
      <c r="Y378" s="16">
        <f t="shared" si="64"/>
        <v>2912.625</v>
      </c>
      <c r="Z378" s="7" t="str" cm="1">
        <f t="array" ref="Z378">_xlfn.IFS(K378&lt;2%,"Low",K378&lt;5%,"Medium",K378&lt;10%,"Good",K378&gt;10%,"Excellent")</f>
        <v>Excellent</v>
      </c>
      <c r="AA378" s="16" t="str">
        <f>Data_Validation!N376</f>
        <v>Pass</v>
      </c>
    </row>
    <row r="379" spans="1:27" x14ac:dyDescent="0.35">
      <c r="A379" s="17" t="s">
        <v>109</v>
      </c>
      <c r="B379" s="3" t="s">
        <v>28</v>
      </c>
      <c r="C379" s="3" t="s">
        <v>58</v>
      </c>
      <c r="D379" s="3" t="s">
        <v>63</v>
      </c>
      <c r="E379" s="3" t="s">
        <v>22</v>
      </c>
      <c r="F379" s="3">
        <v>34008.07</v>
      </c>
      <c r="G379" s="3">
        <v>568388</v>
      </c>
      <c r="H379" s="3">
        <v>15413</v>
      </c>
      <c r="I379" s="3">
        <v>98051.19</v>
      </c>
      <c r="J379" s="3">
        <v>36</v>
      </c>
      <c r="K379" s="15">
        <f t="shared" si="55"/>
        <v>2.7117039768608766E-2</v>
      </c>
      <c r="L379" s="16">
        <f t="shared" si="65"/>
        <v>2.2064536430286124</v>
      </c>
      <c r="M379" s="16">
        <f t="shared" si="56"/>
        <v>59.83249118559857</v>
      </c>
      <c r="N379" s="16">
        <f t="shared" si="57"/>
        <v>2.8831741995355809</v>
      </c>
      <c r="O379" s="16">
        <f t="shared" si="58"/>
        <v>1.8831741995355809</v>
      </c>
      <c r="P379" s="1">
        <v>2023</v>
      </c>
      <c r="Q379" s="1" t="s">
        <v>65</v>
      </c>
      <c r="R379" s="1" t="s">
        <v>25</v>
      </c>
      <c r="S379" s="70">
        <f>DATE(Table2[[#This Row],[Year]],MONTH(DATEVALUE("1-"&amp;Table2[[#This Row],[Month]]&amp;"-2000")),1)</f>
        <v>45231</v>
      </c>
      <c r="T379" s="16">
        <f t="shared" si="59"/>
        <v>6.3615902160513853</v>
      </c>
      <c r="U379" s="16">
        <f t="shared" si="60"/>
        <v>0.17250749488025785</v>
      </c>
      <c r="V379" s="16">
        <f t="shared" si="61"/>
        <v>944.66861111111109</v>
      </c>
      <c r="W379" s="16">
        <f t="shared" si="62"/>
        <v>2723.6441666666669</v>
      </c>
      <c r="X379" s="16">
        <f t="shared" si="63"/>
        <v>428.13888888888891</v>
      </c>
      <c r="Y379" s="16">
        <f t="shared" si="64"/>
        <v>15788.555555555555</v>
      </c>
      <c r="Z379" s="7" t="str" cm="1">
        <f t="array" ref="Z379">_xlfn.IFS(K379&lt;2%,"Low",K379&lt;5%,"Medium",K379&lt;10%,"Good",K379&gt;10%,"Excellent")</f>
        <v>Medium</v>
      </c>
      <c r="AA379" s="16" t="str">
        <f>Data_Validation!N377</f>
        <v>Pass</v>
      </c>
    </row>
    <row r="380" spans="1:27" x14ac:dyDescent="0.35">
      <c r="A380" s="17" t="s">
        <v>105</v>
      </c>
      <c r="B380" s="3" t="s">
        <v>28</v>
      </c>
      <c r="C380" s="3" t="s">
        <v>36</v>
      </c>
      <c r="D380" s="3" t="s">
        <v>59</v>
      </c>
      <c r="E380" s="3" t="s">
        <v>30</v>
      </c>
      <c r="F380" s="3">
        <v>3554.46</v>
      </c>
      <c r="G380" s="3">
        <v>668840</v>
      </c>
      <c r="H380" s="3">
        <v>30322</v>
      </c>
      <c r="I380" s="3">
        <v>138728.51999999999</v>
      </c>
      <c r="J380" s="3">
        <v>25</v>
      </c>
      <c r="K380" s="15">
        <f t="shared" si="55"/>
        <v>4.5335207224448296E-2</v>
      </c>
      <c r="L380" s="16">
        <f t="shared" si="65"/>
        <v>0.11722379790251303</v>
      </c>
      <c r="M380" s="16">
        <f t="shared" si="56"/>
        <v>5.3143651695472762</v>
      </c>
      <c r="N380" s="16">
        <f t="shared" si="57"/>
        <v>39.029422190712509</v>
      </c>
      <c r="O380" s="16">
        <f t="shared" si="58"/>
        <v>38.029422190712509</v>
      </c>
      <c r="P380" s="1">
        <v>2023</v>
      </c>
      <c r="Q380" s="1" t="s">
        <v>65</v>
      </c>
      <c r="R380" s="1" t="s">
        <v>25</v>
      </c>
      <c r="S380" s="70">
        <f>DATE(Table2[[#This Row],[Year]],MONTH(DATEVALUE("1-"&amp;Table2[[#This Row],[Month]]&amp;"-2000")),1)</f>
        <v>45231</v>
      </c>
      <c r="T380" s="16">
        <f t="shared" si="59"/>
        <v>4.5751770991359404</v>
      </c>
      <c r="U380" s="16">
        <f t="shared" si="60"/>
        <v>0.20741660187787811</v>
      </c>
      <c r="V380" s="16">
        <f t="shared" si="61"/>
        <v>142.17840000000001</v>
      </c>
      <c r="W380" s="16">
        <f t="shared" si="62"/>
        <v>5549.1407999999992</v>
      </c>
      <c r="X380" s="16">
        <f t="shared" si="63"/>
        <v>1212.8800000000001</v>
      </c>
      <c r="Y380" s="16">
        <f t="shared" si="64"/>
        <v>26753.599999999999</v>
      </c>
      <c r="Z380" s="7" t="str" cm="1">
        <f t="array" ref="Z380">_xlfn.IFS(K380&lt;2%,"Low",K380&lt;5%,"Medium",K380&lt;10%,"Good",K380&gt;10%,"Excellent")</f>
        <v>Medium</v>
      </c>
      <c r="AA380" s="16" t="str">
        <f>Data_Validation!N378</f>
        <v>Pass</v>
      </c>
    </row>
    <row r="381" spans="1:27" x14ac:dyDescent="0.35">
      <c r="A381" s="17" t="s">
        <v>110</v>
      </c>
      <c r="B381" s="3" t="s">
        <v>35</v>
      </c>
      <c r="C381" s="3" t="s">
        <v>29</v>
      </c>
      <c r="D381" s="3" t="s">
        <v>43</v>
      </c>
      <c r="E381" s="3" t="s">
        <v>38</v>
      </c>
      <c r="F381" s="3">
        <v>5673.49</v>
      </c>
      <c r="G381" s="3">
        <v>945566</v>
      </c>
      <c r="H381" s="3">
        <v>36771</v>
      </c>
      <c r="I381" s="3">
        <v>15075.62</v>
      </c>
      <c r="J381" s="3">
        <v>31</v>
      </c>
      <c r="K381" s="15">
        <f t="shared" si="55"/>
        <v>3.888781957050063E-2</v>
      </c>
      <c r="L381" s="16">
        <f t="shared" si="65"/>
        <v>0.15429251312175354</v>
      </c>
      <c r="M381" s="16">
        <f t="shared" si="56"/>
        <v>6.0000994113578532</v>
      </c>
      <c r="N381" s="16">
        <f t="shared" si="57"/>
        <v>2.657203943251861</v>
      </c>
      <c r="O381" s="16">
        <f t="shared" si="58"/>
        <v>1.657203943251861</v>
      </c>
      <c r="P381" s="1">
        <v>2023</v>
      </c>
      <c r="Q381" s="1" t="s">
        <v>65</v>
      </c>
      <c r="R381" s="1" t="s">
        <v>25</v>
      </c>
      <c r="S381" s="70">
        <f>DATE(Table2[[#This Row],[Year]],MONTH(DATEVALUE("1-"&amp;Table2[[#This Row],[Month]]&amp;"-2000")),1)</f>
        <v>45231</v>
      </c>
      <c r="T381" s="16">
        <f t="shared" si="59"/>
        <v>0.40998667428136304</v>
      </c>
      <c r="U381" s="16">
        <f t="shared" si="60"/>
        <v>1.5943487815763258E-2</v>
      </c>
      <c r="V381" s="16">
        <f t="shared" si="61"/>
        <v>183.01580645161289</v>
      </c>
      <c r="W381" s="16">
        <f t="shared" si="62"/>
        <v>486.31032258064516</v>
      </c>
      <c r="X381" s="16">
        <f t="shared" si="63"/>
        <v>1186.1612903225807</v>
      </c>
      <c r="Y381" s="16">
        <f t="shared" si="64"/>
        <v>30502.129032258064</v>
      </c>
      <c r="Z381" s="7" t="str" cm="1">
        <f t="array" ref="Z381">_xlfn.IFS(K381&lt;2%,"Low",K381&lt;5%,"Medium",K381&lt;10%,"Good",K381&gt;10%,"Excellent")</f>
        <v>Medium</v>
      </c>
      <c r="AA381" s="16" t="str">
        <f>Data_Validation!N379</f>
        <v>Pass</v>
      </c>
    </row>
    <row r="382" spans="1:27" x14ac:dyDescent="0.35">
      <c r="A382" s="17" t="s">
        <v>70</v>
      </c>
      <c r="B382" s="3" t="s">
        <v>48</v>
      </c>
      <c r="C382" s="3" t="s">
        <v>69</v>
      </c>
      <c r="D382" s="3" t="s">
        <v>37</v>
      </c>
      <c r="E382" s="3" t="s">
        <v>30</v>
      </c>
      <c r="F382" s="3">
        <v>10060.040000000001</v>
      </c>
      <c r="G382" s="3">
        <v>588972</v>
      </c>
      <c r="H382" s="3">
        <v>7905</v>
      </c>
      <c r="I382" s="3">
        <v>46921.73</v>
      </c>
      <c r="J382" s="3">
        <v>60</v>
      </c>
      <c r="K382" s="15">
        <f t="shared" si="55"/>
        <v>1.3421690674599132E-2</v>
      </c>
      <c r="L382" s="16">
        <f t="shared" si="65"/>
        <v>1.2726173308032891</v>
      </c>
      <c r="M382" s="16">
        <f t="shared" si="56"/>
        <v>17.080676161175745</v>
      </c>
      <c r="N382" s="16">
        <f t="shared" si="57"/>
        <v>4.6641693273585396</v>
      </c>
      <c r="O382" s="16">
        <f t="shared" si="58"/>
        <v>3.6641693273585392</v>
      </c>
      <c r="P382" s="1">
        <v>2023</v>
      </c>
      <c r="Q382" s="1" t="s">
        <v>65</v>
      </c>
      <c r="R382" s="1" t="s">
        <v>25</v>
      </c>
      <c r="S382" s="70">
        <f>DATE(Table2[[#This Row],[Year]],MONTH(DATEVALUE("1-"&amp;Table2[[#This Row],[Month]]&amp;"-2000")),1)</f>
        <v>45231</v>
      </c>
      <c r="T382" s="16">
        <f t="shared" si="59"/>
        <v>5.9357027197975967</v>
      </c>
      <c r="U382" s="16">
        <f t="shared" si="60"/>
        <v>7.9667165841500104E-2</v>
      </c>
      <c r="V382" s="16">
        <f t="shared" si="61"/>
        <v>167.66733333333335</v>
      </c>
      <c r="W382" s="16">
        <f t="shared" si="62"/>
        <v>782.02883333333341</v>
      </c>
      <c r="X382" s="16">
        <f t="shared" si="63"/>
        <v>131.75</v>
      </c>
      <c r="Y382" s="16">
        <f t="shared" si="64"/>
        <v>9816.2000000000007</v>
      </c>
      <c r="Z382" s="7" t="str" cm="1">
        <f t="array" ref="Z382">_xlfn.IFS(K382&lt;2%,"Low",K382&lt;5%,"Medium",K382&lt;10%,"Good",K382&gt;10%,"Excellent")</f>
        <v>Low</v>
      </c>
      <c r="AA382" s="16" t="str">
        <f>Data_Validation!N380</f>
        <v>Pass</v>
      </c>
    </row>
    <row r="383" spans="1:27" x14ac:dyDescent="0.35">
      <c r="A383" s="17" t="s">
        <v>67</v>
      </c>
      <c r="B383" s="3" t="s">
        <v>19</v>
      </c>
      <c r="C383" s="3" t="s">
        <v>29</v>
      </c>
      <c r="D383" s="3" t="s">
        <v>43</v>
      </c>
      <c r="E383" s="3" t="s">
        <v>22</v>
      </c>
      <c r="F383" s="3">
        <v>39370.720000000001</v>
      </c>
      <c r="G383" s="3">
        <v>675506</v>
      </c>
      <c r="H383" s="3">
        <v>5308</v>
      </c>
      <c r="I383" s="3">
        <v>23789.84</v>
      </c>
      <c r="J383" s="3">
        <v>32</v>
      </c>
      <c r="K383" s="15">
        <f t="shared" si="55"/>
        <v>7.8578132540643598E-3</v>
      </c>
      <c r="L383" s="16">
        <f t="shared" si="65"/>
        <v>7.4172418990203468</v>
      </c>
      <c r="M383" s="16">
        <f t="shared" si="56"/>
        <v>58.283301702723591</v>
      </c>
      <c r="N383" s="16">
        <f t="shared" si="57"/>
        <v>0.60425209394189383</v>
      </c>
      <c r="O383" s="16">
        <f t="shared" si="58"/>
        <v>-0.39574790605810611</v>
      </c>
      <c r="P383" s="1">
        <v>2023</v>
      </c>
      <c r="Q383" s="1" t="s">
        <v>65</v>
      </c>
      <c r="R383" s="1" t="s">
        <v>25</v>
      </c>
      <c r="S383" s="70">
        <f>DATE(Table2[[#This Row],[Year]],MONTH(DATEVALUE("1-"&amp;Table2[[#This Row],[Month]]&amp;"-2000")),1)</f>
        <v>45231</v>
      </c>
      <c r="T383" s="16">
        <f t="shared" si="59"/>
        <v>4.481883948756594</v>
      </c>
      <c r="U383" s="16">
        <f t="shared" si="60"/>
        <v>3.5217807095717875E-2</v>
      </c>
      <c r="V383" s="16">
        <f t="shared" si="61"/>
        <v>1230.335</v>
      </c>
      <c r="W383" s="16">
        <f t="shared" si="62"/>
        <v>743.4325</v>
      </c>
      <c r="X383" s="16">
        <f t="shared" si="63"/>
        <v>165.875</v>
      </c>
      <c r="Y383" s="16">
        <f t="shared" si="64"/>
        <v>21109.5625</v>
      </c>
      <c r="Z383" s="7" t="str" cm="1">
        <f t="array" ref="Z383">_xlfn.IFS(K383&lt;2%,"Low",K383&lt;5%,"Medium",K383&lt;10%,"Good",K383&gt;10%,"Excellent")</f>
        <v>Low</v>
      </c>
      <c r="AA383" s="16" t="str">
        <f>Data_Validation!N381</f>
        <v>Pass</v>
      </c>
    </row>
    <row r="384" spans="1:27" x14ac:dyDescent="0.35">
      <c r="A384" s="17" t="s">
        <v>87</v>
      </c>
      <c r="B384" s="3" t="s">
        <v>35</v>
      </c>
      <c r="C384" s="3" t="s">
        <v>69</v>
      </c>
      <c r="D384" s="3" t="s">
        <v>51</v>
      </c>
      <c r="E384" s="3" t="s">
        <v>38</v>
      </c>
      <c r="F384" s="3">
        <v>16907.23</v>
      </c>
      <c r="G384" s="3">
        <v>566711</v>
      </c>
      <c r="H384" s="3">
        <v>22628</v>
      </c>
      <c r="I384" s="3">
        <v>109248.43</v>
      </c>
      <c r="J384" s="3">
        <v>48</v>
      </c>
      <c r="K384" s="15">
        <f t="shared" si="55"/>
        <v>3.9928640876919629E-2</v>
      </c>
      <c r="L384" s="16">
        <f t="shared" si="65"/>
        <v>0.7471818101467208</v>
      </c>
      <c r="M384" s="16">
        <f t="shared" si="56"/>
        <v>29.833954167115163</v>
      </c>
      <c r="N384" s="16">
        <f t="shared" si="57"/>
        <v>6.4616397836901722</v>
      </c>
      <c r="O384" s="16">
        <f t="shared" si="58"/>
        <v>5.4616397836901731</v>
      </c>
      <c r="P384" s="1">
        <v>2023</v>
      </c>
      <c r="Q384" s="1" t="s">
        <v>65</v>
      </c>
      <c r="R384" s="1" t="s">
        <v>25</v>
      </c>
      <c r="S384" s="70">
        <f>DATE(Table2[[#This Row],[Year]],MONTH(DATEVALUE("1-"&amp;Table2[[#This Row],[Month]]&amp;"-2000")),1)</f>
        <v>45231</v>
      </c>
      <c r="T384" s="16">
        <f t="shared" si="59"/>
        <v>4.828019710093689</v>
      </c>
      <c r="U384" s="16">
        <f t="shared" si="60"/>
        <v>0.19277626515102053</v>
      </c>
      <c r="V384" s="16">
        <f t="shared" si="61"/>
        <v>352.23395833333331</v>
      </c>
      <c r="W384" s="16">
        <f t="shared" si="62"/>
        <v>2276.0089583333333</v>
      </c>
      <c r="X384" s="16">
        <f t="shared" si="63"/>
        <v>471.41666666666669</v>
      </c>
      <c r="Y384" s="16">
        <f t="shared" si="64"/>
        <v>11806.479166666666</v>
      </c>
      <c r="Z384" s="7" t="str" cm="1">
        <f t="array" ref="Z384">_xlfn.IFS(K384&lt;2%,"Low",K384&lt;5%,"Medium",K384&lt;10%,"Good",K384&gt;10%,"Excellent")</f>
        <v>Medium</v>
      </c>
      <c r="AA384" s="16" t="str">
        <f>Data_Validation!N382</f>
        <v>Pass</v>
      </c>
    </row>
    <row r="385" spans="1:27" x14ac:dyDescent="0.35">
      <c r="A385" s="17" t="s">
        <v>101</v>
      </c>
      <c r="B385" s="3" t="s">
        <v>28</v>
      </c>
      <c r="C385" s="3" t="s">
        <v>20</v>
      </c>
      <c r="D385" s="3" t="s">
        <v>37</v>
      </c>
      <c r="E385" s="3" t="s">
        <v>22</v>
      </c>
      <c r="F385" s="3">
        <v>5609.93</v>
      </c>
      <c r="G385" s="3">
        <v>774234</v>
      </c>
      <c r="H385" s="3">
        <v>217</v>
      </c>
      <c r="I385" s="3">
        <v>237453.09</v>
      </c>
      <c r="J385" s="3">
        <v>52</v>
      </c>
      <c r="K385" s="15">
        <f t="shared" si="55"/>
        <v>2.8027702219225715E-4</v>
      </c>
      <c r="L385" s="16">
        <f t="shared" si="65"/>
        <v>25.852211981566821</v>
      </c>
      <c r="M385" s="16">
        <f t="shared" si="56"/>
        <v>7.2457809912765399</v>
      </c>
      <c r="N385" s="16">
        <f t="shared" si="57"/>
        <v>42.327282158600909</v>
      </c>
      <c r="O385" s="16">
        <f t="shared" si="58"/>
        <v>41.327282158600909</v>
      </c>
      <c r="P385" s="1">
        <v>2023</v>
      </c>
      <c r="Q385" s="1" t="s">
        <v>65</v>
      </c>
      <c r="R385" s="1" t="s">
        <v>25</v>
      </c>
      <c r="S385" s="70">
        <f>DATE(Table2[[#This Row],[Year]],MONTH(DATEVALUE("1-"&amp;Table2[[#This Row],[Month]]&amp;"-2000")),1)</f>
        <v>45231</v>
      </c>
      <c r="T385" s="16">
        <f t="shared" si="59"/>
        <v>1094.2538709677419</v>
      </c>
      <c r="U385" s="16">
        <f t="shared" si="60"/>
        <v>0.30669421647718909</v>
      </c>
      <c r="V385" s="16">
        <f t="shared" si="61"/>
        <v>107.88326923076923</v>
      </c>
      <c r="W385" s="16">
        <f t="shared" si="62"/>
        <v>4566.4055769230772</v>
      </c>
      <c r="X385" s="16">
        <f t="shared" si="63"/>
        <v>4.1730769230769234</v>
      </c>
      <c r="Y385" s="16">
        <f t="shared" si="64"/>
        <v>14889.115384615385</v>
      </c>
      <c r="Z385" s="7" t="str" cm="1">
        <f t="array" ref="Z385">_xlfn.IFS(K385&lt;2%,"Low",K385&lt;5%,"Medium",K385&lt;10%,"Good",K385&gt;10%,"Excellent")</f>
        <v>Low</v>
      </c>
      <c r="AA385" s="16" t="str">
        <f>Data_Validation!N383</f>
        <v>Pass</v>
      </c>
    </row>
    <row r="386" spans="1:27" x14ac:dyDescent="0.35">
      <c r="A386" s="17" t="s">
        <v>86</v>
      </c>
      <c r="B386" s="3" t="s">
        <v>28</v>
      </c>
      <c r="C386" s="3" t="s">
        <v>36</v>
      </c>
      <c r="D386" s="3" t="s">
        <v>21</v>
      </c>
      <c r="E386" s="3" t="s">
        <v>22</v>
      </c>
      <c r="F386" s="3">
        <v>33538.26</v>
      </c>
      <c r="G386" s="3">
        <v>898765</v>
      </c>
      <c r="H386" s="3">
        <v>11816</v>
      </c>
      <c r="I386" s="3">
        <v>113733.13</v>
      </c>
      <c r="J386" s="3">
        <v>42</v>
      </c>
      <c r="K386" s="15">
        <f t="shared" si="55"/>
        <v>1.314692939756221E-2</v>
      </c>
      <c r="L386" s="16">
        <f t="shared" si="65"/>
        <v>2.838376777251185</v>
      </c>
      <c r="M386" s="16">
        <f t="shared" si="56"/>
        <v>37.315939094201497</v>
      </c>
      <c r="N386" s="16">
        <f t="shared" si="57"/>
        <v>3.3911458137661286</v>
      </c>
      <c r="O386" s="16">
        <f t="shared" si="58"/>
        <v>2.3911458137661281</v>
      </c>
      <c r="P386" s="1">
        <v>2023</v>
      </c>
      <c r="Q386" s="1" t="s">
        <v>65</v>
      </c>
      <c r="R386" s="1" t="s">
        <v>25</v>
      </c>
      <c r="S386" s="70">
        <f>DATE(Table2[[#This Row],[Year]],MONTH(DATEVALUE("1-"&amp;Table2[[#This Row],[Month]]&amp;"-2000")),1)</f>
        <v>45231</v>
      </c>
      <c r="T386" s="16">
        <f t="shared" si="59"/>
        <v>9.6253495260663513</v>
      </c>
      <c r="U386" s="16">
        <f t="shared" si="60"/>
        <v>0.1265437906460532</v>
      </c>
      <c r="V386" s="16">
        <f t="shared" si="61"/>
        <v>798.53000000000009</v>
      </c>
      <c r="W386" s="16">
        <f t="shared" si="62"/>
        <v>2707.9316666666668</v>
      </c>
      <c r="X386" s="16">
        <f t="shared" si="63"/>
        <v>281.33333333333331</v>
      </c>
      <c r="Y386" s="16">
        <f t="shared" si="64"/>
        <v>21399.166666666668</v>
      </c>
      <c r="Z386" s="7" t="str" cm="1">
        <f t="array" ref="Z386">_xlfn.IFS(K386&lt;2%,"Low",K386&lt;5%,"Medium",K386&lt;10%,"Good",K386&gt;10%,"Excellent")</f>
        <v>Low</v>
      </c>
      <c r="AA386" s="16" t="str">
        <f>Data_Validation!N384</f>
        <v>Pass</v>
      </c>
    </row>
    <row r="387" spans="1:27" x14ac:dyDescent="0.35">
      <c r="A387" s="17" t="s">
        <v>93</v>
      </c>
      <c r="B387" s="3" t="s">
        <v>28</v>
      </c>
      <c r="C387" s="3" t="s">
        <v>20</v>
      </c>
      <c r="D387" s="3" t="s">
        <v>59</v>
      </c>
      <c r="E387" s="3" t="s">
        <v>22</v>
      </c>
      <c r="F387" s="3">
        <v>4682.04</v>
      </c>
      <c r="G387" s="3">
        <v>937989</v>
      </c>
      <c r="H387" s="3">
        <v>2644</v>
      </c>
      <c r="I387" s="3">
        <v>248155.75</v>
      </c>
      <c r="J387" s="3">
        <v>47</v>
      </c>
      <c r="K387" s="15">
        <f t="shared" si="55"/>
        <v>2.8187963824735686E-3</v>
      </c>
      <c r="L387" s="16">
        <f t="shared" si="65"/>
        <v>1.7708169440242056</v>
      </c>
      <c r="M387" s="16">
        <f t="shared" si="56"/>
        <v>4.9915723958383307</v>
      </c>
      <c r="N387" s="16">
        <f t="shared" si="57"/>
        <v>53.001629631528139</v>
      </c>
      <c r="O387" s="16">
        <f t="shared" si="58"/>
        <v>52.001629631528139</v>
      </c>
      <c r="P387" s="1">
        <v>2023</v>
      </c>
      <c r="Q387" s="1" t="s">
        <v>65</v>
      </c>
      <c r="R387" s="1" t="s">
        <v>25</v>
      </c>
      <c r="S387" s="70">
        <f>DATE(Table2[[#This Row],[Year]],MONTH(DATEVALUE("1-"&amp;Table2[[#This Row],[Month]]&amp;"-2000")),1)</f>
        <v>45231</v>
      </c>
      <c r="T387" s="16">
        <f t="shared" si="59"/>
        <v>93.856183812405447</v>
      </c>
      <c r="U387" s="16">
        <f t="shared" si="60"/>
        <v>0.26456147140318276</v>
      </c>
      <c r="V387" s="16">
        <f t="shared" si="61"/>
        <v>99.617872340425535</v>
      </c>
      <c r="W387" s="16">
        <f t="shared" si="62"/>
        <v>5279.9095744680853</v>
      </c>
      <c r="X387" s="16">
        <f t="shared" si="63"/>
        <v>56.255319148936174</v>
      </c>
      <c r="Y387" s="16">
        <f t="shared" si="64"/>
        <v>19957.212765957447</v>
      </c>
      <c r="Z387" s="7" t="str" cm="1">
        <f t="array" ref="Z387">_xlfn.IFS(K387&lt;2%,"Low",K387&lt;5%,"Medium",K387&lt;10%,"Good",K387&gt;10%,"Excellent")</f>
        <v>Low</v>
      </c>
      <c r="AA387" s="16" t="str">
        <f>Data_Validation!N385</f>
        <v>Pass</v>
      </c>
    </row>
    <row r="388" spans="1:27" x14ac:dyDescent="0.35">
      <c r="A388" s="17" t="s">
        <v>55</v>
      </c>
      <c r="B388" s="3" t="s">
        <v>48</v>
      </c>
      <c r="C388" s="3" t="s">
        <v>36</v>
      </c>
      <c r="D388" s="3" t="s">
        <v>37</v>
      </c>
      <c r="E388" s="3" t="s">
        <v>30</v>
      </c>
      <c r="F388" s="3">
        <v>4569.2299999999996</v>
      </c>
      <c r="G388" s="3">
        <v>666912</v>
      </c>
      <c r="H388" s="3">
        <v>8384</v>
      </c>
      <c r="I388" s="3">
        <v>37162.89</v>
      </c>
      <c r="J388" s="3">
        <v>20</v>
      </c>
      <c r="K388" s="15">
        <f t="shared" si="55"/>
        <v>1.2571373734465716E-2</v>
      </c>
      <c r="L388" s="16">
        <f t="shared" si="65"/>
        <v>0.5449940362595419</v>
      </c>
      <c r="M388" s="16">
        <f t="shared" si="56"/>
        <v>6.8513237128736613</v>
      </c>
      <c r="N388" s="16">
        <f t="shared" si="57"/>
        <v>8.133293793483805</v>
      </c>
      <c r="O388" s="16">
        <f t="shared" si="58"/>
        <v>7.1332937934838041</v>
      </c>
      <c r="P388" s="1">
        <v>2023</v>
      </c>
      <c r="Q388" s="1" t="s">
        <v>65</v>
      </c>
      <c r="R388" s="1" t="s">
        <v>25</v>
      </c>
      <c r="S388" s="70">
        <f>DATE(Table2[[#This Row],[Year]],MONTH(DATEVALUE("1-"&amp;Table2[[#This Row],[Month]]&amp;"-2000")),1)</f>
        <v>45231</v>
      </c>
      <c r="T388" s="16">
        <f t="shared" si="59"/>
        <v>4.4325966125954199</v>
      </c>
      <c r="U388" s="16">
        <f t="shared" si="60"/>
        <v>5.5723828631063767E-2</v>
      </c>
      <c r="V388" s="16">
        <f t="shared" si="61"/>
        <v>228.46149999999997</v>
      </c>
      <c r="W388" s="16">
        <f t="shared" si="62"/>
        <v>1858.1444999999999</v>
      </c>
      <c r="X388" s="16">
        <f t="shared" si="63"/>
        <v>419.2</v>
      </c>
      <c r="Y388" s="16">
        <f t="shared" si="64"/>
        <v>33345.599999999999</v>
      </c>
      <c r="Z388" s="7" t="str" cm="1">
        <f t="array" ref="Z388">_xlfn.IFS(K388&lt;2%,"Low",K388&lt;5%,"Medium",K388&lt;10%,"Good",K388&gt;10%,"Excellent")</f>
        <v>Low</v>
      </c>
      <c r="AA388" s="16" t="str">
        <f>Data_Validation!N386</f>
        <v>Pass</v>
      </c>
    </row>
    <row r="389" spans="1:27" x14ac:dyDescent="0.35">
      <c r="A389" s="17" t="s">
        <v>79</v>
      </c>
      <c r="B389" s="3" t="s">
        <v>48</v>
      </c>
      <c r="C389" s="3" t="s">
        <v>20</v>
      </c>
      <c r="D389" s="3" t="s">
        <v>51</v>
      </c>
      <c r="E389" s="3" t="s">
        <v>30</v>
      </c>
      <c r="F389" s="3">
        <v>32906.71</v>
      </c>
      <c r="G389" s="3">
        <v>176494</v>
      </c>
      <c r="H389" s="3">
        <v>39664</v>
      </c>
      <c r="I389" s="3">
        <v>145897.39000000001</v>
      </c>
      <c r="J389" s="3">
        <v>33</v>
      </c>
      <c r="K389" s="15">
        <f t="shared" si="55"/>
        <v>0.22473285210828697</v>
      </c>
      <c r="L389" s="16">
        <f t="shared" si="65"/>
        <v>0.82963669826542963</v>
      </c>
      <c r="M389" s="16">
        <f t="shared" si="56"/>
        <v>186.44662141489229</v>
      </c>
      <c r="N389" s="16">
        <f t="shared" si="57"/>
        <v>4.4336668721971906</v>
      </c>
      <c r="O389" s="16">
        <f t="shared" si="58"/>
        <v>3.433666872197191</v>
      </c>
      <c r="P389" s="1">
        <v>2023</v>
      </c>
      <c r="Q389" s="1" t="s">
        <v>65</v>
      </c>
      <c r="R389" s="1" t="s">
        <v>25</v>
      </c>
      <c r="S389" s="70">
        <f>DATE(Table2[[#This Row],[Year]],MONTH(DATEVALUE("1-"&amp;Table2[[#This Row],[Month]]&amp;"-2000")),1)</f>
        <v>45231</v>
      </c>
      <c r="T389" s="16">
        <f t="shared" si="59"/>
        <v>3.6783327450584915</v>
      </c>
      <c r="U389" s="16">
        <f t="shared" si="60"/>
        <v>0.82664220880029926</v>
      </c>
      <c r="V389" s="16">
        <f t="shared" si="61"/>
        <v>997.17303030303026</v>
      </c>
      <c r="W389" s="16">
        <f t="shared" si="62"/>
        <v>4421.1330303030309</v>
      </c>
      <c r="X389" s="16">
        <f t="shared" si="63"/>
        <v>1201.939393939394</v>
      </c>
      <c r="Y389" s="16">
        <f t="shared" si="64"/>
        <v>5348.30303030303</v>
      </c>
      <c r="Z389" s="7" t="str" cm="1">
        <f t="array" ref="Z389">_xlfn.IFS(K389&lt;2%,"Low",K389&lt;5%,"Medium",K389&lt;10%,"Good",K389&gt;10%,"Excellent")</f>
        <v>Excellent</v>
      </c>
      <c r="AA389" s="16" t="str">
        <f>Data_Validation!N387</f>
        <v>Pass</v>
      </c>
    </row>
    <row r="390" spans="1:27" x14ac:dyDescent="0.35">
      <c r="A390" s="17" t="s">
        <v>111</v>
      </c>
      <c r="B390" s="3" t="s">
        <v>48</v>
      </c>
      <c r="C390" s="3" t="s">
        <v>20</v>
      </c>
      <c r="D390" s="3" t="s">
        <v>51</v>
      </c>
      <c r="E390" s="3" t="s">
        <v>30</v>
      </c>
      <c r="F390" s="3">
        <v>7056.46</v>
      </c>
      <c r="G390" s="3">
        <v>417000</v>
      </c>
      <c r="H390" s="3">
        <v>27867</v>
      </c>
      <c r="I390" s="3">
        <v>83312.53</v>
      </c>
      <c r="J390" s="3">
        <v>9</v>
      </c>
      <c r="K390" s="15">
        <f t="shared" si="55"/>
        <v>6.68273381294964E-2</v>
      </c>
      <c r="L390" s="16">
        <f t="shared" si="65"/>
        <v>0.2532192198657911</v>
      </c>
      <c r="M390" s="16">
        <f t="shared" si="56"/>
        <v>16.921966426858514</v>
      </c>
      <c r="N390" s="16">
        <f t="shared" si="57"/>
        <v>11.806561647058157</v>
      </c>
      <c r="O390" s="16">
        <f t="shared" si="58"/>
        <v>10.806561647058155</v>
      </c>
      <c r="P390" s="1">
        <v>2023</v>
      </c>
      <c r="Q390" s="1" t="s">
        <v>65</v>
      </c>
      <c r="R390" s="1" t="s">
        <v>25</v>
      </c>
      <c r="S390" s="70">
        <f>DATE(Table2[[#This Row],[Year]],MONTH(DATEVALUE("1-"&amp;Table2[[#This Row],[Month]]&amp;"-2000")),1)</f>
        <v>45231</v>
      </c>
      <c r="T390" s="16">
        <f t="shared" si="59"/>
        <v>2.9896483295654357</v>
      </c>
      <c r="U390" s="16">
        <f t="shared" si="60"/>
        <v>0.19979023980815347</v>
      </c>
      <c r="V390" s="16">
        <f t="shared" si="61"/>
        <v>784.05111111111114</v>
      </c>
      <c r="W390" s="16">
        <f t="shared" si="62"/>
        <v>9256.9477777777774</v>
      </c>
      <c r="X390" s="16">
        <f t="shared" si="63"/>
        <v>3096.3333333333335</v>
      </c>
      <c r="Y390" s="16">
        <f t="shared" si="64"/>
        <v>46333.333333333336</v>
      </c>
      <c r="Z390" s="7" t="str" cm="1">
        <f t="array" ref="Z390">_xlfn.IFS(K390&lt;2%,"Low",K390&lt;5%,"Medium",K390&lt;10%,"Good",K390&gt;10%,"Excellent")</f>
        <v>Good</v>
      </c>
      <c r="AA390" s="16" t="str">
        <f>Data_Validation!N388</f>
        <v>Pass</v>
      </c>
    </row>
    <row r="391" spans="1:27" x14ac:dyDescent="0.35">
      <c r="A391" s="17" t="s">
        <v>57</v>
      </c>
      <c r="B391" s="3" t="s">
        <v>48</v>
      </c>
      <c r="C391" s="3" t="s">
        <v>69</v>
      </c>
      <c r="D391" s="3" t="s">
        <v>21</v>
      </c>
      <c r="E391" s="3" t="s">
        <v>38</v>
      </c>
      <c r="F391" s="3">
        <v>56121.57</v>
      </c>
      <c r="G391" s="3">
        <v>315605</v>
      </c>
      <c r="H391" s="3">
        <v>48260</v>
      </c>
      <c r="I391" s="3">
        <v>175264.65</v>
      </c>
      <c r="J391" s="3">
        <v>17</v>
      </c>
      <c r="K391" s="15">
        <f t="shared" si="55"/>
        <v>0.15291265981210692</v>
      </c>
      <c r="L391" s="16">
        <f t="shared" si="65"/>
        <v>1.1629003315375053</v>
      </c>
      <c r="M391" s="16">
        <f t="shared" si="56"/>
        <v>177.82218279178085</v>
      </c>
      <c r="N391" s="16">
        <f t="shared" si="57"/>
        <v>3.1229463110173148</v>
      </c>
      <c r="O391" s="16">
        <f t="shared" si="58"/>
        <v>2.1229463110173143</v>
      </c>
      <c r="P391" s="1">
        <v>2023</v>
      </c>
      <c r="Q391" s="1" t="s">
        <v>65</v>
      </c>
      <c r="R391" s="1" t="s">
        <v>25</v>
      </c>
      <c r="S391" s="70">
        <f>DATE(Table2[[#This Row],[Year]],MONTH(DATEVALUE("1-"&amp;Table2[[#This Row],[Month]]&amp;"-2000")),1)</f>
        <v>45231</v>
      </c>
      <c r="T391" s="16">
        <f t="shared" si="59"/>
        <v>3.6316753004558637</v>
      </c>
      <c r="U391" s="16">
        <f t="shared" si="60"/>
        <v>0.55532912976663862</v>
      </c>
      <c r="V391" s="16">
        <f t="shared" si="61"/>
        <v>3301.2688235294117</v>
      </c>
      <c r="W391" s="16">
        <f t="shared" si="62"/>
        <v>10309.685294117648</v>
      </c>
      <c r="X391" s="16">
        <f t="shared" si="63"/>
        <v>2838.8235294117649</v>
      </c>
      <c r="Y391" s="16">
        <f t="shared" si="64"/>
        <v>18565</v>
      </c>
      <c r="Z391" s="7" t="str" cm="1">
        <f t="array" ref="Z391">_xlfn.IFS(K391&lt;2%,"Low",K391&lt;5%,"Medium",K391&lt;10%,"Good",K391&gt;10%,"Excellent")</f>
        <v>Excellent</v>
      </c>
      <c r="AA391" s="16" t="str">
        <f>Data_Validation!N389</f>
        <v>Pass</v>
      </c>
    </row>
    <row r="392" spans="1:27" x14ac:dyDescent="0.35">
      <c r="A392" s="17" t="s">
        <v>113</v>
      </c>
      <c r="B392" s="3" t="s">
        <v>35</v>
      </c>
      <c r="C392" s="3" t="s">
        <v>29</v>
      </c>
      <c r="D392" s="3" t="s">
        <v>21</v>
      </c>
      <c r="E392" s="3" t="s">
        <v>38</v>
      </c>
      <c r="F392" s="3">
        <v>10828.35</v>
      </c>
      <c r="G392" s="3">
        <v>44455</v>
      </c>
      <c r="H392" s="3">
        <v>11691</v>
      </c>
      <c r="I392" s="3">
        <v>141383.29999999999</v>
      </c>
      <c r="J392" s="3">
        <v>60</v>
      </c>
      <c r="K392" s="15">
        <f t="shared" si="55"/>
        <v>0.26298504105274995</v>
      </c>
      <c r="L392" s="16">
        <f t="shared" si="65"/>
        <v>0.92621247113163974</v>
      </c>
      <c r="M392" s="16">
        <f t="shared" si="56"/>
        <v>243.58002474412328</v>
      </c>
      <c r="N392" s="16">
        <f t="shared" si="57"/>
        <v>13.056772269089933</v>
      </c>
      <c r="O392" s="16">
        <f t="shared" si="58"/>
        <v>12.056772269089933</v>
      </c>
      <c r="P392" s="1">
        <v>2023</v>
      </c>
      <c r="Q392" s="1" t="s">
        <v>65</v>
      </c>
      <c r="R392" s="1" t="s">
        <v>25</v>
      </c>
      <c r="S392" s="70">
        <f>DATE(Table2[[#This Row],[Year]],MONTH(DATEVALUE("1-"&amp;Table2[[#This Row],[Month]]&amp;"-2000")),1)</f>
        <v>45231</v>
      </c>
      <c r="T392" s="16">
        <f t="shared" si="59"/>
        <v>12.093345308356854</v>
      </c>
      <c r="U392" s="16">
        <f t="shared" si="60"/>
        <v>3.1803689123833085</v>
      </c>
      <c r="V392" s="16">
        <f t="shared" si="61"/>
        <v>180.4725</v>
      </c>
      <c r="W392" s="16">
        <f t="shared" si="62"/>
        <v>2356.3883333333333</v>
      </c>
      <c r="X392" s="16">
        <f t="shared" si="63"/>
        <v>194.85</v>
      </c>
      <c r="Y392" s="16">
        <f t="shared" si="64"/>
        <v>740.91666666666663</v>
      </c>
      <c r="Z392" s="7" t="str" cm="1">
        <f t="array" ref="Z392">_xlfn.IFS(K392&lt;2%,"Low",K392&lt;5%,"Medium",K392&lt;10%,"Good",K392&gt;10%,"Excellent")</f>
        <v>Excellent</v>
      </c>
      <c r="AA392" s="16" t="str">
        <f>Data_Validation!N390</f>
        <v>Pass</v>
      </c>
    </row>
    <row r="393" spans="1:27" x14ac:dyDescent="0.35">
      <c r="A393" s="17" t="s">
        <v>91</v>
      </c>
      <c r="B393" s="3" t="s">
        <v>19</v>
      </c>
      <c r="C393" s="3" t="s">
        <v>36</v>
      </c>
      <c r="D393" s="3" t="s">
        <v>59</v>
      </c>
      <c r="E393" s="3" t="s">
        <v>30</v>
      </c>
      <c r="F393" s="3">
        <v>27935.02</v>
      </c>
      <c r="G393" s="3">
        <v>205472</v>
      </c>
      <c r="H393" s="3">
        <v>13133</v>
      </c>
      <c r="I393" s="3">
        <v>127659.45</v>
      </c>
      <c r="J393" s="3">
        <v>37</v>
      </c>
      <c r="K393" s="15">
        <f t="shared" ref="K393:K456" si="66">H393/G393</f>
        <v>6.3916251362716087E-2</v>
      </c>
      <c r="L393" s="16">
        <f t="shared" si="65"/>
        <v>2.1270859666488997</v>
      </c>
      <c r="M393" s="16">
        <f t="shared" ref="M393:M456" si="67">F393/G393*1000</f>
        <v>135.955361314437</v>
      </c>
      <c r="N393" s="16">
        <f t="shared" ref="N393:N456" si="68">I393/F393</f>
        <v>4.5698714373571239</v>
      </c>
      <c r="O393" s="16">
        <f t="shared" ref="O393:O456" si="69">(I393-F393)/F393</f>
        <v>3.5698714373571234</v>
      </c>
      <c r="P393" s="1">
        <v>2023</v>
      </c>
      <c r="Q393" s="1" t="s">
        <v>65</v>
      </c>
      <c r="R393" s="1" t="s">
        <v>25</v>
      </c>
      <c r="S393" s="70">
        <f>DATE(Table2[[#This Row],[Year]],MONTH(DATEVALUE("1-"&amp;Table2[[#This Row],[Month]]&amp;"-2000")),1)</f>
        <v>45231</v>
      </c>
      <c r="T393" s="16">
        <f t="shared" ref="T393:T456" si="70">I393/H393</f>
        <v>9.7205094037919739</v>
      </c>
      <c r="U393" s="16">
        <f t="shared" ref="U393:U456" si="71">I393/G393</f>
        <v>0.62129852242641337</v>
      </c>
      <c r="V393" s="16">
        <f t="shared" ref="V393:V456" si="72">F393/J393</f>
        <v>755.00054054054056</v>
      </c>
      <c r="W393" s="16">
        <f t="shared" ref="W393:W456" si="73">I393/J393</f>
        <v>3450.2554054054053</v>
      </c>
      <c r="X393" s="16">
        <f t="shared" ref="X393:X456" si="74">H393/J393</f>
        <v>354.94594594594594</v>
      </c>
      <c r="Y393" s="16">
        <f t="shared" ref="Y393:Y456" si="75">G393/J393</f>
        <v>5553.2972972972975</v>
      </c>
      <c r="Z393" s="7" t="str" cm="1">
        <f t="array" ref="Z393">_xlfn.IFS(K393&lt;2%,"Low",K393&lt;5%,"Medium",K393&lt;10%,"Good",K393&gt;10%,"Excellent")</f>
        <v>Good</v>
      </c>
      <c r="AA393" s="16" t="str">
        <f>Data_Validation!N391</f>
        <v>Pass</v>
      </c>
    </row>
    <row r="394" spans="1:27" x14ac:dyDescent="0.35">
      <c r="A394" s="17" t="s">
        <v>119</v>
      </c>
      <c r="B394" s="3" t="s">
        <v>35</v>
      </c>
      <c r="C394" s="3" t="s">
        <v>20</v>
      </c>
      <c r="D394" s="3" t="s">
        <v>43</v>
      </c>
      <c r="E394" s="3" t="s">
        <v>38</v>
      </c>
      <c r="F394" s="3">
        <v>5015.26</v>
      </c>
      <c r="G394" s="3">
        <v>685958</v>
      </c>
      <c r="H394" s="3">
        <v>26016</v>
      </c>
      <c r="I394" s="3">
        <v>71455.78</v>
      </c>
      <c r="J394" s="3">
        <v>47</v>
      </c>
      <c r="K394" s="15">
        <f t="shared" si="66"/>
        <v>3.79265202825829E-2</v>
      </c>
      <c r="L394" s="16">
        <f t="shared" ref="L394:L457" si="76">F394/H394</f>
        <v>0.19277598400984011</v>
      </c>
      <c r="M394" s="16">
        <f t="shared" si="67"/>
        <v>7.3113222675440772</v>
      </c>
      <c r="N394" s="16">
        <f t="shared" si="68"/>
        <v>14.247672104736344</v>
      </c>
      <c r="O394" s="16">
        <f t="shared" si="69"/>
        <v>13.247672104736345</v>
      </c>
      <c r="P394" s="1">
        <v>2023</v>
      </c>
      <c r="Q394" s="1" t="s">
        <v>65</v>
      </c>
      <c r="R394" s="1" t="s">
        <v>25</v>
      </c>
      <c r="S394" s="70">
        <f>DATE(Table2[[#This Row],[Year]],MONTH(DATEVALUE("1-"&amp;Table2[[#This Row],[Month]]&amp;"-2000")),1)</f>
        <v>45231</v>
      </c>
      <c r="T394" s="16">
        <f t="shared" si="70"/>
        <v>2.7466090098400984</v>
      </c>
      <c r="U394" s="16">
        <f t="shared" si="71"/>
        <v>0.10416932232002542</v>
      </c>
      <c r="V394" s="16">
        <f t="shared" si="72"/>
        <v>106.7076595744681</v>
      </c>
      <c r="W394" s="16">
        <f t="shared" si="73"/>
        <v>1520.3357446808511</v>
      </c>
      <c r="X394" s="16">
        <f t="shared" si="74"/>
        <v>553.531914893617</v>
      </c>
      <c r="Y394" s="16">
        <f t="shared" si="75"/>
        <v>14594.851063829787</v>
      </c>
      <c r="Z394" s="7" t="str" cm="1">
        <f t="array" ref="Z394">_xlfn.IFS(K394&lt;2%,"Low",K394&lt;5%,"Medium",K394&lt;10%,"Good",K394&gt;10%,"Excellent")</f>
        <v>Medium</v>
      </c>
      <c r="AA394" s="16" t="str">
        <f>Data_Validation!N392</f>
        <v>Pass</v>
      </c>
    </row>
    <row r="395" spans="1:27" x14ac:dyDescent="0.35">
      <c r="A395" s="17" t="s">
        <v>86</v>
      </c>
      <c r="B395" s="3" t="s">
        <v>28</v>
      </c>
      <c r="C395" s="3" t="s">
        <v>69</v>
      </c>
      <c r="D395" s="3" t="s">
        <v>51</v>
      </c>
      <c r="E395" s="3" t="s">
        <v>22</v>
      </c>
      <c r="F395" s="3">
        <v>36091.79</v>
      </c>
      <c r="G395" s="3">
        <v>854654</v>
      </c>
      <c r="H395" s="3">
        <v>28851</v>
      </c>
      <c r="I395" s="3">
        <v>184631.26</v>
      </c>
      <c r="J395" s="3">
        <v>41</v>
      </c>
      <c r="K395" s="15">
        <f t="shared" si="66"/>
        <v>3.3757520587278593E-2</v>
      </c>
      <c r="L395" s="16">
        <f t="shared" si="76"/>
        <v>1.250971890055804</v>
      </c>
      <c r="M395" s="16">
        <f t="shared" si="67"/>
        <v>42.229709332665614</v>
      </c>
      <c r="N395" s="16">
        <f t="shared" si="68"/>
        <v>5.1156027451118389</v>
      </c>
      <c r="O395" s="16">
        <f t="shared" si="69"/>
        <v>4.115602745111838</v>
      </c>
      <c r="P395" s="1">
        <v>2023</v>
      </c>
      <c r="Q395" s="1" t="s">
        <v>65</v>
      </c>
      <c r="R395" s="1" t="s">
        <v>25</v>
      </c>
      <c r="S395" s="70">
        <f>DATE(Table2[[#This Row],[Year]],MONTH(DATEVALUE("1-"&amp;Table2[[#This Row],[Month]]&amp;"-2000")),1)</f>
        <v>45231</v>
      </c>
      <c r="T395" s="16">
        <f t="shared" si="70"/>
        <v>6.3994752348272161</v>
      </c>
      <c r="U395" s="16">
        <f t="shared" si="71"/>
        <v>0.21603041698745926</v>
      </c>
      <c r="V395" s="16">
        <f t="shared" si="72"/>
        <v>880.28756097560972</v>
      </c>
      <c r="W395" s="16">
        <f t="shared" si="73"/>
        <v>4503.2014634146344</v>
      </c>
      <c r="X395" s="16">
        <f t="shared" si="74"/>
        <v>703.68292682926824</v>
      </c>
      <c r="Y395" s="16">
        <f t="shared" si="75"/>
        <v>20845.219512195123</v>
      </c>
      <c r="Z395" s="7" t="str" cm="1">
        <f t="array" ref="Z395">_xlfn.IFS(K395&lt;2%,"Low",K395&lt;5%,"Medium",K395&lt;10%,"Good",K395&gt;10%,"Excellent")</f>
        <v>Medium</v>
      </c>
      <c r="AA395" s="16" t="str">
        <f>Data_Validation!N393</f>
        <v>Pass</v>
      </c>
    </row>
    <row r="396" spans="1:27" x14ac:dyDescent="0.35">
      <c r="A396" s="17" t="s">
        <v>66</v>
      </c>
      <c r="B396" s="3" t="s">
        <v>28</v>
      </c>
      <c r="C396" s="3" t="s">
        <v>69</v>
      </c>
      <c r="D396" s="3" t="s">
        <v>21</v>
      </c>
      <c r="E396" s="3" t="s">
        <v>38</v>
      </c>
      <c r="F396" s="3">
        <v>34712.839999999997</v>
      </c>
      <c r="G396" s="3">
        <v>962575</v>
      </c>
      <c r="H396" s="3">
        <v>43797</v>
      </c>
      <c r="I396" s="3">
        <v>93460.89</v>
      </c>
      <c r="J396" s="3">
        <v>44</v>
      </c>
      <c r="K396" s="15">
        <f t="shared" si="66"/>
        <v>4.549983118198582E-2</v>
      </c>
      <c r="L396" s="16">
        <f t="shared" si="76"/>
        <v>0.79258488024293894</v>
      </c>
      <c r="M396" s="16">
        <f t="shared" si="67"/>
        <v>36.062478248448166</v>
      </c>
      <c r="N396" s="16">
        <f t="shared" si="68"/>
        <v>2.692401140327326</v>
      </c>
      <c r="O396" s="16">
        <f t="shared" si="69"/>
        <v>1.6924011403273258</v>
      </c>
      <c r="P396" s="1">
        <v>2023</v>
      </c>
      <c r="Q396" s="1" t="s">
        <v>65</v>
      </c>
      <c r="R396" s="1" t="s">
        <v>25</v>
      </c>
      <c r="S396" s="70">
        <f>DATE(Table2[[#This Row],[Year]],MONTH(DATEVALUE("1-"&amp;Table2[[#This Row],[Month]]&amp;"-2000")),1)</f>
        <v>45231</v>
      </c>
      <c r="T396" s="16">
        <f t="shared" si="70"/>
        <v>2.1339564353722857</v>
      </c>
      <c r="U396" s="16">
        <f t="shared" si="71"/>
        <v>9.709465755915124E-2</v>
      </c>
      <c r="V396" s="16">
        <f t="shared" si="72"/>
        <v>788.92818181818177</v>
      </c>
      <c r="W396" s="16">
        <f t="shared" si="73"/>
        <v>2124.1111363636364</v>
      </c>
      <c r="X396" s="16">
        <f t="shared" si="74"/>
        <v>995.38636363636363</v>
      </c>
      <c r="Y396" s="16">
        <f t="shared" si="75"/>
        <v>21876.704545454544</v>
      </c>
      <c r="Z396" s="7" t="str" cm="1">
        <f t="array" ref="Z396">_xlfn.IFS(K396&lt;2%,"Low",K396&lt;5%,"Medium",K396&lt;10%,"Good",K396&gt;10%,"Excellent")</f>
        <v>Medium</v>
      </c>
      <c r="AA396" s="16" t="str">
        <f>Data_Validation!N394</f>
        <v>Pass</v>
      </c>
    </row>
    <row r="397" spans="1:27" x14ac:dyDescent="0.35">
      <c r="A397" s="17" t="s">
        <v>18</v>
      </c>
      <c r="B397" s="3" t="s">
        <v>28</v>
      </c>
      <c r="C397" s="3" t="s">
        <v>20</v>
      </c>
      <c r="D397" s="3" t="s">
        <v>59</v>
      </c>
      <c r="E397" s="3" t="s">
        <v>30</v>
      </c>
      <c r="F397" s="3">
        <v>4764.04</v>
      </c>
      <c r="G397" s="3">
        <v>868835</v>
      </c>
      <c r="H397" s="3">
        <v>25494</v>
      </c>
      <c r="I397" s="3">
        <v>51518.02</v>
      </c>
      <c r="J397" s="3">
        <v>52</v>
      </c>
      <c r="K397" s="15">
        <f t="shared" si="66"/>
        <v>2.9342740566390628E-2</v>
      </c>
      <c r="L397" s="16">
        <f t="shared" si="76"/>
        <v>0.18686906723150545</v>
      </c>
      <c r="M397" s="16">
        <f t="shared" si="67"/>
        <v>5.4832505596574723</v>
      </c>
      <c r="N397" s="16">
        <f t="shared" si="68"/>
        <v>10.813935231442221</v>
      </c>
      <c r="O397" s="16">
        <f t="shared" si="69"/>
        <v>9.8139352314422208</v>
      </c>
      <c r="P397" s="1">
        <v>2023</v>
      </c>
      <c r="Q397" s="1" t="s">
        <v>65</v>
      </c>
      <c r="R397" s="1" t="s">
        <v>25</v>
      </c>
      <c r="S397" s="70">
        <f>DATE(Table2[[#This Row],[Year]],MONTH(DATEVALUE("1-"&amp;Table2[[#This Row],[Month]]&amp;"-2000")),1)</f>
        <v>45231</v>
      </c>
      <c r="T397" s="16">
        <f t="shared" si="70"/>
        <v>2.0207899898015218</v>
      </c>
      <c r="U397" s="16">
        <f t="shared" si="71"/>
        <v>5.9295516409905213E-2</v>
      </c>
      <c r="V397" s="16">
        <f t="shared" si="72"/>
        <v>91.61615384615385</v>
      </c>
      <c r="W397" s="16">
        <f t="shared" si="73"/>
        <v>990.7311538461538</v>
      </c>
      <c r="X397" s="16">
        <f t="shared" si="74"/>
        <v>490.26923076923077</v>
      </c>
      <c r="Y397" s="16">
        <f t="shared" si="75"/>
        <v>16708.365384615383</v>
      </c>
      <c r="Z397" s="7" t="str" cm="1">
        <f t="array" ref="Z397">_xlfn.IFS(K397&lt;2%,"Low",K397&lt;5%,"Medium",K397&lt;10%,"Good",K397&gt;10%,"Excellent")</f>
        <v>Medium</v>
      </c>
      <c r="AA397" s="16" t="str">
        <f>Data_Validation!N395</f>
        <v>Pass</v>
      </c>
    </row>
    <row r="398" spans="1:27" x14ac:dyDescent="0.35">
      <c r="A398" s="17" t="s">
        <v>68</v>
      </c>
      <c r="B398" s="3" t="s">
        <v>48</v>
      </c>
      <c r="C398" s="3" t="s">
        <v>58</v>
      </c>
      <c r="D398" s="3" t="s">
        <v>63</v>
      </c>
      <c r="E398" s="3" t="s">
        <v>38</v>
      </c>
      <c r="F398" s="3">
        <v>3921.47</v>
      </c>
      <c r="G398" s="3">
        <v>331384</v>
      </c>
      <c r="H398" s="3">
        <v>29323</v>
      </c>
      <c r="I398" s="3">
        <v>152642.29999999999</v>
      </c>
      <c r="J398" s="3">
        <v>12</v>
      </c>
      <c r="K398" s="15">
        <f t="shared" si="66"/>
        <v>8.8486468869951471E-2</v>
      </c>
      <c r="L398" s="16">
        <f t="shared" si="76"/>
        <v>0.13373358796848889</v>
      </c>
      <c r="M398" s="16">
        <f t="shared" si="67"/>
        <v>11.833612968640608</v>
      </c>
      <c r="N398" s="16">
        <f t="shared" si="68"/>
        <v>38.924765457851265</v>
      </c>
      <c r="O398" s="16">
        <f t="shared" si="69"/>
        <v>37.924765457851265</v>
      </c>
      <c r="P398" s="1">
        <v>2023</v>
      </c>
      <c r="Q398" s="1" t="s">
        <v>65</v>
      </c>
      <c r="R398" s="1" t="s">
        <v>25</v>
      </c>
      <c r="S398" s="70">
        <f>DATE(Table2[[#This Row],[Year]],MONTH(DATEVALUE("1-"&amp;Table2[[#This Row],[Month]]&amp;"-2000")),1)</f>
        <v>45231</v>
      </c>
      <c r="T398" s="16">
        <f t="shared" si="70"/>
        <v>5.2055485455103501</v>
      </c>
      <c r="U398" s="16">
        <f t="shared" si="71"/>
        <v>0.46062060932332277</v>
      </c>
      <c r="V398" s="16">
        <f t="shared" si="72"/>
        <v>326.78916666666663</v>
      </c>
      <c r="W398" s="16">
        <f t="shared" si="73"/>
        <v>12720.191666666666</v>
      </c>
      <c r="X398" s="16">
        <f t="shared" si="74"/>
        <v>2443.5833333333335</v>
      </c>
      <c r="Y398" s="16">
        <f t="shared" si="75"/>
        <v>27615.333333333332</v>
      </c>
      <c r="Z398" s="7" t="str" cm="1">
        <f t="array" ref="Z398">_xlfn.IFS(K398&lt;2%,"Low",K398&lt;5%,"Medium",K398&lt;10%,"Good",K398&gt;10%,"Excellent")</f>
        <v>Good</v>
      </c>
      <c r="AA398" s="16" t="str">
        <f>Data_Validation!N396</f>
        <v>Pass</v>
      </c>
    </row>
    <row r="399" spans="1:27" x14ac:dyDescent="0.35">
      <c r="A399" s="17" t="s">
        <v>97</v>
      </c>
      <c r="B399" s="3" t="s">
        <v>35</v>
      </c>
      <c r="C399" s="3" t="s">
        <v>29</v>
      </c>
      <c r="D399" s="3" t="s">
        <v>51</v>
      </c>
      <c r="E399" s="3" t="s">
        <v>38</v>
      </c>
      <c r="F399" s="3">
        <v>9841.99</v>
      </c>
      <c r="G399" s="3">
        <v>33205</v>
      </c>
      <c r="H399" s="3">
        <v>12285</v>
      </c>
      <c r="I399" s="3">
        <v>243221.49</v>
      </c>
      <c r="J399" s="3">
        <v>7</v>
      </c>
      <c r="K399" s="15">
        <f t="shared" si="66"/>
        <v>0.36997440144556543</v>
      </c>
      <c r="L399" s="16">
        <f t="shared" si="76"/>
        <v>0.80113878713878717</v>
      </c>
      <c r="M399" s="16">
        <f t="shared" si="67"/>
        <v>296.40084324649899</v>
      </c>
      <c r="N399" s="16">
        <f t="shared" si="68"/>
        <v>24.712633319074698</v>
      </c>
      <c r="O399" s="16">
        <f t="shared" si="69"/>
        <v>23.712633319074701</v>
      </c>
      <c r="P399" s="1">
        <v>2023</v>
      </c>
      <c r="Q399" s="1" t="s">
        <v>65</v>
      </c>
      <c r="R399" s="1" t="s">
        <v>25</v>
      </c>
      <c r="S399" s="70">
        <f>DATE(Table2[[#This Row],[Year]],MONTH(DATEVALUE("1-"&amp;Table2[[#This Row],[Month]]&amp;"-2000")),1)</f>
        <v>45231</v>
      </c>
      <c r="T399" s="16">
        <f t="shared" si="70"/>
        <v>19.798249084249083</v>
      </c>
      <c r="U399" s="16">
        <f t="shared" si="71"/>
        <v>7.3248453546152685</v>
      </c>
      <c r="V399" s="16">
        <f t="shared" si="72"/>
        <v>1405.9985714285715</v>
      </c>
      <c r="W399" s="16">
        <f t="shared" si="73"/>
        <v>34745.927142857145</v>
      </c>
      <c r="X399" s="16">
        <f t="shared" si="74"/>
        <v>1755</v>
      </c>
      <c r="Y399" s="16">
        <f t="shared" si="75"/>
        <v>4743.5714285714284</v>
      </c>
      <c r="Z399" s="7" t="str" cm="1">
        <f t="array" ref="Z399">_xlfn.IFS(K399&lt;2%,"Low",K399&lt;5%,"Medium",K399&lt;10%,"Good",K399&gt;10%,"Excellent")</f>
        <v>Excellent</v>
      </c>
      <c r="AA399" s="16" t="str">
        <f>Data_Validation!N397</f>
        <v>Pass</v>
      </c>
    </row>
    <row r="400" spans="1:27" x14ac:dyDescent="0.35">
      <c r="A400" s="17" t="s">
        <v>91</v>
      </c>
      <c r="B400" s="3" t="s">
        <v>28</v>
      </c>
      <c r="C400" s="3" t="s">
        <v>69</v>
      </c>
      <c r="D400" s="3" t="s">
        <v>37</v>
      </c>
      <c r="E400" s="3" t="s">
        <v>38</v>
      </c>
      <c r="F400" s="3">
        <v>14621.44</v>
      </c>
      <c r="G400" s="3">
        <v>302477</v>
      </c>
      <c r="H400" s="3">
        <v>29643</v>
      </c>
      <c r="I400" s="3">
        <v>64746.54</v>
      </c>
      <c r="J400" s="3">
        <v>60</v>
      </c>
      <c r="K400" s="15">
        <f t="shared" si="66"/>
        <v>9.800083973326898E-2</v>
      </c>
      <c r="L400" s="16">
        <f t="shared" si="76"/>
        <v>0.49325102047700975</v>
      </c>
      <c r="M400" s="16">
        <f t="shared" si="67"/>
        <v>48.339014206038811</v>
      </c>
      <c r="N400" s="16">
        <f t="shared" si="68"/>
        <v>4.4281917512912541</v>
      </c>
      <c r="O400" s="16">
        <f t="shared" si="69"/>
        <v>3.4281917512912541</v>
      </c>
      <c r="P400" s="1">
        <v>2023</v>
      </c>
      <c r="Q400" s="1" t="s">
        <v>65</v>
      </c>
      <c r="R400" s="1" t="s">
        <v>25</v>
      </c>
      <c r="S400" s="70">
        <f>DATE(Table2[[#This Row],[Year]],MONTH(DATEVALUE("1-"&amp;Table2[[#This Row],[Month]]&amp;"-2000")),1)</f>
        <v>45231</v>
      </c>
      <c r="T400" s="16">
        <f t="shared" si="70"/>
        <v>2.1842101001922885</v>
      </c>
      <c r="U400" s="16">
        <f t="shared" si="71"/>
        <v>0.21405442397273181</v>
      </c>
      <c r="V400" s="16">
        <f t="shared" si="72"/>
        <v>243.69066666666669</v>
      </c>
      <c r="W400" s="16">
        <f t="shared" si="73"/>
        <v>1079.1089999999999</v>
      </c>
      <c r="X400" s="16">
        <f t="shared" si="74"/>
        <v>494.05</v>
      </c>
      <c r="Y400" s="16">
        <f t="shared" si="75"/>
        <v>5041.2833333333338</v>
      </c>
      <c r="Z400" s="7" t="str" cm="1">
        <f t="array" ref="Z400">_xlfn.IFS(K400&lt;2%,"Low",K400&lt;5%,"Medium",K400&lt;10%,"Good",K400&gt;10%,"Excellent")</f>
        <v>Good</v>
      </c>
      <c r="AA400" s="16" t="str">
        <f>Data_Validation!N398</f>
        <v>Pass</v>
      </c>
    </row>
    <row r="401" spans="1:27" x14ac:dyDescent="0.35">
      <c r="A401" s="17" t="s">
        <v>57</v>
      </c>
      <c r="B401" s="3" t="s">
        <v>35</v>
      </c>
      <c r="C401" s="3" t="s">
        <v>29</v>
      </c>
      <c r="D401" s="3" t="s">
        <v>43</v>
      </c>
      <c r="E401" s="3" t="s">
        <v>38</v>
      </c>
      <c r="F401" s="3">
        <v>3421.62</v>
      </c>
      <c r="G401" s="3">
        <v>734423</v>
      </c>
      <c r="H401" s="3">
        <v>44344</v>
      </c>
      <c r="I401" s="3">
        <v>55447.54</v>
      </c>
      <c r="J401" s="3">
        <v>42</v>
      </c>
      <c r="K401" s="15">
        <f t="shared" si="66"/>
        <v>6.0379372650366345E-2</v>
      </c>
      <c r="L401" s="16">
        <f t="shared" si="76"/>
        <v>7.71608334836731E-2</v>
      </c>
      <c r="M401" s="16">
        <f t="shared" si="67"/>
        <v>4.6589227189235629</v>
      </c>
      <c r="N401" s="16">
        <f t="shared" si="68"/>
        <v>16.205054915507858</v>
      </c>
      <c r="O401" s="16">
        <f t="shared" si="69"/>
        <v>15.205054915507858</v>
      </c>
      <c r="P401" s="1">
        <v>2023</v>
      </c>
      <c r="Q401" s="1" t="s">
        <v>65</v>
      </c>
      <c r="R401" s="1" t="s">
        <v>25</v>
      </c>
      <c r="S401" s="70">
        <f>DATE(Table2[[#This Row],[Year]],MONTH(DATEVALUE("1-"&amp;Table2[[#This Row],[Month]]&amp;"-2000")),1)</f>
        <v>45231</v>
      </c>
      <c r="T401" s="16">
        <f t="shared" si="70"/>
        <v>1.2503955439292802</v>
      </c>
      <c r="U401" s="16">
        <f t="shared" si="71"/>
        <v>7.5498098507263522E-2</v>
      </c>
      <c r="V401" s="16">
        <f t="shared" si="72"/>
        <v>81.467142857142861</v>
      </c>
      <c r="W401" s="16">
        <f t="shared" si="73"/>
        <v>1320.1795238095237</v>
      </c>
      <c r="X401" s="16">
        <f t="shared" si="74"/>
        <v>1055.8095238095239</v>
      </c>
      <c r="Y401" s="16">
        <f t="shared" si="75"/>
        <v>17486.261904761905</v>
      </c>
      <c r="Z401" s="7" t="str" cm="1">
        <f t="array" ref="Z401">_xlfn.IFS(K401&lt;2%,"Low",K401&lt;5%,"Medium",K401&lt;10%,"Good",K401&gt;10%,"Excellent")</f>
        <v>Good</v>
      </c>
      <c r="AA401" s="16" t="str">
        <f>Data_Validation!N399</f>
        <v>Pass</v>
      </c>
    </row>
    <row r="402" spans="1:27" x14ac:dyDescent="0.35">
      <c r="A402" s="17" t="s">
        <v>98</v>
      </c>
      <c r="B402" s="3" t="s">
        <v>35</v>
      </c>
      <c r="C402" s="3" t="s">
        <v>58</v>
      </c>
      <c r="D402" s="3" t="s">
        <v>59</v>
      </c>
      <c r="E402" s="3" t="s">
        <v>22</v>
      </c>
      <c r="F402" s="3">
        <v>44353.75</v>
      </c>
      <c r="G402" s="3">
        <v>805284</v>
      </c>
      <c r="H402" s="3">
        <v>28105</v>
      </c>
      <c r="I402" s="3">
        <v>211610.86</v>
      </c>
      <c r="J402" s="3">
        <v>29</v>
      </c>
      <c r="K402" s="15">
        <f t="shared" si="66"/>
        <v>3.49007306738989E-2</v>
      </c>
      <c r="L402" s="16">
        <f t="shared" si="76"/>
        <v>1.5781444582814446</v>
      </c>
      <c r="M402" s="16">
        <f t="shared" si="67"/>
        <v>55.078394702986778</v>
      </c>
      <c r="N402" s="16">
        <f t="shared" si="68"/>
        <v>4.7709801313304956</v>
      </c>
      <c r="O402" s="16">
        <f t="shared" si="69"/>
        <v>3.770980131330496</v>
      </c>
      <c r="P402" s="1">
        <v>2023</v>
      </c>
      <c r="Q402" s="1" t="s">
        <v>65</v>
      </c>
      <c r="R402" s="1" t="s">
        <v>25</v>
      </c>
      <c r="S402" s="70">
        <f>DATE(Table2[[#This Row],[Year]],MONTH(DATEVALUE("1-"&amp;Table2[[#This Row],[Month]]&amp;"-2000")),1)</f>
        <v>45231</v>
      </c>
      <c r="T402" s="16">
        <f t="shared" si="70"/>
        <v>7.5292958548301012</v>
      </c>
      <c r="U402" s="16">
        <f t="shared" si="71"/>
        <v>0.26277792679352874</v>
      </c>
      <c r="V402" s="16">
        <f t="shared" si="72"/>
        <v>1529.4396551724137</v>
      </c>
      <c r="W402" s="16">
        <f t="shared" si="73"/>
        <v>7296.9262068965509</v>
      </c>
      <c r="X402" s="16">
        <f t="shared" si="74"/>
        <v>969.13793103448279</v>
      </c>
      <c r="Y402" s="16">
        <f t="shared" si="75"/>
        <v>27768.413793103449</v>
      </c>
      <c r="Z402" s="7" t="str" cm="1">
        <f t="array" ref="Z402">_xlfn.IFS(K402&lt;2%,"Low",K402&lt;5%,"Medium",K402&lt;10%,"Good",K402&gt;10%,"Excellent")</f>
        <v>Medium</v>
      </c>
      <c r="AA402" s="16" t="str">
        <f>Data_Validation!N400</f>
        <v>Pass</v>
      </c>
    </row>
    <row r="403" spans="1:27" x14ac:dyDescent="0.35">
      <c r="A403" s="17" t="s">
        <v>94</v>
      </c>
      <c r="B403" s="3" t="s">
        <v>28</v>
      </c>
      <c r="C403" s="3" t="s">
        <v>69</v>
      </c>
      <c r="D403" s="3" t="s">
        <v>21</v>
      </c>
      <c r="E403" s="3" t="s">
        <v>30</v>
      </c>
      <c r="F403" s="3">
        <v>3122.76</v>
      </c>
      <c r="G403" s="3">
        <v>332998</v>
      </c>
      <c r="H403" s="3">
        <v>26694</v>
      </c>
      <c r="I403" s="3">
        <v>22053.87</v>
      </c>
      <c r="J403" s="3">
        <v>41</v>
      </c>
      <c r="K403" s="15">
        <f t="shared" si="66"/>
        <v>8.0162643619481194E-2</v>
      </c>
      <c r="L403" s="16">
        <f t="shared" si="76"/>
        <v>0.11698359181838616</v>
      </c>
      <c r="M403" s="16">
        <f t="shared" si="67"/>
        <v>9.3777139802641472</v>
      </c>
      <c r="N403" s="16">
        <f t="shared" si="68"/>
        <v>7.0623006571110167</v>
      </c>
      <c r="O403" s="16">
        <f t="shared" si="69"/>
        <v>6.0623006571110167</v>
      </c>
      <c r="P403" s="1">
        <v>2023</v>
      </c>
      <c r="Q403" s="1" t="s">
        <v>65</v>
      </c>
      <c r="R403" s="1" t="s">
        <v>25</v>
      </c>
      <c r="S403" s="70">
        <f>DATE(Table2[[#This Row],[Year]],MONTH(DATEVALUE("1-"&amp;Table2[[#This Row],[Month]]&amp;"-2000")),1)</f>
        <v>45231</v>
      </c>
      <c r="T403" s="16">
        <f t="shared" si="70"/>
        <v>0.82617329737019551</v>
      </c>
      <c r="U403" s="16">
        <f t="shared" si="71"/>
        <v>6.6228235605018643E-2</v>
      </c>
      <c r="V403" s="16">
        <f t="shared" si="72"/>
        <v>76.164878048780494</v>
      </c>
      <c r="W403" s="16">
        <f t="shared" si="73"/>
        <v>537.8992682926829</v>
      </c>
      <c r="X403" s="16">
        <f t="shared" si="74"/>
        <v>651.07317073170736</v>
      </c>
      <c r="Y403" s="16">
        <f t="shared" si="75"/>
        <v>8121.9024390243903</v>
      </c>
      <c r="Z403" s="7" t="str" cm="1">
        <f t="array" ref="Z403">_xlfn.IFS(K403&lt;2%,"Low",K403&lt;5%,"Medium",K403&lt;10%,"Good",K403&gt;10%,"Excellent")</f>
        <v>Good</v>
      </c>
      <c r="AA403" s="16" t="str">
        <f>Data_Validation!N401</f>
        <v>Pass</v>
      </c>
    </row>
    <row r="404" spans="1:27" x14ac:dyDescent="0.35">
      <c r="A404" s="17" t="s">
        <v>67</v>
      </c>
      <c r="B404" s="3" t="s">
        <v>28</v>
      </c>
      <c r="C404" s="3" t="s">
        <v>29</v>
      </c>
      <c r="D404" s="3" t="s">
        <v>21</v>
      </c>
      <c r="E404" s="3" t="s">
        <v>38</v>
      </c>
      <c r="F404" s="3">
        <v>22117.4</v>
      </c>
      <c r="G404" s="3">
        <v>81551</v>
      </c>
      <c r="H404" s="3">
        <v>5509</v>
      </c>
      <c r="I404" s="3">
        <v>139364.99</v>
      </c>
      <c r="J404" s="3">
        <v>48</v>
      </c>
      <c r="K404" s="15">
        <f t="shared" si="66"/>
        <v>6.755281970791284E-2</v>
      </c>
      <c r="L404" s="16">
        <f t="shared" si="76"/>
        <v>4.014775821383191</v>
      </c>
      <c r="M404" s="16">
        <f t="shared" si="67"/>
        <v>271.20942722958642</v>
      </c>
      <c r="N404" s="16">
        <f t="shared" si="68"/>
        <v>6.3011470606852518</v>
      </c>
      <c r="O404" s="16">
        <f t="shared" si="69"/>
        <v>5.3011470606852518</v>
      </c>
      <c r="P404" s="1">
        <v>2023</v>
      </c>
      <c r="Q404" s="1" t="s">
        <v>73</v>
      </c>
      <c r="R404" s="1" t="s">
        <v>25</v>
      </c>
      <c r="S404" s="70">
        <f>DATE(Table2[[#This Row],[Year]],MONTH(DATEVALUE("1-"&amp;Table2[[#This Row],[Month]]&amp;"-2000")),1)</f>
        <v>45261</v>
      </c>
      <c r="T404" s="16">
        <f t="shared" si="70"/>
        <v>25.297692866218913</v>
      </c>
      <c r="U404" s="16">
        <f t="shared" si="71"/>
        <v>1.7089304852178391</v>
      </c>
      <c r="V404" s="16">
        <f t="shared" si="72"/>
        <v>460.7791666666667</v>
      </c>
      <c r="W404" s="16">
        <f t="shared" si="73"/>
        <v>2903.4372916666666</v>
      </c>
      <c r="X404" s="16">
        <f t="shared" si="74"/>
        <v>114.77083333333333</v>
      </c>
      <c r="Y404" s="16">
        <f t="shared" si="75"/>
        <v>1698.9791666666667</v>
      </c>
      <c r="Z404" s="7" t="str" cm="1">
        <f t="array" ref="Z404">_xlfn.IFS(K404&lt;2%,"Low",K404&lt;5%,"Medium",K404&lt;10%,"Good",K404&gt;10%,"Excellent")</f>
        <v>Good</v>
      </c>
      <c r="AA404" s="16" t="str">
        <f>Data_Validation!N402</f>
        <v>Pass</v>
      </c>
    </row>
    <row r="405" spans="1:27" x14ac:dyDescent="0.35">
      <c r="A405" s="17" t="s">
        <v>105</v>
      </c>
      <c r="B405" s="3" t="s">
        <v>28</v>
      </c>
      <c r="C405" s="3" t="s">
        <v>69</v>
      </c>
      <c r="D405" s="3" t="s">
        <v>63</v>
      </c>
      <c r="E405" s="3" t="s">
        <v>30</v>
      </c>
      <c r="F405" s="3">
        <v>3817.55</v>
      </c>
      <c r="G405" s="3">
        <v>597354</v>
      </c>
      <c r="H405" s="3">
        <v>25871</v>
      </c>
      <c r="I405" s="3">
        <v>97440.84</v>
      </c>
      <c r="J405" s="3">
        <v>25</v>
      </c>
      <c r="K405" s="15">
        <f t="shared" si="66"/>
        <v>4.3309327467464853E-2</v>
      </c>
      <c r="L405" s="16">
        <f t="shared" si="76"/>
        <v>0.14756097560975612</v>
      </c>
      <c r="M405" s="16">
        <f t="shared" si="67"/>
        <v>6.3907666141015209</v>
      </c>
      <c r="N405" s="16">
        <f t="shared" si="68"/>
        <v>25.524443687705464</v>
      </c>
      <c r="O405" s="16">
        <f t="shared" si="69"/>
        <v>24.524443687705464</v>
      </c>
      <c r="P405" s="1">
        <v>2023</v>
      </c>
      <c r="Q405" s="1" t="s">
        <v>73</v>
      </c>
      <c r="R405" s="1" t="s">
        <v>25</v>
      </c>
      <c r="S405" s="70">
        <f>DATE(Table2[[#This Row],[Year]],MONTH(DATEVALUE("1-"&amp;Table2[[#This Row],[Month]]&amp;"-2000")),1)</f>
        <v>45261</v>
      </c>
      <c r="T405" s="16">
        <f t="shared" si="70"/>
        <v>3.7664118124540988</v>
      </c>
      <c r="U405" s="16">
        <f t="shared" si="71"/>
        <v>0.16312076256290239</v>
      </c>
      <c r="V405" s="16">
        <f t="shared" si="72"/>
        <v>152.702</v>
      </c>
      <c r="W405" s="16">
        <f t="shared" si="73"/>
        <v>3897.6335999999997</v>
      </c>
      <c r="X405" s="16">
        <f t="shared" si="74"/>
        <v>1034.8399999999999</v>
      </c>
      <c r="Y405" s="16">
        <f t="shared" si="75"/>
        <v>23894.16</v>
      </c>
      <c r="Z405" s="7" t="str" cm="1">
        <f t="array" ref="Z405">_xlfn.IFS(K405&lt;2%,"Low",K405&lt;5%,"Medium",K405&lt;10%,"Good",K405&gt;10%,"Excellent")</f>
        <v>Medium</v>
      </c>
      <c r="AA405" s="16" t="str">
        <f>Data_Validation!N403</f>
        <v>Pass</v>
      </c>
    </row>
    <row r="406" spans="1:27" x14ac:dyDescent="0.35">
      <c r="A406" s="17" t="s">
        <v>42</v>
      </c>
      <c r="B406" s="3" t="s">
        <v>19</v>
      </c>
      <c r="C406" s="3" t="s">
        <v>69</v>
      </c>
      <c r="D406" s="3" t="s">
        <v>59</v>
      </c>
      <c r="E406" s="3" t="s">
        <v>22</v>
      </c>
      <c r="F406" s="3">
        <v>17584.29</v>
      </c>
      <c r="G406" s="3">
        <v>137916</v>
      </c>
      <c r="H406" s="3">
        <v>25932</v>
      </c>
      <c r="I406" s="3">
        <v>96521.79</v>
      </c>
      <c r="J406" s="3">
        <v>7</v>
      </c>
      <c r="K406" s="15">
        <f t="shared" si="66"/>
        <v>0.18802749499695467</v>
      </c>
      <c r="L406" s="16">
        <f t="shared" si="76"/>
        <v>0.67809231837112449</v>
      </c>
      <c r="M406" s="16">
        <f t="shared" si="67"/>
        <v>127.5</v>
      </c>
      <c r="N406" s="16">
        <f t="shared" si="68"/>
        <v>5.4890922522319636</v>
      </c>
      <c r="O406" s="16">
        <f t="shared" si="69"/>
        <v>4.4890922522319636</v>
      </c>
      <c r="P406" s="1">
        <v>2023</v>
      </c>
      <c r="Q406" s="1" t="s">
        <v>73</v>
      </c>
      <c r="R406" s="1" t="s">
        <v>25</v>
      </c>
      <c r="S406" s="70">
        <f>DATE(Table2[[#This Row],[Year]],MONTH(DATEVALUE("1-"&amp;Table2[[#This Row],[Month]]&amp;"-2000")),1)</f>
        <v>45261</v>
      </c>
      <c r="T406" s="16">
        <f t="shared" si="70"/>
        <v>3.7221112910689493</v>
      </c>
      <c r="U406" s="16">
        <f t="shared" si="71"/>
        <v>0.69985926215957539</v>
      </c>
      <c r="V406" s="16">
        <f t="shared" si="72"/>
        <v>2512.0414285714287</v>
      </c>
      <c r="W406" s="16">
        <f t="shared" si="73"/>
        <v>13788.827142857142</v>
      </c>
      <c r="X406" s="16">
        <f t="shared" si="74"/>
        <v>3704.5714285714284</v>
      </c>
      <c r="Y406" s="16">
        <f t="shared" si="75"/>
        <v>19702.285714285714</v>
      </c>
      <c r="Z406" s="7" t="str" cm="1">
        <f t="array" ref="Z406">_xlfn.IFS(K406&lt;2%,"Low",K406&lt;5%,"Medium",K406&lt;10%,"Good",K406&gt;10%,"Excellent")</f>
        <v>Excellent</v>
      </c>
      <c r="AA406" s="16" t="str">
        <f>Data_Validation!N404</f>
        <v>Pass</v>
      </c>
    </row>
    <row r="407" spans="1:27" x14ac:dyDescent="0.35">
      <c r="A407" s="17" t="s">
        <v>27</v>
      </c>
      <c r="B407" s="3" t="s">
        <v>35</v>
      </c>
      <c r="C407" s="3" t="s">
        <v>69</v>
      </c>
      <c r="D407" s="3" t="s">
        <v>63</v>
      </c>
      <c r="E407" s="3" t="s">
        <v>22</v>
      </c>
      <c r="F407" s="3">
        <v>24226.52</v>
      </c>
      <c r="G407" s="3">
        <v>591028</v>
      </c>
      <c r="H407" s="3">
        <v>47419</v>
      </c>
      <c r="I407" s="3">
        <v>231765.53</v>
      </c>
      <c r="J407" s="3">
        <v>19</v>
      </c>
      <c r="K407" s="15">
        <f t="shared" si="66"/>
        <v>8.0231393436520776E-2</v>
      </c>
      <c r="L407" s="16">
        <f t="shared" si="76"/>
        <v>0.5109032244458972</v>
      </c>
      <c r="M407" s="16">
        <f t="shared" si="67"/>
        <v>40.990477608505863</v>
      </c>
      <c r="N407" s="16">
        <f t="shared" si="68"/>
        <v>9.5666042832400198</v>
      </c>
      <c r="O407" s="16">
        <f t="shared" si="69"/>
        <v>8.5666042832400198</v>
      </c>
      <c r="P407" s="1">
        <v>2023</v>
      </c>
      <c r="Q407" s="1" t="s">
        <v>73</v>
      </c>
      <c r="R407" s="1" t="s">
        <v>25</v>
      </c>
      <c r="S407" s="70">
        <f>DATE(Table2[[#This Row],[Year]],MONTH(DATEVALUE("1-"&amp;Table2[[#This Row],[Month]]&amp;"-2000")),1)</f>
        <v>45261</v>
      </c>
      <c r="T407" s="16">
        <f t="shared" si="70"/>
        <v>4.8876089753052572</v>
      </c>
      <c r="U407" s="16">
        <f t="shared" si="71"/>
        <v>0.39213967866158628</v>
      </c>
      <c r="V407" s="16">
        <f t="shared" si="72"/>
        <v>1275.08</v>
      </c>
      <c r="W407" s="16">
        <f t="shared" si="73"/>
        <v>12198.185789473684</v>
      </c>
      <c r="X407" s="16">
        <f t="shared" si="74"/>
        <v>2495.7368421052633</v>
      </c>
      <c r="Y407" s="16">
        <f t="shared" si="75"/>
        <v>31106.736842105263</v>
      </c>
      <c r="Z407" s="7" t="str" cm="1">
        <f t="array" ref="Z407">_xlfn.IFS(K407&lt;2%,"Low",K407&lt;5%,"Medium",K407&lt;10%,"Good",K407&gt;10%,"Excellent")</f>
        <v>Good</v>
      </c>
      <c r="AA407" s="16" t="str">
        <f>Data_Validation!N405</f>
        <v>Pass</v>
      </c>
    </row>
    <row r="408" spans="1:27" x14ac:dyDescent="0.35">
      <c r="A408" s="17" t="s">
        <v>86</v>
      </c>
      <c r="B408" s="3" t="s">
        <v>35</v>
      </c>
      <c r="C408" s="3" t="s">
        <v>29</v>
      </c>
      <c r="D408" s="3" t="s">
        <v>63</v>
      </c>
      <c r="E408" s="3" t="s">
        <v>22</v>
      </c>
      <c r="F408" s="3">
        <v>5914.45</v>
      </c>
      <c r="G408" s="3">
        <v>813398</v>
      </c>
      <c r="H408" s="3">
        <v>43287</v>
      </c>
      <c r="I408" s="3">
        <v>187660.91</v>
      </c>
      <c r="J408" s="3">
        <v>35</v>
      </c>
      <c r="K408" s="15">
        <f t="shared" si="66"/>
        <v>5.3217490084804732E-2</v>
      </c>
      <c r="L408" s="16">
        <f t="shared" si="76"/>
        <v>0.13663340032804305</v>
      </c>
      <c r="M408" s="16">
        <f t="shared" si="67"/>
        <v>7.2712866272107872</v>
      </c>
      <c r="N408" s="16">
        <f t="shared" si="68"/>
        <v>31.729224188216996</v>
      </c>
      <c r="O408" s="16">
        <f t="shared" si="69"/>
        <v>30.729224188216993</v>
      </c>
      <c r="P408" s="1">
        <v>2023</v>
      </c>
      <c r="Q408" s="1" t="s">
        <v>73</v>
      </c>
      <c r="R408" s="1" t="s">
        <v>25</v>
      </c>
      <c r="S408" s="70">
        <f>DATE(Table2[[#This Row],[Year]],MONTH(DATEVALUE("1-"&amp;Table2[[#This Row],[Month]]&amp;"-2000")),1)</f>
        <v>45261</v>
      </c>
      <c r="T408" s="16">
        <f t="shared" si="70"/>
        <v>4.3352717906068801</v>
      </c>
      <c r="U408" s="16">
        <f t="shared" si="71"/>
        <v>0.23071228353155529</v>
      </c>
      <c r="V408" s="16">
        <f t="shared" si="72"/>
        <v>168.9842857142857</v>
      </c>
      <c r="W408" s="16">
        <f t="shared" si="73"/>
        <v>5361.7402857142861</v>
      </c>
      <c r="X408" s="16">
        <f t="shared" si="74"/>
        <v>1236.7714285714285</v>
      </c>
      <c r="Y408" s="16">
        <f t="shared" si="75"/>
        <v>23239.942857142858</v>
      </c>
      <c r="Z408" s="7" t="str" cm="1">
        <f t="array" ref="Z408">_xlfn.IFS(K408&lt;2%,"Low",K408&lt;5%,"Medium",K408&lt;10%,"Good",K408&gt;10%,"Excellent")</f>
        <v>Good</v>
      </c>
      <c r="AA408" s="16" t="str">
        <f>Data_Validation!N406</f>
        <v>Pass</v>
      </c>
    </row>
    <row r="409" spans="1:27" x14ac:dyDescent="0.35">
      <c r="A409" s="17" t="s">
        <v>87</v>
      </c>
      <c r="B409" s="3" t="s">
        <v>35</v>
      </c>
      <c r="C409" s="3" t="s">
        <v>36</v>
      </c>
      <c r="D409" s="3" t="s">
        <v>21</v>
      </c>
      <c r="E409" s="3" t="s">
        <v>38</v>
      </c>
      <c r="F409" s="3">
        <v>6143.28</v>
      </c>
      <c r="G409" s="3">
        <v>462762</v>
      </c>
      <c r="H409" s="3">
        <v>27342</v>
      </c>
      <c r="I409" s="3">
        <v>212910.98</v>
      </c>
      <c r="J409" s="3">
        <v>6</v>
      </c>
      <c r="K409" s="15">
        <f t="shared" si="66"/>
        <v>5.9084367342175891E-2</v>
      </c>
      <c r="L409" s="16">
        <f t="shared" si="76"/>
        <v>0.22468290542023259</v>
      </c>
      <c r="M409" s="16">
        <f t="shared" si="67"/>
        <v>13.275247319356385</v>
      </c>
      <c r="N409" s="16">
        <f t="shared" si="68"/>
        <v>34.657541248323376</v>
      </c>
      <c r="O409" s="16">
        <f t="shared" si="69"/>
        <v>33.657541248323376</v>
      </c>
      <c r="P409" s="1">
        <v>2023</v>
      </c>
      <c r="Q409" s="1" t="s">
        <v>73</v>
      </c>
      <c r="R409" s="1" t="s">
        <v>25</v>
      </c>
      <c r="S409" s="70">
        <f>DATE(Table2[[#This Row],[Year]],MONTH(DATEVALUE("1-"&amp;Table2[[#This Row],[Month]]&amp;"-2000")),1)</f>
        <v>45261</v>
      </c>
      <c r="T409" s="16">
        <f t="shared" si="70"/>
        <v>7.7869570623948512</v>
      </c>
      <c r="U409" s="16">
        <f t="shared" si="71"/>
        <v>0.46008743155228826</v>
      </c>
      <c r="V409" s="16">
        <f t="shared" si="72"/>
        <v>1023.88</v>
      </c>
      <c r="W409" s="16">
        <f t="shared" si="73"/>
        <v>35485.163333333338</v>
      </c>
      <c r="X409" s="16">
        <f t="shared" si="74"/>
        <v>4557</v>
      </c>
      <c r="Y409" s="16">
        <f t="shared" si="75"/>
        <v>77127</v>
      </c>
      <c r="Z409" s="7" t="str" cm="1">
        <f t="array" ref="Z409">_xlfn.IFS(K409&lt;2%,"Low",K409&lt;5%,"Medium",K409&lt;10%,"Good",K409&gt;10%,"Excellent")</f>
        <v>Good</v>
      </c>
      <c r="AA409" s="16" t="str">
        <f>Data_Validation!N407</f>
        <v>Pass</v>
      </c>
    </row>
    <row r="410" spans="1:27" x14ac:dyDescent="0.35">
      <c r="A410" s="17" t="s">
        <v>85</v>
      </c>
      <c r="B410" s="3" t="s">
        <v>35</v>
      </c>
      <c r="C410" s="3" t="s">
        <v>69</v>
      </c>
      <c r="D410" s="3" t="s">
        <v>21</v>
      </c>
      <c r="E410" s="3" t="s">
        <v>22</v>
      </c>
      <c r="F410" s="3">
        <v>1023.05</v>
      </c>
      <c r="G410" s="3">
        <v>880161</v>
      </c>
      <c r="H410" s="3">
        <v>27302</v>
      </c>
      <c r="I410" s="3">
        <v>182197.15</v>
      </c>
      <c r="J410" s="3">
        <v>47</v>
      </c>
      <c r="K410" s="15">
        <f t="shared" si="66"/>
        <v>3.1019324873517457E-2</v>
      </c>
      <c r="L410" s="16">
        <f t="shared" si="76"/>
        <v>3.7471613801186722E-2</v>
      </c>
      <c r="M410" s="16">
        <f t="shared" si="67"/>
        <v>1.1623441620339916</v>
      </c>
      <c r="N410" s="16">
        <f t="shared" si="68"/>
        <v>178.09212648453155</v>
      </c>
      <c r="O410" s="16">
        <f t="shared" si="69"/>
        <v>177.09212648453155</v>
      </c>
      <c r="P410" s="1">
        <v>2023</v>
      </c>
      <c r="Q410" s="1" t="s">
        <v>73</v>
      </c>
      <c r="R410" s="1" t="s">
        <v>25</v>
      </c>
      <c r="S410" s="70">
        <f>DATE(Table2[[#This Row],[Year]],MONTH(DATEVALUE("1-"&amp;Table2[[#This Row],[Month]]&amp;"-2000")),1)</f>
        <v>45261</v>
      </c>
      <c r="T410" s="16">
        <f t="shared" si="70"/>
        <v>6.6733993846604642</v>
      </c>
      <c r="U410" s="16">
        <f t="shared" si="71"/>
        <v>0.20700434352351443</v>
      </c>
      <c r="V410" s="16">
        <f t="shared" si="72"/>
        <v>21.767021276595745</v>
      </c>
      <c r="W410" s="16">
        <f t="shared" si="73"/>
        <v>3876.5351063829785</v>
      </c>
      <c r="X410" s="16">
        <f t="shared" si="74"/>
        <v>580.89361702127655</v>
      </c>
      <c r="Y410" s="16">
        <f t="shared" si="75"/>
        <v>18726.829787234041</v>
      </c>
      <c r="Z410" s="7" t="str" cm="1">
        <f t="array" ref="Z410">_xlfn.IFS(K410&lt;2%,"Low",K410&lt;5%,"Medium",K410&lt;10%,"Good",K410&gt;10%,"Excellent")</f>
        <v>Medium</v>
      </c>
      <c r="AA410" s="16" t="str">
        <f>Data_Validation!N408</f>
        <v>Pass</v>
      </c>
    </row>
    <row r="411" spans="1:27" x14ac:dyDescent="0.35">
      <c r="A411" s="17" t="s">
        <v>95</v>
      </c>
      <c r="B411" s="3" t="s">
        <v>28</v>
      </c>
      <c r="C411" s="3" t="s">
        <v>36</v>
      </c>
      <c r="D411" s="3" t="s">
        <v>51</v>
      </c>
      <c r="E411" s="3" t="s">
        <v>38</v>
      </c>
      <c r="F411" s="3">
        <v>1492.55</v>
      </c>
      <c r="G411" s="3">
        <v>842685</v>
      </c>
      <c r="H411" s="3">
        <v>15615</v>
      </c>
      <c r="I411" s="3">
        <v>236169.16</v>
      </c>
      <c r="J411" s="3">
        <v>59</v>
      </c>
      <c r="K411" s="15">
        <f t="shared" si="66"/>
        <v>1.8530055714768862E-2</v>
      </c>
      <c r="L411" s="16">
        <f t="shared" si="76"/>
        <v>9.5584373999359581E-2</v>
      </c>
      <c r="M411" s="16">
        <f t="shared" si="67"/>
        <v>1.7711837756694375</v>
      </c>
      <c r="N411" s="16">
        <f t="shared" si="68"/>
        <v>158.23199222806608</v>
      </c>
      <c r="O411" s="16">
        <f t="shared" si="69"/>
        <v>157.23199222806608</v>
      </c>
      <c r="P411" s="1">
        <v>2023</v>
      </c>
      <c r="Q411" s="1" t="s">
        <v>73</v>
      </c>
      <c r="R411" s="1" t="s">
        <v>25</v>
      </c>
      <c r="S411" s="70">
        <f>DATE(Table2[[#This Row],[Year]],MONTH(DATEVALUE("1-"&amp;Table2[[#This Row],[Month]]&amp;"-2000")),1)</f>
        <v>45261</v>
      </c>
      <c r="T411" s="16">
        <f t="shared" si="70"/>
        <v>15.124505923791226</v>
      </c>
      <c r="U411" s="16">
        <f t="shared" si="71"/>
        <v>0.28025793742620314</v>
      </c>
      <c r="V411" s="16">
        <f t="shared" si="72"/>
        <v>25.297457627118643</v>
      </c>
      <c r="W411" s="16">
        <f t="shared" si="73"/>
        <v>4002.8671186440679</v>
      </c>
      <c r="X411" s="16">
        <f t="shared" si="74"/>
        <v>264.66101694915255</v>
      </c>
      <c r="Y411" s="16">
        <f t="shared" si="75"/>
        <v>14282.796610169491</v>
      </c>
      <c r="Z411" s="7" t="str" cm="1">
        <f t="array" ref="Z411">_xlfn.IFS(K411&lt;2%,"Low",K411&lt;5%,"Medium",K411&lt;10%,"Good",K411&gt;10%,"Excellent")</f>
        <v>Low</v>
      </c>
      <c r="AA411" s="16" t="str">
        <f>Data_Validation!N409</f>
        <v>Pass</v>
      </c>
    </row>
    <row r="412" spans="1:27" x14ac:dyDescent="0.35">
      <c r="A412" s="17" t="s">
        <v>114</v>
      </c>
      <c r="B412" s="3" t="s">
        <v>48</v>
      </c>
      <c r="C412" s="3" t="s">
        <v>20</v>
      </c>
      <c r="D412" s="3" t="s">
        <v>21</v>
      </c>
      <c r="E412" s="3" t="s">
        <v>30</v>
      </c>
      <c r="F412" s="3">
        <v>39590.720000000001</v>
      </c>
      <c r="G412" s="3">
        <v>773660</v>
      </c>
      <c r="H412" s="3">
        <v>42189</v>
      </c>
      <c r="I412" s="3">
        <v>134397.85</v>
      </c>
      <c r="J412" s="3">
        <v>17</v>
      </c>
      <c r="K412" s="15">
        <f t="shared" si="66"/>
        <v>5.4531706434351006E-2</v>
      </c>
      <c r="L412" s="16">
        <f t="shared" si="76"/>
        <v>0.93841333048899001</v>
      </c>
      <c r="M412" s="16">
        <f t="shared" si="67"/>
        <v>51.173280252307215</v>
      </c>
      <c r="N412" s="16">
        <f t="shared" si="68"/>
        <v>3.394680622125589</v>
      </c>
      <c r="O412" s="16">
        <f t="shared" si="69"/>
        <v>2.394680622125589</v>
      </c>
      <c r="P412" s="1">
        <v>2023</v>
      </c>
      <c r="Q412" s="1" t="s">
        <v>73</v>
      </c>
      <c r="R412" s="1" t="s">
        <v>25</v>
      </c>
      <c r="S412" s="70">
        <f>DATE(Table2[[#This Row],[Year]],MONTH(DATEVALUE("1-"&amp;Table2[[#This Row],[Month]]&amp;"-2000")),1)</f>
        <v>45261</v>
      </c>
      <c r="T412" s="16">
        <f t="shared" si="70"/>
        <v>3.185613548555311</v>
      </c>
      <c r="U412" s="16">
        <f t="shared" si="71"/>
        <v>0.17371694284310937</v>
      </c>
      <c r="V412" s="16">
        <f t="shared" si="72"/>
        <v>2328.8658823529413</v>
      </c>
      <c r="W412" s="16">
        <f t="shared" si="73"/>
        <v>7905.7558823529416</v>
      </c>
      <c r="X412" s="16">
        <f t="shared" si="74"/>
        <v>2481.705882352941</v>
      </c>
      <c r="Y412" s="16">
        <f t="shared" si="75"/>
        <v>45509.411764705881</v>
      </c>
      <c r="Z412" s="7" t="str" cm="1">
        <f t="array" ref="Z412">_xlfn.IFS(K412&lt;2%,"Low",K412&lt;5%,"Medium",K412&lt;10%,"Good",K412&gt;10%,"Excellent")</f>
        <v>Good</v>
      </c>
      <c r="AA412" s="16" t="str">
        <f>Data_Validation!N410</f>
        <v>Pass</v>
      </c>
    </row>
    <row r="413" spans="1:27" x14ac:dyDescent="0.35">
      <c r="A413" s="17" t="s">
        <v>27</v>
      </c>
      <c r="B413" s="3" t="s">
        <v>48</v>
      </c>
      <c r="C413" s="3" t="s">
        <v>58</v>
      </c>
      <c r="D413" s="3" t="s">
        <v>63</v>
      </c>
      <c r="E413" s="3" t="s">
        <v>30</v>
      </c>
      <c r="F413" s="3">
        <v>3829.56</v>
      </c>
      <c r="G413" s="3">
        <v>997697</v>
      </c>
      <c r="H413" s="3">
        <v>27566</v>
      </c>
      <c r="I413" s="3">
        <v>122998.19</v>
      </c>
      <c r="J413" s="3">
        <v>54</v>
      </c>
      <c r="K413" s="15">
        <f t="shared" si="66"/>
        <v>2.7629631040285776E-2</v>
      </c>
      <c r="L413" s="16">
        <f t="shared" si="76"/>
        <v>0.13892331132554597</v>
      </c>
      <c r="M413" s="16">
        <f t="shared" si="67"/>
        <v>3.8383998348195894</v>
      </c>
      <c r="N413" s="16">
        <f t="shared" si="68"/>
        <v>32.118099729472839</v>
      </c>
      <c r="O413" s="16">
        <f t="shared" si="69"/>
        <v>31.118099729472839</v>
      </c>
      <c r="P413" s="1">
        <v>2023</v>
      </c>
      <c r="Q413" s="1" t="s">
        <v>73</v>
      </c>
      <c r="R413" s="1" t="s">
        <v>25</v>
      </c>
      <c r="S413" s="70">
        <f>DATE(Table2[[#This Row],[Year]],MONTH(DATEVALUE("1-"&amp;Table2[[#This Row],[Month]]&amp;"-2000")),1)</f>
        <v>45261</v>
      </c>
      <c r="T413" s="16">
        <f t="shared" si="70"/>
        <v>4.4619527679024884</v>
      </c>
      <c r="U413" s="16">
        <f t="shared" si="71"/>
        <v>0.12328210869632765</v>
      </c>
      <c r="V413" s="16">
        <f t="shared" si="72"/>
        <v>70.917777777777772</v>
      </c>
      <c r="W413" s="16">
        <f t="shared" si="73"/>
        <v>2277.7442592592593</v>
      </c>
      <c r="X413" s="16">
        <f t="shared" si="74"/>
        <v>510.48148148148147</v>
      </c>
      <c r="Y413" s="16">
        <f t="shared" si="75"/>
        <v>18475.870370370369</v>
      </c>
      <c r="Z413" s="7" t="str" cm="1">
        <f t="array" ref="Z413">_xlfn.IFS(K413&lt;2%,"Low",K413&lt;5%,"Medium",K413&lt;10%,"Good",K413&gt;10%,"Excellent")</f>
        <v>Medium</v>
      </c>
      <c r="AA413" s="16" t="str">
        <f>Data_Validation!N411</f>
        <v>Pass</v>
      </c>
    </row>
    <row r="414" spans="1:27" x14ac:dyDescent="0.35">
      <c r="A414" s="17" t="s">
        <v>62</v>
      </c>
      <c r="B414" s="3" t="s">
        <v>19</v>
      </c>
      <c r="C414" s="3" t="s">
        <v>69</v>
      </c>
      <c r="D414" s="3" t="s">
        <v>37</v>
      </c>
      <c r="E414" s="3" t="s">
        <v>38</v>
      </c>
      <c r="F414" s="3">
        <v>12096.47</v>
      </c>
      <c r="G414" s="3">
        <v>198550</v>
      </c>
      <c r="H414" s="3">
        <v>1808</v>
      </c>
      <c r="I414" s="3">
        <v>83125</v>
      </c>
      <c r="J414" s="3">
        <v>42</v>
      </c>
      <c r="K414" s="15">
        <f t="shared" si="66"/>
        <v>9.1060186351045076E-3</v>
      </c>
      <c r="L414" s="16">
        <f t="shared" si="76"/>
        <v>6.6905254424778757</v>
      </c>
      <c r="M414" s="16">
        <f t="shared" si="67"/>
        <v>60.924049357844368</v>
      </c>
      <c r="N414" s="16">
        <f t="shared" si="68"/>
        <v>6.8718394705232191</v>
      </c>
      <c r="O414" s="16">
        <f t="shared" si="69"/>
        <v>5.8718394705232191</v>
      </c>
      <c r="P414" s="1">
        <v>2023</v>
      </c>
      <c r="Q414" s="1" t="s">
        <v>73</v>
      </c>
      <c r="R414" s="1" t="s">
        <v>25</v>
      </c>
      <c r="S414" s="70">
        <f>DATE(Table2[[#This Row],[Year]],MONTH(DATEVALUE("1-"&amp;Table2[[#This Row],[Month]]&amp;"-2000")),1)</f>
        <v>45261</v>
      </c>
      <c r="T414" s="16">
        <f t="shared" si="70"/>
        <v>45.976216814159294</v>
      </c>
      <c r="U414" s="16">
        <f t="shared" si="71"/>
        <v>0.41866028708133973</v>
      </c>
      <c r="V414" s="16">
        <f t="shared" si="72"/>
        <v>288.01119047619045</v>
      </c>
      <c r="W414" s="16">
        <f t="shared" si="73"/>
        <v>1979.1666666666667</v>
      </c>
      <c r="X414" s="16">
        <f t="shared" si="74"/>
        <v>43.047619047619051</v>
      </c>
      <c r="Y414" s="16">
        <f t="shared" si="75"/>
        <v>4727.3809523809523</v>
      </c>
      <c r="Z414" s="7" t="str" cm="1">
        <f t="array" ref="Z414">_xlfn.IFS(K414&lt;2%,"Low",K414&lt;5%,"Medium",K414&lt;10%,"Good",K414&gt;10%,"Excellent")</f>
        <v>Low</v>
      </c>
      <c r="AA414" s="16" t="str">
        <f>Data_Validation!N412</f>
        <v>Pass</v>
      </c>
    </row>
    <row r="415" spans="1:27" x14ac:dyDescent="0.35">
      <c r="A415" s="17" t="s">
        <v>81</v>
      </c>
      <c r="B415" s="3" t="s">
        <v>28</v>
      </c>
      <c r="C415" s="3" t="s">
        <v>58</v>
      </c>
      <c r="D415" s="3" t="s">
        <v>21</v>
      </c>
      <c r="E415" s="3" t="s">
        <v>38</v>
      </c>
      <c r="F415" s="3">
        <v>8695.16</v>
      </c>
      <c r="G415" s="3">
        <v>598285</v>
      </c>
      <c r="H415" s="3">
        <v>5840</v>
      </c>
      <c r="I415" s="3">
        <v>57845.31</v>
      </c>
      <c r="J415" s="3">
        <v>28</v>
      </c>
      <c r="K415" s="15">
        <f t="shared" si="66"/>
        <v>9.7612341944056762E-3</v>
      </c>
      <c r="L415" s="16">
        <f t="shared" si="76"/>
        <v>1.4888972602739725</v>
      </c>
      <c r="M415" s="16">
        <f t="shared" si="67"/>
        <v>14.533474848943229</v>
      </c>
      <c r="N415" s="16">
        <f t="shared" si="68"/>
        <v>6.6525871864347517</v>
      </c>
      <c r="O415" s="16">
        <f t="shared" si="69"/>
        <v>5.6525871864347517</v>
      </c>
      <c r="P415" s="1">
        <v>2023</v>
      </c>
      <c r="Q415" s="1" t="s">
        <v>73</v>
      </c>
      <c r="R415" s="1" t="s">
        <v>25</v>
      </c>
      <c r="S415" s="70">
        <f>DATE(Table2[[#This Row],[Year]],MONTH(DATEVALUE("1-"&amp;Table2[[#This Row],[Month]]&amp;"-2000")),1)</f>
        <v>45261</v>
      </c>
      <c r="T415" s="16">
        <f t="shared" si="70"/>
        <v>9.9050188356164384</v>
      </c>
      <c r="U415" s="16">
        <f t="shared" si="71"/>
        <v>9.6685208554451466E-2</v>
      </c>
      <c r="V415" s="16">
        <f t="shared" si="72"/>
        <v>310.54142857142858</v>
      </c>
      <c r="W415" s="16">
        <f t="shared" si="73"/>
        <v>2065.9039285714284</v>
      </c>
      <c r="X415" s="16">
        <f t="shared" si="74"/>
        <v>208.57142857142858</v>
      </c>
      <c r="Y415" s="16">
        <f t="shared" si="75"/>
        <v>21367.321428571428</v>
      </c>
      <c r="Z415" s="7" t="str" cm="1">
        <f t="array" ref="Z415">_xlfn.IFS(K415&lt;2%,"Low",K415&lt;5%,"Medium",K415&lt;10%,"Good",K415&gt;10%,"Excellent")</f>
        <v>Low</v>
      </c>
      <c r="AA415" s="16" t="str">
        <f>Data_Validation!N413</f>
        <v>Pass</v>
      </c>
    </row>
    <row r="416" spans="1:27" x14ac:dyDescent="0.35">
      <c r="A416" s="17" t="s">
        <v>115</v>
      </c>
      <c r="B416" s="3" t="s">
        <v>48</v>
      </c>
      <c r="C416" s="3" t="s">
        <v>69</v>
      </c>
      <c r="D416" s="3" t="s">
        <v>63</v>
      </c>
      <c r="E416" s="3" t="s">
        <v>38</v>
      </c>
      <c r="F416" s="3">
        <v>8915.5300000000007</v>
      </c>
      <c r="G416" s="3">
        <v>975264</v>
      </c>
      <c r="H416" s="3">
        <v>5726</v>
      </c>
      <c r="I416" s="3">
        <v>33436.99</v>
      </c>
      <c r="J416" s="3">
        <v>7</v>
      </c>
      <c r="K416" s="15">
        <f t="shared" si="66"/>
        <v>5.8712307641828262E-3</v>
      </c>
      <c r="L416" s="16">
        <f t="shared" si="76"/>
        <v>1.5570258470136222</v>
      </c>
      <c r="M416" s="16">
        <f t="shared" si="67"/>
        <v>9.1416580536142025</v>
      </c>
      <c r="N416" s="16">
        <f t="shared" si="68"/>
        <v>3.7504208947757447</v>
      </c>
      <c r="O416" s="16">
        <f t="shared" si="69"/>
        <v>2.7504208947757451</v>
      </c>
      <c r="P416" s="1">
        <v>2023</v>
      </c>
      <c r="Q416" s="1" t="s">
        <v>73</v>
      </c>
      <c r="R416" s="1" t="s">
        <v>25</v>
      </c>
      <c r="S416" s="70">
        <f>DATE(Table2[[#This Row],[Year]],MONTH(DATEVALUE("1-"&amp;Table2[[#This Row],[Month]]&amp;"-2000")),1)</f>
        <v>45261</v>
      </c>
      <c r="T416" s="16">
        <f t="shared" si="70"/>
        <v>5.8395022703457906</v>
      </c>
      <c r="U416" s="16">
        <f t="shared" si="71"/>
        <v>3.4285065377169667E-2</v>
      </c>
      <c r="V416" s="16">
        <f t="shared" si="72"/>
        <v>1273.6471428571429</v>
      </c>
      <c r="W416" s="16">
        <f t="shared" si="73"/>
        <v>4776.7128571428566</v>
      </c>
      <c r="X416" s="16">
        <f t="shared" si="74"/>
        <v>818</v>
      </c>
      <c r="Y416" s="16">
        <f t="shared" si="75"/>
        <v>139323.42857142858</v>
      </c>
      <c r="Z416" s="7" t="str" cm="1">
        <f t="array" ref="Z416">_xlfn.IFS(K416&lt;2%,"Low",K416&lt;5%,"Medium",K416&lt;10%,"Good",K416&gt;10%,"Excellent")</f>
        <v>Low</v>
      </c>
      <c r="AA416" s="16" t="str">
        <f>Data_Validation!N414</f>
        <v>Pass</v>
      </c>
    </row>
    <row r="417" spans="1:27" x14ac:dyDescent="0.35">
      <c r="A417" s="17" t="s">
        <v>101</v>
      </c>
      <c r="B417" s="3" t="s">
        <v>19</v>
      </c>
      <c r="C417" s="3" t="s">
        <v>69</v>
      </c>
      <c r="D417" s="3" t="s">
        <v>59</v>
      </c>
      <c r="E417" s="3" t="s">
        <v>38</v>
      </c>
      <c r="F417" s="3">
        <v>10643.96</v>
      </c>
      <c r="G417" s="3">
        <v>213974</v>
      </c>
      <c r="H417" s="3">
        <v>29903</v>
      </c>
      <c r="I417" s="3">
        <v>232779.89</v>
      </c>
      <c r="J417" s="3">
        <v>58</v>
      </c>
      <c r="K417" s="15">
        <f t="shared" si="66"/>
        <v>0.13975062390757756</v>
      </c>
      <c r="L417" s="16">
        <f t="shared" si="76"/>
        <v>0.35594957027722968</v>
      </c>
      <c r="M417" s="16">
        <f t="shared" si="67"/>
        <v>49.744174525876971</v>
      </c>
      <c r="N417" s="16">
        <f t="shared" si="68"/>
        <v>21.869669746973873</v>
      </c>
      <c r="O417" s="16">
        <f t="shared" si="69"/>
        <v>20.869669746973873</v>
      </c>
      <c r="P417" s="1">
        <v>2023</v>
      </c>
      <c r="Q417" s="1" t="s">
        <v>73</v>
      </c>
      <c r="R417" s="1" t="s">
        <v>25</v>
      </c>
      <c r="S417" s="70">
        <f>DATE(Table2[[#This Row],[Year]],MONTH(DATEVALUE("1-"&amp;Table2[[#This Row],[Month]]&amp;"-2000")),1)</f>
        <v>45261</v>
      </c>
      <c r="T417" s="16">
        <f t="shared" si="70"/>
        <v>7.784499548540281</v>
      </c>
      <c r="U417" s="16">
        <f t="shared" si="71"/>
        <v>1.0878886687167602</v>
      </c>
      <c r="V417" s="16">
        <f t="shared" si="72"/>
        <v>183.51655172413791</v>
      </c>
      <c r="W417" s="16">
        <f t="shared" si="73"/>
        <v>4013.446379310345</v>
      </c>
      <c r="X417" s="16">
        <f t="shared" si="74"/>
        <v>515.56896551724139</v>
      </c>
      <c r="Y417" s="16">
        <f t="shared" si="75"/>
        <v>3689.2068965517242</v>
      </c>
      <c r="Z417" s="7" t="str" cm="1">
        <f t="array" ref="Z417">_xlfn.IFS(K417&lt;2%,"Low",K417&lt;5%,"Medium",K417&lt;10%,"Good",K417&gt;10%,"Excellent")</f>
        <v>Excellent</v>
      </c>
      <c r="AA417" s="16" t="str">
        <f>Data_Validation!N415</f>
        <v>Pass</v>
      </c>
    </row>
    <row r="418" spans="1:27" x14ac:dyDescent="0.35">
      <c r="A418" s="17" t="s">
        <v>42</v>
      </c>
      <c r="B418" s="3" t="s">
        <v>48</v>
      </c>
      <c r="C418" s="3" t="s">
        <v>20</v>
      </c>
      <c r="D418" s="3" t="s">
        <v>21</v>
      </c>
      <c r="E418" s="3" t="s">
        <v>22</v>
      </c>
      <c r="F418" s="3">
        <v>1926.88</v>
      </c>
      <c r="G418" s="3">
        <v>772057</v>
      </c>
      <c r="H418" s="3">
        <v>18649</v>
      </c>
      <c r="I418" s="3">
        <v>74179.199999999997</v>
      </c>
      <c r="J418" s="3">
        <v>54</v>
      </c>
      <c r="K418" s="15">
        <f t="shared" si="66"/>
        <v>2.4154952289792076E-2</v>
      </c>
      <c r="L418" s="16">
        <f t="shared" si="76"/>
        <v>0.10332350260067565</v>
      </c>
      <c r="M418" s="16">
        <f t="shared" si="67"/>
        <v>2.4957742757335275</v>
      </c>
      <c r="N418" s="16">
        <f t="shared" si="68"/>
        <v>38.497052229510913</v>
      </c>
      <c r="O418" s="16">
        <f t="shared" si="69"/>
        <v>37.497052229510913</v>
      </c>
      <c r="P418" s="1">
        <v>2023</v>
      </c>
      <c r="Q418" s="1" t="s">
        <v>73</v>
      </c>
      <c r="R418" s="1" t="s">
        <v>25</v>
      </c>
      <c r="S418" s="70">
        <f>DATE(Table2[[#This Row],[Year]],MONTH(DATEVALUE("1-"&amp;Table2[[#This Row],[Month]]&amp;"-2000")),1)</f>
        <v>45261</v>
      </c>
      <c r="T418" s="16">
        <f t="shared" si="70"/>
        <v>3.9776502761542174</v>
      </c>
      <c r="U418" s="16">
        <f t="shared" si="71"/>
        <v>9.6079952645983388E-2</v>
      </c>
      <c r="V418" s="16">
        <f t="shared" si="72"/>
        <v>35.682962962962968</v>
      </c>
      <c r="W418" s="16">
        <f t="shared" si="73"/>
        <v>1373.6888888888889</v>
      </c>
      <c r="X418" s="16">
        <f t="shared" si="74"/>
        <v>345.35185185185185</v>
      </c>
      <c r="Y418" s="16">
        <f t="shared" si="75"/>
        <v>14297.351851851852</v>
      </c>
      <c r="Z418" s="7" t="str" cm="1">
        <f t="array" ref="Z418">_xlfn.IFS(K418&lt;2%,"Low",K418&lt;5%,"Medium",K418&lt;10%,"Good",K418&gt;10%,"Excellent")</f>
        <v>Medium</v>
      </c>
      <c r="AA418" s="16" t="str">
        <f>Data_Validation!N416</f>
        <v>Pass</v>
      </c>
    </row>
    <row r="419" spans="1:27" x14ac:dyDescent="0.35">
      <c r="A419" s="17" t="s">
        <v>34</v>
      </c>
      <c r="B419" s="3" t="s">
        <v>28</v>
      </c>
      <c r="C419" s="3" t="s">
        <v>20</v>
      </c>
      <c r="D419" s="3" t="s">
        <v>51</v>
      </c>
      <c r="E419" s="3" t="s">
        <v>22</v>
      </c>
      <c r="F419" s="3">
        <v>35402.58</v>
      </c>
      <c r="G419" s="3">
        <v>357148</v>
      </c>
      <c r="H419" s="3">
        <v>23745</v>
      </c>
      <c r="I419" s="3">
        <v>76925.72</v>
      </c>
      <c r="J419" s="3">
        <v>20</v>
      </c>
      <c r="K419" s="15">
        <f t="shared" si="66"/>
        <v>6.6485042615386333E-2</v>
      </c>
      <c r="L419" s="16">
        <f t="shared" si="76"/>
        <v>1.4909488313329122</v>
      </c>
      <c r="M419" s="16">
        <f t="shared" si="67"/>
        <v>99.125796588529127</v>
      </c>
      <c r="N419" s="16">
        <f t="shared" si="68"/>
        <v>2.1728845750789914</v>
      </c>
      <c r="O419" s="16">
        <f t="shared" si="69"/>
        <v>1.1728845750789914</v>
      </c>
      <c r="P419" s="1">
        <v>2023</v>
      </c>
      <c r="Q419" s="1" t="s">
        <v>73</v>
      </c>
      <c r="R419" s="1" t="s">
        <v>25</v>
      </c>
      <c r="S419" s="70">
        <f>DATE(Table2[[#This Row],[Year]],MONTH(DATEVALUE("1-"&amp;Table2[[#This Row],[Month]]&amp;"-2000")),1)</f>
        <v>45261</v>
      </c>
      <c r="T419" s="16">
        <f t="shared" si="70"/>
        <v>3.2396597178353339</v>
      </c>
      <c r="U419" s="16">
        <f t="shared" si="71"/>
        <v>0.21538891439963265</v>
      </c>
      <c r="V419" s="16">
        <f t="shared" si="72"/>
        <v>1770.1290000000001</v>
      </c>
      <c r="W419" s="16">
        <f t="shared" si="73"/>
        <v>3846.2860000000001</v>
      </c>
      <c r="X419" s="16">
        <f t="shared" si="74"/>
        <v>1187.25</v>
      </c>
      <c r="Y419" s="16">
        <f t="shared" si="75"/>
        <v>17857.400000000001</v>
      </c>
      <c r="Z419" s="7" t="str" cm="1">
        <f t="array" ref="Z419">_xlfn.IFS(K419&lt;2%,"Low",K419&lt;5%,"Medium",K419&lt;10%,"Good",K419&gt;10%,"Excellent")</f>
        <v>Good</v>
      </c>
      <c r="AA419" s="16" t="str">
        <f>Data_Validation!N417</f>
        <v>Pass</v>
      </c>
    </row>
    <row r="420" spans="1:27" x14ac:dyDescent="0.35">
      <c r="A420" s="17" t="s">
        <v>42</v>
      </c>
      <c r="B420" s="3" t="s">
        <v>48</v>
      </c>
      <c r="C420" s="3" t="s">
        <v>29</v>
      </c>
      <c r="D420" s="3" t="s">
        <v>51</v>
      </c>
      <c r="E420" s="3" t="s">
        <v>38</v>
      </c>
      <c r="F420" s="3">
        <v>39825.980000000003</v>
      </c>
      <c r="G420" s="3">
        <v>663453</v>
      </c>
      <c r="H420" s="3">
        <v>9656</v>
      </c>
      <c r="I420" s="3">
        <v>112913.54</v>
      </c>
      <c r="J420" s="3">
        <v>45</v>
      </c>
      <c r="K420" s="15">
        <f t="shared" si="66"/>
        <v>1.4554158320182439E-2</v>
      </c>
      <c r="L420" s="16">
        <f t="shared" si="76"/>
        <v>4.1244801159900586</v>
      </c>
      <c r="M420" s="16">
        <f t="shared" si="67"/>
        <v>60.02833659656374</v>
      </c>
      <c r="N420" s="16">
        <f t="shared" si="68"/>
        <v>2.8351729197875355</v>
      </c>
      <c r="O420" s="16">
        <f t="shared" si="69"/>
        <v>1.8351729197875355</v>
      </c>
      <c r="P420" s="1">
        <v>2023</v>
      </c>
      <c r="Q420" s="1" t="s">
        <v>73</v>
      </c>
      <c r="R420" s="1" t="s">
        <v>25</v>
      </c>
      <c r="S420" s="70">
        <f>DATE(Table2[[#This Row],[Year]],MONTH(DATEVALUE("1-"&amp;Table2[[#This Row],[Month]]&amp;"-2000")),1)</f>
        <v>45261</v>
      </c>
      <c r="T420" s="16">
        <f t="shared" si="70"/>
        <v>11.693614333057166</v>
      </c>
      <c r="U420" s="16">
        <f t="shared" si="71"/>
        <v>0.17019071433846858</v>
      </c>
      <c r="V420" s="16">
        <f t="shared" si="72"/>
        <v>885.02177777777786</v>
      </c>
      <c r="W420" s="16">
        <f t="shared" si="73"/>
        <v>2509.1897777777776</v>
      </c>
      <c r="X420" s="16">
        <f t="shared" si="74"/>
        <v>214.57777777777778</v>
      </c>
      <c r="Y420" s="16">
        <f t="shared" si="75"/>
        <v>14743.4</v>
      </c>
      <c r="Z420" s="7" t="str" cm="1">
        <f t="array" ref="Z420">_xlfn.IFS(K420&lt;2%,"Low",K420&lt;5%,"Medium",K420&lt;10%,"Good",K420&gt;10%,"Excellent")</f>
        <v>Low</v>
      </c>
      <c r="AA420" s="16" t="str">
        <f>Data_Validation!N418</f>
        <v>Pass</v>
      </c>
    </row>
    <row r="421" spans="1:27" x14ac:dyDescent="0.35">
      <c r="A421" s="17" t="s">
        <v>78</v>
      </c>
      <c r="B421" s="3" t="s">
        <v>35</v>
      </c>
      <c r="C421" s="3" t="s">
        <v>20</v>
      </c>
      <c r="D421" s="3" t="s">
        <v>21</v>
      </c>
      <c r="E421" s="3" t="s">
        <v>30</v>
      </c>
      <c r="F421" s="3">
        <v>40728.49</v>
      </c>
      <c r="G421" s="3">
        <v>420997</v>
      </c>
      <c r="H421" s="3">
        <v>8550</v>
      </c>
      <c r="I421" s="3">
        <v>150785.1</v>
      </c>
      <c r="J421" s="3">
        <v>25</v>
      </c>
      <c r="K421" s="15">
        <f t="shared" si="66"/>
        <v>2.0308933317814616E-2</v>
      </c>
      <c r="L421" s="16">
        <f t="shared" si="76"/>
        <v>4.7635660818713452</v>
      </c>
      <c r="M421" s="16">
        <f t="shared" si="67"/>
        <v>96.742945911728583</v>
      </c>
      <c r="N421" s="16">
        <f t="shared" si="68"/>
        <v>3.702202070344371</v>
      </c>
      <c r="O421" s="16">
        <f t="shared" si="69"/>
        <v>2.7022020703443714</v>
      </c>
      <c r="P421" s="1">
        <v>2023</v>
      </c>
      <c r="Q421" s="1" t="s">
        <v>73</v>
      </c>
      <c r="R421" s="1" t="s">
        <v>25</v>
      </c>
      <c r="S421" s="70">
        <f>DATE(Table2[[#This Row],[Year]],MONTH(DATEVALUE("1-"&amp;Table2[[#This Row],[Month]]&amp;"-2000")),1)</f>
        <v>45261</v>
      </c>
      <c r="T421" s="16">
        <f t="shared" si="70"/>
        <v>17.635684210526318</v>
      </c>
      <c r="U421" s="16">
        <f t="shared" si="71"/>
        <v>0.35816193464561508</v>
      </c>
      <c r="V421" s="16">
        <f t="shared" si="72"/>
        <v>1629.1396</v>
      </c>
      <c r="W421" s="16">
        <f t="shared" si="73"/>
        <v>6031.4040000000005</v>
      </c>
      <c r="X421" s="16">
        <f t="shared" si="74"/>
        <v>342</v>
      </c>
      <c r="Y421" s="16">
        <f t="shared" si="75"/>
        <v>16839.88</v>
      </c>
      <c r="Z421" s="7" t="str" cm="1">
        <f t="array" ref="Z421">_xlfn.IFS(K421&lt;2%,"Low",K421&lt;5%,"Medium",K421&lt;10%,"Good",K421&gt;10%,"Excellent")</f>
        <v>Medium</v>
      </c>
      <c r="AA421" s="16" t="str">
        <f>Data_Validation!N419</f>
        <v>Pass</v>
      </c>
    </row>
    <row r="422" spans="1:27" x14ac:dyDescent="0.35">
      <c r="A422" s="17" t="s">
        <v>87</v>
      </c>
      <c r="B422" s="3" t="s">
        <v>19</v>
      </c>
      <c r="C422" s="3" t="s">
        <v>69</v>
      </c>
      <c r="D422" s="3" t="s">
        <v>37</v>
      </c>
      <c r="E422" s="3" t="s">
        <v>38</v>
      </c>
      <c r="F422" s="3">
        <v>22586.16</v>
      </c>
      <c r="G422" s="3">
        <v>545118</v>
      </c>
      <c r="H422" s="3">
        <v>18536</v>
      </c>
      <c r="I422" s="3">
        <v>16143.76</v>
      </c>
      <c r="J422" s="3">
        <v>59</v>
      </c>
      <c r="K422" s="15">
        <f t="shared" si="66"/>
        <v>3.4003646916814338E-2</v>
      </c>
      <c r="L422" s="16">
        <f t="shared" si="76"/>
        <v>1.2185023737591714</v>
      </c>
      <c r="M422" s="16">
        <f t="shared" si="67"/>
        <v>41.433524484606998</v>
      </c>
      <c r="N422" s="16">
        <f t="shared" si="68"/>
        <v>0.71476337721861527</v>
      </c>
      <c r="O422" s="16">
        <f t="shared" si="69"/>
        <v>-0.28523662278138467</v>
      </c>
      <c r="P422" s="1">
        <v>2023</v>
      </c>
      <c r="Q422" s="1" t="s">
        <v>73</v>
      </c>
      <c r="R422" s="1" t="s">
        <v>25</v>
      </c>
      <c r="S422" s="70">
        <f>DATE(Table2[[#This Row],[Year]],MONTH(DATEVALUE("1-"&amp;Table2[[#This Row],[Month]]&amp;"-2000")),1)</f>
        <v>45261</v>
      </c>
      <c r="T422" s="16">
        <f t="shared" si="70"/>
        <v>0.87094087181700475</v>
      </c>
      <c r="U422" s="16">
        <f t="shared" si="71"/>
        <v>2.9615165890687887E-2</v>
      </c>
      <c r="V422" s="16">
        <f t="shared" si="72"/>
        <v>382.8162711864407</v>
      </c>
      <c r="W422" s="16">
        <f t="shared" si="73"/>
        <v>273.62305084745765</v>
      </c>
      <c r="X422" s="16">
        <f t="shared" si="74"/>
        <v>314.16949152542372</v>
      </c>
      <c r="Y422" s="16">
        <f t="shared" si="75"/>
        <v>9239.2881355932204</v>
      </c>
      <c r="Z422" s="7" t="str" cm="1">
        <f t="array" ref="Z422">_xlfn.IFS(K422&lt;2%,"Low",K422&lt;5%,"Medium",K422&lt;10%,"Good",K422&gt;10%,"Excellent")</f>
        <v>Medium</v>
      </c>
      <c r="AA422" s="16" t="str">
        <f>Data_Validation!N420</f>
        <v>Pass</v>
      </c>
    </row>
    <row r="423" spans="1:27" x14ac:dyDescent="0.35">
      <c r="A423" s="17" t="s">
        <v>92</v>
      </c>
      <c r="B423" s="3" t="s">
        <v>35</v>
      </c>
      <c r="C423" s="3" t="s">
        <v>29</v>
      </c>
      <c r="D423" s="3" t="s">
        <v>63</v>
      </c>
      <c r="E423" s="3" t="s">
        <v>38</v>
      </c>
      <c r="F423" s="3">
        <v>8392.2900000000009</v>
      </c>
      <c r="G423" s="3">
        <v>59866</v>
      </c>
      <c r="H423" s="3">
        <v>12011</v>
      </c>
      <c r="I423" s="3">
        <v>15017.84</v>
      </c>
      <c r="J423" s="3">
        <v>51</v>
      </c>
      <c r="K423" s="15">
        <f t="shared" si="66"/>
        <v>0.2006314101493335</v>
      </c>
      <c r="L423" s="16">
        <f t="shared" si="76"/>
        <v>0.69871700940804271</v>
      </c>
      <c r="M423" s="16">
        <f t="shared" si="67"/>
        <v>140.18457889286074</v>
      </c>
      <c r="N423" s="16">
        <f t="shared" si="68"/>
        <v>1.7894805827729974</v>
      </c>
      <c r="O423" s="16">
        <f t="shared" si="69"/>
        <v>0.78948058277299737</v>
      </c>
      <c r="P423" s="1">
        <v>2023</v>
      </c>
      <c r="Q423" s="1" t="s">
        <v>73</v>
      </c>
      <c r="R423" s="1" t="s">
        <v>25</v>
      </c>
      <c r="S423" s="70">
        <f>DATE(Table2[[#This Row],[Year]],MONTH(DATEVALUE("1-"&amp;Table2[[#This Row],[Month]]&amp;"-2000")),1)</f>
        <v>45261</v>
      </c>
      <c r="T423" s="16">
        <f t="shared" si="70"/>
        <v>1.2503405211889103</v>
      </c>
      <c r="U423" s="16">
        <f t="shared" si="71"/>
        <v>0.25085758193298369</v>
      </c>
      <c r="V423" s="16">
        <f t="shared" si="72"/>
        <v>164.55470588235295</v>
      </c>
      <c r="W423" s="16">
        <f t="shared" si="73"/>
        <v>294.46745098039219</v>
      </c>
      <c r="X423" s="16">
        <f t="shared" si="74"/>
        <v>235.50980392156862</v>
      </c>
      <c r="Y423" s="16">
        <f t="shared" si="75"/>
        <v>1173.8431372549019</v>
      </c>
      <c r="Z423" s="7" t="str" cm="1">
        <f t="array" ref="Z423">_xlfn.IFS(K423&lt;2%,"Low",K423&lt;5%,"Medium",K423&lt;10%,"Good",K423&gt;10%,"Excellent")</f>
        <v>Excellent</v>
      </c>
      <c r="AA423" s="16" t="str">
        <f>Data_Validation!N421</f>
        <v>Pass</v>
      </c>
    </row>
    <row r="424" spans="1:27" x14ac:dyDescent="0.35">
      <c r="A424" s="17" t="s">
        <v>86</v>
      </c>
      <c r="B424" s="3" t="s">
        <v>19</v>
      </c>
      <c r="C424" s="3" t="s">
        <v>69</v>
      </c>
      <c r="D424" s="3" t="s">
        <v>59</v>
      </c>
      <c r="E424" s="3" t="s">
        <v>30</v>
      </c>
      <c r="F424" s="3">
        <v>21251.58</v>
      </c>
      <c r="G424" s="3">
        <v>894642</v>
      </c>
      <c r="H424" s="3">
        <v>35241</v>
      </c>
      <c r="I424" s="3">
        <v>86131.72</v>
      </c>
      <c r="J424" s="3">
        <v>47</v>
      </c>
      <c r="K424" s="15">
        <f t="shared" si="66"/>
        <v>3.9391175464599248E-2</v>
      </c>
      <c r="L424" s="16">
        <f t="shared" si="76"/>
        <v>0.60303566868136549</v>
      </c>
      <c r="M424" s="16">
        <f t="shared" si="67"/>
        <v>23.754283836439605</v>
      </c>
      <c r="N424" s="16">
        <f t="shared" si="68"/>
        <v>4.0529560625609955</v>
      </c>
      <c r="O424" s="16">
        <f t="shared" si="69"/>
        <v>3.0529560625609951</v>
      </c>
      <c r="P424" s="1">
        <v>2023</v>
      </c>
      <c r="Q424" s="1" t="s">
        <v>73</v>
      </c>
      <c r="R424" s="1" t="s">
        <v>25</v>
      </c>
      <c r="S424" s="70">
        <f>DATE(Table2[[#This Row],[Year]],MONTH(DATEVALUE("1-"&amp;Table2[[#This Row],[Month]]&amp;"-2000")),1)</f>
        <v>45261</v>
      </c>
      <c r="T424" s="16">
        <f t="shared" si="70"/>
        <v>2.4440770693226641</v>
      </c>
      <c r="U424" s="16">
        <f t="shared" si="71"/>
        <v>9.6275068686692555E-2</v>
      </c>
      <c r="V424" s="16">
        <f t="shared" si="72"/>
        <v>452.16127659574471</v>
      </c>
      <c r="W424" s="16">
        <f t="shared" si="73"/>
        <v>1832.5897872340427</v>
      </c>
      <c r="X424" s="16">
        <f t="shared" si="74"/>
        <v>749.80851063829789</v>
      </c>
      <c r="Y424" s="16">
        <f t="shared" si="75"/>
        <v>19034.936170212764</v>
      </c>
      <c r="Z424" s="7" t="str" cm="1">
        <f t="array" ref="Z424">_xlfn.IFS(K424&lt;2%,"Low",K424&lt;5%,"Medium",K424&lt;10%,"Good",K424&gt;10%,"Excellent")</f>
        <v>Medium</v>
      </c>
      <c r="AA424" s="16" t="str">
        <f>Data_Validation!N422</f>
        <v>Pass</v>
      </c>
    </row>
    <row r="425" spans="1:27" x14ac:dyDescent="0.35">
      <c r="A425" s="17" t="s">
        <v>71</v>
      </c>
      <c r="B425" s="3" t="s">
        <v>48</v>
      </c>
      <c r="C425" s="3" t="s">
        <v>36</v>
      </c>
      <c r="D425" s="3" t="s">
        <v>51</v>
      </c>
      <c r="E425" s="3" t="s">
        <v>38</v>
      </c>
      <c r="F425" s="3">
        <v>2905.87</v>
      </c>
      <c r="G425" s="3">
        <v>154408</v>
      </c>
      <c r="H425" s="3">
        <v>23051</v>
      </c>
      <c r="I425" s="3">
        <v>220286.91</v>
      </c>
      <c r="J425" s="3">
        <v>48</v>
      </c>
      <c r="K425" s="15">
        <f t="shared" si="66"/>
        <v>0.14928630640899435</v>
      </c>
      <c r="L425" s="16">
        <f t="shared" si="76"/>
        <v>0.12606264370309314</v>
      </c>
      <c r="M425" s="16">
        <f t="shared" si="67"/>
        <v>18.819426454587845</v>
      </c>
      <c r="N425" s="16">
        <f t="shared" si="68"/>
        <v>75.807558493669717</v>
      </c>
      <c r="O425" s="16">
        <f t="shared" si="69"/>
        <v>74.807558493669717</v>
      </c>
      <c r="P425" s="1">
        <v>2023</v>
      </c>
      <c r="Q425" s="1" t="s">
        <v>73</v>
      </c>
      <c r="R425" s="1" t="s">
        <v>25</v>
      </c>
      <c r="S425" s="70">
        <f>DATE(Table2[[#This Row],[Year]],MONTH(DATEVALUE("1-"&amp;Table2[[#This Row],[Month]]&amp;"-2000")),1)</f>
        <v>45261</v>
      </c>
      <c r="T425" s="16">
        <f t="shared" si="70"/>
        <v>9.5565012363888773</v>
      </c>
      <c r="U425" s="16">
        <f t="shared" si="71"/>
        <v>1.4266547717734832</v>
      </c>
      <c r="V425" s="16">
        <f t="shared" si="72"/>
        <v>60.538958333333333</v>
      </c>
      <c r="W425" s="16">
        <f t="shared" si="73"/>
        <v>4589.3106250000001</v>
      </c>
      <c r="X425" s="16">
        <f t="shared" si="74"/>
        <v>480.22916666666669</v>
      </c>
      <c r="Y425" s="16">
        <f t="shared" si="75"/>
        <v>3216.8333333333335</v>
      </c>
      <c r="Z425" s="7" t="str" cm="1">
        <f t="array" ref="Z425">_xlfn.IFS(K425&lt;2%,"Low",K425&lt;5%,"Medium",K425&lt;10%,"Good",K425&gt;10%,"Excellent")</f>
        <v>Excellent</v>
      </c>
      <c r="AA425" s="16" t="str">
        <f>Data_Validation!N423</f>
        <v>Pass</v>
      </c>
    </row>
    <row r="426" spans="1:27" x14ac:dyDescent="0.35">
      <c r="A426" s="17" t="s">
        <v>118</v>
      </c>
      <c r="B426" s="3" t="s">
        <v>19</v>
      </c>
      <c r="C426" s="3" t="s">
        <v>36</v>
      </c>
      <c r="D426" s="3" t="s">
        <v>21</v>
      </c>
      <c r="E426" s="3" t="s">
        <v>38</v>
      </c>
      <c r="F426" s="3">
        <v>14107.44</v>
      </c>
      <c r="G426" s="3">
        <v>415537</v>
      </c>
      <c r="H426" s="3">
        <v>11712</v>
      </c>
      <c r="I426" s="3">
        <v>210590.72</v>
      </c>
      <c r="J426" s="3">
        <v>58</v>
      </c>
      <c r="K426" s="15">
        <f t="shared" si="66"/>
        <v>2.8185215756960272E-2</v>
      </c>
      <c r="L426" s="16">
        <f t="shared" si="76"/>
        <v>1.2045286885245903</v>
      </c>
      <c r="M426" s="16">
        <f t="shared" si="67"/>
        <v>33.949900971513969</v>
      </c>
      <c r="N426" s="16">
        <f t="shared" si="68"/>
        <v>14.927635347022564</v>
      </c>
      <c r="O426" s="16">
        <f t="shared" si="69"/>
        <v>13.927635347022564</v>
      </c>
      <c r="P426" s="1">
        <v>2023</v>
      </c>
      <c r="Q426" s="1" t="s">
        <v>73</v>
      </c>
      <c r="R426" s="1" t="s">
        <v>25</v>
      </c>
      <c r="S426" s="70">
        <f>DATE(Table2[[#This Row],[Year]],MONTH(DATEVALUE("1-"&amp;Table2[[#This Row],[Month]]&amp;"-2000")),1)</f>
        <v>45261</v>
      </c>
      <c r="T426" s="16">
        <f t="shared" si="70"/>
        <v>17.980765027322406</v>
      </c>
      <c r="U426" s="16">
        <f t="shared" si="71"/>
        <v>0.50679174177028763</v>
      </c>
      <c r="V426" s="16">
        <f t="shared" si="72"/>
        <v>243.23172413793105</v>
      </c>
      <c r="W426" s="16">
        <f t="shared" si="73"/>
        <v>3630.8744827586206</v>
      </c>
      <c r="X426" s="16">
        <f t="shared" si="74"/>
        <v>201.93103448275863</v>
      </c>
      <c r="Y426" s="16">
        <f t="shared" si="75"/>
        <v>7164.4310344827591</v>
      </c>
      <c r="Z426" s="7" t="str" cm="1">
        <f t="array" ref="Z426">_xlfn.IFS(K426&lt;2%,"Low",K426&lt;5%,"Medium",K426&lt;10%,"Good",K426&gt;10%,"Excellent")</f>
        <v>Medium</v>
      </c>
      <c r="AA426" s="16" t="str">
        <f>Data_Validation!N424</f>
        <v>Pass</v>
      </c>
    </row>
    <row r="427" spans="1:27" x14ac:dyDescent="0.35">
      <c r="A427" s="17" t="s">
        <v>89</v>
      </c>
      <c r="B427" s="3" t="s">
        <v>19</v>
      </c>
      <c r="C427" s="3" t="s">
        <v>36</v>
      </c>
      <c r="D427" s="3" t="s">
        <v>21</v>
      </c>
      <c r="E427" s="3" t="s">
        <v>22</v>
      </c>
      <c r="F427" s="3">
        <v>12515.36</v>
      </c>
      <c r="G427" s="3">
        <v>688569</v>
      </c>
      <c r="H427" s="3">
        <v>48286</v>
      </c>
      <c r="I427" s="3">
        <v>214686.55</v>
      </c>
      <c r="J427" s="3">
        <v>41</v>
      </c>
      <c r="K427" s="15">
        <f t="shared" si="66"/>
        <v>7.0125143594904793E-2</v>
      </c>
      <c r="L427" s="16">
        <f t="shared" si="76"/>
        <v>0.25919231247152386</v>
      </c>
      <c r="M427" s="16">
        <f t="shared" si="67"/>
        <v>18.175898130761045</v>
      </c>
      <c r="N427" s="16">
        <f t="shared" si="68"/>
        <v>17.153845354827986</v>
      </c>
      <c r="O427" s="16">
        <f t="shared" si="69"/>
        <v>16.153845354827986</v>
      </c>
      <c r="P427" s="1">
        <v>2023</v>
      </c>
      <c r="Q427" s="1" t="s">
        <v>73</v>
      </c>
      <c r="R427" s="1" t="s">
        <v>25</v>
      </c>
      <c r="S427" s="70">
        <f>DATE(Table2[[#This Row],[Year]],MONTH(DATEVALUE("1-"&amp;Table2[[#This Row],[Month]]&amp;"-2000")),1)</f>
        <v>45261</v>
      </c>
      <c r="T427" s="16">
        <f t="shared" si="70"/>
        <v>4.4461448452967733</v>
      </c>
      <c r="U427" s="16">
        <f t="shared" si="71"/>
        <v>0.311786545720182</v>
      </c>
      <c r="V427" s="16">
        <f t="shared" si="72"/>
        <v>305.25268292682927</v>
      </c>
      <c r="W427" s="16">
        <f t="shared" si="73"/>
        <v>5236.2573170731703</v>
      </c>
      <c r="X427" s="16">
        <f t="shared" si="74"/>
        <v>1177.7073170731708</v>
      </c>
      <c r="Y427" s="16">
        <f t="shared" si="75"/>
        <v>16794.365853658535</v>
      </c>
      <c r="Z427" s="7" t="str" cm="1">
        <f t="array" ref="Z427">_xlfn.IFS(K427&lt;2%,"Low",K427&lt;5%,"Medium",K427&lt;10%,"Good",K427&gt;10%,"Excellent")</f>
        <v>Good</v>
      </c>
      <c r="AA427" s="16" t="str">
        <f>Data_Validation!N425</f>
        <v>Pass</v>
      </c>
    </row>
    <row r="428" spans="1:27" x14ac:dyDescent="0.35">
      <c r="A428" s="17" t="s">
        <v>42</v>
      </c>
      <c r="B428" s="3" t="s">
        <v>48</v>
      </c>
      <c r="C428" s="3" t="s">
        <v>29</v>
      </c>
      <c r="D428" s="3" t="s">
        <v>59</v>
      </c>
      <c r="E428" s="3" t="s">
        <v>38</v>
      </c>
      <c r="F428" s="3">
        <v>29881.599999999999</v>
      </c>
      <c r="G428" s="3">
        <v>660810</v>
      </c>
      <c r="H428" s="3">
        <v>49217</v>
      </c>
      <c r="I428" s="3">
        <v>42865.57</v>
      </c>
      <c r="J428" s="3">
        <v>55</v>
      </c>
      <c r="K428" s="15">
        <f t="shared" si="66"/>
        <v>7.4479805087695403E-2</v>
      </c>
      <c r="L428" s="16">
        <f t="shared" si="76"/>
        <v>0.60713980941544587</v>
      </c>
      <c r="M428" s="16">
        <f t="shared" si="67"/>
        <v>45.219654666242938</v>
      </c>
      <c r="N428" s="16">
        <f t="shared" si="68"/>
        <v>1.4345138814521312</v>
      </c>
      <c r="O428" s="16">
        <f t="shared" si="69"/>
        <v>0.43451388145213116</v>
      </c>
      <c r="P428" s="1">
        <v>2023</v>
      </c>
      <c r="Q428" s="1" t="s">
        <v>73</v>
      </c>
      <c r="R428" s="1" t="s">
        <v>25</v>
      </c>
      <c r="S428" s="70">
        <f>DATE(Table2[[#This Row],[Year]],MONTH(DATEVALUE("1-"&amp;Table2[[#This Row],[Month]]&amp;"-2000")),1)</f>
        <v>45261</v>
      </c>
      <c r="T428" s="16">
        <f t="shared" si="70"/>
        <v>0.87095048458865842</v>
      </c>
      <c r="U428" s="16">
        <f t="shared" si="71"/>
        <v>6.486822233319714E-2</v>
      </c>
      <c r="V428" s="16">
        <f t="shared" si="72"/>
        <v>543.30181818181813</v>
      </c>
      <c r="W428" s="16">
        <f t="shared" si="73"/>
        <v>779.37400000000002</v>
      </c>
      <c r="X428" s="16">
        <f t="shared" si="74"/>
        <v>894.85454545454547</v>
      </c>
      <c r="Y428" s="16">
        <f t="shared" si="75"/>
        <v>12014.727272727272</v>
      </c>
      <c r="Z428" s="7" t="str" cm="1">
        <f t="array" ref="Z428">_xlfn.IFS(K428&lt;2%,"Low",K428&lt;5%,"Medium",K428&lt;10%,"Good",K428&gt;10%,"Excellent")</f>
        <v>Good</v>
      </c>
      <c r="AA428" s="16" t="str">
        <f>Data_Validation!N426</f>
        <v>Pass</v>
      </c>
    </row>
    <row r="429" spans="1:27" x14ac:dyDescent="0.35">
      <c r="A429" s="17" t="s">
        <v>72</v>
      </c>
      <c r="B429" s="3" t="s">
        <v>19</v>
      </c>
      <c r="C429" s="3" t="s">
        <v>36</v>
      </c>
      <c r="D429" s="3" t="s">
        <v>21</v>
      </c>
      <c r="E429" s="3" t="s">
        <v>30</v>
      </c>
      <c r="F429" s="3">
        <v>21947.48</v>
      </c>
      <c r="G429" s="3">
        <v>66802</v>
      </c>
      <c r="H429" s="3">
        <v>44229</v>
      </c>
      <c r="I429" s="3">
        <v>165096.59</v>
      </c>
      <c r="J429" s="3">
        <v>33</v>
      </c>
      <c r="K429" s="15">
        <f t="shared" si="66"/>
        <v>0.66209095536061791</v>
      </c>
      <c r="L429" s="16">
        <f t="shared" si="76"/>
        <v>0.49622374460195801</v>
      </c>
      <c r="M429" s="16">
        <f t="shared" si="67"/>
        <v>328.54525313613362</v>
      </c>
      <c r="N429" s="16">
        <f t="shared" si="68"/>
        <v>7.5223483516102991</v>
      </c>
      <c r="O429" s="16">
        <f t="shared" si="69"/>
        <v>6.5223483516102982</v>
      </c>
      <c r="P429" s="1">
        <v>2023</v>
      </c>
      <c r="Q429" s="1" t="s">
        <v>73</v>
      </c>
      <c r="R429" s="1" t="s">
        <v>25</v>
      </c>
      <c r="S429" s="70">
        <f>DATE(Table2[[#This Row],[Year]],MONTH(DATEVALUE("1-"&amp;Table2[[#This Row],[Month]]&amp;"-2000")),1)</f>
        <v>45261</v>
      </c>
      <c r="T429" s="16">
        <f t="shared" si="70"/>
        <v>3.7327678672364284</v>
      </c>
      <c r="U429" s="16">
        <f t="shared" si="71"/>
        <v>2.4714318433579834</v>
      </c>
      <c r="V429" s="16">
        <f t="shared" si="72"/>
        <v>665.07515151515145</v>
      </c>
      <c r="W429" s="16">
        <f t="shared" si="73"/>
        <v>5002.9269696969695</v>
      </c>
      <c r="X429" s="16">
        <f t="shared" si="74"/>
        <v>1340.2727272727273</v>
      </c>
      <c r="Y429" s="16">
        <f t="shared" si="75"/>
        <v>2024.3030303030303</v>
      </c>
      <c r="Z429" s="7" t="str" cm="1">
        <f t="array" ref="Z429">_xlfn.IFS(K429&lt;2%,"Low",K429&lt;5%,"Medium",K429&lt;10%,"Good",K429&gt;10%,"Excellent")</f>
        <v>Excellent</v>
      </c>
      <c r="AA429" s="16" t="str">
        <f>Data_Validation!N427</f>
        <v>Pass</v>
      </c>
    </row>
    <row r="430" spans="1:27" x14ac:dyDescent="0.35">
      <c r="A430" s="17" t="s">
        <v>111</v>
      </c>
      <c r="B430" s="3" t="s">
        <v>28</v>
      </c>
      <c r="C430" s="3" t="s">
        <v>58</v>
      </c>
      <c r="D430" s="3" t="s">
        <v>51</v>
      </c>
      <c r="E430" s="3" t="s">
        <v>38</v>
      </c>
      <c r="F430" s="3">
        <v>40843.47</v>
      </c>
      <c r="G430" s="3">
        <v>358048</v>
      </c>
      <c r="H430" s="3">
        <v>18005</v>
      </c>
      <c r="I430" s="3">
        <v>35496.379999999997</v>
      </c>
      <c r="J430" s="3">
        <v>61</v>
      </c>
      <c r="K430" s="15">
        <f t="shared" si="66"/>
        <v>5.0286553758155328E-2</v>
      </c>
      <c r="L430" s="16">
        <f t="shared" si="76"/>
        <v>2.2684515412385449</v>
      </c>
      <c r="M430" s="16">
        <f t="shared" si="67"/>
        <v>114.0726103762624</v>
      </c>
      <c r="N430" s="16">
        <f t="shared" si="68"/>
        <v>0.86908335653165603</v>
      </c>
      <c r="O430" s="16">
        <f t="shared" si="69"/>
        <v>-0.130916643468344</v>
      </c>
      <c r="P430" s="1">
        <v>2024</v>
      </c>
      <c r="Q430" s="1" t="s">
        <v>56</v>
      </c>
      <c r="R430" s="1" t="s">
        <v>40</v>
      </c>
      <c r="S430" s="70">
        <f>DATE(Table2[[#This Row],[Year]],MONTH(DATEVALUE("1-"&amp;Table2[[#This Row],[Month]]&amp;"-2000")),1)</f>
        <v>45292</v>
      </c>
      <c r="T430" s="16">
        <f t="shared" si="70"/>
        <v>1.971473479589003</v>
      </c>
      <c r="U430" s="16">
        <f t="shared" si="71"/>
        <v>9.9138607114129945E-2</v>
      </c>
      <c r="V430" s="16">
        <f t="shared" si="72"/>
        <v>669.56508196721313</v>
      </c>
      <c r="W430" s="16">
        <f t="shared" si="73"/>
        <v>581.90786885245893</v>
      </c>
      <c r="X430" s="16">
        <f t="shared" si="74"/>
        <v>295.1639344262295</v>
      </c>
      <c r="Y430" s="16">
        <f t="shared" si="75"/>
        <v>5869.6393442622948</v>
      </c>
      <c r="Z430" s="7" t="str" cm="1">
        <f t="array" ref="Z430">_xlfn.IFS(K430&lt;2%,"Low",K430&lt;5%,"Medium",K430&lt;10%,"Good",K430&gt;10%,"Excellent")</f>
        <v>Good</v>
      </c>
      <c r="AA430" s="16" t="str">
        <f>Data_Validation!N428</f>
        <v>Pass</v>
      </c>
    </row>
    <row r="431" spans="1:27" x14ac:dyDescent="0.35">
      <c r="A431" s="17" t="s">
        <v>93</v>
      </c>
      <c r="B431" s="3" t="s">
        <v>35</v>
      </c>
      <c r="C431" s="3" t="s">
        <v>36</v>
      </c>
      <c r="D431" s="3" t="s">
        <v>59</v>
      </c>
      <c r="E431" s="3" t="s">
        <v>38</v>
      </c>
      <c r="F431" s="3">
        <v>15798.89</v>
      </c>
      <c r="G431" s="3">
        <v>127955</v>
      </c>
      <c r="H431" s="3">
        <v>47270</v>
      </c>
      <c r="I431" s="3">
        <v>217385.43</v>
      </c>
      <c r="J431" s="3">
        <v>51</v>
      </c>
      <c r="K431" s="15">
        <f t="shared" si="66"/>
        <v>0.36942675159235666</v>
      </c>
      <c r="L431" s="16">
        <f t="shared" si="76"/>
        <v>0.33422657076369788</v>
      </c>
      <c r="M431" s="16">
        <f t="shared" si="67"/>
        <v>123.47223633308585</v>
      </c>
      <c r="N431" s="16">
        <f t="shared" si="68"/>
        <v>13.759538170086632</v>
      </c>
      <c r="O431" s="16">
        <f t="shared" si="69"/>
        <v>12.759538170086632</v>
      </c>
      <c r="P431" s="1">
        <v>2024</v>
      </c>
      <c r="Q431" s="1" t="s">
        <v>56</v>
      </c>
      <c r="R431" s="1" t="s">
        <v>40</v>
      </c>
      <c r="S431" s="70">
        <f>DATE(Table2[[#This Row],[Year]],MONTH(DATEVALUE("1-"&amp;Table2[[#This Row],[Month]]&amp;"-2000")),1)</f>
        <v>45292</v>
      </c>
      <c r="T431" s="16">
        <f t="shared" si="70"/>
        <v>4.5988032578802622</v>
      </c>
      <c r="U431" s="16">
        <f t="shared" si="71"/>
        <v>1.6989209487710524</v>
      </c>
      <c r="V431" s="16">
        <f t="shared" si="72"/>
        <v>309.78215686274507</v>
      </c>
      <c r="W431" s="16">
        <f t="shared" si="73"/>
        <v>4262.4594117647057</v>
      </c>
      <c r="X431" s="16">
        <f t="shared" si="74"/>
        <v>926.86274509803923</v>
      </c>
      <c r="Y431" s="16">
        <f t="shared" si="75"/>
        <v>2508.9215686274511</v>
      </c>
      <c r="Z431" s="7" t="str" cm="1">
        <f t="array" ref="Z431">_xlfn.IFS(K431&lt;2%,"Low",K431&lt;5%,"Medium",K431&lt;10%,"Good",K431&gt;10%,"Excellent")</f>
        <v>Excellent</v>
      </c>
      <c r="AA431" s="16" t="str">
        <f>Data_Validation!N429</f>
        <v>Pass</v>
      </c>
    </row>
    <row r="432" spans="1:27" x14ac:dyDescent="0.35">
      <c r="A432" s="17" t="s">
        <v>91</v>
      </c>
      <c r="B432" s="3" t="s">
        <v>48</v>
      </c>
      <c r="C432" s="3" t="s">
        <v>36</v>
      </c>
      <c r="D432" s="3" t="s">
        <v>51</v>
      </c>
      <c r="E432" s="3" t="s">
        <v>38</v>
      </c>
      <c r="F432" s="3">
        <v>4644.3900000000003</v>
      </c>
      <c r="G432" s="3">
        <v>341601</v>
      </c>
      <c r="H432" s="3">
        <v>885</v>
      </c>
      <c r="I432" s="3">
        <v>100350.73</v>
      </c>
      <c r="J432" s="3">
        <v>26</v>
      </c>
      <c r="K432" s="15">
        <f t="shared" si="66"/>
        <v>2.5907418303810588E-3</v>
      </c>
      <c r="L432" s="16">
        <f t="shared" si="76"/>
        <v>5.2478983050847461</v>
      </c>
      <c r="M432" s="16">
        <f t="shared" si="67"/>
        <v>13.595949660568911</v>
      </c>
      <c r="N432" s="16">
        <f t="shared" si="68"/>
        <v>21.606869793449729</v>
      </c>
      <c r="O432" s="16">
        <f t="shared" si="69"/>
        <v>20.606869793449729</v>
      </c>
      <c r="P432" s="1">
        <v>2024</v>
      </c>
      <c r="Q432" s="1" t="s">
        <v>56</v>
      </c>
      <c r="R432" s="1" t="s">
        <v>40</v>
      </c>
      <c r="S432" s="70">
        <f>DATE(Table2[[#This Row],[Year]],MONTH(DATEVALUE("1-"&amp;Table2[[#This Row],[Month]]&amp;"-2000")),1)</f>
        <v>45292</v>
      </c>
      <c r="T432" s="16">
        <f t="shared" si="70"/>
        <v>113.39065536723163</v>
      </c>
      <c r="U432" s="16">
        <f t="shared" si="71"/>
        <v>0.29376591403420949</v>
      </c>
      <c r="V432" s="16">
        <f t="shared" si="72"/>
        <v>178.63038461538463</v>
      </c>
      <c r="W432" s="16">
        <f t="shared" si="73"/>
        <v>3859.6434615384615</v>
      </c>
      <c r="X432" s="16">
        <f t="shared" si="74"/>
        <v>34.03846153846154</v>
      </c>
      <c r="Y432" s="16">
        <f t="shared" si="75"/>
        <v>13138.5</v>
      </c>
      <c r="Z432" s="7" t="str" cm="1">
        <f t="array" ref="Z432">_xlfn.IFS(K432&lt;2%,"Low",K432&lt;5%,"Medium",K432&lt;10%,"Good",K432&gt;10%,"Excellent")</f>
        <v>Low</v>
      </c>
      <c r="AA432" s="16" t="str">
        <f>Data_Validation!N430</f>
        <v>Pass</v>
      </c>
    </row>
    <row r="433" spans="1:27" x14ac:dyDescent="0.35">
      <c r="A433" s="17" t="s">
        <v>89</v>
      </c>
      <c r="B433" s="3" t="s">
        <v>28</v>
      </c>
      <c r="C433" s="3" t="s">
        <v>69</v>
      </c>
      <c r="D433" s="3" t="s">
        <v>59</v>
      </c>
      <c r="E433" s="3" t="s">
        <v>22</v>
      </c>
      <c r="F433" s="3">
        <v>4232.47</v>
      </c>
      <c r="G433" s="3">
        <v>584765</v>
      </c>
      <c r="H433" s="3">
        <v>32629</v>
      </c>
      <c r="I433" s="3">
        <v>228037.37</v>
      </c>
      <c r="J433" s="3">
        <v>51</v>
      </c>
      <c r="K433" s="15">
        <f t="shared" si="66"/>
        <v>5.57984831513514E-2</v>
      </c>
      <c r="L433" s="16">
        <f t="shared" si="76"/>
        <v>0.12971497747402619</v>
      </c>
      <c r="M433" s="16">
        <f t="shared" si="67"/>
        <v>7.2378989850623761</v>
      </c>
      <c r="N433" s="16">
        <f t="shared" si="68"/>
        <v>53.878083010629723</v>
      </c>
      <c r="O433" s="16">
        <f t="shared" si="69"/>
        <v>52.878083010629723</v>
      </c>
      <c r="P433" s="1">
        <v>2024</v>
      </c>
      <c r="Q433" s="1" t="s">
        <v>56</v>
      </c>
      <c r="R433" s="1" t="s">
        <v>40</v>
      </c>
      <c r="S433" s="70">
        <f>DATE(Table2[[#This Row],[Year]],MONTH(DATEVALUE("1-"&amp;Table2[[#This Row],[Month]]&amp;"-2000")),1)</f>
        <v>45292</v>
      </c>
      <c r="T433" s="16">
        <f t="shared" si="70"/>
        <v>6.9887943240675474</v>
      </c>
      <c r="U433" s="16">
        <f t="shared" si="71"/>
        <v>0.38996412233974331</v>
      </c>
      <c r="V433" s="16">
        <f t="shared" si="72"/>
        <v>82.989607843137264</v>
      </c>
      <c r="W433" s="16">
        <f t="shared" si="73"/>
        <v>4471.3209803921563</v>
      </c>
      <c r="X433" s="16">
        <f t="shared" si="74"/>
        <v>639.78431372549016</v>
      </c>
      <c r="Y433" s="16">
        <f t="shared" si="75"/>
        <v>11465.980392156862</v>
      </c>
      <c r="Z433" s="7" t="str" cm="1">
        <f t="array" ref="Z433">_xlfn.IFS(K433&lt;2%,"Low",K433&lt;5%,"Medium",K433&lt;10%,"Good",K433&gt;10%,"Excellent")</f>
        <v>Good</v>
      </c>
      <c r="AA433" s="16" t="str">
        <f>Data_Validation!N431</f>
        <v>Pass</v>
      </c>
    </row>
    <row r="434" spans="1:27" x14ac:dyDescent="0.35">
      <c r="A434" s="17" t="s">
        <v>89</v>
      </c>
      <c r="B434" s="3" t="s">
        <v>19</v>
      </c>
      <c r="C434" s="3" t="s">
        <v>20</v>
      </c>
      <c r="D434" s="3" t="s">
        <v>51</v>
      </c>
      <c r="E434" s="3" t="s">
        <v>30</v>
      </c>
      <c r="F434" s="3">
        <v>592.46</v>
      </c>
      <c r="G434" s="3">
        <v>717835</v>
      </c>
      <c r="H434" s="3">
        <v>34984</v>
      </c>
      <c r="I434" s="3">
        <v>57960.79</v>
      </c>
      <c r="J434" s="3">
        <v>17</v>
      </c>
      <c r="K434" s="15">
        <f t="shared" si="66"/>
        <v>4.8735433630291085E-2</v>
      </c>
      <c r="L434" s="16">
        <f t="shared" si="76"/>
        <v>1.6935170363594786E-2</v>
      </c>
      <c r="M434" s="16">
        <f t="shared" si="67"/>
        <v>0.82534287127264627</v>
      </c>
      <c r="N434" s="16">
        <f t="shared" si="68"/>
        <v>97.830722749215127</v>
      </c>
      <c r="O434" s="16">
        <f t="shared" si="69"/>
        <v>96.830722749215127</v>
      </c>
      <c r="P434" s="1">
        <v>2024</v>
      </c>
      <c r="Q434" s="1" t="s">
        <v>56</v>
      </c>
      <c r="R434" s="1" t="s">
        <v>40</v>
      </c>
      <c r="S434" s="70">
        <f>DATE(Table2[[#This Row],[Year]],MONTH(DATEVALUE("1-"&amp;Table2[[#This Row],[Month]]&amp;"-2000")),1)</f>
        <v>45292</v>
      </c>
      <c r="T434" s="16">
        <f t="shared" si="70"/>
        <v>1.6567799565515664</v>
      </c>
      <c r="U434" s="16">
        <f t="shared" si="71"/>
        <v>8.0743889612515413E-2</v>
      </c>
      <c r="V434" s="16">
        <f t="shared" si="72"/>
        <v>34.850588235294119</v>
      </c>
      <c r="W434" s="16">
        <f t="shared" si="73"/>
        <v>3409.4582352941179</v>
      </c>
      <c r="X434" s="16">
        <f t="shared" si="74"/>
        <v>2057.8823529411766</v>
      </c>
      <c r="Y434" s="16">
        <f t="shared" si="75"/>
        <v>42225.588235294119</v>
      </c>
      <c r="Z434" s="7" t="str" cm="1">
        <f t="array" ref="Z434">_xlfn.IFS(K434&lt;2%,"Low",K434&lt;5%,"Medium",K434&lt;10%,"Good",K434&gt;10%,"Excellent")</f>
        <v>Medium</v>
      </c>
      <c r="AA434" s="16" t="str">
        <f>Data_Validation!N432</f>
        <v>Pass</v>
      </c>
    </row>
    <row r="435" spans="1:27" x14ac:dyDescent="0.35">
      <c r="A435" s="17" t="s">
        <v>18</v>
      </c>
      <c r="B435" s="3" t="s">
        <v>48</v>
      </c>
      <c r="C435" s="3" t="s">
        <v>58</v>
      </c>
      <c r="D435" s="3" t="s">
        <v>37</v>
      </c>
      <c r="E435" s="3" t="s">
        <v>22</v>
      </c>
      <c r="F435" s="3">
        <v>7724.03</v>
      </c>
      <c r="G435" s="3">
        <v>605990</v>
      </c>
      <c r="H435" s="3">
        <v>27681</v>
      </c>
      <c r="I435" s="3">
        <v>94526.05</v>
      </c>
      <c r="J435" s="3">
        <v>26</v>
      </c>
      <c r="K435" s="15">
        <f t="shared" si="66"/>
        <v>4.5678971600191423E-2</v>
      </c>
      <c r="L435" s="16">
        <f t="shared" si="76"/>
        <v>0.2790372457642426</v>
      </c>
      <c r="M435" s="16">
        <f t="shared" si="67"/>
        <v>12.746134424660474</v>
      </c>
      <c r="N435" s="16">
        <f t="shared" si="68"/>
        <v>12.237918547701137</v>
      </c>
      <c r="O435" s="16">
        <f t="shared" si="69"/>
        <v>11.237918547701137</v>
      </c>
      <c r="P435" s="1">
        <v>2024</v>
      </c>
      <c r="Q435" s="1" t="s">
        <v>56</v>
      </c>
      <c r="R435" s="1" t="s">
        <v>40</v>
      </c>
      <c r="S435" s="70">
        <f>DATE(Table2[[#This Row],[Year]],MONTH(DATEVALUE("1-"&amp;Table2[[#This Row],[Month]]&amp;"-2000")),1)</f>
        <v>45292</v>
      </c>
      <c r="T435" s="16">
        <f t="shared" si="70"/>
        <v>3.414835085437665</v>
      </c>
      <c r="U435" s="16">
        <f t="shared" si="71"/>
        <v>0.15598615488704434</v>
      </c>
      <c r="V435" s="16">
        <f t="shared" si="72"/>
        <v>297.07807692307694</v>
      </c>
      <c r="W435" s="16">
        <f t="shared" si="73"/>
        <v>3635.6173076923078</v>
      </c>
      <c r="X435" s="16">
        <f t="shared" si="74"/>
        <v>1064.6538461538462</v>
      </c>
      <c r="Y435" s="16">
        <f t="shared" si="75"/>
        <v>23307.307692307691</v>
      </c>
      <c r="Z435" s="7" t="str" cm="1">
        <f t="array" ref="Z435">_xlfn.IFS(K435&lt;2%,"Low",K435&lt;5%,"Medium",K435&lt;10%,"Good",K435&gt;10%,"Excellent")</f>
        <v>Medium</v>
      </c>
      <c r="AA435" s="16" t="str">
        <f>Data_Validation!N433</f>
        <v>Pass</v>
      </c>
    </row>
    <row r="436" spans="1:27" x14ac:dyDescent="0.35">
      <c r="A436" s="17" t="s">
        <v>91</v>
      </c>
      <c r="B436" s="3" t="s">
        <v>19</v>
      </c>
      <c r="C436" s="3" t="s">
        <v>29</v>
      </c>
      <c r="D436" s="3" t="s">
        <v>63</v>
      </c>
      <c r="E436" s="3" t="s">
        <v>22</v>
      </c>
      <c r="F436" s="3">
        <v>41022.93</v>
      </c>
      <c r="G436" s="3">
        <v>529886</v>
      </c>
      <c r="H436" s="3">
        <v>39015</v>
      </c>
      <c r="I436" s="3">
        <v>156083.85</v>
      </c>
      <c r="J436" s="3">
        <v>22</v>
      </c>
      <c r="K436" s="15">
        <f t="shared" si="66"/>
        <v>7.3629044737924768E-2</v>
      </c>
      <c r="L436" s="16">
        <f t="shared" si="76"/>
        <v>1.0514655901576317</v>
      </c>
      <c r="M436" s="16">
        <f t="shared" si="67"/>
        <v>77.418406978104727</v>
      </c>
      <c r="N436" s="16">
        <f t="shared" si="68"/>
        <v>3.8047952693773945</v>
      </c>
      <c r="O436" s="16">
        <f t="shared" si="69"/>
        <v>2.804795269377395</v>
      </c>
      <c r="P436" s="1">
        <v>2024</v>
      </c>
      <c r="Q436" s="1" t="s">
        <v>56</v>
      </c>
      <c r="R436" s="1" t="s">
        <v>40</v>
      </c>
      <c r="S436" s="70">
        <f>DATE(Table2[[#This Row],[Year]],MONTH(DATEVALUE("1-"&amp;Table2[[#This Row],[Month]]&amp;"-2000")),1)</f>
        <v>45292</v>
      </c>
      <c r="T436" s="16">
        <f t="shared" si="70"/>
        <v>4.0006113033448676</v>
      </c>
      <c r="U436" s="16">
        <f t="shared" si="71"/>
        <v>0.29456118863302672</v>
      </c>
      <c r="V436" s="16">
        <f t="shared" si="72"/>
        <v>1864.6786363636363</v>
      </c>
      <c r="W436" s="16">
        <f t="shared" si="73"/>
        <v>7094.7204545454551</v>
      </c>
      <c r="X436" s="16">
        <f t="shared" si="74"/>
        <v>1773.409090909091</v>
      </c>
      <c r="Y436" s="16">
        <f t="shared" si="75"/>
        <v>24085.727272727272</v>
      </c>
      <c r="Z436" s="7" t="str" cm="1">
        <f t="array" ref="Z436">_xlfn.IFS(K436&lt;2%,"Low",K436&lt;5%,"Medium",K436&lt;10%,"Good",K436&gt;10%,"Excellent")</f>
        <v>Good</v>
      </c>
      <c r="AA436" s="16" t="str">
        <f>Data_Validation!N434</f>
        <v>Pass</v>
      </c>
    </row>
    <row r="437" spans="1:27" x14ac:dyDescent="0.35">
      <c r="A437" s="17" t="s">
        <v>88</v>
      </c>
      <c r="B437" s="3" t="s">
        <v>19</v>
      </c>
      <c r="C437" s="3" t="s">
        <v>29</v>
      </c>
      <c r="D437" s="3" t="s">
        <v>63</v>
      </c>
      <c r="E437" s="3" t="s">
        <v>30</v>
      </c>
      <c r="F437" s="3">
        <v>11661.54</v>
      </c>
      <c r="G437" s="3">
        <v>128414</v>
      </c>
      <c r="H437" s="3">
        <v>15564</v>
      </c>
      <c r="I437" s="3">
        <v>160062.70000000001</v>
      </c>
      <c r="J437" s="3">
        <v>9</v>
      </c>
      <c r="K437" s="15">
        <f t="shared" si="66"/>
        <v>0.12120173812824146</v>
      </c>
      <c r="L437" s="16">
        <f t="shared" si="76"/>
        <v>0.74926368542791066</v>
      </c>
      <c r="M437" s="16">
        <f t="shared" si="67"/>
        <v>90.812060990234713</v>
      </c>
      <c r="N437" s="16">
        <f t="shared" si="68"/>
        <v>13.725691460990573</v>
      </c>
      <c r="O437" s="16">
        <f t="shared" si="69"/>
        <v>12.725691460990571</v>
      </c>
      <c r="P437" s="1">
        <v>2024</v>
      </c>
      <c r="Q437" s="1" t="s">
        <v>56</v>
      </c>
      <c r="R437" s="1" t="s">
        <v>40</v>
      </c>
      <c r="S437" s="70">
        <f>DATE(Table2[[#This Row],[Year]],MONTH(DATEVALUE("1-"&amp;Table2[[#This Row],[Month]]&amp;"-2000")),1)</f>
        <v>45292</v>
      </c>
      <c r="T437" s="16">
        <f t="shared" si="70"/>
        <v>10.2841621691082</v>
      </c>
      <c r="U437" s="16">
        <f t="shared" si="71"/>
        <v>1.2464583300886196</v>
      </c>
      <c r="V437" s="16">
        <f t="shared" si="72"/>
        <v>1295.7266666666667</v>
      </c>
      <c r="W437" s="16">
        <f t="shared" si="73"/>
        <v>17784.744444444445</v>
      </c>
      <c r="X437" s="16">
        <f t="shared" si="74"/>
        <v>1729.3333333333333</v>
      </c>
      <c r="Y437" s="16">
        <f t="shared" si="75"/>
        <v>14268.222222222223</v>
      </c>
      <c r="Z437" s="7" t="str" cm="1">
        <f t="array" ref="Z437">_xlfn.IFS(K437&lt;2%,"Low",K437&lt;5%,"Medium",K437&lt;10%,"Good",K437&gt;10%,"Excellent")</f>
        <v>Excellent</v>
      </c>
      <c r="AA437" s="16" t="str">
        <f>Data_Validation!N435</f>
        <v>Pass</v>
      </c>
    </row>
    <row r="438" spans="1:27" x14ac:dyDescent="0.35">
      <c r="A438" s="17" t="s">
        <v>96</v>
      </c>
      <c r="B438" s="3" t="s">
        <v>28</v>
      </c>
      <c r="C438" s="3" t="s">
        <v>69</v>
      </c>
      <c r="D438" s="3" t="s">
        <v>37</v>
      </c>
      <c r="E438" s="3" t="s">
        <v>38</v>
      </c>
      <c r="F438" s="3">
        <v>40548.51</v>
      </c>
      <c r="G438" s="3">
        <v>245455</v>
      </c>
      <c r="H438" s="3">
        <v>3177</v>
      </c>
      <c r="I438" s="3">
        <v>73093.59</v>
      </c>
      <c r="J438" s="3">
        <v>39</v>
      </c>
      <c r="K438" s="15">
        <f t="shared" si="66"/>
        <v>1.2943309364241918E-2</v>
      </c>
      <c r="L438" s="16">
        <f t="shared" si="76"/>
        <v>12.763144475920681</v>
      </c>
      <c r="M438" s="16">
        <f t="shared" si="67"/>
        <v>165.19732741235666</v>
      </c>
      <c r="N438" s="16">
        <f t="shared" si="68"/>
        <v>1.8026208607911856</v>
      </c>
      <c r="O438" s="16">
        <f t="shared" si="69"/>
        <v>0.80262086079118544</v>
      </c>
      <c r="P438" s="1">
        <v>2024</v>
      </c>
      <c r="Q438" s="1" t="s">
        <v>56</v>
      </c>
      <c r="R438" s="1" t="s">
        <v>40</v>
      </c>
      <c r="S438" s="70">
        <f>DATE(Table2[[#This Row],[Year]],MONTH(DATEVALUE("1-"&amp;Table2[[#This Row],[Month]]&amp;"-2000")),1)</f>
        <v>45292</v>
      </c>
      <c r="T438" s="16">
        <f t="shared" si="70"/>
        <v>23.007110481586402</v>
      </c>
      <c r="U438" s="16">
        <f t="shared" si="71"/>
        <v>0.29778814854046565</v>
      </c>
      <c r="V438" s="16">
        <f t="shared" si="72"/>
        <v>1039.7053846153847</v>
      </c>
      <c r="W438" s="16">
        <f t="shared" si="73"/>
        <v>1874.1946153846152</v>
      </c>
      <c r="X438" s="16">
        <f t="shared" si="74"/>
        <v>81.461538461538467</v>
      </c>
      <c r="Y438" s="16">
        <f t="shared" si="75"/>
        <v>6293.7179487179483</v>
      </c>
      <c r="Z438" s="7" t="str" cm="1">
        <f t="array" ref="Z438">_xlfn.IFS(K438&lt;2%,"Low",K438&lt;5%,"Medium",K438&lt;10%,"Good",K438&gt;10%,"Excellent")</f>
        <v>Low</v>
      </c>
      <c r="AA438" s="16" t="str">
        <f>Data_Validation!N436</f>
        <v>Pass</v>
      </c>
    </row>
    <row r="439" spans="1:27" x14ac:dyDescent="0.35">
      <c r="A439" s="17" t="s">
        <v>114</v>
      </c>
      <c r="B439" s="3" t="s">
        <v>35</v>
      </c>
      <c r="C439" s="3" t="s">
        <v>36</v>
      </c>
      <c r="D439" s="3" t="s">
        <v>37</v>
      </c>
      <c r="E439" s="3" t="s">
        <v>22</v>
      </c>
      <c r="F439" s="3">
        <v>210.81</v>
      </c>
      <c r="G439" s="3">
        <v>130784</v>
      </c>
      <c r="H439" s="3">
        <v>9432</v>
      </c>
      <c r="I439" s="3">
        <v>76191.17</v>
      </c>
      <c r="J439" s="3">
        <v>6</v>
      </c>
      <c r="K439" s="15">
        <f t="shared" si="66"/>
        <v>7.2118913628578418E-2</v>
      </c>
      <c r="L439" s="16">
        <f t="shared" si="76"/>
        <v>2.2350508905852419E-2</v>
      </c>
      <c r="M439" s="16">
        <f t="shared" si="67"/>
        <v>1.6118944213359434</v>
      </c>
      <c r="N439" s="16">
        <f t="shared" si="68"/>
        <v>361.42104264503581</v>
      </c>
      <c r="O439" s="16">
        <f t="shared" si="69"/>
        <v>360.42104264503581</v>
      </c>
      <c r="P439" s="1">
        <v>2024</v>
      </c>
      <c r="Q439" s="1" t="s">
        <v>56</v>
      </c>
      <c r="R439" s="1" t="s">
        <v>40</v>
      </c>
      <c r="S439" s="70">
        <f>DATE(Table2[[#This Row],[Year]],MONTH(DATEVALUE("1-"&amp;Table2[[#This Row],[Month]]&amp;"-2000")),1)</f>
        <v>45292</v>
      </c>
      <c r="T439" s="16">
        <f t="shared" si="70"/>
        <v>8.0779442324003394</v>
      </c>
      <c r="U439" s="16">
        <f t="shared" si="71"/>
        <v>0.5825725623929533</v>
      </c>
      <c r="V439" s="16">
        <f t="shared" si="72"/>
        <v>35.134999999999998</v>
      </c>
      <c r="W439" s="16">
        <f t="shared" si="73"/>
        <v>12698.528333333334</v>
      </c>
      <c r="X439" s="16">
        <f t="shared" si="74"/>
        <v>1572</v>
      </c>
      <c r="Y439" s="16">
        <f t="shared" si="75"/>
        <v>21797.333333333332</v>
      </c>
      <c r="Z439" s="7" t="str" cm="1">
        <f t="array" ref="Z439">_xlfn.IFS(K439&lt;2%,"Low",K439&lt;5%,"Medium",K439&lt;10%,"Good",K439&gt;10%,"Excellent")</f>
        <v>Good</v>
      </c>
      <c r="AA439" s="16" t="str">
        <f>Data_Validation!N437</f>
        <v>Pass</v>
      </c>
    </row>
    <row r="440" spans="1:27" x14ac:dyDescent="0.35">
      <c r="A440" s="17" t="s">
        <v>107</v>
      </c>
      <c r="B440" s="3" t="s">
        <v>28</v>
      </c>
      <c r="C440" s="3" t="s">
        <v>69</v>
      </c>
      <c r="D440" s="3" t="s">
        <v>51</v>
      </c>
      <c r="E440" s="3" t="s">
        <v>38</v>
      </c>
      <c r="F440" s="3">
        <v>1007.46</v>
      </c>
      <c r="G440" s="3">
        <v>486535</v>
      </c>
      <c r="H440" s="3">
        <v>21856</v>
      </c>
      <c r="I440" s="3">
        <v>142236.96</v>
      </c>
      <c r="J440" s="3">
        <v>58</v>
      </c>
      <c r="K440" s="15">
        <f t="shared" si="66"/>
        <v>4.4921742526231413E-2</v>
      </c>
      <c r="L440" s="16">
        <f t="shared" si="76"/>
        <v>4.6095351390922405E-2</v>
      </c>
      <c r="M440" s="16">
        <f t="shared" si="67"/>
        <v>2.0706835068391793</v>
      </c>
      <c r="N440" s="16">
        <f t="shared" si="68"/>
        <v>141.18372937883387</v>
      </c>
      <c r="O440" s="16">
        <f t="shared" si="69"/>
        <v>140.1837293788339</v>
      </c>
      <c r="P440" s="1">
        <v>2024</v>
      </c>
      <c r="Q440" s="1" t="s">
        <v>56</v>
      </c>
      <c r="R440" s="1" t="s">
        <v>40</v>
      </c>
      <c r="S440" s="70">
        <f>DATE(Table2[[#This Row],[Year]],MONTH(DATEVALUE("1-"&amp;Table2[[#This Row],[Month]]&amp;"-2000")),1)</f>
        <v>45292</v>
      </c>
      <c r="T440" s="16">
        <f t="shared" si="70"/>
        <v>6.507913616398243</v>
      </c>
      <c r="U440" s="16">
        <f t="shared" si="71"/>
        <v>0.2923468198587974</v>
      </c>
      <c r="V440" s="16">
        <f t="shared" si="72"/>
        <v>17.37</v>
      </c>
      <c r="W440" s="16">
        <f t="shared" si="73"/>
        <v>2452.3613793103445</v>
      </c>
      <c r="X440" s="16">
        <f t="shared" si="74"/>
        <v>376.82758620689657</v>
      </c>
      <c r="Y440" s="16">
        <f t="shared" si="75"/>
        <v>8388.5344827586214</v>
      </c>
      <c r="Z440" s="7" t="str" cm="1">
        <f t="array" ref="Z440">_xlfn.IFS(K440&lt;2%,"Low",K440&lt;5%,"Medium",K440&lt;10%,"Good",K440&gt;10%,"Excellent")</f>
        <v>Medium</v>
      </c>
      <c r="AA440" s="16" t="str">
        <f>Data_Validation!N438</f>
        <v>Pass</v>
      </c>
    </row>
    <row r="441" spans="1:27" x14ac:dyDescent="0.35">
      <c r="A441" s="17" t="s">
        <v>67</v>
      </c>
      <c r="B441" s="3" t="s">
        <v>19</v>
      </c>
      <c r="C441" s="3" t="s">
        <v>20</v>
      </c>
      <c r="D441" s="3" t="s">
        <v>51</v>
      </c>
      <c r="E441" s="3" t="s">
        <v>30</v>
      </c>
      <c r="F441" s="3">
        <v>3902.66</v>
      </c>
      <c r="G441" s="3">
        <v>998977</v>
      </c>
      <c r="H441" s="3">
        <v>47563</v>
      </c>
      <c r="I441" s="3">
        <v>211473.82</v>
      </c>
      <c r="J441" s="3">
        <v>48</v>
      </c>
      <c r="K441" s="15">
        <f t="shared" si="66"/>
        <v>4.7611706776031881E-2</v>
      </c>
      <c r="L441" s="16">
        <f t="shared" si="76"/>
        <v>8.205243571683872E-2</v>
      </c>
      <c r="M441" s="16">
        <f t="shared" si="67"/>
        <v>3.9066565096093302</v>
      </c>
      <c r="N441" s="16">
        <f t="shared" si="68"/>
        <v>54.18709803057402</v>
      </c>
      <c r="O441" s="16">
        <f t="shared" si="69"/>
        <v>53.18709803057402</v>
      </c>
      <c r="P441" s="1">
        <v>2024</v>
      </c>
      <c r="Q441" s="1" t="s">
        <v>56</v>
      </c>
      <c r="R441" s="1" t="s">
        <v>40</v>
      </c>
      <c r="S441" s="70">
        <f>DATE(Table2[[#This Row],[Year]],MONTH(DATEVALUE("1-"&amp;Table2[[#This Row],[Month]]&amp;"-2000")),1)</f>
        <v>45292</v>
      </c>
      <c r="T441" s="16">
        <f t="shared" si="70"/>
        <v>4.4461833778357125</v>
      </c>
      <c r="U441" s="16">
        <f t="shared" si="71"/>
        <v>0.21169037925798093</v>
      </c>
      <c r="V441" s="16">
        <f t="shared" si="72"/>
        <v>81.305416666666659</v>
      </c>
      <c r="W441" s="16">
        <f t="shared" si="73"/>
        <v>4405.7045833333332</v>
      </c>
      <c r="X441" s="16">
        <f t="shared" si="74"/>
        <v>990.89583333333337</v>
      </c>
      <c r="Y441" s="16">
        <f t="shared" si="75"/>
        <v>20812.020833333332</v>
      </c>
      <c r="Z441" s="7" t="str" cm="1">
        <f t="array" ref="Z441">_xlfn.IFS(K441&lt;2%,"Low",K441&lt;5%,"Medium",K441&lt;10%,"Good",K441&gt;10%,"Excellent")</f>
        <v>Medium</v>
      </c>
      <c r="AA441" s="16" t="str">
        <f>Data_Validation!N439</f>
        <v>Pass</v>
      </c>
    </row>
    <row r="442" spans="1:27" x14ac:dyDescent="0.35">
      <c r="A442" s="17" t="s">
        <v>103</v>
      </c>
      <c r="B442" s="3" t="s">
        <v>28</v>
      </c>
      <c r="C442" s="3" t="s">
        <v>29</v>
      </c>
      <c r="D442" s="3" t="s">
        <v>63</v>
      </c>
      <c r="E442" s="3" t="s">
        <v>22</v>
      </c>
      <c r="F442" s="3">
        <v>10278.32</v>
      </c>
      <c r="G442" s="3">
        <v>909138</v>
      </c>
      <c r="H442" s="3">
        <v>2417</v>
      </c>
      <c r="I442" s="3">
        <v>140451.87</v>
      </c>
      <c r="J442" s="3">
        <v>30</v>
      </c>
      <c r="K442" s="15">
        <f t="shared" si="66"/>
        <v>2.6585622864735607E-3</v>
      </c>
      <c r="L442" s="16">
        <f t="shared" si="76"/>
        <v>4.2525113777410013</v>
      </c>
      <c r="M442" s="16">
        <f t="shared" si="67"/>
        <v>11.305566371661948</v>
      </c>
      <c r="N442" s="16">
        <f t="shared" si="68"/>
        <v>13.664866437316604</v>
      </c>
      <c r="O442" s="16">
        <f t="shared" si="69"/>
        <v>12.664866437316604</v>
      </c>
      <c r="P442" s="1">
        <v>2024</v>
      </c>
      <c r="Q442" s="1" t="s">
        <v>56</v>
      </c>
      <c r="R442" s="1" t="s">
        <v>40</v>
      </c>
      <c r="S442" s="70">
        <f>DATE(Table2[[#This Row],[Year]],MONTH(DATEVALUE("1-"&amp;Table2[[#This Row],[Month]]&amp;"-2000")),1)</f>
        <v>45292</v>
      </c>
      <c r="T442" s="16">
        <f t="shared" si="70"/>
        <v>58.11</v>
      </c>
      <c r="U442" s="16">
        <f t="shared" si="71"/>
        <v>0.15448905446697861</v>
      </c>
      <c r="V442" s="16">
        <f t="shared" si="72"/>
        <v>342.61066666666665</v>
      </c>
      <c r="W442" s="16">
        <f t="shared" si="73"/>
        <v>4681.7290000000003</v>
      </c>
      <c r="X442" s="16">
        <f t="shared" si="74"/>
        <v>80.566666666666663</v>
      </c>
      <c r="Y442" s="16">
        <f t="shared" si="75"/>
        <v>30304.6</v>
      </c>
      <c r="Z442" s="7" t="str" cm="1">
        <f t="array" ref="Z442">_xlfn.IFS(K442&lt;2%,"Low",K442&lt;5%,"Medium",K442&lt;10%,"Good",K442&gt;10%,"Excellent")</f>
        <v>Low</v>
      </c>
      <c r="AA442" s="16" t="str">
        <f>Data_Validation!N440</f>
        <v>Pass</v>
      </c>
    </row>
    <row r="443" spans="1:27" x14ac:dyDescent="0.35">
      <c r="A443" s="17" t="s">
        <v>96</v>
      </c>
      <c r="B443" s="3" t="s">
        <v>35</v>
      </c>
      <c r="C443" s="3" t="s">
        <v>36</v>
      </c>
      <c r="D443" s="3" t="s">
        <v>51</v>
      </c>
      <c r="E443" s="3" t="s">
        <v>22</v>
      </c>
      <c r="F443" s="3">
        <v>1558.08</v>
      </c>
      <c r="G443" s="3">
        <v>728596</v>
      </c>
      <c r="H443" s="3">
        <v>19778</v>
      </c>
      <c r="I443" s="3">
        <v>211809.89</v>
      </c>
      <c r="J443" s="3">
        <v>35</v>
      </c>
      <c r="K443" s="15">
        <f t="shared" si="66"/>
        <v>2.7145359019264449E-2</v>
      </c>
      <c r="L443" s="16">
        <f t="shared" si="76"/>
        <v>7.8778440691677623E-2</v>
      </c>
      <c r="M443" s="16">
        <f t="shared" si="67"/>
        <v>2.1384690555534203</v>
      </c>
      <c r="N443" s="16">
        <f t="shared" si="68"/>
        <v>135.94288483261451</v>
      </c>
      <c r="O443" s="16">
        <f t="shared" si="69"/>
        <v>134.94288483261451</v>
      </c>
      <c r="P443" s="1">
        <v>2024</v>
      </c>
      <c r="Q443" s="1" t="s">
        <v>56</v>
      </c>
      <c r="R443" s="1" t="s">
        <v>40</v>
      </c>
      <c r="S443" s="70">
        <f>DATE(Table2[[#This Row],[Year]],MONTH(DATEVALUE("1-"&amp;Table2[[#This Row],[Month]]&amp;"-2000")),1)</f>
        <v>45292</v>
      </c>
      <c r="T443" s="16">
        <f t="shared" si="70"/>
        <v>10.709368490241683</v>
      </c>
      <c r="U443" s="16">
        <f t="shared" si="71"/>
        <v>0.29070965253720854</v>
      </c>
      <c r="V443" s="16">
        <f t="shared" si="72"/>
        <v>44.516571428571424</v>
      </c>
      <c r="W443" s="16">
        <f t="shared" si="73"/>
        <v>6051.7111428571434</v>
      </c>
      <c r="X443" s="16">
        <f t="shared" si="74"/>
        <v>565.08571428571429</v>
      </c>
      <c r="Y443" s="16">
        <f t="shared" si="75"/>
        <v>20817.028571428571</v>
      </c>
      <c r="Z443" s="7" t="str" cm="1">
        <f t="array" ref="Z443">_xlfn.IFS(K443&lt;2%,"Low",K443&lt;5%,"Medium",K443&lt;10%,"Good",K443&gt;10%,"Excellent")</f>
        <v>Medium</v>
      </c>
      <c r="AA443" s="16" t="str">
        <f>Data_Validation!N441</f>
        <v>Pass</v>
      </c>
    </row>
    <row r="444" spans="1:27" x14ac:dyDescent="0.35">
      <c r="A444" s="17" t="s">
        <v>104</v>
      </c>
      <c r="B444" s="3" t="s">
        <v>19</v>
      </c>
      <c r="C444" s="3" t="s">
        <v>29</v>
      </c>
      <c r="D444" s="3" t="s">
        <v>43</v>
      </c>
      <c r="E444" s="3" t="s">
        <v>38</v>
      </c>
      <c r="F444" s="3">
        <v>4769.95</v>
      </c>
      <c r="G444" s="3">
        <v>467311</v>
      </c>
      <c r="H444" s="3">
        <v>4537</v>
      </c>
      <c r="I444" s="3">
        <v>123291.05</v>
      </c>
      <c r="J444" s="3">
        <v>34</v>
      </c>
      <c r="K444" s="15">
        <f t="shared" si="66"/>
        <v>9.7087378640776691E-3</v>
      </c>
      <c r="L444" s="16">
        <f t="shared" si="76"/>
        <v>1.0513445007714348</v>
      </c>
      <c r="M444" s="16">
        <f t="shared" si="67"/>
        <v>10.207228162829464</v>
      </c>
      <c r="N444" s="16">
        <f t="shared" si="68"/>
        <v>25.847451231144984</v>
      </c>
      <c r="O444" s="16">
        <f t="shared" si="69"/>
        <v>24.847451231144984</v>
      </c>
      <c r="P444" s="1">
        <v>2024</v>
      </c>
      <c r="Q444" s="1" t="s">
        <v>56</v>
      </c>
      <c r="R444" s="1" t="s">
        <v>40</v>
      </c>
      <c r="S444" s="70">
        <f>DATE(Table2[[#This Row],[Year]],MONTH(DATEVALUE("1-"&amp;Table2[[#This Row],[Month]]&amp;"-2000")),1)</f>
        <v>45292</v>
      </c>
      <c r="T444" s="16">
        <f t="shared" si="70"/>
        <v>27.174575710822129</v>
      </c>
      <c r="U444" s="16">
        <f t="shared" si="71"/>
        <v>0.26383083214390418</v>
      </c>
      <c r="V444" s="16">
        <f t="shared" si="72"/>
        <v>140.29264705882352</v>
      </c>
      <c r="W444" s="16">
        <f t="shared" si="73"/>
        <v>3626.2073529411764</v>
      </c>
      <c r="X444" s="16">
        <f t="shared" si="74"/>
        <v>133.44117647058823</v>
      </c>
      <c r="Y444" s="16">
        <f t="shared" si="75"/>
        <v>13744.441176470587</v>
      </c>
      <c r="Z444" s="7" t="str" cm="1">
        <f t="array" ref="Z444">_xlfn.IFS(K444&lt;2%,"Low",K444&lt;5%,"Medium",K444&lt;10%,"Good",K444&gt;10%,"Excellent")</f>
        <v>Low</v>
      </c>
      <c r="AA444" s="16" t="str">
        <f>Data_Validation!N442</f>
        <v>Pass</v>
      </c>
    </row>
    <row r="445" spans="1:27" x14ac:dyDescent="0.35">
      <c r="A445" s="17" t="s">
        <v>98</v>
      </c>
      <c r="B445" s="3" t="s">
        <v>28</v>
      </c>
      <c r="C445" s="3" t="s">
        <v>20</v>
      </c>
      <c r="D445" s="3" t="s">
        <v>21</v>
      </c>
      <c r="E445" s="3" t="s">
        <v>30</v>
      </c>
      <c r="F445" s="3">
        <v>14204.79</v>
      </c>
      <c r="G445" s="3">
        <v>214110</v>
      </c>
      <c r="H445" s="3">
        <v>23858</v>
      </c>
      <c r="I445" s="3">
        <v>140539.62</v>
      </c>
      <c r="J445" s="3">
        <v>8</v>
      </c>
      <c r="K445" s="15">
        <f t="shared" si="66"/>
        <v>0.11142870487132782</v>
      </c>
      <c r="L445" s="16">
        <f t="shared" si="76"/>
        <v>0.59538896806102781</v>
      </c>
      <c r="M445" s="16">
        <f t="shared" si="67"/>
        <v>66.343421605716699</v>
      </c>
      <c r="N445" s="16">
        <f t="shared" si="68"/>
        <v>9.8938189160135401</v>
      </c>
      <c r="O445" s="16">
        <f t="shared" si="69"/>
        <v>8.8938189160135401</v>
      </c>
      <c r="P445" s="1">
        <v>2024</v>
      </c>
      <c r="Q445" s="1" t="s">
        <v>56</v>
      </c>
      <c r="R445" s="1" t="s">
        <v>40</v>
      </c>
      <c r="S445" s="70">
        <f>DATE(Table2[[#This Row],[Year]],MONTH(DATEVALUE("1-"&amp;Table2[[#This Row],[Month]]&amp;"-2000")),1)</f>
        <v>45292</v>
      </c>
      <c r="T445" s="16">
        <f t="shared" si="70"/>
        <v>5.8906706345879787</v>
      </c>
      <c r="U445" s="16">
        <f t="shared" si="71"/>
        <v>0.65638979963570121</v>
      </c>
      <c r="V445" s="16">
        <f t="shared" si="72"/>
        <v>1775.5987500000001</v>
      </c>
      <c r="W445" s="16">
        <f t="shared" si="73"/>
        <v>17567.452499999999</v>
      </c>
      <c r="X445" s="16">
        <f t="shared" si="74"/>
        <v>2982.25</v>
      </c>
      <c r="Y445" s="16">
        <f t="shared" si="75"/>
        <v>26763.75</v>
      </c>
      <c r="Z445" s="7" t="str" cm="1">
        <f t="array" ref="Z445">_xlfn.IFS(K445&lt;2%,"Low",K445&lt;5%,"Medium",K445&lt;10%,"Good",K445&gt;10%,"Excellent")</f>
        <v>Excellent</v>
      </c>
      <c r="AA445" s="16" t="str">
        <f>Data_Validation!N443</f>
        <v>Pass</v>
      </c>
    </row>
    <row r="446" spans="1:27" x14ac:dyDescent="0.35">
      <c r="A446" s="17" t="s">
        <v>83</v>
      </c>
      <c r="B446" s="3" t="s">
        <v>19</v>
      </c>
      <c r="C446" s="3" t="s">
        <v>69</v>
      </c>
      <c r="D446" s="3" t="s">
        <v>37</v>
      </c>
      <c r="E446" s="3" t="s">
        <v>38</v>
      </c>
      <c r="F446" s="3">
        <v>8499.6299999999992</v>
      </c>
      <c r="G446" s="3">
        <v>35918</v>
      </c>
      <c r="H446" s="3">
        <v>11868</v>
      </c>
      <c r="I446" s="3">
        <v>113213.68</v>
      </c>
      <c r="J446" s="3">
        <v>57</v>
      </c>
      <c r="K446" s="15">
        <f t="shared" si="66"/>
        <v>0.33041928837908568</v>
      </c>
      <c r="L446" s="16">
        <f t="shared" si="76"/>
        <v>0.71618048533872591</v>
      </c>
      <c r="M446" s="16">
        <f t="shared" si="67"/>
        <v>236.63984631661003</v>
      </c>
      <c r="N446" s="16">
        <f t="shared" si="68"/>
        <v>13.319836275226098</v>
      </c>
      <c r="O446" s="16">
        <f t="shared" si="69"/>
        <v>12.319836275226098</v>
      </c>
      <c r="P446" s="1">
        <v>2024</v>
      </c>
      <c r="Q446" s="1" t="s">
        <v>56</v>
      </c>
      <c r="R446" s="1" t="s">
        <v>40</v>
      </c>
      <c r="S446" s="70">
        <f>DATE(Table2[[#This Row],[Year]],MONTH(DATEVALUE("1-"&amp;Table2[[#This Row],[Month]]&amp;"-2000")),1)</f>
        <v>45292</v>
      </c>
      <c r="T446" s="16">
        <f t="shared" si="70"/>
        <v>9.5394068082237951</v>
      </c>
      <c r="U446" s="16">
        <f t="shared" si="71"/>
        <v>3.1520040091319115</v>
      </c>
      <c r="V446" s="16">
        <f t="shared" si="72"/>
        <v>149.11631578947367</v>
      </c>
      <c r="W446" s="16">
        <f t="shared" si="73"/>
        <v>1986.2049122807016</v>
      </c>
      <c r="X446" s="16">
        <f t="shared" si="74"/>
        <v>208.21052631578948</v>
      </c>
      <c r="Y446" s="16">
        <f t="shared" si="75"/>
        <v>630.14035087719299</v>
      </c>
      <c r="Z446" s="7" t="str" cm="1">
        <f t="array" ref="Z446">_xlfn.IFS(K446&lt;2%,"Low",K446&lt;5%,"Medium",K446&lt;10%,"Good",K446&gt;10%,"Excellent")</f>
        <v>Excellent</v>
      </c>
      <c r="AA446" s="16" t="str">
        <f>Data_Validation!N444</f>
        <v>Pass</v>
      </c>
    </row>
    <row r="447" spans="1:27" x14ac:dyDescent="0.35">
      <c r="A447" s="17" t="s">
        <v>50</v>
      </c>
      <c r="B447" s="3" t="s">
        <v>35</v>
      </c>
      <c r="C447" s="3" t="s">
        <v>58</v>
      </c>
      <c r="D447" s="3" t="s">
        <v>51</v>
      </c>
      <c r="E447" s="3" t="s">
        <v>30</v>
      </c>
      <c r="F447" s="3">
        <v>13586.58</v>
      </c>
      <c r="G447" s="3">
        <v>511410</v>
      </c>
      <c r="H447" s="3">
        <v>10139</v>
      </c>
      <c r="I447" s="3">
        <v>116469.77</v>
      </c>
      <c r="J447" s="3">
        <v>45</v>
      </c>
      <c r="K447" s="15">
        <f t="shared" si="66"/>
        <v>1.9825580258501008E-2</v>
      </c>
      <c r="L447" s="16">
        <f t="shared" si="76"/>
        <v>1.3400315612979583</v>
      </c>
      <c r="M447" s="16">
        <f t="shared" si="67"/>
        <v>26.566903267437084</v>
      </c>
      <c r="N447" s="16">
        <f t="shared" si="68"/>
        <v>8.5724126306988229</v>
      </c>
      <c r="O447" s="16">
        <f t="shared" si="69"/>
        <v>7.572412630698822</v>
      </c>
      <c r="P447" s="1">
        <v>2024</v>
      </c>
      <c r="Q447" s="1" t="s">
        <v>56</v>
      </c>
      <c r="R447" s="1" t="s">
        <v>40</v>
      </c>
      <c r="S447" s="70">
        <f>DATE(Table2[[#This Row],[Year]],MONTH(DATEVALUE("1-"&amp;Table2[[#This Row],[Month]]&amp;"-2000")),1)</f>
        <v>45292</v>
      </c>
      <c r="T447" s="16">
        <f t="shared" si="70"/>
        <v>11.487303481605682</v>
      </c>
      <c r="U447" s="16">
        <f t="shared" si="71"/>
        <v>0.22774245712833149</v>
      </c>
      <c r="V447" s="16">
        <f t="shared" si="72"/>
        <v>301.92399999999998</v>
      </c>
      <c r="W447" s="16">
        <f t="shared" si="73"/>
        <v>2588.2171111111111</v>
      </c>
      <c r="X447" s="16">
        <f t="shared" si="74"/>
        <v>225.3111111111111</v>
      </c>
      <c r="Y447" s="16">
        <f t="shared" si="75"/>
        <v>11364.666666666666</v>
      </c>
      <c r="Z447" s="7" t="str" cm="1">
        <f t="array" ref="Z447">_xlfn.IFS(K447&lt;2%,"Low",K447&lt;5%,"Medium",K447&lt;10%,"Good",K447&gt;10%,"Excellent")</f>
        <v>Low</v>
      </c>
      <c r="AA447" s="16" t="str">
        <f>Data_Validation!N445</f>
        <v>Pass</v>
      </c>
    </row>
    <row r="448" spans="1:27" x14ac:dyDescent="0.35">
      <c r="A448" s="17" t="s">
        <v>62</v>
      </c>
      <c r="B448" s="3" t="s">
        <v>19</v>
      </c>
      <c r="C448" s="3" t="s">
        <v>36</v>
      </c>
      <c r="D448" s="3" t="s">
        <v>37</v>
      </c>
      <c r="E448" s="3" t="s">
        <v>22</v>
      </c>
      <c r="F448" s="3">
        <v>1788.84</v>
      </c>
      <c r="G448" s="3">
        <v>611790</v>
      </c>
      <c r="H448" s="3">
        <v>44279</v>
      </c>
      <c r="I448" s="3">
        <v>182080.7</v>
      </c>
      <c r="J448" s="3">
        <v>16</v>
      </c>
      <c r="K448" s="15">
        <f t="shared" si="66"/>
        <v>7.2376142140276892E-2</v>
      </c>
      <c r="L448" s="16">
        <f t="shared" si="76"/>
        <v>4.0399286343413353E-2</v>
      </c>
      <c r="M448" s="16">
        <f t="shared" si="67"/>
        <v>2.9239444907566319</v>
      </c>
      <c r="N448" s="16">
        <f t="shared" si="68"/>
        <v>101.78702399320231</v>
      </c>
      <c r="O448" s="16">
        <f t="shared" si="69"/>
        <v>100.78702399320231</v>
      </c>
      <c r="P448" s="1">
        <v>2024</v>
      </c>
      <c r="Q448" s="1" t="s">
        <v>56</v>
      </c>
      <c r="R448" s="1" t="s">
        <v>40</v>
      </c>
      <c r="S448" s="70">
        <f>DATE(Table2[[#This Row],[Year]],MONTH(DATEVALUE("1-"&amp;Table2[[#This Row],[Month]]&amp;"-2000")),1)</f>
        <v>45292</v>
      </c>
      <c r="T448" s="16">
        <f t="shared" si="70"/>
        <v>4.1121231283452655</v>
      </c>
      <c r="U448" s="16">
        <f t="shared" si="71"/>
        <v>0.29761960803543702</v>
      </c>
      <c r="V448" s="16">
        <f t="shared" si="72"/>
        <v>111.80249999999999</v>
      </c>
      <c r="W448" s="16">
        <f t="shared" si="73"/>
        <v>11380.043750000001</v>
      </c>
      <c r="X448" s="16">
        <f t="shared" si="74"/>
        <v>2767.4375</v>
      </c>
      <c r="Y448" s="16">
        <f t="shared" si="75"/>
        <v>38236.875</v>
      </c>
      <c r="Z448" s="7" t="str" cm="1">
        <f t="array" ref="Z448">_xlfn.IFS(K448&lt;2%,"Low",K448&lt;5%,"Medium",K448&lt;10%,"Good",K448&gt;10%,"Excellent")</f>
        <v>Good</v>
      </c>
      <c r="AA448" s="16" t="str">
        <f>Data_Validation!N446</f>
        <v>Pass</v>
      </c>
    </row>
    <row r="449" spans="1:27" x14ac:dyDescent="0.35">
      <c r="A449" s="17" t="s">
        <v>72</v>
      </c>
      <c r="B449" s="3" t="s">
        <v>28</v>
      </c>
      <c r="C449" s="3" t="s">
        <v>58</v>
      </c>
      <c r="D449" s="3" t="s">
        <v>37</v>
      </c>
      <c r="E449" s="3" t="s">
        <v>30</v>
      </c>
      <c r="F449" s="3">
        <v>653.74</v>
      </c>
      <c r="G449" s="3">
        <v>296290</v>
      </c>
      <c r="H449" s="3">
        <v>2297</v>
      </c>
      <c r="I449" s="3">
        <v>163568.44</v>
      </c>
      <c r="J449" s="3">
        <v>22</v>
      </c>
      <c r="K449" s="15">
        <f t="shared" si="66"/>
        <v>7.7525397414695066E-3</v>
      </c>
      <c r="L449" s="16">
        <f t="shared" si="76"/>
        <v>0.28460600783630824</v>
      </c>
      <c r="M449" s="16">
        <f t="shared" si="67"/>
        <v>2.2064193864119614</v>
      </c>
      <c r="N449" s="16">
        <f t="shared" si="68"/>
        <v>250.20411784501485</v>
      </c>
      <c r="O449" s="16">
        <f t="shared" si="69"/>
        <v>249.20411784501485</v>
      </c>
      <c r="P449" s="1">
        <v>2024</v>
      </c>
      <c r="Q449" s="1" t="s">
        <v>56</v>
      </c>
      <c r="R449" s="1" t="s">
        <v>40</v>
      </c>
      <c r="S449" s="70">
        <f>DATE(Table2[[#This Row],[Year]],MONTH(DATEVALUE("1-"&amp;Table2[[#This Row],[Month]]&amp;"-2000")),1)</f>
        <v>45292</v>
      </c>
      <c r="T449" s="16">
        <f t="shared" si="70"/>
        <v>71.20959512407488</v>
      </c>
      <c r="U449" s="16">
        <f t="shared" si="71"/>
        <v>0.55205521617334374</v>
      </c>
      <c r="V449" s="16">
        <f t="shared" si="72"/>
        <v>29.715454545454545</v>
      </c>
      <c r="W449" s="16">
        <f t="shared" si="73"/>
        <v>7434.9290909090914</v>
      </c>
      <c r="X449" s="16">
        <f t="shared" si="74"/>
        <v>104.40909090909091</v>
      </c>
      <c r="Y449" s="16">
        <f t="shared" si="75"/>
        <v>13467.727272727272</v>
      </c>
      <c r="Z449" s="7" t="str" cm="1">
        <f t="array" ref="Z449">_xlfn.IFS(K449&lt;2%,"Low",K449&lt;5%,"Medium",K449&lt;10%,"Good",K449&gt;10%,"Excellent")</f>
        <v>Low</v>
      </c>
      <c r="AA449" s="16" t="str">
        <f>Data_Validation!N447</f>
        <v>Pass</v>
      </c>
    </row>
    <row r="450" spans="1:27" x14ac:dyDescent="0.35">
      <c r="A450" s="17" t="s">
        <v>88</v>
      </c>
      <c r="B450" s="3" t="s">
        <v>28</v>
      </c>
      <c r="C450" s="3" t="s">
        <v>29</v>
      </c>
      <c r="D450" s="3" t="s">
        <v>51</v>
      </c>
      <c r="E450" s="3" t="s">
        <v>38</v>
      </c>
      <c r="F450" s="3">
        <v>19170.55</v>
      </c>
      <c r="G450" s="3">
        <v>20821</v>
      </c>
      <c r="H450" s="3">
        <v>30828</v>
      </c>
      <c r="I450" s="3">
        <v>37635.21</v>
      </c>
      <c r="J450" s="3">
        <v>43</v>
      </c>
      <c r="K450" s="15">
        <f t="shared" si="66"/>
        <v>1.4806205273521924</v>
      </c>
      <c r="L450" s="16">
        <f t="shared" si="76"/>
        <v>0.62185513169845597</v>
      </c>
      <c r="M450" s="16">
        <f t="shared" si="67"/>
        <v>920.73147303203496</v>
      </c>
      <c r="N450" s="16">
        <f t="shared" si="68"/>
        <v>1.963178416894664</v>
      </c>
      <c r="O450" s="16">
        <f t="shared" si="69"/>
        <v>0.96317841689466399</v>
      </c>
      <c r="P450" s="1">
        <v>2024</v>
      </c>
      <c r="Q450" s="1" t="s">
        <v>56</v>
      </c>
      <c r="R450" s="1" t="s">
        <v>40</v>
      </c>
      <c r="S450" s="70">
        <f>DATE(Table2[[#This Row],[Year]],MONTH(DATEVALUE("1-"&amp;Table2[[#This Row],[Month]]&amp;"-2000")),1)</f>
        <v>45292</v>
      </c>
      <c r="T450" s="16">
        <f t="shared" si="70"/>
        <v>1.2208125729855974</v>
      </c>
      <c r="U450" s="16">
        <f t="shared" si="71"/>
        <v>1.8075601556121224</v>
      </c>
      <c r="V450" s="16">
        <f t="shared" si="72"/>
        <v>445.82674418604648</v>
      </c>
      <c r="W450" s="16">
        <f t="shared" si="73"/>
        <v>875.23744186046508</v>
      </c>
      <c r="X450" s="16">
        <f t="shared" si="74"/>
        <v>716.93023255813955</v>
      </c>
      <c r="Y450" s="16">
        <f t="shared" si="75"/>
        <v>484.2093023255814</v>
      </c>
      <c r="Z450" s="7" t="str" cm="1">
        <f t="array" ref="Z450">_xlfn.IFS(K450&lt;2%,"Low",K450&lt;5%,"Medium",K450&lt;10%,"Good",K450&gt;10%,"Excellent")</f>
        <v>Excellent</v>
      </c>
      <c r="AA450" s="16" t="str">
        <f>Data_Validation!N448</f>
        <v>Fail</v>
      </c>
    </row>
    <row r="451" spans="1:27" x14ac:dyDescent="0.35">
      <c r="A451" s="17" t="s">
        <v>66</v>
      </c>
      <c r="B451" s="3" t="s">
        <v>35</v>
      </c>
      <c r="C451" s="3" t="s">
        <v>58</v>
      </c>
      <c r="D451" s="3" t="s">
        <v>43</v>
      </c>
      <c r="E451" s="3" t="s">
        <v>22</v>
      </c>
      <c r="F451" s="3">
        <v>9411.2999999999993</v>
      </c>
      <c r="G451" s="3">
        <v>707883</v>
      </c>
      <c r="H451" s="3">
        <v>20871</v>
      </c>
      <c r="I451" s="3">
        <v>244615.53</v>
      </c>
      <c r="J451" s="3">
        <v>17</v>
      </c>
      <c r="K451" s="15">
        <f t="shared" si="66"/>
        <v>2.9483685863341824E-2</v>
      </c>
      <c r="L451" s="16">
        <f t="shared" si="76"/>
        <v>0.45092712376024147</v>
      </c>
      <c r="M451" s="16">
        <f t="shared" si="67"/>
        <v>13.294993664207221</v>
      </c>
      <c r="N451" s="16">
        <f t="shared" si="68"/>
        <v>25.99168340186797</v>
      </c>
      <c r="O451" s="16">
        <f t="shared" si="69"/>
        <v>24.99168340186797</v>
      </c>
      <c r="P451" s="1">
        <v>2024</v>
      </c>
      <c r="Q451" s="1" t="s">
        <v>56</v>
      </c>
      <c r="R451" s="1" t="s">
        <v>40</v>
      </c>
      <c r="S451" s="70">
        <f>DATE(Table2[[#This Row],[Year]],MONTH(DATEVALUE("1-"&amp;Table2[[#This Row],[Month]]&amp;"-2000")),1)</f>
        <v>45292</v>
      </c>
      <c r="T451" s="16">
        <f t="shared" si="70"/>
        <v>11.720355038091132</v>
      </c>
      <c r="U451" s="16">
        <f t="shared" si="71"/>
        <v>0.34555926614991461</v>
      </c>
      <c r="V451" s="16">
        <f t="shared" si="72"/>
        <v>553.60588235294108</v>
      </c>
      <c r="W451" s="16">
        <f t="shared" si="73"/>
        <v>14389.148823529411</v>
      </c>
      <c r="X451" s="16">
        <f t="shared" si="74"/>
        <v>1227.7058823529412</v>
      </c>
      <c r="Y451" s="16">
        <f t="shared" si="75"/>
        <v>41640.176470588238</v>
      </c>
      <c r="Z451" s="7" t="str" cm="1">
        <f t="array" ref="Z451">_xlfn.IFS(K451&lt;2%,"Low",K451&lt;5%,"Medium",K451&lt;10%,"Good",K451&gt;10%,"Excellent")</f>
        <v>Medium</v>
      </c>
      <c r="AA451" s="16" t="str">
        <f>Data_Validation!N449</f>
        <v>Pass</v>
      </c>
    </row>
    <row r="452" spans="1:27" x14ac:dyDescent="0.35">
      <c r="A452" s="17" t="s">
        <v>82</v>
      </c>
      <c r="B452" s="3" t="s">
        <v>48</v>
      </c>
      <c r="C452" s="3" t="s">
        <v>69</v>
      </c>
      <c r="D452" s="3" t="s">
        <v>37</v>
      </c>
      <c r="E452" s="3" t="s">
        <v>22</v>
      </c>
      <c r="F452" s="3">
        <v>25308.32</v>
      </c>
      <c r="G452" s="3">
        <v>405833</v>
      </c>
      <c r="H452" s="3">
        <v>24718</v>
      </c>
      <c r="I452" s="3">
        <v>24661.25</v>
      </c>
      <c r="J452" s="3">
        <v>30</v>
      </c>
      <c r="K452" s="15">
        <f t="shared" si="66"/>
        <v>6.0906826206838773E-2</v>
      </c>
      <c r="L452" s="16">
        <f t="shared" si="76"/>
        <v>1.023882191115786</v>
      </c>
      <c r="M452" s="16">
        <f t="shared" si="67"/>
        <v>62.361414670566461</v>
      </c>
      <c r="N452" s="16">
        <f t="shared" si="68"/>
        <v>0.97443251863418834</v>
      </c>
      <c r="O452" s="16">
        <f t="shared" si="69"/>
        <v>-2.5567481365811707E-2</v>
      </c>
      <c r="P452" s="1">
        <v>2024</v>
      </c>
      <c r="Q452" s="1" t="s">
        <v>56</v>
      </c>
      <c r="R452" s="1" t="s">
        <v>40</v>
      </c>
      <c r="S452" s="70">
        <f>DATE(Table2[[#This Row],[Year]],MONTH(DATEVALUE("1-"&amp;Table2[[#This Row],[Month]]&amp;"-2000")),1)</f>
        <v>45292</v>
      </c>
      <c r="T452" s="16">
        <f t="shared" si="70"/>
        <v>0.9977041022736467</v>
      </c>
      <c r="U452" s="16">
        <f t="shared" si="71"/>
        <v>6.0766990363031098E-2</v>
      </c>
      <c r="V452" s="16">
        <f t="shared" si="72"/>
        <v>843.6106666666667</v>
      </c>
      <c r="W452" s="16">
        <f t="shared" si="73"/>
        <v>822.04166666666663</v>
      </c>
      <c r="X452" s="16">
        <f t="shared" si="74"/>
        <v>823.93333333333328</v>
      </c>
      <c r="Y452" s="16">
        <f t="shared" si="75"/>
        <v>13527.766666666666</v>
      </c>
      <c r="Z452" s="7" t="str" cm="1">
        <f t="array" ref="Z452">_xlfn.IFS(K452&lt;2%,"Low",K452&lt;5%,"Medium",K452&lt;10%,"Good",K452&gt;10%,"Excellent")</f>
        <v>Good</v>
      </c>
      <c r="AA452" s="16" t="str">
        <f>Data_Validation!N450</f>
        <v>Pass</v>
      </c>
    </row>
    <row r="453" spans="1:27" x14ac:dyDescent="0.35">
      <c r="A453" s="17" t="s">
        <v>93</v>
      </c>
      <c r="B453" s="3" t="s">
        <v>35</v>
      </c>
      <c r="C453" s="3" t="s">
        <v>69</v>
      </c>
      <c r="D453" s="3" t="s">
        <v>51</v>
      </c>
      <c r="E453" s="3" t="s">
        <v>22</v>
      </c>
      <c r="F453" s="3">
        <v>5639.72</v>
      </c>
      <c r="G453" s="3">
        <v>645111</v>
      </c>
      <c r="H453" s="3">
        <v>25630</v>
      </c>
      <c r="I453" s="3">
        <v>50907.83</v>
      </c>
      <c r="J453" s="3">
        <v>46</v>
      </c>
      <c r="K453" s="15">
        <f t="shared" si="66"/>
        <v>3.9729596922080078E-2</v>
      </c>
      <c r="L453" s="16">
        <f t="shared" si="76"/>
        <v>0.22004369879047991</v>
      </c>
      <c r="M453" s="16">
        <f t="shared" si="67"/>
        <v>8.7422474581893663</v>
      </c>
      <c r="N453" s="16">
        <f t="shared" si="68"/>
        <v>9.0266591249210961</v>
      </c>
      <c r="O453" s="16">
        <f t="shared" si="69"/>
        <v>8.0266591249210943</v>
      </c>
      <c r="P453" s="1">
        <v>2024</v>
      </c>
      <c r="Q453" s="1" t="s">
        <v>56</v>
      </c>
      <c r="R453" s="1" t="s">
        <v>40</v>
      </c>
      <c r="S453" s="70">
        <f>DATE(Table2[[#This Row],[Year]],MONTH(DATEVALUE("1-"&amp;Table2[[#This Row],[Month]]&amp;"-2000")),1)</f>
        <v>45292</v>
      </c>
      <c r="T453" s="16">
        <f t="shared" si="70"/>
        <v>1.9862594615684745</v>
      </c>
      <c r="U453" s="16">
        <f t="shared" si="71"/>
        <v>7.8913287790783299E-2</v>
      </c>
      <c r="V453" s="16">
        <f t="shared" si="72"/>
        <v>122.60260869565218</v>
      </c>
      <c r="W453" s="16">
        <f t="shared" si="73"/>
        <v>1106.6919565217393</v>
      </c>
      <c r="X453" s="16">
        <f t="shared" si="74"/>
        <v>557.17391304347825</v>
      </c>
      <c r="Y453" s="16">
        <f t="shared" si="75"/>
        <v>14024.152173913044</v>
      </c>
      <c r="Z453" s="7" t="str" cm="1">
        <f t="array" ref="Z453">_xlfn.IFS(K453&lt;2%,"Low",K453&lt;5%,"Medium",K453&lt;10%,"Good",K453&gt;10%,"Excellent")</f>
        <v>Medium</v>
      </c>
      <c r="AA453" s="16" t="str">
        <f>Data_Validation!N451</f>
        <v>Pass</v>
      </c>
    </row>
    <row r="454" spans="1:27" x14ac:dyDescent="0.35">
      <c r="A454" s="17" t="s">
        <v>105</v>
      </c>
      <c r="B454" s="3" t="s">
        <v>48</v>
      </c>
      <c r="C454" s="3" t="s">
        <v>20</v>
      </c>
      <c r="D454" s="3" t="s">
        <v>21</v>
      </c>
      <c r="E454" s="3" t="s">
        <v>38</v>
      </c>
      <c r="F454" s="3">
        <v>13864.98</v>
      </c>
      <c r="G454" s="3">
        <v>951858</v>
      </c>
      <c r="H454" s="3">
        <v>5201</v>
      </c>
      <c r="I454" s="3">
        <v>131582.41</v>
      </c>
      <c r="J454" s="3">
        <v>47</v>
      </c>
      <c r="K454" s="15">
        <f t="shared" si="66"/>
        <v>5.4640503100252345E-3</v>
      </c>
      <c r="L454" s="16">
        <f t="shared" si="76"/>
        <v>2.6658296481445873</v>
      </c>
      <c r="M454" s="16">
        <f t="shared" si="67"/>
        <v>14.566227315418898</v>
      </c>
      <c r="N454" s="16">
        <f t="shared" si="68"/>
        <v>9.4902704511654541</v>
      </c>
      <c r="O454" s="16">
        <f t="shared" si="69"/>
        <v>8.4902704511654559</v>
      </c>
      <c r="P454" s="1">
        <v>2024</v>
      </c>
      <c r="Q454" s="1" t="s">
        <v>56</v>
      </c>
      <c r="R454" s="1" t="s">
        <v>40</v>
      </c>
      <c r="S454" s="70">
        <f>DATE(Table2[[#This Row],[Year]],MONTH(DATEVALUE("1-"&amp;Table2[[#This Row],[Month]]&amp;"-2000")),1)</f>
        <v>45292</v>
      </c>
      <c r="T454" s="16">
        <f t="shared" si="70"/>
        <v>25.299444337627381</v>
      </c>
      <c r="U454" s="16">
        <f t="shared" si="71"/>
        <v>0.13823743667647906</v>
      </c>
      <c r="V454" s="16">
        <f t="shared" si="72"/>
        <v>294.99957446808509</v>
      </c>
      <c r="W454" s="16">
        <f t="shared" si="73"/>
        <v>2799.6257446808513</v>
      </c>
      <c r="X454" s="16">
        <f t="shared" si="74"/>
        <v>110.65957446808511</v>
      </c>
      <c r="Y454" s="16">
        <f t="shared" si="75"/>
        <v>20252.297872340427</v>
      </c>
      <c r="Z454" s="7" t="str" cm="1">
        <f t="array" ref="Z454">_xlfn.IFS(K454&lt;2%,"Low",K454&lt;5%,"Medium",K454&lt;10%,"Good",K454&gt;10%,"Excellent")</f>
        <v>Low</v>
      </c>
      <c r="AA454" s="16" t="str">
        <f>Data_Validation!N452</f>
        <v>Pass</v>
      </c>
    </row>
    <row r="455" spans="1:27" x14ac:dyDescent="0.35">
      <c r="A455" s="17" t="s">
        <v>114</v>
      </c>
      <c r="B455" s="3" t="s">
        <v>35</v>
      </c>
      <c r="C455" s="3" t="s">
        <v>36</v>
      </c>
      <c r="D455" s="3" t="s">
        <v>21</v>
      </c>
      <c r="E455" s="3" t="s">
        <v>30</v>
      </c>
      <c r="F455" s="3">
        <v>28912.69</v>
      </c>
      <c r="G455" s="3">
        <v>277865</v>
      </c>
      <c r="H455" s="3">
        <v>11262</v>
      </c>
      <c r="I455" s="3">
        <v>19726.96</v>
      </c>
      <c r="J455" s="3">
        <v>43</v>
      </c>
      <c r="K455" s="15">
        <f t="shared" si="66"/>
        <v>4.0530473431342556E-2</v>
      </c>
      <c r="L455" s="16">
        <f t="shared" si="76"/>
        <v>2.5672784585331203</v>
      </c>
      <c r="M455" s="16">
        <f t="shared" si="67"/>
        <v>104.0530113544347</v>
      </c>
      <c r="N455" s="16">
        <f t="shared" si="68"/>
        <v>0.68229417601752029</v>
      </c>
      <c r="O455" s="16">
        <f t="shared" si="69"/>
        <v>-0.31770582398247965</v>
      </c>
      <c r="P455" s="1">
        <v>2024</v>
      </c>
      <c r="Q455" s="1" t="s">
        <v>56</v>
      </c>
      <c r="R455" s="1" t="s">
        <v>40</v>
      </c>
      <c r="S455" s="70">
        <f>DATE(Table2[[#This Row],[Year]],MONTH(DATEVALUE("1-"&amp;Table2[[#This Row],[Month]]&amp;"-2000")),1)</f>
        <v>45292</v>
      </c>
      <c r="T455" s="16">
        <f t="shared" si="70"/>
        <v>1.751639140472385</v>
      </c>
      <c r="U455" s="16">
        <f t="shared" si="71"/>
        <v>7.0994763644215711E-2</v>
      </c>
      <c r="V455" s="16">
        <f t="shared" si="72"/>
        <v>672.38813953488363</v>
      </c>
      <c r="W455" s="16">
        <f t="shared" si="73"/>
        <v>458.76651162790694</v>
      </c>
      <c r="X455" s="16">
        <f t="shared" si="74"/>
        <v>261.90697674418607</v>
      </c>
      <c r="Y455" s="16">
        <f t="shared" si="75"/>
        <v>6461.9767441860467</v>
      </c>
      <c r="Z455" s="7" t="str" cm="1">
        <f t="array" ref="Z455">_xlfn.IFS(K455&lt;2%,"Low",K455&lt;5%,"Medium",K455&lt;10%,"Good",K455&gt;10%,"Excellent")</f>
        <v>Medium</v>
      </c>
      <c r="AA455" s="16" t="str">
        <f>Data_Validation!N453</f>
        <v>Pass</v>
      </c>
    </row>
    <row r="456" spans="1:27" x14ac:dyDescent="0.35">
      <c r="A456" s="17" t="s">
        <v>103</v>
      </c>
      <c r="B456" s="3" t="s">
        <v>28</v>
      </c>
      <c r="C456" s="3" t="s">
        <v>20</v>
      </c>
      <c r="D456" s="3" t="s">
        <v>59</v>
      </c>
      <c r="E456" s="3" t="s">
        <v>38</v>
      </c>
      <c r="F456" s="3">
        <v>2112.9899999999998</v>
      </c>
      <c r="G456" s="3">
        <v>667343</v>
      </c>
      <c r="H456" s="3">
        <v>44585</v>
      </c>
      <c r="I456" s="3">
        <v>138504.51999999999</v>
      </c>
      <c r="J456" s="3">
        <v>46</v>
      </c>
      <c r="K456" s="15">
        <f t="shared" si="66"/>
        <v>6.68097215375002E-2</v>
      </c>
      <c r="L456" s="16">
        <f t="shared" si="76"/>
        <v>4.7392396545923511E-2</v>
      </c>
      <c r="M456" s="16">
        <f t="shared" si="67"/>
        <v>3.1662728162279361</v>
      </c>
      <c r="N456" s="16">
        <f t="shared" si="68"/>
        <v>65.549065542193759</v>
      </c>
      <c r="O456" s="16">
        <f t="shared" si="69"/>
        <v>64.549065542193773</v>
      </c>
      <c r="P456" s="1">
        <v>2024</v>
      </c>
      <c r="Q456" s="1" t="s">
        <v>56</v>
      </c>
      <c r="R456" s="1" t="s">
        <v>40</v>
      </c>
      <c r="S456" s="70">
        <f>DATE(Table2[[#This Row],[Year]],MONTH(DATEVALUE("1-"&amp;Table2[[#This Row],[Month]]&amp;"-2000")),1)</f>
        <v>45292</v>
      </c>
      <c r="T456" s="16">
        <f t="shared" si="70"/>
        <v>3.1065273073903779</v>
      </c>
      <c r="U456" s="16">
        <f t="shared" si="71"/>
        <v>0.20754622435539144</v>
      </c>
      <c r="V456" s="16">
        <f t="shared" si="72"/>
        <v>45.934565217391302</v>
      </c>
      <c r="W456" s="16">
        <f t="shared" si="73"/>
        <v>3010.9678260869564</v>
      </c>
      <c r="X456" s="16">
        <f t="shared" si="74"/>
        <v>969.23913043478262</v>
      </c>
      <c r="Y456" s="16">
        <f t="shared" si="75"/>
        <v>14507.45652173913</v>
      </c>
      <c r="Z456" s="7" t="str" cm="1">
        <f t="array" ref="Z456">_xlfn.IFS(K456&lt;2%,"Low",K456&lt;5%,"Medium",K456&lt;10%,"Good",K456&gt;10%,"Excellent")</f>
        <v>Good</v>
      </c>
      <c r="AA456" s="16" t="str">
        <f>Data_Validation!N454</f>
        <v>Pass</v>
      </c>
    </row>
    <row r="457" spans="1:27" x14ac:dyDescent="0.35">
      <c r="A457" s="17" t="s">
        <v>67</v>
      </c>
      <c r="B457" s="3" t="s">
        <v>35</v>
      </c>
      <c r="C457" s="3" t="s">
        <v>69</v>
      </c>
      <c r="D457" s="3" t="s">
        <v>51</v>
      </c>
      <c r="E457" s="3" t="s">
        <v>22</v>
      </c>
      <c r="F457" s="3">
        <v>5624.79</v>
      </c>
      <c r="G457" s="3">
        <v>991586</v>
      </c>
      <c r="H457" s="3">
        <v>13878</v>
      </c>
      <c r="I457" s="3">
        <v>79742.73</v>
      </c>
      <c r="J457" s="3">
        <v>47</v>
      </c>
      <c r="K457" s="15">
        <f t="shared" ref="K457:K520" si="77">H457/G457</f>
        <v>1.3995760327394699E-2</v>
      </c>
      <c r="L457" s="16">
        <f t="shared" si="76"/>
        <v>0.40530263726761778</v>
      </c>
      <c r="M457" s="16">
        <f t="shared" ref="M457:M520" si="78">F457/G457*1000</f>
        <v>5.6725185712585695</v>
      </c>
      <c r="N457" s="16">
        <f t="shared" ref="N457:N520" si="79">I457/F457</f>
        <v>14.177014608545385</v>
      </c>
      <c r="O457" s="16">
        <f t="shared" ref="O457:O520" si="80">(I457-F457)/F457</f>
        <v>13.177014608545386</v>
      </c>
      <c r="P457" s="1">
        <v>2024</v>
      </c>
      <c r="Q457" s="1" t="s">
        <v>56</v>
      </c>
      <c r="R457" s="1" t="s">
        <v>40</v>
      </c>
      <c r="S457" s="70">
        <f>DATE(Table2[[#This Row],[Year]],MONTH(DATEVALUE("1-"&amp;Table2[[#This Row],[Month]]&amp;"-2000")),1)</f>
        <v>45292</v>
      </c>
      <c r="T457" s="16">
        <f t="shared" ref="T457:T520" si="81">I457/H457</f>
        <v>5.7459814094249886</v>
      </c>
      <c r="U457" s="16">
        <f t="shared" ref="U457:U520" si="82">I457/G457</f>
        <v>8.0419378651977735E-2</v>
      </c>
      <c r="V457" s="16">
        <f t="shared" ref="V457:V520" si="83">F457/J457</f>
        <v>119.67638297872341</v>
      </c>
      <c r="W457" s="16">
        <f t="shared" ref="W457:W520" si="84">I457/J457</f>
        <v>1696.6538297872339</v>
      </c>
      <c r="X457" s="16">
        <f t="shared" ref="X457:X520" si="85">H457/J457</f>
        <v>295.27659574468083</v>
      </c>
      <c r="Y457" s="16">
        <f t="shared" ref="Y457:Y520" si="86">G457/J457</f>
        <v>21097.574468085106</v>
      </c>
      <c r="Z457" s="7" t="str" cm="1">
        <f t="array" ref="Z457">_xlfn.IFS(K457&lt;2%,"Low",K457&lt;5%,"Medium",K457&lt;10%,"Good",K457&gt;10%,"Excellent")</f>
        <v>Low</v>
      </c>
      <c r="AA457" s="16" t="str">
        <f>Data_Validation!N455</f>
        <v>Pass</v>
      </c>
    </row>
    <row r="458" spans="1:27" x14ac:dyDescent="0.35">
      <c r="A458" s="17" t="s">
        <v>55</v>
      </c>
      <c r="B458" s="3" t="s">
        <v>19</v>
      </c>
      <c r="C458" s="3" t="s">
        <v>29</v>
      </c>
      <c r="D458" s="3" t="s">
        <v>37</v>
      </c>
      <c r="E458" s="3" t="s">
        <v>38</v>
      </c>
      <c r="F458" s="3">
        <v>38183.89</v>
      </c>
      <c r="G458" s="3">
        <v>594004</v>
      </c>
      <c r="H458" s="3">
        <v>14492</v>
      </c>
      <c r="I458" s="3">
        <v>172730.49</v>
      </c>
      <c r="J458" s="3">
        <v>23</v>
      </c>
      <c r="K458" s="15">
        <f t="shared" si="77"/>
        <v>2.4397142106787159E-2</v>
      </c>
      <c r="L458" s="16">
        <f t="shared" ref="L458:L521" si="87">F458/H458</f>
        <v>2.6348254209218878</v>
      </c>
      <c r="M458" s="16">
        <f t="shared" si="78"/>
        <v>64.28221022080659</v>
      </c>
      <c r="N458" s="16">
        <f t="shared" si="79"/>
        <v>4.5236483239397556</v>
      </c>
      <c r="O458" s="16">
        <f t="shared" si="80"/>
        <v>3.5236483239397551</v>
      </c>
      <c r="P458" s="1">
        <v>2024</v>
      </c>
      <c r="Q458" s="1" t="s">
        <v>56</v>
      </c>
      <c r="R458" s="1" t="s">
        <v>40</v>
      </c>
      <c r="S458" s="70">
        <f>DATE(Table2[[#This Row],[Year]],MONTH(DATEVALUE("1-"&amp;Table2[[#This Row],[Month]]&amp;"-2000")),1)</f>
        <v>45292</v>
      </c>
      <c r="T458" s="16">
        <f t="shared" si="81"/>
        <v>11.91902359922716</v>
      </c>
      <c r="U458" s="16">
        <f t="shared" si="82"/>
        <v>0.29079011252449477</v>
      </c>
      <c r="V458" s="16">
        <f t="shared" si="83"/>
        <v>1660.1691304347826</v>
      </c>
      <c r="W458" s="16">
        <f t="shared" si="84"/>
        <v>7510.0213043478261</v>
      </c>
      <c r="X458" s="16">
        <f t="shared" si="85"/>
        <v>630.08695652173913</v>
      </c>
      <c r="Y458" s="16">
        <f t="shared" si="86"/>
        <v>25826.260869565216</v>
      </c>
      <c r="Z458" s="7" t="str" cm="1">
        <f t="array" ref="Z458">_xlfn.IFS(K458&lt;2%,"Low",K458&lt;5%,"Medium",K458&lt;10%,"Good",K458&gt;10%,"Excellent")</f>
        <v>Medium</v>
      </c>
      <c r="AA458" s="16" t="str">
        <f>Data_Validation!N456</f>
        <v>Pass</v>
      </c>
    </row>
    <row r="459" spans="1:27" x14ac:dyDescent="0.35">
      <c r="A459" s="17" t="s">
        <v>89</v>
      </c>
      <c r="B459" s="3" t="s">
        <v>19</v>
      </c>
      <c r="C459" s="3" t="s">
        <v>20</v>
      </c>
      <c r="D459" s="3" t="s">
        <v>51</v>
      </c>
      <c r="E459" s="3" t="s">
        <v>22</v>
      </c>
      <c r="F459" s="3">
        <v>14845.81</v>
      </c>
      <c r="G459" s="3">
        <v>644836</v>
      </c>
      <c r="H459" s="3">
        <v>28293</v>
      </c>
      <c r="I459" s="3">
        <v>29298.720000000001</v>
      </c>
      <c r="J459" s="3">
        <v>44</v>
      </c>
      <c r="K459" s="15">
        <f t="shared" si="77"/>
        <v>4.3876272416552425E-2</v>
      </c>
      <c r="L459" s="16">
        <f t="shared" si="87"/>
        <v>0.52471671438164913</v>
      </c>
      <c r="M459" s="16">
        <f t="shared" si="78"/>
        <v>23.022613501727569</v>
      </c>
      <c r="N459" s="16">
        <f t="shared" si="79"/>
        <v>1.9735346202059707</v>
      </c>
      <c r="O459" s="16">
        <f t="shared" si="80"/>
        <v>0.9735346202059707</v>
      </c>
      <c r="P459" s="1">
        <v>2024</v>
      </c>
      <c r="Q459" s="1" t="s">
        <v>56</v>
      </c>
      <c r="R459" s="1" t="s">
        <v>40</v>
      </c>
      <c r="S459" s="70">
        <f>DATE(Table2[[#This Row],[Year]],MONTH(DATEVALUE("1-"&amp;Table2[[#This Row],[Month]]&amp;"-2000")),1)</f>
        <v>45292</v>
      </c>
      <c r="T459" s="16">
        <f t="shared" si="81"/>
        <v>1.0355466016329127</v>
      </c>
      <c r="U459" s="16">
        <f t="shared" si="82"/>
        <v>4.5435924793280777E-2</v>
      </c>
      <c r="V459" s="16">
        <f t="shared" si="83"/>
        <v>337.4047727272727</v>
      </c>
      <c r="W459" s="16">
        <f t="shared" si="84"/>
        <v>665.88</v>
      </c>
      <c r="X459" s="16">
        <f t="shared" si="85"/>
        <v>643.02272727272725</v>
      </c>
      <c r="Y459" s="16">
        <f t="shared" si="86"/>
        <v>14655.363636363636</v>
      </c>
      <c r="Z459" s="7" t="str" cm="1">
        <f t="array" ref="Z459">_xlfn.IFS(K459&lt;2%,"Low",K459&lt;5%,"Medium",K459&lt;10%,"Good",K459&gt;10%,"Excellent")</f>
        <v>Medium</v>
      </c>
      <c r="AA459" s="16" t="str">
        <f>Data_Validation!N457</f>
        <v>Pass</v>
      </c>
    </row>
    <row r="460" spans="1:27" x14ac:dyDescent="0.35">
      <c r="A460" s="17" t="s">
        <v>97</v>
      </c>
      <c r="B460" s="3" t="s">
        <v>35</v>
      </c>
      <c r="C460" s="3" t="s">
        <v>29</v>
      </c>
      <c r="D460" s="3" t="s">
        <v>37</v>
      </c>
      <c r="E460" s="3" t="s">
        <v>30</v>
      </c>
      <c r="F460" s="3">
        <v>278.64999999999998</v>
      </c>
      <c r="G460" s="3">
        <v>289947</v>
      </c>
      <c r="H460" s="3">
        <v>49264</v>
      </c>
      <c r="I460" s="3">
        <v>197455.39</v>
      </c>
      <c r="J460" s="3">
        <v>15</v>
      </c>
      <c r="K460" s="15">
        <f t="shared" si="77"/>
        <v>0.16990691402221786</v>
      </c>
      <c r="L460" s="16">
        <f t="shared" si="87"/>
        <v>5.6562601493991551E-3</v>
      </c>
      <c r="M460" s="16">
        <f t="shared" si="78"/>
        <v>0.96103770689125934</v>
      </c>
      <c r="N460" s="16">
        <f t="shared" si="79"/>
        <v>708.61435492553392</v>
      </c>
      <c r="O460" s="16">
        <f t="shared" si="80"/>
        <v>707.61435492553392</v>
      </c>
      <c r="P460" s="1">
        <v>2024</v>
      </c>
      <c r="Q460" s="1" t="s">
        <v>56</v>
      </c>
      <c r="R460" s="1" t="s">
        <v>40</v>
      </c>
      <c r="S460" s="70">
        <f>DATE(Table2[[#This Row],[Year]],MONTH(DATEVALUE("1-"&amp;Table2[[#This Row],[Month]]&amp;"-2000")),1)</f>
        <v>45292</v>
      </c>
      <c r="T460" s="16">
        <f t="shared" si="81"/>
        <v>4.0081071370574861</v>
      </c>
      <c r="U460" s="16">
        <f t="shared" si="82"/>
        <v>0.68100511472786407</v>
      </c>
      <c r="V460" s="16">
        <f t="shared" si="83"/>
        <v>18.576666666666664</v>
      </c>
      <c r="W460" s="16">
        <f t="shared" si="84"/>
        <v>13163.692666666668</v>
      </c>
      <c r="X460" s="16">
        <f t="shared" si="85"/>
        <v>3284.2666666666669</v>
      </c>
      <c r="Y460" s="16">
        <f t="shared" si="86"/>
        <v>19329.8</v>
      </c>
      <c r="Z460" s="7" t="str" cm="1">
        <f t="array" ref="Z460">_xlfn.IFS(K460&lt;2%,"Low",K460&lt;5%,"Medium",K460&lt;10%,"Good",K460&gt;10%,"Excellent")</f>
        <v>Excellent</v>
      </c>
      <c r="AA460" s="16" t="str">
        <f>Data_Validation!N458</f>
        <v>Pass</v>
      </c>
    </row>
    <row r="461" spans="1:27" x14ac:dyDescent="0.35">
      <c r="A461" s="17" t="s">
        <v>62</v>
      </c>
      <c r="B461" s="3" t="s">
        <v>19</v>
      </c>
      <c r="C461" s="3" t="s">
        <v>20</v>
      </c>
      <c r="D461" s="3" t="s">
        <v>37</v>
      </c>
      <c r="E461" s="3" t="s">
        <v>38</v>
      </c>
      <c r="F461" s="3">
        <v>9282.69</v>
      </c>
      <c r="G461" s="3">
        <v>626005</v>
      </c>
      <c r="H461" s="3">
        <v>46278</v>
      </c>
      <c r="I461" s="3">
        <v>247153.31</v>
      </c>
      <c r="J461" s="3">
        <v>38</v>
      </c>
      <c r="K461" s="15">
        <f t="shared" si="77"/>
        <v>7.3925927109208395E-2</v>
      </c>
      <c r="L461" s="16">
        <f t="shared" si="87"/>
        <v>0.20058537534033452</v>
      </c>
      <c r="M461" s="16">
        <f t="shared" si="78"/>
        <v>14.828459836582775</v>
      </c>
      <c r="N461" s="16">
        <f t="shared" si="79"/>
        <v>26.625181924636067</v>
      </c>
      <c r="O461" s="16">
        <f t="shared" si="80"/>
        <v>25.625181924636067</v>
      </c>
      <c r="P461" s="1">
        <v>2024</v>
      </c>
      <c r="Q461" s="1" t="s">
        <v>56</v>
      </c>
      <c r="R461" s="1" t="s">
        <v>40</v>
      </c>
      <c r="S461" s="70">
        <f>DATE(Table2[[#This Row],[Year]],MONTH(DATEVALUE("1-"&amp;Table2[[#This Row],[Month]]&amp;"-2000")),1)</f>
        <v>45292</v>
      </c>
      <c r="T461" s="16">
        <f t="shared" si="81"/>
        <v>5.3406221098578159</v>
      </c>
      <c r="U461" s="16">
        <f t="shared" si="82"/>
        <v>0.39481044081117561</v>
      </c>
      <c r="V461" s="16">
        <f t="shared" si="83"/>
        <v>244.28131578947369</v>
      </c>
      <c r="W461" s="16">
        <f t="shared" si="84"/>
        <v>6504.0344736842108</v>
      </c>
      <c r="X461" s="16">
        <f t="shared" si="85"/>
        <v>1217.8421052631579</v>
      </c>
      <c r="Y461" s="16">
        <f t="shared" si="86"/>
        <v>16473.815789473683</v>
      </c>
      <c r="Z461" s="7" t="str" cm="1">
        <f t="array" ref="Z461">_xlfn.IFS(K461&lt;2%,"Low",K461&lt;5%,"Medium",K461&lt;10%,"Good",K461&gt;10%,"Excellent")</f>
        <v>Good</v>
      </c>
      <c r="AA461" s="16" t="str">
        <f>Data_Validation!N459</f>
        <v>Pass</v>
      </c>
    </row>
    <row r="462" spans="1:27" x14ac:dyDescent="0.35">
      <c r="A462" s="17" t="s">
        <v>98</v>
      </c>
      <c r="B462" s="3" t="s">
        <v>28</v>
      </c>
      <c r="C462" s="3" t="s">
        <v>29</v>
      </c>
      <c r="D462" s="3" t="s">
        <v>43</v>
      </c>
      <c r="E462" s="3" t="s">
        <v>38</v>
      </c>
      <c r="F462" s="3">
        <v>1409.96</v>
      </c>
      <c r="G462" s="3">
        <v>862283</v>
      </c>
      <c r="H462" s="3">
        <v>17445</v>
      </c>
      <c r="I462" s="3">
        <v>48592.72</v>
      </c>
      <c r="J462" s="3">
        <v>30</v>
      </c>
      <c r="K462" s="15">
        <f t="shared" si="77"/>
        <v>2.0231177003373603E-2</v>
      </c>
      <c r="L462" s="16">
        <f t="shared" si="87"/>
        <v>8.082315849813701E-2</v>
      </c>
      <c r="M462" s="16">
        <f t="shared" si="78"/>
        <v>1.6351476255475292</v>
      </c>
      <c r="N462" s="16">
        <f t="shared" si="79"/>
        <v>34.463899685097452</v>
      </c>
      <c r="O462" s="16">
        <f t="shared" si="80"/>
        <v>33.463899685097452</v>
      </c>
      <c r="P462" s="1">
        <v>2024</v>
      </c>
      <c r="Q462" s="1" t="s">
        <v>56</v>
      </c>
      <c r="R462" s="1" t="s">
        <v>40</v>
      </c>
      <c r="S462" s="70">
        <f>DATE(Table2[[#This Row],[Year]],MONTH(DATEVALUE("1-"&amp;Table2[[#This Row],[Month]]&amp;"-2000")),1)</f>
        <v>45292</v>
      </c>
      <c r="T462" s="16">
        <f t="shared" si="81"/>
        <v>2.7854812267125251</v>
      </c>
      <c r="U462" s="16">
        <f t="shared" si="82"/>
        <v>5.6353563737195328E-2</v>
      </c>
      <c r="V462" s="16">
        <f t="shared" si="83"/>
        <v>46.998666666666665</v>
      </c>
      <c r="W462" s="16">
        <f t="shared" si="84"/>
        <v>1619.7573333333335</v>
      </c>
      <c r="X462" s="16">
        <f t="shared" si="85"/>
        <v>581.5</v>
      </c>
      <c r="Y462" s="16">
        <f t="shared" si="86"/>
        <v>28742.766666666666</v>
      </c>
      <c r="Z462" s="7" t="str" cm="1">
        <f t="array" ref="Z462">_xlfn.IFS(K462&lt;2%,"Low",K462&lt;5%,"Medium",K462&lt;10%,"Good",K462&gt;10%,"Excellent")</f>
        <v>Medium</v>
      </c>
      <c r="AA462" s="16" t="str">
        <f>Data_Validation!N460</f>
        <v>Pass</v>
      </c>
    </row>
    <row r="463" spans="1:27" x14ac:dyDescent="0.35">
      <c r="A463" s="17" t="s">
        <v>104</v>
      </c>
      <c r="B463" s="3" t="s">
        <v>48</v>
      </c>
      <c r="C463" s="3" t="s">
        <v>36</v>
      </c>
      <c r="D463" s="3" t="s">
        <v>43</v>
      </c>
      <c r="E463" s="3" t="s">
        <v>38</v>
      </c>
      <c r="F463" s="3">
        <v>8791.2099999999991</v>
      </c>
      <c r="G463" s="3">
        <v>21190</v>
      </c>
      <c r="H463" s="3">
        <v>12934</v>
      </c>
      <c r="I463" s="3">
        <v>113309.74</v>
      </c>
      <c r="J463" s="3">
        <v>29</v>
      </c>
      <c r="K463" s="15">
        <f t="shared" si="77"/>
        <v>0.61038225578102878</v>
      </c>
      <c r="L463" s="16">
        <f t="shared" si="87"/>
        <v>0.6796976959950517</v>
      </c>
      <c r="M463" s="16">
        <f t="shared" si="78"/>
        <v>414.87541293062765</v>
      </c>
      <c r="N463" s="16">
        <f t="shared" si="79"/>
        <v>12.888981152765094</v>
      </c>
      <c r="O463" s="16">
        <f t="shared" si="80"/>
        <v>11.888981152765092</v>
      </c>
      <c r="P463" s="1">
        <v>2024</v>
      </c>
      <c r="Q463" s="1" t="s">
        <v>56</v>
      </c>
      <c r="R463" s="1" t="s">
        <v>40</v>
      </c>
      <c r="S463" s="70">
        <f>DATE(Table2[[#This Row],[Year]],MONTH(DATEVALUE("1-"&amp;Table2[[#This Row],[Month]]&amp;"-2000")),1)</f>
        <v>45292</v>
      </c>
      <c r="T463" s="16">
        <f t="shared" si="81"/>
        <v>8.7606107932580795</v>
      </c>
      <c r="U463" s="16">
        <f t="shared" si="82"/>
        <v>5.3473213780084947</v>
      </c>
      <c r="V463" s="16">
        <f t="shared" si="83"/>
        <v>303.14517241379309</v>
      </c>
      <c r="W463" s="16">
        <f t="shared" si="84"/>
        <v>3907.2324137931037</v>
      </c>
      <c r="X463" s="16">
        <f t="shared" si="85"/>
        <v>446</v>
      </c>
      <c r="Y463" s="16">
        <f t="shared" si="86"/>
        <v>730.68965517241384</v>
      </c>
      <c r="Z463" s="7" t="str" cm="1">
        <f t="array" ref="Z463">_xlfn.IFS(K463&lt;2%,"Low",K463&lt;5%,"Medium",K463&lt;10%,"Good",K463&gt;10%,"Excellent")</f>
        <v>Excellent</v>
      </c>
      <c r="AA463" s="16" t="str">
        <f>Data_Validation!N461</f>
        <v>Pass</v>
      </c>
    </row>
    <row r="464" spans="1:27" x14ac:dyDescent="0.35">
      <c r="A464" s="17" t="s">
        <v>42</v>
      </c>
      <c r="B464" s="3" t="s">
        <v>35</v>
      </c>
      <c r="C464" s="3" t="s">
        <v>29</v>
      </c>
      <c r="D464" s="3" t="s">
        <v>59</v>
      </c>
      <c r="E464" s="3" t="s">
        <v>38</v>
      </c>
      <c r="F464" s="3">
        <v>9514.2800000000007</v>
      </c>
      <c r="G464" s="3">
        <v>917340</v>
      </c>
      <c r="H464" s="3">
        <v>10566</v>
      </c>
      <c r="I464" s="3">
        <v>204302.07</v>
      </c>
      <c r="J464" s="3">
        <v>61</v>
      </c>
      <c r="K464" s="15">
        <f t="shared" si="77"/>
        <v>1.1518084897638826E-2</v>
      </c>
      <c r="L464" s="16">
        <f t="shared" si="87"/>
        <v>0.90046185879235285</v>
      </c>
      <c r="M464" s="16">
        <f t="shared" si="78"/>
        <v>10.371596136655985</v>
      </c>
      <c r="N464" s="16">
        <f t="shared" si="79"/>
        <v>21.47320343735942</v>
      </c>
      <c r="O464" s="16">
        <f t="shared" si="80"/>
        <v>20.47320343735942</v>
      </c>
      <c r="P464" s="1">
        <v>2024</v>
      </c>
      <c r="Q464" s="1" t="s">
        <v>56</v>
      </c>
      <c r="R464" s="1" t="s">
        <v>40</v>
      </c>
      <c r="S464" s="70">
        <f>DATE(Table2[[#This Row],[Year]],MONTH(DATEVALUE("1-"&amp;Table2[[#This Row],[Month]]&amp;"-2000")),1)</f>
        <v>45292</v>
      </c>
      <c r="T464" s="16">
        <f t="shared" si="81"/>
        <v>19.335800681431007</v>
      </c>
      <c r="U464" s="16">
        <f t="shared" si="82"/>
        <v>0.22271139381254498</v>
      </c>
      <c r="V464" s="16">
        <f t="shared" si="83"/>
        <v>155.97180327868853</v>
      </c>
      <c r="W464" s="16">
        <f t="shared" si="84"/>
        <v>3349.2142622950819</v>
      </c>
      <c r="X464" s="16">
        <f t="shared" si="85"/>
        <v>173.21311475409837</v>
      </c>
      <c r="Y464" s="16">
        <f t="shared" si="86"/>
        <v>15038.360655737704</v>
      </c>
      <c r="Z464" s="7" t="str" cm="1">
        <f t="array" ref="Z464">_xlfn.IFS(K464&lt;2%,"Low",K464&lt;5%,"Medium",K464&lt;10%,"Good",K464&gt;10%,"Excellent")</f>
        <v>Low</v>
      </c>
      <c r="AA464" s="16" t="str">
        <f>Data_Validation!N462</f>
        <v>Pass</v>
      </c>
    </row>
    <row r="465" spans="1:27" x14ac:dyDescent="0.35">
      <c r="A465" s="17" t="s">
        <v>50</v>
      </c>
      <c r="B465" s="3" t="s">
        <v>48</v>
      </c>
      <c r="C465" s="3" t="s">
        <v>69</v>
      </c>
      <c r="D465" s="3" t="s">
        <v>21</v>
      </c>
      <c r="E465" s="3" t="s">
        <v>38</v>
      </c>
      <c r="F465" s="3">
        <v>32264.54</v>
      </c>
      <c r="G465" s="3">
        <v>538597</v>
      </c>
      <c r="H465" s="3">
        <v>25309</v>
      </c>
      <c r="I465" s="3">
        <v>107572.86</v>
      </c>
      <c r="J465" s="3">
        <v>48</v>
      </c>
      <c r="K465" s="15">
        <f t="shared" si="77"/>
        <v>4.6990607077276703E-2</v>
      </c>
      <c r="L465" s="16">
        <f t="shared" si="87"/>
        <v>1.2748247658935556</v>
      </c>
      <c r="M465" s="16">
        <f t="shared" si="78"/>
        <v>59.904789666485335</v>
      </c>
      <c r="N465" s="16">
        <f t="shared" si="79"/>
        <v>3.3340893748988827</v>
      </c>
      <c r="O465" s="16">
        <f t="shared" si="80"/>
        <v>2.3340893748988831</v>
      </c>
      <c r="P465" s="1">
        <v>2024</v>
      </c>
      <c r="Q465" s="1" t="s">
        <v>39</v>
      </c>
      <c r="R465" s="1" t="s">
        <v>40</v>
      </c>
      <c r="S465" s="70">
        <f>DATE(Table2[[#This Row],[Year]],MONTH(DATEVALUE("1-"&amp;Table2[[#This Row],[Month]]&amp;"-2000")),1)</f>
        <v>45323</v>
      </c>
      <c r="T465" s="16">
        <f t="shared" si="81"/>
        <v>4.2503797068236597</v>
      </c>
      <c r="U465" s="16">
        <f t="shared" si="82"/>
        <v>0.19972792273258114</v>
      </c>
      <c r="V465" s="16">
        <f t="shared" si="83"/>
        <v>672.17791666666665</v>
      </c>
      <c r="W465" s="16">
        <f t="shared" si="84"/>
        <v>2241.1012500000002</v>
      </c>
      <c r="X465" s="16">
        <f t="shared" si="85"/>
        <v>527.27083333333337</v>
      </c>
      <c r="Y465" s="16">
        <f t="shared" si="86"/>
        <v>11220.770833333334</v>
      </c>
      <c r="Z465" s="7" t="str" cm="1">
        <f t="array" ref="Z465">_xlfn.IFS(K465&lt;2%,"Low",K465&lt;5%,"Medium",K465&lt;10%,"Good",K465&gt;10%,"Excellent")</f>
        <v>Medium</v>
      </c>
      <c r="AA465" s="16" t="str">
        <f>Data_Validation!N463</f>
        <v>Pass</v>
      </c>
    </row>
    <row r="466" spans="1:27" x14ac:dyDescent="0.35">
      <c r="A466" s="17" t="s">
        <v>86</v>
      </c>
      <c r="B466" s="3" t="s">
        <v>35</v>
      </c>
      <c r="C466" s="3" t="s">
        <v>58</v>
      </c>
      <c r="D466" s="3" t="s">
        <v>59</v>
      </c>
      <c r="E466" s="3" t="s">
        <v>38</v>
      </c>
      <c r="F466" s="3">
        <v>14637.27</v>
      </c>
      <c r="G466" s="3">
        <v>702165</v>
      </c>
      <c r="H466" s="3">
        <v>23707</v>
      </c>
      <c r="I466" s="3">
        <v>216749.16</v>
      </c>
      <c r="J466" s="3">
        <v>48</v>
      </c>
      <c r="K466" s="15">
        <f t="shared" si="77"/>
        <v>3.3762719588700661E-2</v>
      </c>
      <c r="L466" s="16">
        <f t="shared" si="87"/>
        <v>0.61742396760450502</v>
      </c>
      <c r="M466" s="16">
        <f t="shared" si="78"/>
        <v>20.845912285573903</v>
      </c>
      <c r="N466" s="16">
        <f t="shared" si="79"/>
        <v>14.808031825606824</v>
      </c>
      <c r="O466" s="16">
        <f t="shared" si="80"/>
        <v>13.808031825606825</v>
      </c>
      <c r="P466" s="1">
        <v>2024</v>
      </c>
      <c r="Q466" s="1" t="s">
        <v>39</v>
      </c>
      <c r="R466" s="1" t="s">
        <v>40</v>
      </c>
      <c r="S466" s="70">
        <f>DATE(Table2[[#This Row],[Year]],MONTH(DATEVALUE("1-"&amp;Table2[[#This Row],[Month]]&amp;"-2000")),1)</f>
        <v>45323</v>
      </c>
      <c r="T466" s="16">
        <f t="shared" si="81"/>
        <v>9.1428337621799471</v>
      </c>
      <c r="U466" s="16">
        <f t="shared" si="82"/>
        <v>0.30868693255858665</v>
      </c>
      <c r="V466" s="16">
        <f t="shared" si="83"/>
        <v>304.94312500000001</v>
      </c>
      <c r="W466" s="16">
        <f t="shared" si="84"/>
        <v>4515.6075000000001</v>
      </c>
      <c r="X466" s="16">
        <f t="shared" si="85"/>
        <v>493.89583333333331</v>
      </c>
      <c r="Y466" s="16">
        <f t="shared" si="86"/>
        <v>14628.4375</v>
      </c>
      <c r="Z466" s="7" t="str" cm="1">
        <f t="array" ref="Z466">_xlfn.IFS(K466&lt;2%,"Low",K466&lt;5%,"Medium",K466&lt;10%,"Good",K466&gt;10%,"Excellent")</f>
        <v>Medium</v>
      </c>
      <c r="AA466" s="16" t="str">
        <f>Data_Validation!N464</f>
        <v>Pass</v>
      </c>
    </row>
    <row r="467" spans="1:27" x14ac:dyDescent="0.35">
      <c r="A467" s="17" t="s">
        <v>109</v>
      </c>
      <c r="B467" s="3" t="s">
        <v>35</v>
      </c>
      <c r="C467" s="3" t="s">
        <v>69</v>
      </c>
      <c r="D467" s="3" t="s">
        <v>43</v>
      </c>
      <c r="E467" s="3" t="s">
        <v>30</v>
      </c>
      <c r="F467" s="3">
        <v>48689.85</v>
      </c>
      <c r="G467" s="3">
        <v>51843</v>
      </c>
      <c r="H467" s="3">
        <v>42601</v>
      </c>
      <c r="I467" s="3">
        <v>84397.42</v>
      </c>
      <c r="J467" s="3">
        <v>36</v>
      </c>
      <c r="K467" s="15">
        <f t="shared" si="77"/>
        <v>0.82173099550566131</v>
      </c>
      <c r="L467" s="16">
        <f t="shared" si="87"/>
        <v>1.1429273960705146</v>
      </c>
      <c r="M467" s="16">
        <f t="shared" si="78"/>
        <v>939.17886696371738</v>
      </c>
      <c r="N467" s="16">
        <f t="shared" si="79"/>
        <v>1.7333678374445598</v>
      </c>
      <c r="O467" s="16">
        <f t="shared" si="80"/>
        <v>0.7333678374445598</v>
      </c>
      <c r="P467" s="1">
        <v>2024</v>
      </c>
      <c r="Q467" s="1" t="s">
        <v>39</v>
      </c>
      <c r="R467" s="1" t="s">
        <v>40</v>
      </c>
      <c r="S467" s="70">
        <f>DATE(Table2[[#This Row],[Year]],MONTH(DATEVALUE("1-"&amp;Table2[[#This Row],[Month]]&amp;"-2000")),1)</f>
        <v>45323</v>
      </c>
      <c r="T467" s="16">
        <f t="shared" si="81"/>
        <v>1.9811135888828901</v>
      </c>
      <c r="U467" s="16">
        <f t="shared" si="82"/>
        <v>1.6279424416025308</v>
      </c>
      <c r="V467" s="16">
        <f t="shared" si="83"/>
        <v>1352.4958333333334</v>
      </c>
      <c r="W467" s="16">
        <f t="shared" si="84"/>
        <v>2344.3727777777776</v>
      </c>
      <c r="X467" s="16">
        <f t="shared" si="85"/>
        <v>1183.3611111111111</v>
      </c>
      <c r="Y467" s="16">
        <f t="shared" si="86"/>
        <v>1440.0833333333333</v>
      </c>
      <c r="Z467" s="7" t="str" cm="1">
        <f t="array" ref="Z467">_xlfn.IFS(K467&lt;2%,"Low",K467&lt;5%,"Medium",K467&lt;10%,"Good",K467&gt;10%,"Excellent")</f>
        <v>Excellent</v>
      </c>
      <c r="AA467" s="16" t="str">
        <f>Data_Validation!N465</f>
        <v>Pass</v>
      </c>
    </row>
    <row r="468" spans="1:27" x14ac:dyDescent="0.35">
      <c r="A468" s="17" t="s">
        <v>104</v>
      </c>
      <c r="B468" s="3" t="s">
        <v>35</v>
      </c>
      <c r="C468" s="3" t="s">
        <v>20</v>
      </c>
      <c r="D468" s="3" t="s">
        <v>37</v>
      </c>
      <c r="E468" s="3" t="s">
        <v>38</v>
      </c>
      <c r="F468" s="3">
        <v>25582.48</v>
      </c>
      <c r="G468" s="3">
        <v>334348</v>
      </c>
      <c r="H468" s="3">
        <v>12589</v>
      </c>
      <c r="I468" s="3">
        <v>15069.49</v>
      </c>
      <c r="J468" s="3">
        <v>43</v>
      </c>
      <c r="K468" s="15">
        <f t="shared" si="77"/>
        <v>3.7652386136600192E-2</v>
      </c>
      <c r="L468" s="16">
        <f t="shared" si="87"/>
        <v>2.0321296369846693</v>
      </c>
      <c r="M468" s="16">
        <f t="shared" si="78"/>
        <v>76.514529771375933</v>
      </c>
      <c r="N468" s="16">
        <f t="shared" si="79"/>
        <v>0.58905508770064519</v>
      </c>
      <c r="O468" s="16">
        <f t="shared" si="80"/>
        <v>-0.41094491229935487</v>
      </c>
      <c r="P468" s="1">
        <v>2024</v>
      </c>
      <c r="Q468" s="1" t="s">
        <v>39</v>
      </c>
      <c r="R468" s="1" t="s">
        <v>40</v>
      </c>
      <c r="S468" s="70">
        <f>DATE(Table2[[#This Row],[Year]],MONTH(DATEVALUE("1-"&amp;Table2[[#This Row],[Month]]&amp;"-2000")),1)</f>
        <v>45323</v>
      </c>
      <c r="T468" s="16">
        <f t="shared" si="81"/>
        <v>1.1970363015330845</v>
      </c>
      <c r="U468" s="16">
        <f t="shared" si="82"/>
        <v>4.5071273044851472E-2</v>
      </c>
      <c r="V468" s="16">
        <f t="shared" si="83"/>
        <v>594.9413953488372</v>
      </c>
      <c r="W468" s="16">
        <f t="shared" si="84"/>
        <v>350.45325581395349</v>
      </c>
      <c r="X468" s="16">
        <f t="shared" si="85"/>
        <v>292.76744186046511</v>
      </c>
      <c r="Y468" s="16">
        <f t="shared" si="86"/>
        <v>7775.5348837209303</v>
      </c>
      <c r="Z468" s="7" t="str" cm="1">
        <f t="array" ref="Z468">_xlfn.IFS(K468&lt;2%,"Low",K468&lt;5%,"Medium",K468&lt;10%,"Good",K468&gt;10%,"Excellent")</f>
        <v>Medium</v>
      </c>
      <c r="AA468" s="16" t="str">
        <f>Data_Validation!N466</f>
        <v>Pass</v>
      </c>
    </row>
    <row r="469" spans="1:27" x14ac:dyDescent="0.35">
      <c r="A469" s="17" t="s">
        <v>97</v>
      </c>
      <c r="B469" s="3" t="s">
        <v>35</v>
      </c>
      <c r="C469" s="3" t="s">
        <v>36</v>
      </c>
      <c r="D469" s="3" t="s">
        <v>37</v>
      </c>
      <c r="E469" s="3" t="s">
        <v>30</v>
      </c>
      <c r="F469" s="3">
        <v>29412.02</v>
      </c>
      <c r="G469" s="3">
        <v>656908</v>
      </c>
      <c r="H469" s="3">
        <v>44434</v>
      </c>
      <c r="I469" s="3">
        <v>91427.12</v>
      </c>
      <c r="J469" s="3">
        <v>22</v>
      </c>
      <c r="K469" s="15">
        <f t="shared" si="77"/>
        <v>6.7641130873729652E-2</v>
      </c>
      <c r="L469" s="16">
        <f t="shared" si="87"/>
        <v>0.66192600261061352</v>
      </c>
      <c r="M469" s="16">
        <f t="shared" si="78"/>
        <v>44.773423371309228</v>
      </c>
      <c r="N469" s="16">
        <f t="shared" si="79"/>
        <v>3.108495098262547</v>
      </c>
      <c r="O469" s="16">
        <f t="shared" si="80"/>
        <v>2.1084950982625466</v>
      </c>
      <c r="P469" s="1">
        <v>2024</v>
      </c>
      <c r="Q469" s="1" t="s">
        <v>39</v>
      </c>
      <c r="R469" s="1" t="s">
        <v>40</v>
      </c>
      <c r="S469" s="70">
        <f>DATE(Table2[[#This Row],[Year]],MONTH(DATEVALUE("1-"&amp;Table2[[#This Row],[Month]]&amp;"-2000")),1)</f>
        <v>45323</v>
      </c>
      <c r="T469" s="16">
        <f t="shared" si="81"/>
        <v>2.0575937345276141</v>
      </c>
      <c r="U469" s="16">
        <f t="shared" si="82"/>
        <v>0.1391779670821485</v>
      </c>
      <c r="V469" s="16">
        <f t="shared" si="83"/>
        <v>1336.91</v>
      </c>
      <c r="W469" s="16">
        <f t="shared" si="84"/>
        <v>4155.778181818182</v>
      </c>
      <c r="X469" s="16">
        <f t="shared" si="85"/>
        <v>2019.7272727272727</v>
      </c>
      <c r="Y469" s="16">
        <f t="shared" si="86"/>
        <v>29859.454545454544</v>
      </c>
      <c r="Z469" s="7" t="str" cm="1">
        <f t="array" ref="Z469">_xlfn.IFS(K469&lt;2%,"Low",K469&lt;5%,"Medium",K469&lt;10%,"Good",K469&gt;10%,"Excellent")</f>
        <v>Good</v>
      </c>
      <c r="AA469" s="16" t="str">
        <f>Data_Validation!N467</f>
        <v>Pass</v>
      </c>
    </row>
    <row r="470" spans="1:27" x14ac:dyDescent="0.35">
      <c r="A470" s="17" t="s">
        <v>78</v>
      </c>
      <c r="B470" s="3" t="s">
        <v>35</v>
      </c>
      <c r="C470" s="3" t="s">
        <v>20</v>
      </c>
      <c r="D470" s="3" t="s">
        <v>21</v>
      </c>
      <c r="E470" s="3" t="s">
        <v>22</v>
      </c>
      <c r="F470" s="3">
        <v>16598.07</v>
      </c>
      <c r="G470" s="3">
        <v>67152</v>
      </c>
      <c r="H470" s="3">
        <v>23747</v>
      </c>
      <c r="I470" s="3">
        <v>5934.82</v>
      </c>
      <c r="J470" s="3">
        <v>42</v>
      </c>
      <c r="K470" s="15">
        <f t="shared" si="77"/>
        <v>0.35363056945437216</v>
      </c>
      <c r="L470" s="16">
        <f t="shared" si="87"/>
        <v>0.6989543942392723</v>
      </c>
      <c r="M470" s="16">
        <f t="shared" si="78"/>
        <v>247.17164045746961</v>
      </c>
      <c r="N470" s="16">
        <f t="shared" si="79"/>
        <v>0.35756084894207579</v>
      </c>
      <c r="O470" s="16">
        <f t="shared" si="80"/>
        <v>-0.64243915105792426</v>
      </c>
      <c r="P470" s="1">
        <v>2024</v>
      </c>
      <c r="Q470" s="1" t="s">
        <v>39</v>
      </c>
      <c r="R470" s="1" t="s">
        <v>40</v>
      </c>
      <c r="S470" s="70">
        <f>DATE(Table2[[#This Row],[Year]],MONTH(DATEVALUE("1-"&amp;Table2[[#This Row],[Month]]&amp;"-2000")),1)</f>
        <v>45323</v>
      </c>
      <c r="T470" s="16">
        <f t="shared" si="81"/>
        <v>0.24991872657598854</v>
      </c>
      <c r="U470" s="16">
        <f t="shared" si="82"/>
        <v>8.8378901596378359E-2</v>
      </c>
      <c r="V470" s="16">
        <f t="shared" si="83"/>
        <v>395.19214285714287</v>
      </c>
      <c r="W470" s="16">
        <f t="shared" si="84"/>
        <v>141.30523809523808</v>
      </c>
      <c r="X470" s="16">
        <f t="shared" si="85"/>
        <v>565.40476190476193</v>
      </c>
      <c r="Y470" s="16">
        <f t="shared" si="86"/>
        <v>1598.8571428571429</v>
      </c>
      <c r="Z470" s="7" t="str" cm="1">
        <f t="array" ref="Z470">_xlfn.IFS(K470&lt;2%,"Low",K470&lt;5%,"Medium",K470&lt;10%,"Good",K470&gt;10%,"Excellent")</f>
        <v>Excellent</v>
      </c>
      <c r="AA470" s="16" t="str">
        <f>Data_Validation!N468</f>
        <v>Pass</v>
      </c>
    </row>
    <row r="471" spans="1:27" x14ac:dyDescent="0.35">
      <c r="A471" s="17" t="s">
        <v>94</v>
      </c>
      <c r="B471" s="3" t="s">
        <v>28</v>
      </c>
      <c r="C471" s="3" t="s">
        <v>58</v>
      </c>
      <c r="D471" s="3" t="s">
        <v>59</v>
      </c>
      <c r="E471" s="3" t="s">
        <v>22</v>
      </c>
      <c r="F471" s="3">
        <v>8141.08</v>
      </c>
      <c r="G471" s="3">
        <v>201031</v>
      </c>
      <c r="H471" s="3">
        <v>35255</v>
      </c>
      <c r="I471" s="3">
        <v>203828.24</v>
      </c>
      <c r="J471" s="3">
        <v>29</v>
      </c>
      <c r="K471" s="15">
        <f t="shared" si="77"/>
        <v>0.17537096268734673</v>
      </c>
      <c r="L471" s="16">
        <f t="shared" si="87"/>
        <v>0.23091986952205359</v>
      </c>
      <c r="M471" s="16">
        <f t="shared" si="78"/>
        <v>40.496639821719043</v>
      </c>
      <c r="N471" s="16">
        <f t="shared" si="79"/>
        <v>25.037002461589861</v>
      </c>
      <c r="O471" s="16">
        <f t="shared" si="80"/>
        <v>24.037002461589864</v>
      </c>
      <c r="P471" s="1">
        <v>2024</v>
      </c>
      <c r="Q471" s="1" t="s">
        <v>39</v>
      </c>
      <c r="R471" s="1" t="s">
        <v>40</v>
      </c>
      <c r="S471" s="70">
        <f>DATE(Table2[[#This Row],[Year]],MONTH(DATEVALUE("1-"&amp;Table2[[#This Row],[Month]]&amp;"-2000")),1)</f>
        <v>45323</v>
      </c>
      <c r="T471" s="16">
        <f t="shared" si="81"/>
        <v>5.7815413416536661</v>
      </c>
      <c r="U471" s="16">
        <f t="shared" si="82"/>
        <v>1.0139144709024976</v>
      </c>
      <c r="V471" s="16">
        <f t="shared" si="83"/>
        <v>280.72689655172411</v>
      </c>
      <c r="W471" s="16">
        <f t="shared" si="84"/>
        <v>7028.5599999999995</v>
      </c>
      <c r="X471" s="16">
        <f t="shared" si="85"/>
        <v>1215.6896551724137</v>
      </c>
      <c r="Y471" s="16">
        <f t="shared" si="86"/>
        <v>6932.1034482758623</v>
      </c>
      <c r="Z471" s="7" t="str" cm="1">
        <f t="array" ref="Z471">_xlfn.IFS(K471&lt;2%,"Low",K471&lt;5%,"Medium",K471&lt;10%,"Good",K471&gt;10%,"Excellent")</f>
        <v>Excellent</v>
      </c>
      <c r="AA471" s="16" t="str">
        <f>Data_Validation!N469</f>
        <v>Pass</v>
      </c>
    </row>
    <row r="472" spans="1:27" x14ac:dyDescent="0.35">
      <c r="A472" s="17" t="s">
        <v>82</v>
      </c>
      <c r="B472" s="3" t="s">
        <v>28</v>
      </c>
      <c r="C472" s="3" t="s">
        <v>69</v>
      </c>
      <c r="D472" s="3" t="s">
        <v>43</v>
      </c>
      <c r="E472" s="3" t="s">
        <v>30</v>
      </c>
      <c r="F472" s="3">
        <v>1305.69</v>
      </c>
      <c r="G472" s="3">
        <v>492515</v>
      </c>
      <c r="H472" s="3">
        <v>45438</v>
      </c>
      <c r="I472" s="3">
        <v>104247.44</v>
      </c>
      <c r="J472" s="3">
        <v>13</v>
      </c>
      <c r="K472" s="15">
        <f t="shared" si="77"/>
        <v>9.2257088616590363E-2</v>
      </c>
      <c r="L472" s="16">
        <f t="shared" si="87"/>
        <v>2.8735639772877328E-2</v>
      </c>
      <c r="M472" s="16">
        <f t="shared" si="78"/>
        <v>2.6510664649807625</v>
      </c>
      <c r="N472" s="16">
        <f t="shared" si="79"/>
        <v>79.840881066715681</v>
      </c>
      <c r="O472" s="16">
        <f t="shared" si="80"/>
        <v>78.840881066715681</v>
      </c>
      <c r="P472" s="1">
        <v>2024</v>
      </c>
      <c r="Q472" s="1" t="s">
        <v>39</v>
      </c>
      <c r="R472" s="1" t="s">
        <v>40</v>
      </c>
      <c r="S472" s="70">
        <f>DATE(Table2[[#This Row],[Year]],MONTH(DATEVALUE("1-"&amp;Table2[[#This Row],[Month]]&amp;"-2000")),1)</f>
        <v>45323</v>
      </c>
      <c r="T472" s="16">
        <f t="shared" si="81"/>
        <v>2.2942787974822836</v>
      </c>
      <c r="U472" s="16">
        <f t="shared" si="82"/>
        <v>0.2116634823304874</v>
      </c>
      <c r="V472" s="16">
        <f t="shared" si="83"/>
        <v>100.43769230769232</v>
      </c>
      <c r="W472" s="16">
        <f t="shared" si="84"/>
        <v>8019.0338461538468</v>
      </c>
      <c r="X472" s="16">
        <f t="shared" si="85"/>
        <v>3495.2307692307691</v>
      </c>
      <c r="Y472" s="16">
        <f t="shared" si="86"/>
        <v>37885.769230769234</v>
      </c>
      <c r="Z472" s="7" t="str" cm="1">
        <f t="array" ref="Z472">_xlfn.IFS(K472&lt;2%,"Low",K472&lt;5%,"Medium",K472&lt;10%,"Good",K472&gt;10%,"Excellent")</f>
        <v>Good</v>
      </c>
      <c r="AA472" s="16" t="str">
        <f>Data_Validation!N470</f>
        <v>Pass</v>
      </c>
    </row>
    <row r="473" spans="1:27" x14ac:dyDescent="0.35">
      <c r="A473" s="17" t="s">
        <v>99</v>
      </c>
      <c r="B473" s="3" t="s">
        <v>19</v>
      </c>
      <c r="C473" s="3" t="s">
        <v>20</v>
      </c>
      <c r="D473" s="3" t="s">
        <v>43</v>
      </c>
      <c r="E473" s="3" t="s">
        <v>22</v>
      </c>
      <c r="F473" s="3">
        <v>6708.23</v>
      </c>
      <c r="G473" s="3">
        <v>359247</v>
      </c>
      <c r="H473" s="3">
        <v>11118</v>
      </c>
      <c r="I473" s="3">
        <v>23712.95</v>
      </c>
      <c r="J473" s="3">
        <v>61</v>
      </c>
      <c r="K473" s="15">
        <f t="shared" si="77"/>
        <v>3.0948066372161773E-2</v>
      </c>
      <c r="L473" s="16">
        <f t="shared" si="87"/>
        <v>0.60336661270012593</v>
      </c>
      <c r="M473" s="16">
        <f t="shared" si="78"/>
        <v>18.67302997658992</v>
      </c>
      <c r="N473" s="16">
        <f t="shared" si="79"/>
        <v>3.5349041401383081</v>
      </c>
      <c r="O473" s="16">
        <f t="shared" si="80"/>
        <v>2.5349041401383081</v>
      </c>
      <c r="P473" s="1">
        <v>2024</v>
      </c>
      <c r="Q473" s="1" t="s">
        <v>39</v>
      </c>
      <c r="R473" s="1" t="s">
        <v>40</v>
      </c>
      <c r="S473" s="70">
        <f>DATE(Table2[[#This Row],[Year]],MONTH(DATEVALUE("1-"&amp;Table2[[#This Row],[Month]]&amp;"-2000")),1)</f>
        <v>45323</v>
      </c>
      <c r="T473" s="16">
        <f t="shared" si="81"/>
        <v>2.1328431372549019</v>
      </c>
      <c r="U473" s="16">
        <f t="shared" si="82"/>
        <v>6.6007370973174453E-2</v>
      </c>
      <c r="V473" s="16">
        <f t="shared" si="83"/>
        <v>109.97098360655737</v>
      </c>
      <c r="W473" s="16">
        <f t="shared" si="84"/>
        <v>388.73688524590165</v>
      </c>
      <c r="X473" s="16">
        <f t="shared" si="85"/>
        <v>182.26229508196721</v>
      </c>
      <c r="Y473" s="16">
        <f t="shared" si="86"/>
        <v>5889.2950819672133</v>
      </c>
      <c r="Z473" s="7" t="str" cm="1">
        <f t="array" ref="Z473">_xlfn.IFS(K473&lt;2%,"Low",K473&lt;5%,"Medium",K473&lt;10%,"Good",K473&gt;10%,"Excellent")</f>
        <v>Medium</v>
      </c>
      <c r="AA473" s="16" t="str">
        <f>Data_Validation!N471</f>
        <v>Pass</v>
      </c>
    </row>
    <row r="474" spans="1:27" x14ac:dyDescent="0.35">
      <c r="A474" s="17" t="s">
        <v>75</v>
      </c>
      <c r="B474" s="3" t="s">
        <v>28</v>
      </c>
      <c r="C474" s="3" t="s">
        <v>20</v>
      </c>
      <c r="D474" s="3" t="s">
        <v>51</v>
      </c>
      <c r="E474" s="3" t="s">
        <v>30</v>
      </c>
      <c r="F474" s="3">
        <v>1242.52</v>
      </c>
      <c r="G474" s="3">
        <v>869926</v>
      </c>
      <c r="H474" s="3">
        <v>11494</v>
      </c>
      <c r="I474" s="3">
        <v>12615.11</v>
      </c>
      <c r="J474" s="3">
        <v>38</v>
      </c>
      <c r="K474" s="15">
        <f t="shared" si="77"/>
        <v>1.3212618084756635E-2</v>
      </c>
      <c r="L474" s="16">
        <f t="shared" si="87"/>
        <v>0.10810161823560119</v>
      </c>
      <c r="M474" s="16">
        <f t="shared" si="78"/>
        <v>1.4283053960911618</v>
      </c>
      <c r="N474" s="16">
        <f t="shared" si="79"/>
        <v>10.152842610179313</v>
      </c>
      <c r="O474" s="16">
        <f t="shared" si="80"/>
        <v>9.152842610179313</v>
      </c>
      <c r="P474" s="1">
        <v>2024</v>
      </c>
      <c r="Q474" s="1" t="s">
        <v>39</v>
      </c>
      <c r="R474" s="1" t="s">
        <v>40</v>
      </c>
      <c r="S474" s="70">
        <f>DATE(Table2[[#This Row],[Year]],MONTH(DATEVALUE("1-"&amp;Table2[[#This Row],[Month]]&amp;"-2000")),1)</f>
        <v>45323</v>
      </c>
      <c r="T474" s="16">
        <f t="shared" si="81"/>
        <v>1.0975387158517489</v>
      </c>
      <c r="U474" s="16">
        <f t="shared" si="82"/>
        <v>1.4501359885783389E-2</v>
      </c>
      <c r="V474" s="16">
        <f t="shared" si="83"/>
        <v>32.697894736842102</v>
      </c>
      <c r="W474" s="16">
        <f t="shared" si="84"/>
        <v>331.97657894736841</v>
      </c>
      <c r="X474" s="16">
        <f t="shared" si="85"/>
        <v>302.4736842105263</v>
      </c>
      <c r="Y474" s="16">
        <f t="shared" si="86"/>
        <v>22892.78947368421</v>
      </c>
      <c r="Z474" s="7" t="str" cm="1">
        <f t="array" ref="Z474">_xlfn.IFS(K474&lt;2%,"Low",K474&lt;5%,"Medium",K474&lt;10%,"Good",K474&gt;10%,"Excellent")</f>
        <v>Low</v>
      </c>
      <c r="AA474" s="16" t="str">
        <f>Data_Validation!N472</f>
        <v>Pass</v>
      </c>
    </row>
    <row r="475" spans="1:27" x14ac:dyDescent="0.35">
      <c r="A475" s="17" t="s">
        <v>34</v>
      </c>
      <c r="B475" s="3" t="s">
        <v>48</v>
      </c>
      <c r="C475" s="3" t="s">
        <v>58</v>
      </c>
      <c r="D475" s="3" t="s">
        <v>59</v>
      </c>
      <c r="E475" s="3" t="s">
        <v>22</v>
      </c>
      <c r="F475" s="3">
        <v>20449.11</v>
      </c>
      <c r="G475" s="3">
        <v>899173</v>
      </c>
      <c r="H475" s="3">
        <v>40341</v>
      </c>
      <c r="I475" s="3">
        <v>172619.61</v>
      </c>
      <c r="J475" s="3">
        <v>29</v>
      </c>
      <c r="K475" s="15">
        <f t="shared" si="77"/>
        <v>4.486455887799122E-2</v>
      </c>
      <c r="L475" s="16">
        <f t="shared" si="87"/>
        <v>0.50690637316873655</v>
      </c>
      <c r="M475" s="16">
        <f t="shared" si="78"/>
        <v>22.742130824657767</v>
      </c>
      <c r="N475" s="16">
        <f t="shared" si="79"/>
        <v>8.4414241010977982</v>
      </c>
      <c r="O475" s="16">
        <f t="shared" si="80"/>
        <v>7.4414241010977982</v>
      </c>
      <c r="P475" s="1">
        <v>2024</v>
      </c>
      <c r="Q475" s="1" t="s">
        <v>39</v>
      </c>
      <c r="R475" s="1" t="s">
        <v>40</v>
      </c>
      <c r="S475" s="70">
        <f>DATE(Table2[[#This Row],[Year]],MONTH(DATEVALUE("1-"&amp;Table2[[#This Row],[Month]]&amp;"-2000")),1)</f>
        <v>45323</v>
      </c>
      <c r="T475" s="16">
        <f t="shared" si="81"/>
        <v>4.2790116754666467</v>
      </c>
      <c r="U475" s="16">
        <f t="shared" si="82"/>
        <v>0.19197597125358523</v>
      </c>
      <c r="V475" s="16">
        <f t="shared" si="83"/>
        <v>705.14172413793108</v>
      </c>
      <c r="W475" s="16">
        <f t="shared" si="84"/>
        <v>5952.4003448275853</v>
      </c>
      <c r="X475" s="16">
        <f t="shared" si="85"/>
        <v>1391.0689655172414</v>
      </c>
      <c r="Y475" s="16">
        <f t="shared" si="86"/>
        <v>31005.96551724138</v>
      </c>
      <c r="Z475" s="7" t="str" cm="1">
        <f t="array" ref="Z475">_xlfn.IFS(K475&lt;2%,"Low",K475&lt;5%,"Medium",K475&lt;10%,"Good",K475&gt;10%,"Excellent")</f>
        <v>Medium</v>
      </c>
      <c r="AA475" s="16" t="str">
        <f>Data_Validation!N473</f>
        <v>Pass</v>
      </c>
    </row>
    <row r="476" spans="1:27" x14ac:dyDescent="0.35">
      <c r="A476" s="17" t="s">
        <v>112</v>
      </c>
      <c r="B476" s="3" t="s">
        <v>35</v>
      </c>
      <c r="C476" s="3" t="s">
        <v>69</v>
      </c>
      <c r="D476" s="3" t="s">
        <v>63</v>
      </c>
      <c r="E476" s="3" t="s">
        <v>30</v>
      </c>
      <c r="F476" s="3">
        <v>26169.61</v>
      </c>
      <c r="G476" s="3">
        <v>409152</v>
      </c>
      <c r="H476" s="3">
        <v>30656</v>
      </c>
      <c r="I476" s="3">
        <v>135744.28</v>
      </c>
      <c r="J476" s="3">
        <v>21</v>
      </c>
      <c r="K476" s="15">
        <f t="shared" si="77"/>
        <v>7.4925699984357885E-2</v>
      </c>
      <c r="L476" s="16">
        <f t="shared" si="87"/>
        <v>0.8536537708768267</v>
      </c>
      <c r="M476" s="16">
        <f t="shared" si="78"/>
        <v>63.96060632723291</v>
      </c>
      <c r="N476" s="16">
        <f t="shared" si="79"/>
        <v>5.1870960247401472</v>
      </c>
      <c r="O476" s="16">
        <f t="shared" si="80"/>
        <v>4.1870960247401472</v>
      </c>
      <c r="P476" s="1">
        <v>2024</v>
      </c>
      <c r="Q476" s="1" t="s">
        <v>39</v>
      </c>
      <c r="R476" s="1" t="s">
        <v>40</v>
      </c>
      <c r="S476" s="70">
        <f>DATE(Table2[[#This Row],[Year]],MONTH(DATEVALUE("1-"&amp;Table2[[#This Row],[Month]]&amp;"-2000")),1)</f>
        <v>45323</v>
      </c>
      <c r="T476" s="16">
        <f t="shared" si="81"/>
        <v>4.4279840814196243</v>
      </c>
      <c r="U476" s="16">
        <f t="shared" si="82"/>
        <v>0.33176980681995932</v>
      </c>
      <c r="V476" s="16">
        <f t="shared" si="83"/>
        <v>1246.1719047619049</v>
      </c>
      <c r="W476" s="16">
        <f t="shared" si="84"/>
        <v>6464.0133333333333</v>
      </c>
      <c r="X476" s="16">
        <f t="shared" si="85"/>
        <v>1459.8095238095239</v>
      </c>
      <c r="Y476" s="16">
        <f t="shared" si="86"/>
        <v>19483.428571428572</v>
      </c>
      <c r="Z476" s="7" t="str" cm="1">
        <f t="array" ref="Z476">_xlfn.IFS(K476&lt;2%,"Low",K476&lt;5%,"Medium",K476&lt;10%,"Good",K476&gt;10%,"Excellent")</f>
        <v>Good</v>
      </c>
      <c r="AA476" s="16" t="str">
        <f>Data_Validation!N474</f>
        <v>Pass</v>
      </c>
    </row>
    <row r="477" spans="1:27" x14ac:dyDescent="0.35">
      <c r="A477" s="17" t="s">
        <v>62</v>
      </c>
      <c r="B477" s="3" t="s">
        <v>19</v>
      </c>
      <c r="C477" s="3" t="s">
        <v>69</v>
      </c>
      <c r="D477" s="3" t="s">
        <v>37</v>
      </c>
      <c r="E477" s="3" t="s">
        <v>30</v>
      </c>
      <c r="F477" s="3">
        <v>17450.03</v>
      </c>
      <c r="G477" s="3">
        <v>552717</v>
      </c>
      <c r="H477" s="3">
        <v>29688</v>
      </c>
      <c r="I477" s="3">
        <v>34646.03</v>
      </c>
      <c r="J477" s="3">
        <v>48</v>
      </c>
      <c r="K477" s="15">
        <f t="shared" si="77"/>
        <v>5.3712840386671658E-2</v>
      </c>
      <c r="L477" s="16">
        <f t="shared" si="87"/>
        <v>0.58778058474804629</v>
      </c>
      <c r="M477" s="16">
        <f t="shared" si="78"/>
        <v>31.571364730956347</v>
      </c>
      <c r="N477" s="16">
        <f t="shared" si="79"/>
        <v>1.9854424319041286</v>
      </c>
      <c r="O477" s="16">
        <f t="shared" si="80"/>
        <v>0.98544243190412861</v>
      </c>
      <c r="P477" s="1">
        <v>2024</v>
      </c>
      <c r="Q477" s="1" t="s">
        <v>39</v>
      </c>
      <c r="R477" s="1" t="s">
        <v>40</v>
      </c>
      <c r="S477" s="70">
        <f>DATE(Table2[[#This Row],[Year]],MONTH(DATEVALUE("1-"&amp;Table2[[#This Row],[Month]]&amp;"-2000")),1)</f>
        <v>45323</v>
      </c>
      <c r="T477" s="16">
        <f t="shared" si="81"/>
        <v>1.1670045136081919</v>
      </c>
      <c r="U477" s="16">
        <f t="shared" si="82"/>
        <v>6.2683127169962202E-2</v>
      </c>
      <c r="V477" s="16">
        <f t="shared" si="83"/>
        <v>363.54229166666664</v>
      </c>
      <c r="W477" s="16">
        <f t="shared" si="84"/>
        <v>721.79229166666664</v>
      </c>
      <c r="X477" s="16">
        <f t="shared" si="85"/>
        <v>618.5</v>
      </c>
      <c r="Y477" s="16">
        <f t="shared" si="86"/>
        <v>11514.9375</v>
      </c>
      <c r="Z477" s="7" t="str" cm="1">
        <f t="array" ref="Z477">_xlfn.IFS(K477&lt;2%,"Low",K477&lt;5%,"Medium",K477&lt;10%,"Good",K477&gt;10%,"Excellent")</f>
        <v>Good</v>
      </c>
      <c r="AA477" s="16" t="str">
        <f>Data_Validation!N475</f>
        <v>Pass</v>
      </c>
    </row>
    <row r="478" spans="1:27" x14ac:dyDescent="0.35">
      <c r="A478" s="17" t="s">
        <v>89</v>
      </c>
      <c r="B478" s="3" t="s">
        <v>19</v>
      </c>
      <c r="C478" s="3" t="s">
        <v>20</v>
      </c>
      <c r="D478" s="3" t="s">
        <v>21</v>
      </c>
      <c r="E478" s="3" t="s">
        <v>30</v>
      </c>
      <c r="F478" s="3">
        <v>3275.44</v>
      </c>
      <c r="G478" s="3">
        <v>177775</v>
      </c>
      <c r="H478" s="3">
        <v>37579</v>
      </c>
      <c r="I478" s="3">
        <v>58362.89</v>
      </c>
      <c r="J478" s="3">
        <v>44</v>
      </c>
      <c r="K478" s="15">
        <f t="shared" si="77"/>
        <v>0.21138517789340458</v>
      </c>
      <c r="L478" s="16">
        <f t="shared" si="87"/>
        <v>8.7161446552595861E-2</v>
      </c>
      <c r="M478" s="16">
        <f t="shared" si="78"/>
        <v>18.424637884966955</v>
      </c>
      <c r="N478" s="16">
        <f t="shared" si="79"/>
        <v>17.818335857167281</v>
      </c>
      <c r="O478" s="16">
        <f t="shared" si="80"/>
        <v>16.818335857167281</v>
      </c>
      <c r="P478" s="1">
        <v>2024</v>
      </c>
      <c r="Q478" s="1" t="s">
        <v>39</v>
      </c>
      <c r="R478" s="1" t="s">
        <v>40</v>
      </c>
      <c r="S478" s="70">
        <f>DATE(Table2[[#This Row],[Year]],MONTH(DATEVALUE("1-"&amp;Table2[[#This Row],[Month]]&amp;"-2000")),1)</f>
        <v>45323</v>
      </c>
      <c r="T478" s="16">
        <f t="shared" si="81"/>
        <v>1.5530719284706884</v>
      </c>
      <c r="U478" s="16">
        <f t="shared" si="82"/>
        <v>0.32829638588102938</v>
      </c>
      <c r="V478" s="16">
        <f t="shared" si="83"/>
        <v>74.441818181818178</v>
      </c>
      <c r="W478" s="16">
        <f t="shared" si="84"/>
        <v>1326.4293181818182</v>
      </c>
      <c r="X478" s="16">
        <f t="shared" si="85"/>
        <v>854.06818181818187</v>
      </c>
      <c r="Y478" s="16">
        <f t="shared" si="86"/>
        <v>4040.340909090909</v>
      </c>
      <c r="Z478" s="7" t="str" cm="1">
        <f t="array" ref="Z478">_xlfn.IFS(K478&lt;2%,"Low",K478&lt;5%,"Medium",K478&lt;10%,"Good",K478&gt;10%,"Excellent")</f>
        <v>Excellent</v>
      </c>
      <c r="AA478" s="16" t="str">
        <f>Data_Validation!N476</f>
        <v>Pass</v>
      </c>
    </row>
    <row r="479" spans="1:27" x14ac:dyDescent="0.35">
      <c r="A479" s="17" t="s">
        <v>118</v>
      </c>
      <c r="B479" s="3" t="s">
        <v>28</v>
      </c>
      <c r="C479" s="3" t="s">
        <v>29</v>
      </c>
      <c r="D479" s="3" t="s">
        <v>37</v>
      </c>
      <c r="E479" s="3" t="s">
        <v>22</v>
      </c>
      <c r="F479" s="3">
        <v>16059.09</v>
      </c>
      <c r="G479" s="3">
        <v>414452</v>
      </c>
      <c r="H479" s="3">
        <v>45313</v>
      </c>
      <c r="I479" s="3">
        <v>213414.54</v>
      </c>
      <c r="J479" s="3">
        <v>31</v>
      </c>
      <c r="K479" s="15">
        <f t="shared" si="77"/>
        <v>0.10933232316408173</v>
      </c>
      <c r="L479" s="16">
        <f t="shared" si="87"/>
        <v>0.35440359278794165</v>
      </c>
      <c r="M479" s="16">
        <f t="shared" si="78"/>
        <v>38.747768137202861</v>
      </c>
      <c r="N479" s="16">
        <f t="shared" si="79"/>
        <v>13.289329594640792</v>
      </c>
      <c r="O479" s="16">
        <f t="shared" si="80"/>
        <v>12.289329594640792</v>
      </c>
      <c r="P479" s="1">
        <v>2024</v>
      </c>
      <c r="Q479" s="1" t="s">
        <v>39</v>
      </c>
      <c r="R479" s="1" t="s">
        <v>40</v>
      </c>
      <c r="S479" s="70">
        <f>DATE(Table2[[#This Row],[Year]],MONTH(DATEVALUE("1-"&amp;Table2[[#This Row],[Month]]&amp;"-2000")),1)</f>
        <v>45323</v>
      </c>
      <c r="T479" s="16">
        <f t="shared" si="81"/>
        <v>4.7097861540838171</v>
      </c>
      <c r="U479" s="16">
        <f t="shared" si="82"/>
        <v>0.51493186183200956</v>
      </c>
      <c r="V479" s="16">
        <f t="shared" si="83"/>
        <v>518.03516129032255</v>
      </c>
      <c r="W479" s="16">
        <f t="shared" si="84"/>
        <v>6884.34</v>
      </c>
      <c r="X479" s="16">
        <f t="shared" si="85"/>
        <v>1461.7096774193549</v>
      </c>
      <c r="Y479" s="16">
        <f t="shared" si="86"/>
        <v>13369.41935483871</v>
      </c>
      <c r="Z479" s="7" t="str" cm="1">
        <f t="array" ref="Z479">_xlfn.IFS(K479&lt;2%,"Low",K479&lt;5%,"Medium",K479&lt;10%,"Good",K479&gt;10%,"Excellent")</f>
        <v>Excellent</v>
      </c>
      <c r="AA479" s="16" t="str">
        <f>Data_Validation!N477</f>
        <v>Pass</v>
      </c>
    </row>
    <row r="480" spans="1:27" x14ac:dyDescent="0.35">
      <c r="A480" s="17" t="s">
        <v>72</v>
      </c>
      <c r="B480" s="3" t="s">
        <v>48</v>
      </c>
      <c r="C480" s="3" t="s">
        <v>20</v>
      </c>
      <c r="D480" s="3" t="s">
        <v>37</v>
      </c>
      <c r="E480" s="3" t="s">
        <v>30</v>
      </c>
      <c r="F480" s="3">
        <v>752.21</v>
      </c>
      <c r="G480" s="3">
        <v>806070</v>
      </c>
      <c r="H480" s="3">
        <v>2530</v>
      </c>
      <c r="I480" s="3">
        <v>166743.16</v>
      </c>
      <c r="J480" s="3">
        <v>55</v>
      </c>
      <c r="K480" s="15">
        <f t="shared" si="77"/>
        <v>3.1386852258488717E-3</v>
      </c>
      <c r="L480" s="16">
        <f t="shared" si="87"/>
        <v>0.29731620553359683</v>
      </c>
      <c r="M480" s="16">
        <f t="shared" si="78"/>
        <v>0.933181981713747</v>
      </c>
      <c r="N480" s="16">
        <f t="shared" si="79"/>
        <v>221.67102271971922</v>
      </c>
      <c r="O480" s="16">
        <f t="shared" si="80"/>
        <v>220.67102271971922</v>
      </c>
      <c r="P480" s="1">
        <v>2024</v>
      </c>
      <c r="Q480" s="1" t="s">
        <v>39</v>
      </c>
      <c r="R480" s="1" t="s">
        <v>40</v>
      </c>
      <c r="S480" s="70">
        <f>DATE(Table2[[#This Row],[Year]],MONTH(DATEVALUE("1-"&amp;Table2[[#This Row],[Month]]&amp;"-2000")),1)</f>
        <v>45323</v>
      </c>
      <c r="T480" s="16">
        <f t="shared" si="81"/>
        <v>65.906387351778662</v>
      </c>
      <c r="U480" s="16">
        <f t="shared" si="82"/>
        <v>0.20685940427010061</v>
      </c>
      <c r="V480" s="16">
        <f t="shared" si="83"/>
        <v>13.676545454545455</v>
      </c>
      <c r="W480" s="16">
        <f t="shared" si="84"/>
        <v>3031.6938181818182</v>
      </c>
      <c r="X480" s="16">
        <f t="shared" si="85"/>
        <v>46</v>
      </c>
      <c r="Y480" s="16">
        <f t="shared" si="86"/>
        <v>14655.818181818182</v>
      </c>
      <c r="Z480" s="7" t="str" cm="1">
        <f t="array" ref="Z480">_xlfn.IFS(K480&lt;2%,"Low",K480&lt;5%,"Medium",K480&lt;10%,"Good",K480&gt;10%,"Excellent")</f>
        <v>Low</v>
      </c>
      <c r="AA480" s="16" t="str">
        <f>Data_Validation!N478</f>
        <v>Pass</v>
      </c>
    </row>
    <row r="481" spans="1:27" x14ac:dyDescent="0.35">
      <c r="A481" s="17" t="s">
        <v>57</v>
      </c>
      <c r="B481" s="3" t="s">
        <v>35</v>
      </c>
      <c r="C481" s="3" t="s">
        <v>20</v>
      </c>
      <c r="D481" s="3" t="s">
        <v>37</v>
      </c>
      <c r="E481" s="3" t="s">
        <v>30</v>
      </c>
      <c r="F481" s="3">
        <v>31577.33</v>
      </c>
      <c r="G481" s="3">
        <v>929933</v>
      </c>
      <c r="H481" s="3">
        <v>24287</v>
      </c>
      <c r="I481" s="3">
        <v>116400.43</v>
      </c>
      <c r="J481" s="3">
        <v>38</v>
      </c>
      <c r="K481" s="15">
        <f t="shared" si="77"/>
        <v>2.6116935306091944E-2</v>
      </c>
      <c r="L481" s="16">
        <f t="shared" si="87"/>
        <v>1.3001741672499691</v>
      </c>
      <c r="M481" s="16">
        <f t="shared" si="78"/>
        <v>33.956564612719411</v>
      </c>
      <c r="N481" s="16">
        <f t="shared" si="79"/>
        <v>3.6862024116668506</v>
      </c>
      <c r="O481" s="16">
        <f t="shared" si="80"/>
        <v>2.6862024116668506</v>
      </c>
      <c r="P481" s="1">
        <v>2024</v>
      </c>
      <c r="Q481" s="1" t="s">
        <v>39</v>
      </c>
      <c r="R481" s="1" t="s">
        <v>40</v>
      </c>
      <c r="S481" s="70">
        <f>DATE(Table2[[#This Row],[Year]],MONTH(DATEVALUE("1-"&amp;Table2[[#This Row],[Month]]&amp;"-2000")),1)</f>
        <v>45323</v>
      </c>
      <c r="T481" s="16">
        <f t="shared" si="81"/>
        <v>4.7927051509037755</v>
      </c>
      <c r="U481" s="16">
        <f t="shared" si="82"/>
        <v>0.12517077036732754</v>
      </c>
      <c r="V481" s="16">
        <f t="shared" si="83"/>
        <v>830.98236842105268</v>
      </c>
      <c r="W481" s="16">
        <f t="shared" si="84"/>
        <v>3063.1692105263155</v>
      </c>
      <c r="X481" s="16">
        <f t="shared" si="85"/>
        <v>639.13157894736844</v>
      </c>
      <c r="Y481" s="16">
        <f t="shared" si="86"/>
        <v>24471.92105263158</v>
      </c>
      <c r="Z481" s="7" t="str" cm="1">
        <f t="array" ref="Z481">_xlfn.IFS(K481&lt;2%,"Low",K481&lt;5%,"Medium",K481&lt;10%,"Good",K481&gt;10%,"Excellent")</f>
        <v>Medium</v>
      </c>
      <c r="AA481" s="16" t="str">
        <f>Data_Validation!N479</f>
        <v>Pass</v>
      </c>
    </row>
    <row r="482" spans="1:27" x14ac:dyDescent="0.35">
      <c r="A482" s="17" t="s">
        <v>107</v>
      </c>
      <c r="B482" s="3" t="s">
        <v>35</v>
      </c>
      <c r="C482" s="3" t="s">
        <v>20</v>
      </c>
      <c r="D482" s="3" t="s">
        <v>43</v>
      </c>
      <c r="E482" s="3" t="s">
        <v>22</v>
      </c>
      <c r="F482" s="3">
        <v>1828.17</v>
      </c>
      <c r="G482" s="3">
        <v>876028</v>
      </c>
      <c r="H482" s="3">
        <v>6056</v>
      </c>
      <c r="I482" s="3">
        <v>198986.9</v>
      </c>
      <c r="J482" s="3">
        <v>32</v>
      </c>
      <c r="K482" s="15">
        <f t="shared" si="77"/>
        <v>6.9130210449894298E-3</v>
      </c>
      <c r="L482" s="16">
        <f t="shared" si="87"/>
        <v>0.30187747688243066</v>
      </c>
      <c r="M482" s="16">
        <f t="shared" si="78"/>
        <v>2.0868853506965532</v>
      </c>
      <c r="N482" s="16">
        <f t="shared" si="79"/>
        <v>108.84485578474649</v>
      </c>
      <c r="O482" s="16">
        <f t="shared" si="80"/>
        <v>107.84485578474649</v>
      </c>
      <c r="P482" s="1">
        <v>2024</v>
      </c>
      <c r="Q482" s="1" t="s">
        <v>39</v>
      </c>
      <c r="R482" s="1" t="s">
        <v>40</v>
      </c>
      <c r="S482" s="70">
        <f>DATE(Table2[[#This Row],[Year]],MONTH(DATEVALUE("1-"&amp;Table2[[#This Row],[Month]]&amp;"-2000")),1)</f>
        <v>45323</v>
      </c>
      <c r="T482" s="16">
        <f t="shared" si="81"/>
        <v>32.857810435931306</v>
      </c>
      <c r="U482" s="16">
        <f t="shared" si="82"/>
        <v>0.22714673503586644</v>
      </c>
      <c r="V482" s="16">
        <f t="shared" si="83"/>
        <v>57.130312500000002</v>
      </c>
      <c r="W482" s="16">
        <f t="shared" si="84"/>
        <v>6218.3406249999998</v>
      </c>
      <c r="X482" s="16">
        <f t="shared" si="85"/>
        <v>189.25</v>
      </c>
      <c r="Y482" s="16">
        <f t="shared" si="86"/>
        <v>27375.875</v>
      </c>
      <c r="Z482" s="7" t="str" cm="1">
        <f t="array" ref="Z482">_xlfn.IFS(K482&lt;2%,"Low",K482&lt;5%,"Medium",K482&lt;10%,"Good",K482&gt;10%,"Excellent")</f>
        <v>Low</v>
      </c>
      <c r="AA482" s="16" t="str">
        <f>Data_Validation!N480</f>
        <v>Pass</v>
      </c>
    </row>
    <row r="483" spans="1:27" x14ac:dyDescent="0.35">
      <c r="A483" s="17" t="s">
        <v>78</v>
      </c>
      <c r="B483" s="3" t="s">
        <v>28</v>
      </c>
      <c r="C483" s="3" t="s">
        <v>20</v>
      </c>
      <c r="D483" s="3" t="s">
        <v>43</v>
      </c>
      <c r="E483" s="3" t="s">
        <v>30</v>
      </c>
      <c r="F483" s="3">
        <v>32426.37</v>
      </c>
      <c r="G483" s="3">
        <v>617040</v>
      </c>
      <c r="H483" s="3">
        <v>39062</v>
      </c>
      <c r="I483" s="3">
        <v>14736.71</v>
      </c>
      <c r="J483" s="3">
        <v>13</v>
      </c>
      <c r="K483" s="15">
        <f t="shared" si="77"/>
        <v>6.3305458317126931E-2</v>
      </c>
      <c r="L483" s="16">
        <f t="shared" si="87"/>
        <v>0.8301256976089294</v>
      </c>
      <c r="M483" s="16">
        <f t="shared" si="78"/>
        <v>52.551487747957985</v>
      </c>
      <c r="N483" s="16">
        <f t="shared" si="79"/>
        <v>0.45446684288127226</v>
      </c>
      <c r="O483" s="16">
        <f t="shared" si="80"/>
        <v>-0.54553315711872774</v>
      </c>
      <c r="P483" s="1">
        <v>2024</v>
      </c>
      <c r="Q483" s="1" t="s">
        <v>39</v>
      </c>
      <c r="R483" s="1" t="s">
        <v>40</v>
      </c>
      <c r="S483" s="70">
        <f>DATE(Table2[[#This Row],[Year]],MONTH(DATEVALUE("1-"&amp;Table2[[#This Row],[Month]]&amp;"-2000")),1)</f>
        <v>45323</v>
      </c>
      <c r="T483" s="16">
        <f t="shared" si="81"/>
        <v>0.37726460498694381</v>
      </c>
      <c r="U483" s="16">
        <f t="shared" si="82"/>
        <v>2.3882908725528326E-2</v>
      </c>
      <c r="V483" s="16">
        <f t="shared" si="83"/>
        <v>2494.3361538461536</v>
      </c>
      <c r="W483" s="16">
        <f t="shared" si="84"/>
        <v>1133.5930769230768</v>
      </c>
      <c r="X483" s="16">
        <f t="shared" si="85"/>
        <v>3004.7692307692309</v>
      </c>
      <c r="Y483" s="16">
        <f t="shared" si="86"/>
        <v>47464.615384615383</v>
      </c>
      <c r="Z483" s="7" t="str" cm="1">
        <f t="array" ref="Z483">_xlfn.IFS(K483&lt;2%,"Low",K483&lt;5%,"Medium",K483&lt;10%,"Good",K483&gt;10%,"Excellent")</f>
        <v>Good</v>
      </c>
      <c r="AA483" s="16" t="str">
        <f>Data_Validation!N481</f>
        <v>Pass</v>
      </c>
    </row>
    <row r="484" spans="1:27" x14ac:dyDescent="0.35">
      <c r="A484" s="17" t="s">
        <v>34</v>
      </c>
      <c r="B484" s="3" t="s">
        <v>48</v>
      </c>
      <c r="C484" s="3" t="s">
        <v>58</v>
      </c>
      <c r="D484" s="3" t="s">
        <v>59</v>
      </c>
      <c r="E484" s="3" t="s">
        <v>22</v>
      </c>
      <c r="F484" s="3">
        <v>23234.13</v>
      </c>
      <c r="G484" s="3">
        <v>504932</v>
      </c>
      <c r="H484" s="3">
        <v>42966</v>
      </c>
      <c r="I484" s="3">
        <v>130598.51</v>
      </c>
      <c r="J484" s="3">
        <v>58</v>
      </c>
      <c r="K484" s="15">
        <f t="shared" si="77"/>
        <v>8.5092646138489936E-2</v>
      </c>
      <c r="L484" s="16">
        <f t="shared" si="87"/>
        <v>0.54075617930456643</v>
      </c>
      <c r="M484" s="16">
        <f t="shared" si="78"/>
        <v>46.01437421276529</v>
      </c>
      <c r="N484" s="16">
        <f t="shared" si="79"/>
        <v>5.6209769851507243</v>
      </c>
      <c r="O484" s="16">
        <f t="shared" si="80"/>
        <v>4.6209769851507234</v>
      </c>
      <c r="P484" s="1">
        <v>2024</v>
      </c>
      <c r="Q484" s="1" t="s">
        <v>39</v>
      </c>
      <c r="R484" s="1" t="s">
        <v>40</v>
      </c>
      <c r="S484" s="70">
        <f>DATE(Table2[[#This Row],[Year]],MONTH(DATEVALUE("1-"&amp;Table2[[#This Row],[Month]]&amp;"-2000")),1)</f>
        <v>45323</v>
      </c>
      <c r="T484" s="16">
        <f t="shared" si="81"/>
        <v>3.0395780384490059</v>
      </c>
      <c r="U484" s="16">
        <f t="shared" si="82"/>
        <v>0.25864573843606664</v>
      </c>
      <c r="V484" s="16">
        <f t="shared" si="83"/>
        <v>400.58844827586211</v>
      </c>
      <c r="W484" s="16">
        <f t="shared" si="84"/>
        <v>2251.6984482758621</v>
      </c>
      <c r="X484" s="16">
        <f t="shared" si="85"/>
        <v>740.79310344827582</v>
      </c>
      <c r="Y484" s="16">
        <f t="shared" si="86"/>
        <v>8705.7241379310344</v>
      </c>
      <c r="Z484" s="7" t="str" cm="1">
        <f t="array" ref="Z484">_xlfn.IFS(K484&lt;2%,"Low",K484&lt;5%,"Medium",K484&lt;10%,"Good",K484&gt;10%,"Excellent")</f>
        <v>Good</v>
      </c>
      <c r="AA484" s="16" t="str">
        <f>Data_Validation!N482</f>
        <v>Pass</v>
      </c>
    </row>
    <row r="485" spans="1:27" x14ac:dyDescent="0.35">
      <c r="A485" s="17" t="s">
        <v>47</v>
      </c>
      <c r="B485" s="3" t="s">
        <v>19</v>
      </c>
      <c r="C485" s="3" t="s">
        <v>36</v>
      </c>
      <c r="D485" s="3" t="s">
        <v>37</v>
      </c>
      <c r="E485" s="3" t="s">
        <v>38</v>
      </c>
      <c r="F485" s="3">
        <v>34089.379999999997</v>
      </c>
      <c r="G485" s="3">
        <v>246828</v>
      </c>
      <c r="H485" s="3">
        <v>19759</v>
      </c>
      <c r="I485" s="3">
        <v>172590.2</v>
      </c>
      <c r="J485" s="3">
        <v>35</v>
      </c>
      <c r="K485" s="15">
        <f t="shared" si="77"/>
        <v>8.0051695917805116E-2</v>
      </c>
      <c r="L485" s="16">
        <f t="shared" si="87"/>
        <v>1.7252583632774936</v>
      </c>
      <c r="M485" s="16">
        <f t="shared" si="78"/>
        <v>138.10985787674008</v>
      </c>
      <c r="N485" s="16">
        <f t="shared" si="79"/>
        <v>5.0628729533948702</v>
      </c>
      <c r="O485" s="16">
        <f t="shared" si="80"/>
        <v>4.0628729533948702</v>
      </c>
      <c r="P485" s="1">
        <v>2024</v>
      </c>
      <c r="Q485" s="1" t="s">
        <v>39</v>
      </c>
      <c r="R485" s="1" t="s">
        <v>40</v>
      </c>
      <c r="S485" s="70">
        <f>DATE(Table2[[#This Row],[Year]],MONTH(DATEVALUE("1-"&amp;Table2[[#This Row],[Month]]&amp;"-2000")),1)</f>
        <v>45323</v>
      </c>
      <c r="T485" s="16">
        <f t="shared" si="81"/>
        <v>8.7347639050559245</v>
      </c>
      <c r="U485" s="16">
        <f t="shared" si="82"/>
        <v>0.69923266404135676</v>
      </c>
      <c r="V485" s="16">
        <f t="shared" si="83"/>
        <v>973.98228571428569</v>
      </c>
      <c r="W485" s="16">
        <f t="shared" si="84"/>
        <v>4931.1485714285718</v>
      </c>
      <c r="X485" s="16">
        <f t="shared" si="85"/>
        <v>564.54285714285709</v>
      </c>
      <c r="Y485" s="16">
        <f t="shared" si="86"/>
        <v>7052.2285714285717</v>
      </c>
      <c r="Z485" s="7" t="str" cm="1">
        <f t="array" ref="Z485">_xlfn.IFS(K485&lt;2%,"Low",K485&lt;5%,"Medium",K485&lt;10%,"Good",K485&gt;10%,"Excellent")</f>
        <v>Good</v>
      </c>
      <c r="AA485" s="16" t="str">
        <f>Data_Validation!N483</f>
        <v>Pass</v>
      </c>
    </row>
    <row r="486" spans="1:27" x14ac:dyDescent="0.35">
      <c r="A486" s="17" t="s">
        <v>89</v>
      </c>
      <c r="B486" s="3" t="s">
        <v>35</v>
      </c>
      <c r="C486" s="3" t="s">
        <v>29</v>
      </c>
      <c r="D486" s="3" t="s">
        <v>51</v>
      </c>
      <c r="E486" s="3" t="s">
        <v>30</v>
      </c>
      <c r="F486" s="3">
        <v>34130.660000000003</v>
      </c>
      <c r="G486" s="3">
        <v>792150</v>
      </c>
      <c r="H486" s="3">
        <v>577</v>
      </c>
      <c r="I486" s="3">
        <v>179969.22</v>
      </c>
      <c r="J486" s="3">
        <v>6</v>
      </c>
      <c r="K486" s="15">
        <f t="shared" si="77"/>
        <v>7.283973994824213E-4</v>
      </c>
      <c r="L486" s="16">
        <f t="shared" si="87"/>
        <v>59.151923743500873</v>
      </c>
      <c r="M486" s="16">
        <f t="shared" si="78"/>
        <v>43.086107429148527</v>
      </c>
      <c r="N486" s="16">
        <f t="shared" si="79"/>
        <v>5.272948721179139</v>
      </c>
      <c r="O486" s="16">
        <f t="shared" si="80"/>
        <v>4.272948721179139</v>
      </c>
      <c r="P486" s="1">
        <v>2024</v>
      </c>
      <c r="Q486" s="1" t="s">
        <v>39</v>
      </c>
      <c r="R486" s="1" t="s">
        <v>40</v>
      </c>
      <c r="S486" s="70">
        <f>DATE(Table2[[#This Row],[Year]],MONTH(DATEVALUE("1-"&amp;Table2[[#This Row],[Month]]&amp;"-2000")),1)</f>
        <v>45323</v>
      </c>
      <c r="T486" s="16">
        <f t="shared" si="81"/>
        <v>311.90506065857886</v>
      </c>
      <c r="U486" s="16">
        <f t="shared" si="82"/>
        <v>0.22719083506911569</v>
      </c>
      <c r="V486" s="16">
        <f t="shared" si="83"/>
        <v>5688.4433333333336</v>
      </c>
      <c r="W486" s="16">
        <f t="shared" si="84"/>
        <v>29994.87</v>
      </c>
      <c r="X486" s="16">
        <f t="shared" si="85"/>
        <v>96.166666666666671</v>
      </c>
      <c r="Y486" s="16">
        <f t="shared" si="86"/>
        <v>132025</v>
      </c>
      <c r="Z486" s="7" t="str" cm="1">
        <f t="array" ref="Z486">_xlfn.IFS(K486&lt;2%,"Low",K486&lt;5%,"Medium",K486&lt;10%,"Good",K486&gt;10%,"Excellent")</f>
        <v>Low</v>
      </c>
      <c r="AA486" s="16" t="str">
        <f>Data_Validation!N484</f>
        <v>Pass</v>
      </c>
    </row>
    <row r="487" spans="1:27" x14ac:dyDescent="0.35">
      <c r="A487" s="17" t="s">
        <v>106</v>
      </c>
      <c r="B487" s="3" t="s">
        <v>48</v>
      </c>
      <c r="C487" s="3" t="s">
        <v>36</v>
      </c>
      <c r="D487" s="3" t="s">
        <v>59</v>
      </c>
      <c r="E487" s="3" t="s">
        <v>22</v>
      </c>
      <c r="F487" s="3">
        <v>2089.0100000000002</v>
      </c>
      <c r="G487" s="3">
        <v>700897</v>
      </c>
      <c r="H487" s="3">
        <v>4469</v>
      </c>
      <c r="I487" s="3">
        <v>15725.43</v>
      </c>
      <c r="J487" s="3">
        <v>47</v>
      </c>
      <c r="K487" s="15">
        <f t="shared" si="77"/>
        <v>6.3761151781217499E-3</v>
      </c>
      <c r="L487" s="16">
        <f t="shared" si="87"/>
        <v>0.4674446184828821</v>
      </c>
      <c r="M487" s="16">
        <f t="shared" si="78"/>
        <v>2.9804807268400353</v>
      </c>
      <c r="N487" s="16">
        <f t="shared" si="79"/>
        <v>7.5276949368361086</v>
      </c>
      <c r="O487" s="16">
        <f t="shared" si="80"/>
        <v>6.5276949368361086</v>
      </c>
      <c r="P487" s="1">
        <v>2024</v>
      </c>
      <c r="Q487" s="1" t="s">
        <v>39</v>
      </c>
      <c r="R487" s="1" t="s">
        <v>40</v>
      </c>
      <c r="S487" s="70">
        <f>DATE(Table2[[#This Row],[Year]],MONTH(DATEVALUE("1-"&amp;Table2[[#This Row],[Month]]&amp;"-2000")),1)</f>
        <v>45323</v>
      </c>
      <c r="T487" s="16">
        <f t="shared" si="81"/>
        <v>3.5187804878048783</v>
      </c>
      <c r="U487" s="16">
        <f t="shared" si="82"/>
        <v>2.2436149676771339E-2</v>
      </c>
      <c r="V487" s="16">
        <f t="shared" si="83"/>
        <v>44.447021276595748</v>
      </c>
      <c r="W487" s="16">
        <f t="shared" si="84"/>
        <v>334.58361702127661</v>
      </c>
      <c r="X487" s="16">
        <f t="shared" si="85"/>
        <v>95.085106382978722</v>
      </c>
      <c r="Y487" s="16">
        <f t="shared" si="86"/>
        <v>14912.702127659575</v>
      </c>
      <c r="Z487" s="7" t="str" cm="1">
        <f t="array" ref="Z487">_xlfn.IFS(K487&lt;2%,"Low",K487&lt;5%,"Medium",K487&lt;10%,"Good",K487&gt;10%,"Excellent")</f>
        <v>Low</v>
      </c>
      <c r="AA487" s="16" t="str">
        <f>Data_Validation!N485</f>
        <v>Pass</v>
      </c>
    </row>
    <row r="488" spans="1:27" x14ac:dyDescent="0.35">
      <c r="A488" s="17" t="s">
        <v>34</v>
      </c>
      <c r="B488" s="3" t="s">
        <v>48</v>
      </c>
      <c r="C488" s="3" t="s">
        <v>29</v>
      </c>
      <c r="D488" s="3" t="s">
        <v>59</v>
      </c>
      <c r="E488" s="3" t="s">
        <v>38</v>
      </c>
      <c r="F488" s="3">
        <v>23054.22</v>
      </c>
      <c r="G488" s="3">
        <v>592813</v>
      </c>
      <c r="H488" s="3">
        <v>30385</v>
      </c>
      <c r="I488" s="3">
        <v>179010.52</v>
      </c>
      <c r="J488" s="3">
        <v>46</v>
      </c>
      <c r="K488" s="15">
        <f t="shared" si="77"/>
        <v>5.1255623611493002E-2</v>
      </c>
      <c r="L488" s="16">
        <f t="shared" si="87"/>
        <v>0.75873687674839563</v>
      </c>
      <c r="M488" s="16">
        <f t="shared" si="78"/>
        <v>38.88953177477552</v>
      </c>
      <c r="N488" s="16">
        <f t="shared" si="79"/>
        <v>7.7647615057026425</v>
      </c>
      <c r="O488" s="16">
        <f t="shared" si="80"/>
        <v>6.7647615057026425</v>
      </c>
      <c r="P488" s="1">
        <v>2024</v>
      </c>
      <c r="Q488" s="1" t="s">
        <v>39</v>
      </c>
      <c r="R488" s="1" t="s">
        <v>40</v>
      </c>
      <c r="S488" s="70">
        <f>DATE(Table2[[#This Row],[Year]],MONTH(DATEVALUE("1-"&amp;Table2[[#This Row],[Month]]&amp;"-2000")),1)</f>
        <v>45323</v>
      </c>
      <c r="T488" s="16">
        <f t="shared" si="81"/>
        <v>5.891410893532993</v>
      </c>
      <c r="U488" s="16">
        <f t="shared" si="82"/>
        <v>0.30196793929957677</v>
      </c>
      <c r="V488" s="16">
        <f t="shared" si="83"/>
        <v>501.17869565217393</v>
      </c>
      <c r="W488" s="16">
        <f t="shared" si="84"/>
        <v>3891.5330434782604</v>
      </c>
      <c r="X488" s="16">
        <f t="shared" si="85"/>
        <v>660.54347826086962</v>
      </c>
      <c r="Y488" s="16">
        <f t="shared" si="86"/>
        <v>12887.239130434782</v>
      </c>
      <c r="Z488" s="7" t="str" cm="1">
        <f t="array" ref="Z488">_xlfn.IFS(K488&lt;2%,"Low",K488&lt;5%,"Medium",K488&lt;10%,"Good",K488&gt;10%,"Excellent")</f>
        <v>Good</v>
      </c>
      <c r="AA488" s="16" t="str">
        <f>Data_Validation!N486</f>
        <v>Pass</v>
      </c>
    </row>
    <row r="489" spans="1:27" x14ac:dyDescent="0.35">
      <c r="A489" s="17" t="s">
        <v>111</v>
      </c>
      <c r="B489" s="3" t="s">
        <v>19</v>
      </c>
      <c r="C489" s="3" t="s">
        <v>20</v>
      </c>
      <c r="D489" s="3" t="s">
        <v>21</v>
      </c>
      <c r="E489" s="3" t="s">
        <v>30</v>
      </c>
      <c r="F489" s="3">
        <v>1456.22</v>
      </c>
      <c r="G489" s="3">
        <v>49704</v>
      </c>
      <c r="H489" s="3">
        <v>37334</v>
      </c>
      <c r="I489" s="3">
        <v>123400.69</v>
      </c>
      <c r="J489" s="3">
        <v>40</v>
      </c>
      <c r="K489" s="15">
        <f t="shared" si="77"/>
        <v>0.75112666988572352</v>
      </c>
      <c r="L489" s="16">
        <f t="shared" si="87"/>
        <v>3.9005196335779722E-2</v>
      </c>
      <c r="M489" s="16">
        <f t="shared" si="78"/>
        <v>29.297843231933044</v>
      </c>
      <c r="N489" s="16">
        <f t="shared" si="79"/>
        <v>84.740416969963334</v>
      </c>
      <c r="O489" s="16">
        <f t="shared" si="80"/>
        <v>83.740416969963334</v>
      </c>
      <c r="P489" s="1">
        <v>2024</v>
      </c>
      <c r="Q489" s="1" t="s">
        <v>39</v>
      </c>
      <c r="R489" s="1" t="s">
        <v>40</v>
      </c>
      <c r="S489" s="70">
        <f>DATE(Table2[[#This Row],[Year]],MONTH(DATEVALUE("1-"&amp;Table2[[#This Row],[Month]]&amp;"-2000")),1)</f>
        <v>45323</v>
      </c>
      <c r="T489" s="16">
        <f t="shared" si="81"/>
        <v>3.3053166014892592</v>
      </c>
      <c r="U489" s="16">
        <f t="shared" si="82"/>
        <v>2.482711451794624</v>
      </c>
      <c r="V489" s="16">
        <f t="shared" si="83"/>
        <v>36.405500000000004</v>
      </c>
      <c r="W489" s="16">
        <f t="shared" si="84"/>
        <v>3085.0172499999999</v>
      </c>
      <c r="X489" s="16">
        <f t="shared" si="85"/>
        <v>933.35</v>
      </c>
      <c r="Y489" s="16">
        <f t="shared" si="86"/>
        <v>1242.5999999999999</v>
      </c>
      <c r="Z489" s="7" t="str" cm="1">
        <f t="array" ref="Z489">_xlfn.IFS(K489&lt;2%,"Low",K489&lt;5%,"Medium",K489&lt;10%,"Good",K489&gt;10%,"Excellent")</f>
        <v>Excellent</v>
      </c>
      <c r="AA489" s="16" t="str">
        <f>Data_Validation!N487</f>
        <v>Pass</v>
      </c>
    </row>
    <row r="490" spans="1:27" x14ac:dyDescent="0.35">
      <c r="A490" s="17" t="s">
        <v>97</v>
      </c>
      <c r="B490" s="3" t="s">
        <v>35</v>
      </c>
      <c r="C490" s="3" t="s">
        <v>69</v>
      </c>
      <c r="D490" s="3" t="s">
        <v>37</v>
      </c>
      <c r="E490" s="3" t="s">
        <v>30</v>
      </c>
      <c r="F490" s="3">
        <v>49497.26</v>
      </c>
      <c r="G490" s="3">
        <v>453481</v>
      </c>
      <c r="H490" s="3">
        <v>47355</v>
      </c>
      <c r="I490" s="3">
        <v>17604.29</v>
      </c>
      <c r="J490" s="3">
        <v>28</v>
      </c>
      <c r="K490" s="15">
        <f t="shared" si="77"/>
        <v>0.10442554373832641</v>
      </c>
      <c r="L490" s="16">
        <f t="shared" si="87"/>
        <v>1.0452383064090383</v>
      </c>
      <c r="M490" s="16">
        <f t="shared" si="78"/>
        <v>109.14957848289124</v>
      </c>
      <c r="N490" s="16">
        <f t="shared" si="79"/>
        <v>0.35566190936629621</v>
      </c>
      <c r="O490" s="16">
        <f t="shared" si="80"/>
        <v>-0.64433809063370373</v>
      </c>
      <c r="P490" s="1">
        <v>2024</v>
      </c>
      <c r="Q490" s="1" t="s">
        <v>39</v>
      </c>
      <c r="R490" s="1" t="s">
        <v>40</v>
      </c>
      <c r="S490" s="70">
        <f>DATE(Table2[[#This Row],[Year]],MONTH(DATEVALUE("1-"&amp;Table2[[#This Row],[Month]]&amp;"-2000")),1)</f>
        <v>45323</v>
      </c>
      <c r="T490" s="16">
        <f t="shared" si="81"/>
        <v>0.37175145180023228</v>
      </c>
      <c r="U490" s="16">
        <f t="shared" si="82"/>
        <v>3.8820347489751501E-2</v>
      </c>
      <c r="V490" s="16">
        <f t="shared" si="83"/>
        <v>1767.7592857142859</v>
      </c>
      <c r="W490" s="16">
        <f t="shared" si="84"/>
        <v>628.72464285714284</v>
      </c>
      <c r="X490" s="16">
        <f t="shared" si="85"/>
        <v>1691.25</v>
      </c>
      <c r="Y490" s="16">
        <f t="shared" si="86"/>
        <v>16195.75</v>
      </c>
      <c r="Z490" s="7" t="str" cm="1">
        <f t="array" ref="Z490">_xlfn.IFS(K490&lt;2%,"Low",K490&lt;5%,"Medium",K490&lt;10%,"Good",K490&gt;10%,"Excellent")</f>
        <v>Excellent</v>
      </c>
      <c r="AA490" s="16" t="str">
        <f>Data_Validation!N488</f>
        <v>Pass</v>
      </c>
    </row>
    <row r="491" spans="1:27" x14ac:dyDescent="0.35">
      <c r="A491" s="17" t="s">
        <v>107</v>
      </c>
      <c r="B491" s="3" t="s">
        <v>28</v>
      </c>
      <c r="C491" s="3" t="s">
        <v>69</v>
      </c>
      <c r="D491" s="3" t="s">
        <v>51</v>
      </c>
      <c r="E491" s="3" t="s">
        <v>30</v>
      </c>
      <c r="F491" s="3">
        <v>9724.56</v>
      </c>
      <c r="G491" s="3">
        <v>313662</v>
      </c>
      <c r="H491" s="3">
        <v>7332</v>
      </c>
      <c r="I491" s="3">
        <v>161038.71</v>
      </c>
      <c r="J491" s="3">
        <v>18</v>
      </c>
      <c r="K491" s="15">
        <f t="shared" si="77"/>
        <v>2.3375480612889032E-2</v>
      </c>
      <c r="L491" s="16">
        <f t="shared" si="87"/>
        <v>1.3263175122749591</v>
      </c>
      <c r="M491" s="16">
        <f t="shared" si="78"/>
        <v>31.003309294718516</v>
      </c>
      <c r="N491" s="16">
        <f t="shared" si="79"/>
        <v>16.559999629803301</v>
      </c>
      <c r="O491" s="16">
        <f t="shared" si="80"/>
        <v>15.559999629803302</v>
      </c>
      <c r="P491" s="1">
        <v>2024</v>
      </c>
      <c r="Q491" s="1" t="s">
        <v>39</v>
      </c>
      <c r="R491" s="1" t="s">
        <v>40</v>
      </c>
      <c r="S491" s="70">
        <f>DATE(Table2[[#This Row],[Year]],MONTH(DATEVALUE("1-"&amp;Table2[[#This Row],[Month]]&amp;"-2000")),1)</f>
        <v>45323</v>
      </c>
      <c r="T491" s="16">
        <f t="shared" si="81"/>
        <v>21.963817512274957</v>
      </c>
      <c r="U491" s="16">
        <f t="shared" si="82"/>
        <v>0.51341479044321592</v>
      </c>
      <c r="V491" s="16">
        <f t="shared" si="83"/>
        <v>540.25333333333333</v>
      </c>
      <c r="W491" s="16">
        <f t="shared" si="84"/>
        <v>8946.5949999999993</v>
      </c>
      <c r="X491" s="16">
        <f t="shared" si="85"/>
        <v>407.33333333333331</v>
      </c>
      <c r="Y491" s="16">
        <f t="shared" si="86"/>
        <v>17425.666666666668</v>
      </c>
      <c r="Z491" s="7" t="str" cm="1">
        <f t="array" ref="Z491">_xlfn.IFS(K491&lt;2%,"Low",K491&lt;5%,"Medium",K491&lt;10%,"Good",K491&gt;10%,"Excellent")</f>
        <v>Medium</v>
      </c>
      <c r="AA491" s="16" t="str">
        <f>Data_Validation!N489</f>
        <v>Pass</v>
      </c>
    </row>
    <row r="492" spans="1:27" x14ac:dyDescent="0.35">
      <c r="A492" s="17" t="s">
        <v>99</v>
      </c>
      <c r="B492" s="3" t="s">
        <v>28</v>
      </c>
      <c r="C492" s="3" t="s">
        <v>20</v>
      </c>
      <c r="D492" s="3" t="s">
        <v>21</v>
      </c>
      <c r="E492" s="3" t="s">
        <v>22</v>
      </c>
      <c r="F492" s="3">
        <v>9739.51</v>
      </c>
      <c r="G492" s="3">
        <v>630407</v>
      </c>
      <c r="H492" s="3">
        <v>48282</v>
      </c>
      <c r="I492" s="3">
        <v>228336.53</v>
      </c>
      <c r="J492" s="3">
        <v>25</v>
      </c>
      <c r="K492" s="15">
        <f t="shared" si="77"/>
        <v>7.6588616560412562E-2</v>
      </c>
      <c r="L492" s="16">
        <f t="shared" si="87"/>
        <v>0.20172134542893833</v>
      </c>
      <c r="M492" s="16">
        <f t="shared" si="78"/>
        <v>15.449558777107487</v>
      </c>
      <c r="N492" s="16">
        <f t="shared" si="79"/>
        <v>23.4443550034858</v>
      </c>
      <c r="O492" s="16">
        <f t="shared" si="80"/>
        <v>22.4443550034858</v>
      </c>
      <c r="P492" s="1">
        <v>2024</v>
      </c>
      <c r="Q492" s="1" t="s">
        <v>39</v>
      </c>
      <c r="R492" s="1" t="s">
        <v>40</v>
      </c>
      <c r="S492" s="70">
        <f>DATE(Table2[[#This Row],[Year]],MONTH(DATEVALUE("1-"&amp;Table2[[#This Row],[Month]]&amp;"-2000")),1)</f>
        <v>45323</v>
      </c>
      <c r="T492" s="16">
        <f t="shared" si="81"/>
        <v>4.729226834016818</v>
      </c>
      <c r="U492" s="16">
        <f t="shared" si="82"/>
        <v>0.3622049406177279</v>
      </c>
      <c r="V492" s="16">
        <f t="shared" si="83"/>
        <v>389.5804</v>
      </c>
      <c r="W492" s="16">
        <f t="shared" si="84"/>
        <v>9133.4611999999997</v>
      </c>
      <c r="X492" s="16">
        <f t="shared" si="85"/>
        <v>1931.28</v>
      </c>
      <c r="Y492" s="16">
        <f t="shared" si="86"/>
        <v>25216.28</v>
      </c>
      <c r="Z492" s="7" t="str" cm="1">
        <f t="array" ref="Z492">_xlfn.IFS(K492&lt;2%,"Low",K492&lt;5%,"Medium",K492&lt;10%,"Good",K492&gt;10%,"Excellent")</f>
        <v>Good</v>
      </c>
      <c r="AA492" s="16" t="str">
        <f>Data_Validation!N490</f>
        <v>Pass</v>
      </c>
    </row>
    <row r="493" spans="1:27" x14ac:dyDescent="0.35">
      <c r="A493" s="17" t="s">
        <v>114</v>
      </c>
      <c r="B493" s="3" t="s">
        <v>35</v>
      </c>
      <c r="C493" s="3" t="s">
        <v>69</v>
      </c>
      <c r="D493" s="3" t="s">
        <v>37</v>
      </c>
      <c r="E493" s="3" t="s">
        <v>38</v>
      </c>
      <c r="F493" s="3">
        <v>11748.15</v>
      </c>
      <c r="G493" s="3">
        <v>678470</v>
      </c>
      <c r="H493" s="3">
        <v>14015</v>
      </c>
      <c r="I493" s="3">
        <v>7767.83</v>
      </c>
      <c r="J493" s="3">
        <v>8</v>
      </c>
      <c r="K493" s="15">
        <f t="shared" si="77"/>
        <v>2.0656771854319276E-2</v>
      </c>
      <c r="L493" s="16">
        <f t="shared" si="87"/>
        <v>0.83825544059935786</v>
      </c>
      <c r="M493" s="16">
        <f t="shared" si="78"/>
        <v>17.315651392102819</v>
      </c>
      <c r="N493" s="16">
        <f t="shared" si="79"/>
        <v>0.66119601809646622</v>
      </c>
      <c r="O493" s="16">
        <f t="shared" si="80"/>
        <v>-0.33880398190353372</v>
      </c>
      <c r="P493" s="1">
        <v>2024</v>
      </c>
      <c r="Q493" s="1" t="s">
        <v>39</v>
      </c>
      <c r="R493" s="1" t="s">
        <v>40</v>
      </c>
      <c r="S493" s="70">
        <f>DATE(Table2[[#This Row],[Year]],MONTH(DATEVALUE("1-"&amp;Table2[[#This Row],[Month]]&amp;"-2000")),1)</f>
        <v>45323</v>
      </c>
      <c r="T493" s="16">
        <f t="shared" si="81"/>
        <v>0.55425115947199433</v>
      </c>
      <c r="U493" s="16">
        <f t="shared" si="82"/>
        <v>1.1449039751204917E-2</v>
      </c>
      <c r="V493" s="16">
        <f t="shared" si="83"/>
        <v>1468.51875</v>
      </c>
      <c r="W493" s="16">
        <f t="shared" si="84"/>
        <v>970.97874999999999</v>
      </c>
      <c r="X493" s="16">
        <f t="shared" si="85"/>
        <v>1751.875</v>
      </c>
      <c r="Y493" s="16">
        <f t="shared" si="86"/>
        <v>84808.75</v>
      </c>
      <c r="Z493" s="7" t="str" cm="1">
        <f t="array" ref="Z493">_xlfn.IFS(K493&lt;2%,"Low",K493&lt;5%,"Medium",K493&lt;10%,"Good",K493&gt;10%,"Excellent")</f>
        <v>Medium</v>
      </c>
      <c r="AA493" s="16" t="str">
        <f>Data_Validation!N491</f>
        <v>Pass</v>
      </c>
    </row>
    <row r="494" spans="1:27" x14ac:dyDescent="0.35">
      <c r="A494" s="17" t="s">
        <v>50</v>
      </c>
      <c r="B494" s="3" t="s">
        <v>28</v>
      </c>
      <c r="C494" s="3" t="s">
        <v>69</v>
      </c>
      <c r="D494" s="3" t="s">
        <v>51</v>
      </c>
      <c r="E494" s="3" t="s">
        <v>30</v>
      </c>
      <c r="F494" s="3">
        <v>17354.27</v>
      </c>
      <c r="G494" s="3">
        <v>924462</v>
      </c>
      <c r="H494" s="3">
        <v>45191</v>
      </c>
      <c r="I494" s="3">
        <v>159168.82</v>
      </c>
      <c r="J494" s="3">
        <v>43</v>
      </c>
      <c r="K494" s="15">
        <f t="shared" si="77"/>
        <v>4.888356687457137E-2</v>
      </c>
      <c r="L494" s="16">
        <f t="shared" si="87"/>
        <v>0.38402049080569139</v>
      </c>
      <c r="M494" s="16">
        <f t="shared" si="78"/>
        <v>18.772291343505739</v>
      </c>
      <c r="N494" s="16">
        <f t="shared" si="79"/>
        <v>9.1717381370694362</v>
      </c>
      <c r="O494" s="16">
        <f t="shared" si="80"/>
        <v>8.1717381370694362</v>
      </c>
      <c r="P494" s="1">
        <v>2024</v>
      </c>
      <c r="Q494" s="1" t="s">
        <v>60</v>
      </c>
      <c r="R494" s="1" t="s">
        <v>40</v>
      </c>
      <c r="S494" s="70">
        <f>DATE(Table2[[#This Row],[Year]],MONTH(DATEVALUE("1-"&amp;Table2[[#This Row],[Month]]&amp;"-2000")),1)</f>
        <v>45352</v>
      </c>
      <c r="T494" s="16">
        <f t="shared" si="81"/>
        <v>3.5221353809386828</v>
      </c>
      <c r="U494" s="16">
        <f t="shared" si="82"/>
        <v>0.17217454043541</v>
      </c>
      <c r="V494" s="16">
        <f t="shared" si="83"/>
        <v>403.58767441860465</v>
      </c>
      <c r="W494" s="16">
        <f t="shared" si="84"/>
        <v>3701.6004651162793</v>
      </c>
      <c r="X494" s="16">
        <f t="shared" si="85"/>
        <v>1050.953488372093</v>
      </c>
      <c r="Y494" s="16">
        <f t="shared" si="86"/>
        <v>21499.116279069767</v>
      </c>
      <c r="Z494" s="7" t="str" cm="1">
        <f t="array" ref="Z494">_xlfn.IFS(K494&lt;2%,"Low",K494&lt;5%,"Medium",K494&lt;10%,"Good",K494&gt;10%,"Excellent")</f>
        <v>Medium</v>
      </c>
      <c r="AA494" s="16" t="str">
        <f>Data_Validation!N492</f>
        <v>Pass</v>
      </c>
    </row>
    <row r="495" spans="1:27" x14ac:dyDescent="0.35">
      <c r="A495" s="17" t="s">
        <v>27</v>
      </c>
      <c r="B495" s="3" t="s">
        <v>48</v>
      </c>
      <c r="C495" s="3" t="s">
        <v>29</v>
      </c>
      <c r="D495" s="3" t="s">
        <v>51</v>
      </c>
      <c r="E495" s="3" t="s">
        <v>22</v>
      </c>
      <c r="F495" s="3">
        <v>15044.78</v>
      </c>
      <c r="G495" s="3">
        <v>337557</v>
      </c>
      <c r="H495" s="3">
        <v>39773</v>
      </c>
      <c r="I495" s="3">
        <v>85674.76</v>
      </c>
      <c r="J495" s="3">
        <v>21</v>
      </c>
      <c r="K495" s="15">
        <f t="shared" si="77"/>
        <v>0.11782602641924178</v>
      </c>
      <c r="L495" s="16">
        <f t="shared" si="87"/>
        <v>0.37826616046061401</v>
      </c>
      <c r="M495" s="16">
        <f t="shared" si="78"/>
        <v>44.569598615937458</v>
      </c>
      <c r="N495" s="16">
        <f t="shared" si="79"/>
        <v>5.6946502374910093</v>
      </c>
      <c r="O495" s="16">
        <f t="shared" si="80"/>
        <v>4.6946502374910093</v>
      </c>
      <c r="P495" s="1">
        <v>2024</v>
      </c>
      <c r="Q495" s="1" t="s">
        <v>60</v>
      </c>
      <c r="R495" s="1" t="s">
        <v>40</v>
      </c>
      <c r="S495" s="70">
        <f>DATE(Table2[[#This Row],[Year]],MONTH(DATEVALUE("1-"&amp;Table2[[#This Row],[Month]]&amp;"-2000")),1)</f>
        <v>45352</v>
      </c>
      <c r="T495" s="16">
        <f t="shared" si="81"/>
        <v>2.1540934805018477</v>
      </c>
      <c r="U495" s="16">
        <f t="shared" si="82"/>
        <v>0.25380827534312722</v>
      </c>
      <c r="V495" s="16">
        <f t="shared" si="83"/>
        <v>716.41809523809525</v>
      </c>
      <c r="W495" s="16">
        <f t="shared" si="84"/>
        <v>4079.7504761904761</v>
      </c>
      <c r="X495" s="16">
        <f t="shared" si="85"/>
        <v>1893.952380952381</v>
      </c>
      <c r="Y495" s="16">
        <f t="shared" si="86"/>
        <v>16074.142857142857</v>
      </c>
      <c r="Z495" s="7" t="str" cm="1">
        <f t="array" ref="Z495">_xlfn.IFS(K495&lt;2%,"Low",K495&lt;5%,"Medium",K495&lt;10%,"Good",K495&gt;10%,"Excellent")</f>
        <v>Excellent</v>
      </c>
      <c r="AA495" s="16" t="str">
        <f>Data_Validation!N493</f>
        <v>Pass</v>
      </c>
    </row>
    <row r="496" spans="1:27" x14ac:dyDescent="0.35">
      <c r="A496" s="17" t="s">
        <v>102</v>
      </c>
      <c r="B496" s="3" t="s">
        <v>48</v>
      </c>
      <c r="C496" s="3" t="s">
        <v>20</v>
      </c>
      <c r="D496" s="3" t="s">
        <v>51</v>
      </c>
      <c r="E496" s="3" t="s">
        <v>38</v>
      </c>
      <c r="F496" s="3">
        <v>1041.32</v>
      </c>
      <c r="G496" s="3">
        <v>752464</v>
      </c>
      <c r="H496" s="3">
        <v>37589</v>
      </c>
      <c r="I496" s="3">
        <v>204923.6</v>
      </c>
      <c r="J496" s="3">
        <v>31</v>
      </c>
      <c r="K496" s="15">
        <f t="shared" si="77"/>
        <v>4.9954549320631952E-2</v>
      </c>
      <c r="L496" s="16">
        <f t="shared" si="87"/>
        <v>2.7702785389342625E-2</v>
      </c>
      <c r="M496" s="16">
        <f t="shared" si="78"/>
        <v>1.3838801590507985</v>
      </c>
      <c r="N496" s="16">
        <f t="shared" si="79"/>
        <v>196.79214842699653</v>
      </c>
      <c r="O496" s="16">
        <f t="shared" si="80"/>
        <v>195.7921484269965</v>
      </c>
      <c r="P496" s="1">
        <v>2024</v>
      </c>
      <c r="Q496" s="1" t="s">
        <v>60</v>
      </c>
      <c r="R496" s="1" t="s">
        <v>40</v>
      </c>
      <c r="S496" s="70">
        <f>DATE(Table2[[#This Row],[Year]],MONTH(DATEVALUE("1-"&amp;Table2[[#This Row],[Month]]&amp;"-2000")),1)</f>
        <v>45352</v>
      </c>
      <c r="T496" s="16">
        <f t="shared" si="81"/>
        <v>5.4516906541807444</v>
      </c>
      <c r="U496" s="16">
        <f t="shared" si="82"/>
        <v>0.27233674966510024</v>
      </c>
      <c r="V496" s="16">
        <f t="shared" si="83"/>
        <v>33.590967741935479</v>
      </c>
      <c r="W496" s="16">
        <f t="shared" si="84"/>
        <v>6610.4387096774199</v>
      </c>
      <c r="X496" s="16">
        <f t="shared" si="85"/>
        <v>1212.5483870967741</v>
      </c>
      <c r="Y496" s="16">
        <f t="shared" si="86"/>
        <v>24273.032258064515</v>
      </c>
      <c r="Z496" s="7" t="str" cm="1">
        <f t="array" ref="Z496">_xlfn.IFS(K496&lt;2%,"Low",K496&lt;5%,"Medium",K496&lt;10%,"Good",K496&gt;10%,"Excellent")</f>
        <v>Medium</v>
      </c>
      <c r="AA496" s="16" t="str">
        <f>Data_Validation!N494</f>
        <v>Pass</v>
      </c>
    </row>
    <row r="497" spans="1:27" x14ac:dyDescent="0.35">
      <c r="A497" s="17" t="s">
        <v>113</v>
      </c>
      <c r="B497" s="3" t="s">
        <v>48</v>
      </c>
      <c r="C497" s="3" t="s">
        <v>58</v>
      </c>
      <c r="D497" s="3" t="s">
        <v>51</v>
      </c>
      <c r="E497" s="3" t="s">
        <v>30</v>
      </c>
      <c r="F497" s="3">
        <v>6753.35</v>
      </c>
      <c r="G497" s="3">
        <v>565953</v>
      </c>
      <c r="H497" s="3">
        <v>6370</v>
      </c>
      <c r="I497" s="3">
        <v>156635.63</v>
      </c>
      <c r="J497" s="3">
        <v>6</v>
      </c>
      <c r="K497" s="15">
        <f t="shared" si="77"/>
        <v>1.125535159280011E-2</v>
      </c>
      <c r="L497" s="16">
        <f t="shared" si="87"/>
        <v>1.0601805337519623</v>
      </c>
      <c r="M497" s="16">
        <f t="shared" si="78"/>
        <v>11.932704659220819</v>
      </c>
      <c r="N497" s="16">
        <f t="shared" si="79"/>
        <v>23.193767537592453</v>
      </c>
      <c r="O497" s="16">
        <f t="shared" si="80"/>
        <v>22.193767537592453</v>
      </c>
      <c r="P497" s="1">
        <v>2024</v>
      </c>
      <c r="Q497" s="1" t="s">
        <v>60</v>
      </c>
      <c r="R497" s="1" t="s">
        <v>40</v>
      </c>
      <c r="S497" s="70">
        <f>DATE(Table2[[#This Row],[Year]],MONTH(DATEVALUE("1-"&amp;Table2[[#This Row],[Month]]&amp;"-2000")),1)</f>
        <v>45352</v>
      </c>
      <c r="T497" s="16">
        <f t="shared" si="81"/>
        <v>24.589580847723706</v>
      </c>
      <c r="U497" s="16">
        <f t="shared" si="82"/>
        <v>0.27676437796071407</v>
      </c>
      <c r="V497" s="16">
        <f t="shared" si="83"/>
        <v>1125.5583333333334</v>
      </c>
      <c r="W497" s="16">
        <f t="shared" si="84"/>
        <v>26105.938333333335</v>
      </c>
      <c r="X497" s="16">
        <f t="shared" si="85"/>
        <v>1061.6666666666667</v>
      </c>
      <c r="Y497" s="16">
        <f t="shared" si="86"/>
        <v>94325.5</v>
      </c>
      <c r="Z497" s="7" t="str" cm="1">
        <f t="array" ref="Z497">_xlfn.IFS(K497&lt;2%,"Low",K497&lt;5%,"Medium",K497&lt;10%,"Good",K497&gt;10%,"Excellent")</f>
        <v>Low</v>
      </c>
      <c r="AA497" s="16" t="str">
        <f>Data_Validation!N495</f>
        <v>Pass</v>
      </c>
    </row>
    <row r="498" spans="1:27" x14ac:dyDescent="0.35">
      <c r="A498" s="17" t="s">
        <v>70</v>
      </c>
      <c r="B498" s="3" t="s">
        <v>48</v>
      </c>
      <c r="C498" s="3" t="s">
        <v>20</v>
      </c>
      <c r="D498" s="3" t="s">
        <v>21</v>
      </c>
      <c r="E498" s="3" t="s">
        <v>30</v>
      </c>
      <c r="F498" s="3">
        <v>56144.88</v>
      </c>
      <c r="G498" s="3">
        <v>159289</v>
      </c>
      <c r="H498" s="3">
        <v>46738</v>
      </c>
      <c r="I498" s="3">
        <v>73557.19</v>
      </c>
      <c r="J498" s="3">
        <v>37</v>
      </c>
      <c r="K498" s="15">
        <f t="shared" si="77"/>
        <v>0.29341636898969797</v>
      </c>
      <c r="L498" s="16">
        <f t="shared" si="87"/>
        <v>1.2012683469553682</v>
      </c>
      <c r="M498" s="16">
        <f t="shared" si="78"/>
        <v>352.47179654590082</v>
      </c>
      <c r="N498" s="16">
        <f t="shared" si="79"/>
        <v>1.3101317519959079</v>
      </c>
      <c r="O498" s="16">
        <f t="shared" si="80"/>
        <v>0.31013175199590781</v>
      </c>
      <c r="P498" s="1">
        <v>2024</v>
      </c>
      <c r="Q498" s="1" t="s">
        <v>60</v>
      </c>
      <c r="R498" s="1" t="s">
        <v>40</v>
      </c>
      <c r="S498" s="70">
        <f>DATE(Table2[[#This Row],[Year]],MONTH(DATEVALUE("1-"&amp;Table2[[#This Row],[Month]]&amp;"-2000")),1)</f>
        <v>45352</v>
      </c>
      <c r="T498" s="16">
        <f t="shared" si="81"/>
        <v>1.5738198040138647</v>
      </c>
      <c r="U498" s="16">
        <f t="shared" si="82"/>
        <v>0.4617844923378262</v>
      </c>
      <c r="V498" s="16">
        <f t="shared" si="83"/>
        <v>1517.4291891891892</v>
      </c>
      <c r="W498" s="16">
        <f t="shared" si="84"/>
        <v>1988.0321621621622</v>
      </c>
      <c r="X498" s="16">
        <f t="shared" si="85"/>
        <v>1263.1891891891892</v>
      </c>
      <c r="Y498" s="16">
        <f t="shared" si="86"/>
        <v>4305.1081081081084</v>
      </c>
      <c r="Z498" s="7" t="str" cm="1">
        <f t="array" ref="Z498">_xlfn.IFS(K498&lt;2%,"Low",K498&lt;5%,"Medium",K498&lt;10%,"Good",K498&gt;10%,"Excellent")</f>
        <v>Excellent</v>
      </c>
      <c r="AA498" s="16" t="str">
        <f>Data_Validation!N496</f>
        <v>Pass</v>
      </c>
    </row>
    <row r="499" spans="1:27" x14ac:dyDescent="0.35">
      <c r="A499" s="17" t="s">
        <v>88</v>
      </c>
      <c r="B499" s="3" t="s">
        <v>19</v>
      </c>
      <c r="C499" s="3" t="s">
        <v>20</v>
      </c>
      <c r="D499" s="3" t="s">
        <v>37</v>
      </c>
      <c r="E499" s="3" t="s">
        <v>22</v>
      </c>
      <c r="F499" s="3">
        <v>16955.169999999998</v>
      </c>
      <c r="G499" s="3">
        <v>826466</v>
      </c>
      <c r="H499" s="3">
        <v>45353</v>
      </c>
      <c r="I499" s="3">
        <v>136712.98000000001</v>
      </c>
      <c r="J499" s="3">
        <v>33</v>
      </c>
      <c r="K499" s="15">
        <f t="shared" si="77"/>
        <v>5.4875820662918982E-2</v>
      </c>
      <c r="L499" s="16">
        <f t="shared" si="87"/>
        <v>0.37384891848389296</v>
      </c>
      <c r="M499" s="16">
        <f t="shared" si="78"/>
        <v>20.515266205748329</v>
      </c>
      <c r="N499" s="16">
        <f t="shared" si="79"/>
        <v>8.0632031409888558</v>
      </c>
      <c r="O499" s="16">
        <f t="shared" si="80"/>
        <v>7.0632031409888558</v>
      </c>
      <c r="P499" s="1">
        <v>2024</v>
      </c>
      <c r="Q499" s="1" t="s">
        <v>60</v>
      </c>
      <c r="R499" s="1" t="s">
        <v>40</v>
      </c>
      <c r="S499" s="70">
        <f>DATE(Table2[[#This Row],[Year]],MONTH(DATEVALUE("1-"&amp;Table2[[#This Row],[Month]]&amp;"-2000")),1)</f>
        <v>45352</v>
      </c>
      <c r="T499" s="16">
        <f t="shared" si="81"/>
        <v>3.0144197737746126</v>
      </c>
      <c r="U499" s="16">
        <f t="shared" si="82"/>
        <v>0.16541875890841246</v>
      </c>
      <c r="V499" s="16">
        <f t="shared" si="83"/>
        <v>513.79303030303026</v>
      </c>
      <c r="W499" s="16">
        <f t="shared" si="84"/>
        <v>4142.8175757575764</v>
      </c>
      <c r="X499" s="16">
        <f t="shared" si="85"/>
        <v>1374.3333333333333</v>
      </c>
      <c r="Y499" s="16">
        <f t="shared" si="86"/>
        <v>25044.424242424244</v>
      </c>
      <c r="Z499" s="7" t="str" cm="1">
        <f t="array" ref="Z499">_xlfn.IFS(K499&lt;2%,"Low",K499&lt;5%,"Medium",K499&lt;10%,"Good",K499&gt;10%,"Excellent")</f>
        <v>Good</v>
      </c>
      <c r="AA499" s="16" t="str">
        <f>Data_Validation!N497</f>
        <v>Pass</v>
      </c>
    </row>
    <row r="500" spans="1:27" x14ac:dyDescent="0.35">
      <c r="A500" s="17" t="s">
        <v>88</v>
      </c>
      <c r="B500" s="3" t="s">
        <v>35</v>
      </c>
      <c r="C500" s="3" t="s">
        <v>36</v>
      </c>
      <c r="D500" s="3" t="s">
        <v>63</v>
      </c>
      <c r="E500" s="3" t="s">
        <v>30</v>
      </c>
      <c r="F500" s="3">
        <v>37472</v>
      </c>
      <c r="G500" s="3">
        <v>925979</v>
      </c>
      <c r="H500" s="3">
        <v>20044</v>
      </c>
      <c r="I500" s="3">
        <v>181780.01</v>
      </c>
      <c r="J500" s="3">
        <v>31</v>
      </c>
      <c r="K500" s="15">
        <f t="shared" si="77"/>
        <v>2.1646279235274235E-2</v>
      </c>
      <c r="L500" s="16">
        <f t="shared" si="87"/>
        <v>1.869487128317701</v>
      </c>
      <c r="M500" s="16">
        <f t="shared" si="78"/>
        <v>40.467440406315909</v>
      </c>
      <c r="N500" s="16">
        <f t="shared" si="79"/>
        <v>4.8510890798462851</v>
      </c>
      <c r="O500" s="16">
        <f t="shared" si="80"/>
        <v>3.8510890798462856</v>
      </c>
      <c r="P500" s="1">
        <v>2024</v>
      </c>
      <c r="Q500" s="1" t="s">
        <v>60</v>
      </c>
      <c r="R500" s="1" t="s">
        <v>40</v>
      </c>
      <c r="S500" s="70">
        <f>DATE(Table2[[#This Row],[Year]],MONTH(DATEVALUE("1-"&amp;Table2[[#This Row],[Month]]&amp;"-2000")),1)</f>
        <v>45352</v>
      </c>
      <c r="T500" s="16">
        <f t="shared" si="81"/>
        <v>9.0690485930951912</v>
      </c>
      <c r="U500" s="16">
        <f t="shared" si="82"/>
        <v>0.19631115824440945</v>
      </c>
      <c r="V500" s="16">
        <f t="shared" si="83"/>
        <v>1208.7741935483871</v>
      </c>
      <c r="W500" s="16">
        <f t="shared" si="84"/>
        <v>5863.8712903225805</v>
      </c>
      <c r="X500" s="16">
        <f t="shared" si="85"/>
        <v>646.58064516129036</v>
      </c>
      <c r="Y500" s="16">
        <f t="shared" si="86"/>
        <v>29870.290322580644</v>
      </c>
      <c r="Z500" s="7" t="str" cm="1">
        <f t="array" ref="Z500">_xlfn.IFS(K500&lt;2%,"Low",K500&lt;5%,"Medium",K500&lt;10%,"Good",K500&gt;10%,"Excellent")</f>
        <v>Medium</v>
      </c>
      <c r="AA500" s="16" t="str">
        <f>Data_Validation!N498</f>
        <v>Pass</v>
      </c>
    </row>
    <row r="501" spans="1:27" x14ac:dyDescent="0.35">
      <c r="A501" s="17" t="s">
        <v>27</v>
      </c>
      <c r="B501" s="3" t="s">
        <v>19</v>
      </c>
      <c r="C501" s="3" t="s">
        <v>58</v>
      </c>
      <c r="D501" s="3" t="s">
        <v>51</v>
      </c>
      <c r="E501" s="3" t="s">
        <v>38</v>
      </c>
      <c r="F501" s="3">
        <v>31148.13</v>
      </c>
      <c r="G501" s="3">
        <v>271250</v>
      </c>
      <c r="H501" s="3">
        <v>41437</v>
      </c>
      <c r="I501" s="3">
        <v>248551.38</v>
      </c>
      <c r="J501" s="3">
        <v>18</v>
      </c>
      <c r="K501" s="15">
        <f t="shared" si="77"/>
        <v>0.15276313364055299</v>
      </c>
      <c r="L501" s="16">
        <f t="shared" si="87"/>
        <v>0.75169848203296574</v>
      </c>
      <c r="M501" s="16">
        <f t="shared" si="78"/>
        <v>114.83181566820278</v>
      </c>
      <c r="N501" s="16">
        <f t="shared" si="79"/>
        <v>7.9796565636524566</v>
      </c>
      <c r="O501" s="16">
        <f t="shared" si="80"/>
        <v>6.9796565636524566</v>
      </c>
      <c r="P501" s="1">
        <v>2024</v>
      </c>
      <c r="Q501" s="1" t="s">
        <v>60</v>
      </c>
      <c r="R501" s="1" t="s">
        <v>40</v>
      </c>
      <c r="S501" s="70">
        <f>DATE(Table2[[#This Row],[Year]],MONTH(DATEVALUE("1-"&amp;Table2[[#This Row],[Month]]&amp;"-2000")),1)</f>
        <v>45352</v>
      </c>
      <c r="T501" s="16">
        <f t="shared" si="81"/>
        <v>5.9982957260419436</v>
      </c>
      <c r="U501" s="16">
        <f t="shared" si="82"/>
        <v>0.91631845161290326</v>
      </c>
      <c r="V501" s="16">
        <f t="shared" si="83"/>
        <v>1730.4516666666668</v>
      </c>
      <c r="W501" s="16">
        <f t="shared" si="84"/>
        <v>13808.41</v>
      </c>
      <c r="X501" s="16">
        <f t="shared" si="85"/>
        <v>2302.0555555555557</v>
      </c>
      <c r="Y501" s="16">
        <f t="shared" si="86"/>
        <v>15069.444444444445</v>
      </c>
      <c r="Z501" s="7" t="str" cm="1">
        <f t="array" ref="Z501">_xlfn.IFS(K501&lt;2%,"Low",K501&lt;5%,"Medium",K501&lt;10%,"Good",K501&gt;10%,"Excellent")</f>
        <v>Excellent</v>
      </c>
      <c r="AA501" s="16" t="str">
        <f>Data_Validation!N499</f>
        <v>Pass</v>
      </c>
    </row>
    <row r="502" spans="1:27" x14ac:dyDescent="0.35">
      <c r="A502" s="17" t="s">
        <v>62</v>
      </c>
      <c r="B502" s="3" t="s">
        <v>19</v>
      </c>
      <c r="C502" s="3" t="s">
        <v>29</v>
      </c>
      <c r="D502" s="3" t="s">
        <v>51</v>
      </c>
      <c r="E502" s="3" t="s">
        <v>22</v>
      </c>
      <c r="F502" s="3">
        <v>20344.22</v>
      </c>
      <c r="G502" s="3">
        <v>211485</v>
      </c>
      <c r="H502" s="3">
        <v>44661</v>
      </c>
      <c r="I502" s="3">
        <v>168892.62</v>
      </c>
      <c r="J502" s="3">
        <v>7</v>
      </c>
      <c r="K502" s="15">
        <f t="shared" si="77"/>
        <v>0.21117809773742818</v>
      </c>
      <c r="L502" s="16">
        <f t="shared" si="87"/>
        <v>0.45552540247643358</v>
      </c>
      <c r="M502" s="16">
        <f t="shared" si="78"/>
        <v>96.196987966049619</v>
      </c>
      <c r="N502" s="16">
        <f t="shared" si="79"/>
        <v>8.3017495878436218</v>
      </c>
      <c r="O502" s="16">
        <f t="shared" si="80"/>
        <v>7.3017495878436227</v>
      </c>
      <c r="P502" s="1">
        <v>2024</v>
      </c>
      <c r="Q502" s="1" t="s">
        <v>60</v>
      </c>
      <c r="R502" s="1" t="s">
        <v>40</v>
      </c>
      <c r="S502" s="70">
        <f>DATE(Table2[[#This Row],[Year]],MONTH(DATEVALUE("1-"&amp;Table2[[#This Row],[Month]]&amp;"-2000")),1)</f>
        <v>45352</v>
      </c>
      <c r="T502" s="16">
        <f t="shared" si="81"/>
        <v>3.7816578222610331</v>
      </c>
      <c r="U502" s="16">
        <f t="shared" si="82"/>
        <v>0.79860330519895029</v>
      </c>
      <c r="V502" s="16">
        <f t="shared" si="83"/>
        <v>2906.3171428571432</v>
      </c>
      <c r="W502" s="16">
        <f t="shared" si="84"/>
        <v>24127.517142857141</v>
      </c>
      <c r="X502" s="16">
        <f t="shared" si="85"/>
        <v>6380.1428571428569</v>
      </c>
      <c r="Y502" s="16">
        <f t="shared" si="86"/>
        <v>30212.142857142859</v>
      </c>
      <c r="Z502" s="7" t="str" cm="1">
        <f t="array" ref="Z502">_xlfn.IFS(K502&lt;2%,"Low",K502&lt;5%,"Medium",K502&lt;10%,"Good",K502&gt;10%,"Excellent")</f>
        <v>Excellent</v>
      </c>
      <c r="AA502" s="16" t="str">
        <f>Data_Validation!N500</f>
        <v>Pass</v>
      </c>
    </row>
    <row r="503" spans="1:27" x14ac:dyDescent="0.35">
      <c r="A503" s="17" t="s">
        <v>67</v>
      </c>
      <c r="B503" s="3" t="s">
        <v>19</v>
      </c>
      <c r="C503" s="3" t="s">
        <v>69</v>
      </c>
      <c r="D503" s="3" t="s">
        <v>63</v>
      </c>
      <c r="E503" s="3" t="s">
        <v>38</v>
      </c>
      <c r="F503" s="3">
        <v>8891.26</v>
      </c>
      <c r="G503" s="3">
        <v>128733</v>
      </c>
      <c r="H503" s="3">
        <v>22248</v>
      </c>
      <c r="I503" s="3">
        <v>228941.07</v>
      </c>
      <c r="J503" s="3">
        <v>37</v>
      </c>
      <c r="K503" s="15">
        <f t="shared" si="77"/>
        <v>0.17282281932371654</v>
      </c>
      <c r="L503" s="16">
        <f t="shared" si="87"/>
        <v>0.39964311398777419</v>
      </c>
      <c r="M503" s="16">
        <f t="shared" si="78"/>
        <v>69.067449682676539</v>
      </c>
      <c r="N503" s="16">
        <f t="shared" si="79"/>
        <v>25.749001828762179</v>
      </c>
      <c r="O503" s="16">
        <f t="shared" si="80"/>
        <v>24.749001828762175</v>
      </c>
      <c r="P503" s="1">
        <v>2024</v>
      </c>
      <c r="Q503" s="1" t="s">
        <v>60</v>
      </c>
      <c r="R503" s="1" t="s">
        <v>40</v>
      </c>
      <c r="S503" s="70">
        <f>DATE(Table2[[#This Row],[Year]],MONTH(DATEVALUE("1-"&amp;Table2[[#This Row],[Month]]&amp;"-2000")),1)</f>
        <v>45352</v>
      </c>
      <c r="T503" s="16">
        <f t="shared" si="81"/>
        <v>10.290411272923409</v>
      </c>
      <c r="U503" s="16">
        <f t="shared" si="82"/>
        <v>1.7784178881871782</v>
      </c>
      <c r="V503" s="16">
        <f t="shared" si="83"/>
        <v>240.30432432432434</v>
      </c>
      <c r="W503" s="16">
        <f t="shared" si="84"/>
        <v>6187.5964864864864</v>
      </c>
      <c r="X503" s="16">
        <f t="shared" si="85"/>
        <v>601.29729729729729</v>
      </c>
      <c r="Y503" s="16">
        <f t="shared" si="86"/>
        <v>3479.2702702702704</v>
      </c>
      <c r="Z503" s="7" t="str" cm="1">
        <f t="array" ref="Z503">_xlfn.IFS(K503&lt;2%,"Low",K503&lt;5%,"Medium",K503&lt;10%,"Good",K503&gt;10%,"Excellent")</f>
        <v>Excellent</v>
      </c>
      <c r="AA503" s="16" t="str">
        <f>Data_Validation!N501</f>
        <v>Pass</v>
      </c>
    </row>
    <row r="504" spans="1:27" x14ac:dyDescent="0.35">
      <c r="A504" s="17" t="s">
        <v>102</v>
      </c>
      <c r="B504" s="3" t="s">
        <v>48</v>
      </c>
      <c r="C504" s="3" t="s">
        <v>58</v>
      </c>
      <c r="D504" s="3" t="s">
        <v>51</v>
      </c>
      <c r="E504" s="3" t="s">
        <v>30</v>
      </c>
      <c r="F504" s="3">
        <v>2626.82</v>
      </c>
      <c r="G504" s="3">
        <v>962631</v>
      </c>
      <c r="H504" s="3">
        <v>13289</v>
      </c>
      <c r="I504" s="3">
        <v>197389.63</v>
      </c>
      <c r="J504" s="3">
        <v>28</v>
      </c>
      <c r="K504" s="15">
        <f t="shared" si="77"/>
        <v>1.3804874349569046E-2</v>
      </c>
      <c r="L504" s="16">
        <f t="shared" si="87"/>
        <v>0.19766874858905864</v>
      </c>
      <c r="M504" s="16">
        <f t="shared" si="78"/>
        <v>2.7287922371085078</v>
      </c>
      <c r="N504" s="16">
        <f t="shared" si="79"/>
        <v>75.143949718671237</v>
      </c>
      <c r="O504" s="16">
        <f t="shared" si="80"/>
        <v>74.143949718671237</v>
      </c>
      <c r="P504" s="1">
        <v>2024</v>
      </c>
      <c r="Q504" s="1" t="s">
        <v>60</v>
      </c>
      <c r="R504" s="1" t="s">
        <v>40</v>
      </c>
      <c r="S504" s="70">
        <f>DATE(Table2[[#This Row],[Year]],MONTH(DATEVALUE("1-"&amp;Table2[[#This Row],[Month]]&amp;"-2000")),1)</f>
        <v>45352</v>
      </c>
      <c r="T504" s="16">
        <f t="shared" si="81"/>
        <v>14.85361050492889</v>
      </c>
      <c r="U504" s="16">
        <f t="shared" si="82"/>
        <v>0.20505222665798215</v>
      </c>
      <c r="V504" s="16">
        <f t="shared" si="83"/>
        <v>93.815000000000012</v>
      </c>
      <c r="W504" s="16">
        <f t="shared" si="84"/>
        <v>7049.6296428571432</v>
      </c>
      <c r="X504" s="16">
        <f t="shared" si="85"/>
        <v>474.60714285714283</v>
      </c>
      <c r="Y504" s="16">
        <f t="shared" si="86"/>
        <v>34379.678571428572</v>
      </c>
      <c r="Z504" s="7" t="str" cm="1">
        <f t="array" ref="Z504">_xlfn.IFS(K504&lt;2%,"Low",K504&lt;5%,"Medium",K504&lt;10%,"Good",K504&gt;10%,"Excellent")</f>
        <v>Low</v>
      </c>
      <c r="AA504" s="16" t="str">
        <f>Data_Validation!N502</f>
        <v>Pass</v>
      </c>
    </row>
    <row r="505" spans="1:27" x14ac:dyDescent="0.35">
      <c r="A505" s="17" t="s">
        <v>104</v>
      </c>
      <c r="B505" s="3" t="s">
        <v>28</v>
      </c>
      <c r="C505" s="3" t="s">
        <v>20</v>
      </c>
      <c r="D505" s="3" t="s">
        <v>37</v>
      </c>
      <c r="E505" s="3" t="s">
        <v>22</v>
      </c>
      <c r="F505" s="3">
        <v>23765.16</v>
      </c>
      <c r="G505" s="3">
        <v>238808</v>
      </c>
      <c r="H505" s="3">
        <v>30685</v>
      </c>
      <c r="I505" s="3">
        <v>79025.55</v>
      </c>
      <c r="J505" s="3">
        <v>30</v>
      </c>
      <c r="K505" s="15">
        <f t="shared" si="77"/>
        <v>0.12849234531506482</v>
      </c>
      <c r="L505" s="16">
        <f t="shared" si="87"/>
        <v>0.77448786051816854</v>
      </c>
      <c r="M505" s="16">
        <f t="shared" si="78"/>
        <v>99.515761616026268</v>
      </c>
      <c r="N505" s="16">
        <f t="shared" si="79"/>
        <v>3.3252690072358027</v>
      </c>
      <c r="O505" s="16">
        <f t="shared" si="80"/>
        <v>2.3252690072358022</v>
      </c>
      <c r="P505" s="1">
        <v>2024</v>
      </c>
      <c r="Q505" s="1" t="s">
        <v>60</v>
      </c>
      <c r="R505" s="1" t="s">
        <v>40</v>
      </c>
      <c r="S505" s="70">
        <f>DATE(Table2[[#This Row],[Year]],MONTH(DATEVALUE("1-"&amp;Table2[[#This Row],[Month]]&amp;"-2000")),1)</f>
        <v>45352</v>
      </c>
      <c r="T505" s="16">
        <f t="shared" si="81"/>
        <v>2.575380479061431</v>
      </c>
      <c r="U505" s="16">
        <f t="shared" si="82"/>
        <v>0.33091667783323842</v>
      </c>
      <c r="V505" s="16">
        <f t="shared" si="83"/>
        <v>792.17200000000003</v>
      </c>
      <c r="W505" s="16">
        <f t="shared" si="84"/>
        <v>2634.1849999999999</v>
      </c>
      <c r="X505" s="16">
        <f t="shared" si="85"/>
        <v>1022.8333333333334</v>
      </c>
      <c r="Y505" s="16">
        <f t="shared" si="86"/>
        <v>7960.2666666666664</v>
      </c>
      <c r="Z505" s="7" t="str" cm="1">
        <f t="array" ref="Z505">_xlfn.IFS(K505&lt;2%,"Low",K505&lt;5%,"Medium",K505&lt;10%,"Good",K505&gt;10%,"Excellent")</f>
        <v>Excellent</v>
      </c>
      <c r="AA505" s="16" t="str">
        <f>Data_Validation!N503</f>
        <v>Pass</v>
      </c>
    </row>
    <row r="506" spans="1:27" x14ac:dyDescent="0.35">
      <c r="A506" s="17" t="s">
        <v>91</v>
      </c>
      <c r="B506" s="3" t="s">
        <v>48</v>
      </c>
      <c r="C506" s="3" t="s">
        <v>29</v>
      </c>
      <c r="D506" s="3" t="s">
        <v>37</v>
      </c>
      <c r="E506" s="3" t="s">
        <v>38</v>
      </c>
      <c r="F506" s="3">
        <v>33527.279999999999</v>
      </c>
      <c r="G506" s="3">
        <v>282735</v>
      </c>
      <c r="H506" s="3">
        <v>10752</v>
      </c>
      <c r="I506" s="3">
        <v>240274.73</v>
      </c>
      <c r="J506" s="3">
        <v>42</v>
      </c>
      <c r="K506" s="15">
        <f t="shared" si="77"/>
        <v>3.802854262825614E-2</v>
      </c>
      <c r="L506" s="16">
        <f t="shared" si="87"/>
        <v>3.1182366071428569</v>
      </c>
      <c r="M506" s="16">
        <f t="shared" si="78"/>
        <v>118.58199373972093</v>
      </c>
      <c r="N506" s="16">
        <f t="shared" si="79"/>
        <v>7.1665440799253632</v>
      </c>
      <c r="O506" s="16">
        <f t="shared" si="80"/>
        <v>6.1665440799253632</v>
      </c>
      <c r="P506" s="1">
        <v>2024</v>
      </c>
      <c r="Q506" s="1" t="s">
        <v>60</v>
      </c>
      <c r="R506" s="1" t="s">
        <v>40</v>
      </c>
      <c r="S506" s="70">
        <f>DATE(Table2[[#This Row],[Year]],MONTH(DATEVALUE("1-"&amp;Table2[[#This Row],[Month]]&amp;"-2000")),1)</f>
        <v>45352</v>
      </c>
      <c r="T506" s="16">
        <f t="shared" si="81"/>
        <v>22.346980096726192</v>
      </c>
      <c r="U506" s="16">
        <f t="shared" si="82"/>
        <v>0.84982308522114347</v>
      </c>
      <c r="V506" s="16">
        <f t="shared" si="83"/>
        <v>798.26857142857136</v>
      </c>
      <c r="W506" s="16">
        <f t="shared" si="84"/>
        <v>5720.8269047619051</v>
      </c>
      <c r="X506" s="16">
        <f t="shared" si="85"/>
        <v>256</v>
      </c>
      <c r="Y506" s="16">
        <f t="shared" si="86"/>
        <v>6731.7857142857147</v>
      </c>
      <c r="Z506" s="7" t="str" cm="1">
        <f t="array" ref="Z506">_xlfn.IFS(K506&lt;2%,"Low",K506&lt;5%,"Medium",K506&lt;10%,"Good",K506&gt;10%,"Excellent")</f>
        <v>Medium</v>
      </c>
      <c r="AA506" s="16" t="str">
        <f>Data_Validation!N504</f>
        <v>Pass</v>
      </c>
    </row>
    <row r="507" spans="1:27" x14ac:dyDescent="0.35">
      <c r="A507" s="17" t="s">
        <v>67</v>
      </c>
      <c r="B507" s="3" t="s">
        <v>19</v>
      </c>
      <c r="C507" s="3" t="s">
        <v>20</v>
      </c>
      <c r="D507" s="3" t="s">
        <v>37</v>
      </c>
      <c r="E507" s="3" t="s">
        <v>30</v>
      </c>
      <c r="F507" s="3">
        <v>19785.2</v>
      </c>
      <c r="G507" s="3">
        <v>740494</v>
      </c>
      <c r="H507" s="3">
        <v>6522</v>
      </c>
      <c r="I507" s="3">
        <v>115848.14</v>
      </c>
      <c r="J507" s="3">
        <v>39</v>
      </c>
      <c r="K507" s="15">
        <f t="shared" si="77"/>
        <v>8.8076338228263839E-3</v>
      </c>
      <c r="L507" s="16">
        <f t="shared" si="87"/>
        <v>3.033609322293775</v>
      </c>
      <c r="M507" s="16">
        <f t="shared" si="78"/>
        <v>26.718920072276077</v>
      </c>
      <c r="N507" s="16">
        <f t="shared" si="79"/>
        <v>5.8552928451569857</v>
      </c>
      <c r="O507" s="16">
        <f t="shared" si="80"/>
        <v>4.8552928451569857</v>
      </c>
      <c r="P507" s="1">
        <v>2024</v>
      </c>
      <c r="Q507" s="1" t="s">
        <v>60</v>
      </c>
      <c r="R507" s="1" t="s">
        <v>40</v>
      </c>
      <c r="S507" s="70">
        <f>DATE(Table2[[#This Row],[Year]],MONTH(DATEVALUE("1-"&amp;Table2[[#This Row],[Month]]&amp;"-2000")),1)</f>
        <v>45352</v>
      </c>
      <c r="T507" s="16">
        <f t="shared" si="81"/>
        <v>17.762670959828274</v>
      </c>
      <c r="U507" s="16">
        <f t="shared" si="82"/>
        <v>0.15644710152951949</v>
      </c>
      <c r="V507" s="16">
        <f t="shared" si="83"/>
        <v>507.31282051282051</v>
      </c>
      <c r="W507" s="16">
        <f t="shared" si="84"/>
        <v>2970.4651282051282</v>
      </c>
      <c r="X507" s="16">
        <f t="shared" si="85"/>
        <v>167.23076923076923</v>
      </c>
      <c r="Y507" s="16">
        <f t="shared" si="86"/>
        <v>18987.025641025641</v>
      </c>
      <c r="Z507" s="7" t="str" cm="1">
        <f t="array" ref="Z507">_xlfn.IFS(K507&lt;2%,"Low",K507&lt;5%,"Medium",K507&lt;10%,"Good",K507&gt;10%,"Excellent")</f>
        <v>Low</v>
      </c>
      <c r="AA507" s="16" t="str">
        <f>Data_Validation!N505</f>
        <v>Pass</v>
      </c>
    </row>
    <row r="508" spans="1:27" x14ac:dyDescent="0.35">
      <c r="A508" s="17" t="s">
        <v>81</v>
      </c>
      <c r="B508" s="3" t="s">
        <v>28</v>
      </c>
      <c r="C508" s="3" t="s">
        <v>69</v>
      </c>
      <c r="D508" s="3" t="s">
        <v>59</v>
      </c>
      <c r="E508" s="3" t="s">
        <v>22</v>
      </c>
      <c r="F508" s="3">
        <v>12412.53</v>
      </c>
      <c r="G508" s="3">
        <v>964293</v>
      </c>
      <c r="H508" s="3">
        <v>5593</v>
      </c>
      <c r="I508" s="3">
        <v>74400.33</v>
      </c>
      <c r="J508" s="3">
        <v>14</v>
      </c>
      <c r="K508" s="15">
        <f t="shared" si="77"/>
        <v>5.8001043251376914E-3</v>
      </c>
      <c r="L508" s="16">
        <f t="shared" si="87"/>
        <v>2.2192973359556589</v>
      </c>
      <c r="M508" s="16">
        <f t="shared" si="78"/>
        <v>12.872156077042973</v>
      </c>
      <c r="N508" s="16">
        <f t="shared" si="79"/>
        <v>5.9939698030941315</v>
      </c>
      <c r="O508" s="16">
        <f t="shared" si="80"/>
        <v>4.9939698030941315</v>
      </c>
      <c r="P508" s="1">
        <v>2024</v>
      </c>
      <c r="Q508" s="1" t="s">
        <v>60</v>
      </c>
      <c r="R508" s="1" t="s">
        <v>40</v>
      </c>
      <c r="S508" s="70">
        <f>DATE(Table2[[#This Row],[Year]],MONTH(DATEVALUE("1-"&amp;Table2[[#This Row],[Month]]&amp;"-2000")),1)</f>
        <v>45352</v>
      </c>
      <c r="T508" s="16">
        <f t="shared" si="81"/>
        <v>13.302401215805471</v>
      </c>
      <c r="U508" s="16">
        <f t="shared" si="82"/>
        <v>7.7155314826510196E-2</v>
      </c>
      <c r="V508" s="16">
        <f t="shared" si="83"/>
        <v>886.60928571428576</v>
      </c>
      <c r="W508" s="16">
        <f t="shared" si="84"/>
        <v>5314.3092857142856</v>
      </c>
      <c r="X508" s="16">
        <f t="shared" si="85"/>
        <v>399.5</v>
      </c>
      <c r="Y508" s="16">
        <f t="shared" si="86"/>
        <v>68878.071428571435</v>
      </c>
      <c r="Z508" s="7" t="str" cm="1">
        <f t="array" ref="Z508">_xlfn.IFS(K508&lt;2%,"Low",K508&lt;5%,"Medium",K508&lt;10%,"Good",K508&gt;10%,"Excellent")</f>
        <v>Low</v>
      </c>
      <c r="AA508" s="16" t="str">
        <f>Data_Validation!N506</f>
        <v>Pass</v>
      </c>
    </row>
    <row r="509" spans="1:27" x14ac:dyDescent="0.35">
      <c r="A509" s="17" t="s">
        <v>106</v>
      </c>
      <c r="B509" s="3" t="s">
        <v>28</v>
      </c>
      <c r="C509" s="3" t="s">
        <v>20</v>
      </c>
      <c r="D509" s="3" t="s">
        <v>51</v>
      </c>
      <c r="E509" s="3" t="s">
        <v>30</v>
      </c>
      <c r="F509" s="3">
        <v>13570.93</v>
      </c>
      <c r="G509" s="3">
        <v>613080</v>
      </c>
      <c r="H509" s="3">
        <v>40944</v>
      </c>
      <c r="I509" s="3">
        <v>91694.07</v>
      </c>
      <c r="J509" s="3">
        <v>44</v>
      </c>
      <c r="K509" s="15">
        <f t="shared" si="77"/>
        <v>6.678410647876297E-2</v>
      </c>
      <c r="L509" s="16">
        <f t="shared" si="87"/>
        <v>0.33145100625244239</v>
      </c>
      <c r="M509" s="16">
        <f t="shared" si="78"/>
        <v>22.135659294056239</v>
      </c>
      <c r="N509" s="16">
        <f t="shared" si="79"/>
        <v>6.756653376002971</v>
      </c>
      <c r="O509" s="16">
        <f t="shared" si="80"/>
        <v>5.7566533760029719</v>
      </c>
      <c r="P509" s="1">
        <v>2024</v>
      </c>
      <c r="Q509" s="1" t="s">
        <v>60</v>
      </c>
      <c r="R509" s="1" t="s">
        <v>40</v>
      </c>
      <c r="S509" s="70">
        <f>DATE(Table2[[#This Row],[Year]],MONTH(DATEVALUE("1-"&amp;Table2[[#This Row],[Month]]&amp;"-2000")),1)</f>
        <v>45352</v>
      </c>
      <c r="T509" s="16">
        <f t="shared" si="81"/>
        <v>2.2394995603751466</v>
      </c>
      <c r="U509" s="16">
        <f t="shared" si="82"/>
        <v>0.14956297709923666</v>
      </c>
      <c r="V509" s="16">
        <f t="shared" si="83"/>
        <v>308.43022727272728</v>
      </c>
      <c r="W509" s="16">
        <f t="shared" si="84"/>
        <v>2083.9561363636367</v>
      </c>
      <c r="X509" s="16">
        <f t="shared" si="85"/>
        <v>930.5454545454545</v>
      </c>
      <c r="Y509" s="16">
        <f t="shared" si="86"/>
        <v>13933.636363636364</v>
      </c>
      <c r="Z509" s="7" t="str" cm="1">
        <f t="array" ref="Z509">_xlfn.IFS(K509&lt;2%,"Low",K509&lt;5%,"Medium",K509&lt;10%,"Good",K509&gt;10%,"Excellent")</f>
        <v>Good</v>
      </c>
      <c r="AA509" s="16" t="str">
        <f>Data_Validation!N507</f>
        <v>Pass</v>
      </c>
    </row>
    <row r="510" spans="1:27" x14ac:dyDescent="0.35">
      <c r="A510" s="17" t="s">
        <v>97</v>
      </c>
      <c r="B510" s="3" t="s">
        <v>48</v>
      </c>
      <c r="C510" s="3" t="s">
        <v>29</v>
      </c>
      <c r="D510" s="3" t="s">
        <v>43</v>
      </c>
      <c r="E510" s="3" t="s">
        <v>30</v>
      </c>
      <c r="F510" s="3">
        <v>50832.47</v>
      </c>
      <c r="G510" s="3">
        <v>959173</v>
      </c>
      <c r="H510" s="3">
        <v>6683</v>
      </c>
      <c r="I510" s="3">
        <v>184898.05</v>
      </c>
      <c r="J510" s="3">
        <v>36</v>
      </c>
      <c r="K510" s="15">
        <f t="shared" si="77"/>
        <v>6.9674605102520611E-3</v>
      </c>
      <c r="L510" s="16">
        <f t="shared" si="87"/>
        <v>7.6062352237019306</v>
      </c>
      <c r="M510" s="16">
        <f t="shared" si="78"/>
        <v>52.996143552831448</v>
      </c>
      <c r="N510" s="16">
        <f t="shared" si="79"/>
        <v>3.6374004647029738</v>
      </c>
      <c r="O510" s="16">
        <f t="shared" si="80"/>
        <v>2.6374004647029738</v>
      </c>
      <c r="P510" s="1">
        <v>2024</v>
      </c>
      <c r="Q510" s="1" t="s">
        <v>60</v>
      </c>
      <c r="R510" s="1" t="s">
        <v>40</v>
      </c>
      <c r="S510" s="70">
        <f>DATE(Table2[[#This Row],[Year]],MONTH(DATEVALUE("1-"&amp;Table2[[#This Row],[Month]]&amp;"-2000")),1)</f>
        <v>45352</v>
      </c>
      <c r="T510" s="16">
        <f t="shared" si="81"/>
        <v>27.666923537333531</v>
      </c>
      <c r="U510" s="16">
        <f t="shared" si="82"/>
        <v>0.19276819718653465</v>
      </c>
      <c r="V510" s="16">
        <f t="shared" si="83"/>
        <v>1412.0130555555556</v>
      </c>
      <c r="W510" s="16">
        <f t="shared" si="84"/>
        <v>5136.0569444444445</v>
      </c>
      <c r="X510" s="16">
        <f t="shared" si="85"/>
        <v>185.63888888888889</v>
      </c>
      <c r="Y510" s="16">
        <f t="shared" si="86"/>
        <v>26643.694444444445</v>
      </c>
      <c r="Z510" s="7" t="str" cm="1">
        <f t="array" ref="Z510">_xlfn.IFS(K510&lt;2%,"Low",K510&lt;5%,"Medium",K510&lt;10%,"Good",K510&gt;10%,"Excellent")</f>
        <v>Low</v>
      </c>
      <c r="AA510" s="16" t="str">
        <f>Data_Validation!N508</f>
        <v>Pass</v>
      </c>
    </row>
    <row r="511" spans="1:27" x14ac:dyDescent="0.35">
      <c r="A511" s="17" t="s">
        <v>47</v>
      </c>
      <c r="B511" s="3" t="s">
        <v>28</v>
      </c>
      <c r="C511" s="3" t="s">
        <v>69</v>
      </c>
      <c r="D511" s="3" t="s">
        <v>51</v>
      </c>
      <c r="E511" s="3" t="s">
        <v>30</v>
      </c>
      <c r="F511" s="3">
        <v>6940.56</v>
      </c>
      <c r="G511" s="3">
        <v>579128</v>
      </c>
      <c r="H511" s="3">
        <v>28665</v>
      </c>
      <c r="I511" s="3">
        <v>98483.01</v>
      </c>
      <c r="J511" s="3">
        <v>29</v>
      </c>
      <c r="K511" s="15">
        <f t="shared" si="77"/>
        <v>4.9496829716401208E-2</v>
      </c>
      <c r="L511" s="16">
        <f t="shared" si="87"/>
        <v>0.24212663526949244</v>
      </c>
      <c r="M511" s="16">
        <f t="shared" si="78"/>
        <v>11.984500835739251</v>
      </c>
      <c r="N511" s="16">
        <f t="shared" si="79"/>
        <v>14.189490473391194</v>
      </c>
      <c r="O511" s="16">
        <f t="shared" si="80"/>
        <v>13.189490473391196</v>
      </c>
      <c r="P511" s="1">
        <v>2024</v>
      </c>
      <c r="Q511" s="1" t="s">
        <v>60</v>
      </c>
      <c r="R511" s="1" t="s">
        <v>40</v>
      </c>
      <c r="S511" s="70">
        <f>DATE(Table2[[#This Row],[Year]],MONTH(DATEVALUE("1-"&amp;Table2[[#This Row],[Month]]&amp;"-2000")),1)</f>
        <v>45352</v>
      </c>
      <c r="T511" s="16">
        <f t="shared" si="81"/>
        <v>3.4356535845107272</v>
      </c>
      <c r="U511" s="16">
        <f t="shared" si="82"/>
        <v>0.17005396043707091</v>
      </c>
      <c r="V511" s="16">
        <f t="shared" si="83"/>
        <v>239.32965517241379</v>
      </c>
      <c r="W511" s="16">
        <f t="shared" si="84"/>
        <v>3395.9658620689652</v>
      </c>
      <c r="X511" s="16">
        <f t="shared" si="85"/>
        <v>988.44827586206895</v>
      </c>
      <c r="Y511" s="16">
        <f t="shared" si="86"/>
        <v>19969.931034482757</v>
      </c>
      <c r="Z511" s="7" t="str" cm="1">
        <f t="array" ref="Z511">_xlfn.IFS(K511&lt;2%,"Low",K511&lt;5%,"Medium",K511&lt;10%,"Good",K511&gt;10%,"Excellent")</f>
        <v>Medium</v>
      </c>
      <c r="AA511" s="16" t="str">
        <f>Data_Validation!N509</f>
        <v>Pass</v>
      </c>
    </row>
    <row r="512" spans="1:27" x14ac:dyDescent="0.35">
      <c r="A512" s="17" t="s">
        <v>34</v>
      </c>
      <c r="B512" s="3" t="s">
        <v>19</v>
      </c>
      <c r="C512" s="3" t="s">
        <v>20</v>
      </c>
      <c r="D512" s="3" t="s">
        <v>63</v>
      </c>
      <c r="E512" s="3" t="s">
        <v>38</v>
      </c>
      <c r="F512" s="3">
        <v>2363</v>
      </c>
      <c r="G512" s="3">
        <v>934065</v>
      </c>
      <c r="H512" s="3">
        <v>5144</v>
      </c>
      <c r="I512" s="3">
        <v>46827.65</v>
      </c>
      <c r="J512" s="3">
        <v>27</v>
      </c>
      <c r="K512" s="15">
        <f t="shared" si="77"/>
        <v>5.5071113894643309E-3</v>
      </c>
      <c r="L512" s="16">
        <f t="shared" si="87"/>
        <v>0.45937013996889581</v>
      </c>
      <c r="M512" s="16">
        <f t="shared" si="78"/>
        <v>2.52980252980253</v>
      </c>
      <c r="N512" s="16">
        <f t="shared" si="79"/>
        <v>19.817033432077867</v>
      </c>
      <c r="O512" s="16">
        <f t="shared" si="80"/>
        <v>18.817033432077867</v>
      </c>
      <c r="P512" s="1">
        <v>2024</v>
      </c>
      <c r="Q512" s="1" t="s">
        <v>60</v>
      </c>
      <c r="R512" s="1" t="s">
        <v>40</v>
      </c>
      <c r="S512" s="70">
        <f>DATE(Table2[[#This Row],[Year]],MONTH(DATEVALUE("1-"&amp;Table2[[#This Row],[Month]]&amp;"-2000")),1)</f>
        <v>45352</v>
      </c>
      <c r="T512" s="16">
        <f t="shared" si="81"/>
        <v>9.1033534214618985</v>
      </c>
      <c r="U512" s="16">
        <f t="shared" si="82"/>
        <v>5.01331813096519E-2</v>
      </c>
      <c r="V512" s="16">
        <f t="shared" si="83"/>
        <v>87.518518518518519</v>
      </c>
      <c r="W512" s="16">
        <f t="shared" si="84"/>
        <v>1734.3574074074074</v>
      </c>
      <c r="X512" s="16">
        <f t="shared" si="85"/>
        <v>190.5185185185185</v>
      </c>
      <c r="Y512" s="16">
        <f t="shared" si="86"/>
        <v>34595</v>
      </c>
      <c r="Z512" s="7" t="str" cm="1">
        <f t="array" ref="Z512">_xlfn.IFS(K512&lt;2%,"Low",K512&lt;5%,"Medium",K512&lt;10%,"Good",K512&gt;10%,"Excellent")</f>
        <v>Low</v>
      </c>
      <c r="AA512" s="16" t="str">
        <f>Data_Validation!N510</f>
        <v>Pass</v>
      </c>
    </row>
    <row r="513" spans="1:27" x14ac:dyDescent="0.35">
      <c r="A513" s="17" t="s">
        <v>66</v>
      </c>
      <c r="B513" s="3" t="s">
        <v>35</v>
      </c>
      <c r="C513" s="3" t="s">
        <v>36</v>
      </c>
      <c r="D513" s="3" t="s">
        <v>37</v>
      </c>
      <c r="E513" s="3" t="s">
        <v>38</v>
      </c>
      <c r="F513" s="3">
        <v>3052.16</v>
      </c>
      <c r="G513" s="3">
        <v>235636</v>
      </c>
      <c r="H513" s="3">
        <v>43154</v>
      </c>
      <c r="I513" s="3">
        <v>96056.77</v>
      </c>
      <c r="J513" s="3">
        <v>56</v>
      </c>
      <c r="K513" s="15">
        <f t="shared" si="77"/>
        <v>0.18313839990493813</v>
      </c>
      <c r="L513" s="16">
        <f t="shared" si="87"/>
        <v>7.0727163183018957E-2</v>
      </c>
      <c r="M513" s="16">
        <f t="shared" si="78"/>
        <v>12.952859495153541</v>
      </c>
      <c r="N513" s="16">
        <f t="shared" si="79"/>
        <v>31.471734771440556</v>
      </c>
      <c r="O513" s="16">
        <f t="shared" si="80"/>
        <v>30.471734771440556</v>
      </c>
      <c r="P513" s="1">
        <v>2024</v>
      </c>
      <c r="Q513" s="1" t="s">
        <v>60</v>
      </c>
      <c r="R513" s="1" t="s">
        <v>40</v>
      </c>
      <c r="S513" s="70">
        <f>DATE(Table2[[#This Row],[Year]],MONTH(DATEVALUE("1-"&amp;Table2[[#This Row],[Month]]&amp;"-2000")),1)</f>
        <v>45352</v>
      </c>
      <c r="T513" s="16">
        <f t="shared" si="81"/>
        <v>2.2259065208323681</v>
      </c>
      <c r="U513" s="16">
        <f t="shared" si="82"/>
        <v>0.40764895856320765</v>
      </c>
      <c r="V513" s="16">
        <f t="shared" si="83"/>
        <v>54.502857142857138</v>
      </c>
      <c r="W513" s="16">
        <f t="shared" si="84"/>
        <v>1715.2994642857143</v>
      </c>
      <c r="X513" s="16">
        <f t="shared" si="85"/>
        <v>770.60714285714289</v>
      </c>
      <c r="Y513" s="16">
        <f t="shared" si="86"/>
        <v>4207.7857142857147</v>
      </c>
      <c r="Z513" s="7" t="str" cm="1">
        <f t="array" ref="Z513">_xlfn.IFS(K513&lt;2%,"Low",K513&lt;5%,"Medium",K513&lt;10%,"Good",K513&gt;10%,"Excellent")</f>
        <v>Excellent</v>
      </c>
      <c r="AA513" s="16" t="str">
        <f>Data_Validation!N511</f>
        <v>Pass</v>
      </c>
    </row>
    <row r="514" spans="1:27" x14ac:dyDescent="0.35">
      <c r="A514" s="17" t="s">
        <v>82</v>
      </c>
      <c r="B514" s="3" t="s">
        <v>19</v>
      </c>
      <c r="C514" s="3" t="s">
        <v>20</v>
      </c>
      <c r="D514" s="3" t="s">
        <v>59</v>
      </c>
      <c r="E514" s="3" t="s">
        <v>38</v>
      </c>
      <c r="F514" s="3">
        <v>7944.39</v>
      </c>
      <c r="G514" s="3">
        <v>360520</v>
      </c>
      <c r="H514" s="3">
        <v>20046</v>
      </c>
      <c r="I514" s="3">
        <v>32324.51</v>
      </c>
      <c r="J514" s="3">
        <v>17</v>
      </c>
      <c r="K514" s="15">
        <f t="shared" si="77"/>
        <v>5.5603017863086655E-2</v>
      </c>
      <c r="L514" s="16">
        <f t="shared" si="87"/>
        <v>0.39630799161927566</v>
      </c>
      <c r="M514" s="16">
        <f t="shared" si="78"/>
        <v>22.03592033729058</v>
      </c>
      <c r="N514" s="16">
        <f t="shared" si="79"/>
        <v>4.0688473249676811</v>
      </c>
      <c r="O514" s="16">
        <f t="shared" si="80"/>
        <v>3.0688473249676815</v>
      </c>
      <c r="P514" s="1">
        <v>2024</v>
      </c>
      <c r="Q514" s="1" t="s">
        <v>60</v>
      </c>
      <c r="R514" s="1" t="s">
        <v>40</v>
      </c>
      <c r="S514" s="70">
        <f>DATE(Table2[[#This Row],[Year]],MONTH(DATEVALUE("1-"&amp;Table2[[#This Row],[Month]]&amp;"-2000")),1)</f>
        <v>45352</v>
      </c>
      <c r="T514" s="16">
        <f t="shared" si="81"/>
        <v>1.612516711563404</v>
      </c>
      <c r="U514" s="16">
        <f t="shared" si="82"/>
        <v>8.9660795517585712E-2</v>
      </c>
      <c r="V514" s="16">
        <f t="shared" si="83"/>
        <v>467.31705882352941</v>
      </c>
      <c r="W514" s="16">
        <f t="shared" si="84"/>
        <v>1901.4417647058822</v>
      </c>
      <c r="X514" s="16">
        <f t="shared" si="85"/>
        <v>1179.1764705882354</v>
      </c>
      <c r="Y514" s="16">
        <f t="shared" si="86"/>
        <v>21207.058823529413</v>
      </c>
      <c r="Z514" s="7" t="str" cm="1">
        <f t="array" ref="Z514">_xlfn.IFS(K514&lt;2%,"Low",K514&lt;5%,"Medium",K514&lt;10%,"Good",K514&gt;10%,"Excellent")</f>
        <v>Good</v>
      </c>
      <c r="AA514" s="16" t="str">
        <f>Data_Validation!N512</f>
        <v>Pass</v>
      </c>
    </row>
    <row r="515" spans="1:27" x14ac:dyDescent="0.35">
      <c r="A515" s="17" t="s">
        <v>67</v>
      </c>
      <c r="B515" s="3" t="s">
        <v>28</v>
      </c>
      <c r="C515" s="3" t="s">
        <v>58</v>
      </c>
      <c r="D515" s="3" t="s">
        <v>21</v>
      </c>
      <c r="E515" s="3" t="s">
        <v>22</v>
      </c>
      <c r="F515" s="3">
        <v>16378.72</v>
      </c>
      <c r="G515" s="3">
        <v>43697</v>
      </c>
      <c r="H515" s="3">
        <v>31110</v>
      </c>
      <c r="I515" s="3">
        <v>233569.02</v>
      </c>
      <c r="J515" s="3">
        <v>43</v>
      </c>
      <c r="K515" s="15">
        <f t="shared" si="77"/>
        <v>0.71194818866283727</v>
      </c>
      <c r="L515" s="16">
        <f t="shared" si="87"/>
        <v>0.52647765991642559</v>
      </c>
      <c r="M515" s="16">
        <f t="shared" si="78"/>
        <v>374.82481634894845</v>
      </c>
      <c r="N515" s="16">
        <f t="shared" si="79"/>
        <v>14.260517305381617</v>
      </c>
      <c r="O515" s="16">
        <f t="shared" si="80"/>
        <v>13.260517305381617</v>
      </c>
      <c r="P515" s="1">
        <v>2024</v>
      </c>
      <c r="Q515" s="1" t="s">
        <v>60</v>
      </c>
      <c r="R515" s="1" t="s">
        <v>40</v>
      </c>
      <c r="S515" s="70">
        <f>DATE(Table2[[#This Row],[Year]],MONTH(DATEVALUE("1-"&amp;Table2[[#This Row],[Month]]&amp;"-2000")),1)</f>
        <v>45352</v>
      </c>
      <c r="T515" s="16">
        <f t="shared" si="81"/>
        <v>7.5078437801350049</v>
      </c>
      <c r="U515" s="16">
        <f t="shared" si="82"/>
        <v>5.3451957800306653</v>
      </c>
      <c r="V515" s="16">
        <f t="shared" si="83"/>
        <v>380.90046511627907</v>
      </c>
      <c r="W515" s="16">
        <f t="shared" si="84"/>
        <v>5431.8376744186044</v>
      </c>
      <c r="X515" s="16">
        <f t="shared" si="85"/>
        <v>723.48837209302326</v>
      </c>
      <c r="Y515" s="16">
        <f t="shared" si="86"/>
        <v>1016.2093023255813</v>
      </c>
      <c r="Z515" s="7" t="str" cm="1">
        <f t="array" ref="Z515">_xlfn.IFS(K515&lt;2%,"Low",K515&lt;5%,"Medium",K515&lt;10%,"Good",K515&gt;10%,"Excellent")</f>
        <v>Excellent</v>
      </c>
      <c r="AA515" s="16" t="str">
        <f>Data_Validation!N513</f>
        <v>Pass</v>
      </c>
    </row>
    <row r="516" spans="1:27" x14ac:dyDescent="0.35">
      <c r="A516" s="17" t="s">
        <v>112</v>
      </c>
      <c r="B516" s="3" t="s">
        <v>19</v>
      </c>
      <c r="C516" s="3" t="s">
        <v>29</v>
      </c>
      <c r="D516" s="3" t="s">
        <v>51</v>
      </c>
      <c r="E516" s="3" t="s">
        <v>22</v>
      </c>
      <c r="F516" s="3">
        <v>14428.69</v>
      </c>
      <c r="G516" s="3">
        <v>301979</v>
      </c>
      <c r="H516" s="3">
        <v>48048</v>
      </c>
      <c r="I516" s="3">
        <v>168835.32</v>
      </c>
      <c r="J516" s="3">
        <v>37</v>
      </c>
      <c r="K516" s="15">
        <f t="shared" si="77"/>
        <v>0.15911040171667568</v>
      </c>
      <c r="L516" s="16">
        <f t="shared" si="87"/>
        <v>0.30029741092241091</v>
      </c>
      <c r="M516" s="16">
        <f t="shared" si="78"/>
        <v>47.780441686342428</v>
      </c>
      <c r="N516" s="16">
        <f t="shared" si="79"/>
        <v>11.70136166207743</v>
      </c>
      <c r="O516" s="16">
        <f t="shared" si="80"/>
        <v>10.70136166207743</v>
      </c>
      <c r="P516" s="1">
        <v>2024</v>
      </c>
      <c r="Q516" s="1" t="s">
        <v>60</v>
      </c>
      <c r="R516" s="1" t="s">
        <v>40</v>
      </c>
      <c r="S516" s="70">
        <f>DATE(Table2[[#This Row],[Year]],MONTH(DATEVALUE("1-"&amp;Table2[[#This Row],[Month]]&amp;"-2000")),1)</f>
        <v>45352</v>
      </c>
      <c r="T516" s="16">
        <f t="shared" si="81"/>
        <v>3.5138886113886114</v>
      </c>
      <c r="U516" s="16">
        <f t="shared" si="82"/>
        <v>0.55909622854569363</v>
      </c>
      <c r="V516" s="16">
        <f t="shared" si="83"/>
        <v>389.96459459459459</v>
      </c>
      <c r="W516" s="16">
        <f t="shared" si="84"/>
        <v>4563.1167567567572</v>
      </c>
      <c r="X516" s="16">
        <f t="shared" si="85"/>
        <v>1298.5945945945946</v>
      </c>
      <c r="Y516" s="16">
        <f t="shared" si="86"/>
        <v>8161.594594594595</v>
      </c>
      <c r="Z516" s="7" t="str" cm="1">
        <f t="array" ref="Z516">_xlfn.IFS(K516&lt;2%,"Low",K516&lt;5%,"Medium",K516&lt;10%,"Good",K516&gt;10%,"Excellent")</f>
        <v>Excellent</v>
      </c>
      <c r="AA516" s="16" t="str">
        <f>Data_Validation!N514</f>
        <v>Pass</v>
      </c>
    </row>
    <row r="517" spans="1:27" x14ac:dyDescent="0.35">
      <c r="A517" s="17" t="s">
        <v>64</v>
      </c>
      <c r="B517" s="3" t="s">
        <v>48</v>
      </c>
      <c r="C517" s="3" t="s">
        <v>58</v>
      </c>
      <c r="D517" s="3" t="s">
        <v>21</v>
      </c>
      <c r="E517" s="3" t="s">
        <v>38</v>
      </c>
      <c r="F517" s="3">
        <v>7396.72</v>
      </c>
      <c r="G517" s="3">
        <v>868311</v>
      </c>
      <c r="H517" s="3">
        <v>48898</v>
      </c>
      <c r="I517" s="3">
        <v>166079.01</v>
      </c>
      <c r="J517" s="3">
        <v>15</v>
      </c>
      <c r="K517" s="15">
        <f t="shared" si="77"/>
        <v>5.6313924388842244E-2</v>
      </c>
      <c r="L517" s="16">
        <f t="shared" si="87"/>
        <v>0.15126835453392778</v>
      </c>
      <c r="M517" s="16">
        <f t="shared" si="78"/>
        <v>8.5185146796481916</v>
      </c>
      <c r="N517" s="16">
        <f t="shared" si="79"/>
        <v>22.453061627315893</v>
      </c>
      <c r="O517" s="16">
        <f t="shared" si="80"/>
        <v>21.453061627315893</v>
      </c>
      <c r="P517" s="1">
        <v>2024</v>
      </c>
      <c r="Q517" s="1" t="s">
        <v>60</v>
      </c>
      <c r="R517" s="1" t="s">
        <v>40</v>
      </c>
      <c r="S517" s="70">
        <f>DATE(Table2[[#This Row],[Year]],MONTH(DATEVALUE("1-"&amp;Table2[[#This Row],[Month]]&amp;"-2000")),1)</f>
        <v>45352</v>
      </c>
      <c r="T517" s="16">
        <f t="shared" si="81"/>
        <v>3.3964376866129498</v>
      </c>
      <c r="U517" s="16">
        <f t="shared" si="82"/>
        <v>0.19126673507533593</v>
      </c>
      <c r="V517" s="16">
        <f t="shared" si="83"/>
        <v>493.11466666666666</v>
      </c>
      <c r="W517" s="16">
        <f t="shared" si="84"/>
        <v>11071.934000000001</v>
      </c>
      <c r="X517" s="16">
        <f t="shared" si="85"/>
        <v>3259.8666666666668</v>
      </c>
      <c r="Y517" s="16">
        <f t="shared" si="86"/>
        <v>57887.4</v>
      </c>
      <c r="Z517" s="7" t="str" cm="1">
        <f t="array" ref="Z517">_xlfn.IFS(K517&lt;2%,"Low",K517&lt;5%,"Medium",K517&lt;10%,"Good",K517&gt;10%,"Excellent")</f>
        <v>Good</v>
      </c>
      <c r="AA517" s="16" t="str">
        <f>Data_Validation!N515</f>
        <v>Pass</v>
      </c>
    </row>
    <row r="518" spans="1:27" x14ac:dyDescent="0.35">
      <c r="A518" s="17" t="s">
        <v>66</v>
      </c>
      <c r="B518" s="3" t="s">
        <v>19</v>
      </c>
      <c r="C518" s="3" t="s">
        <v>36</v>
      </c>
      <c r="D518" s="3" t="s">
        <v>51</v>
      </c>
      <c r="E518" s="3" t="s">
        <v>22</v>
      </c>
      <c r="F518" s="3">
        <v>21359.57</v>
      </c>
      <c r="G518" s="3">
        <v>705951</v>
      </c>
      <c r="H518" s="3">
        <v>44421</v>
      </c>
      <c r="I518" s="3">
        <v>162144.09</v>
      </c>
      <c r="J518" s="3">
        <v>48</v>
      </c>
      <c r="K518" s="15">
        <f t="shared" si="77"/>
        <v>6.292363067691667E-2</v>
      </c>
      <c r="L518" s="16">
        <f t="shared" si="87"/>
        <v>0.48084397019427749</v>
      </c>
      <c r="M518" s="16">
        <f t="shared" si="78"/>
        <v>30.256448393727041</v>
      </c>
      <c r="N518" s="16">
        <f t="shared" si="79"/>
        <v>7.5911682679005246</v>
      </c>
      <c r="O518" s="16">
        <f t="shared" si="80"/>
        <v>6.5911682679005237</v>
      </c>
      <c r="P518" s="1">
        <v>2024</v>
      </c>
      <c r="Q518" s="1" t="s">
        <v>60</v>
      </c>
      <c r="R518" s="1" t="s">
        <v>40</v>
      </c>
      <c r="S518" s="70">
        <f>DATE(Table2[[#This Row],[Year]],MONTH(DATEVALUE("1-"&amp;Table2[[#This Row],[Month]]&amp;"-2000")),1)</f>
        <v>45352</v>
      </c>
      <c r="T518" s="16">
        <f t="shared" si="81"/>
        <v>3.6501674883501045</v>
      </c>
      <c r="U518" s="16">
        <f t="shared" si="82"/>
        <v>0.22968179094583052</v>
      </c>
      <c r="V518" s="16">
        <f t="shared" si="83"/>
        <v>444.99104166666666</v>
      </c>
      <c r="W518" s="16">
        <f t="shared" si="84"/>
        <v>3378.0018749999999</v>
      </c>
      <c r="X518" s="16">
        <f t="shared" si="85"/>
        <v>925.4375</v>
      </c>
      <c r="Y518" s="16">
        <f t="shared" si="86"/>
        <v>14707.3125</v>
      </c>
      <c r="Z518" s="7" t="str" cm="1">
        <f t="array" ref="Z518">_xlfn.IFS(K518&lt;2%,"Low",K518&lt;5%,"Medium",K518&lt;10%,"Good",K518&gt;10%,"Excellent")</f>
        <v>Good</v>
      </c>
      <c r="AA518" s="16" t="str">
        <f>Data_Validation!N516</f>
        <v>Pass</v>
      </c>
    </row>
    <row r="519" spans="1:27" x14ac:dyDescent="0.35">
      <c r="A519" s="17" t="s">
        <v>114</v>
      </c>
      <c r="B519" s="3" t="s">
        <v>48</v>
      </c>
      <c r="C519" s="3" t="s">
        <v>58</v>
      </c>
      <c r="D519" s="3" t="s">
        <v>37</v>
      </c>
      <c r="E519" s="3" t="s">
        <v>22</v>
      </c>
      <c r="F519" s="3">
        <v>20802.29</v>
      </c>
      <c r="G519" s="3">
        <v>955169</v>
      </c>
      <c r="H519" s="3">
        <v>32224</v>
      </c>
      <c r="I519" s="3">
        <v>93016.47</v>
      </c>
      <c r="J519" s="3">
        <v>49</v>
      </c>
      <c r="K519" s="15">
        <f t="shared" si="77"/>
        <v>3.3736438263804625E-2</v>
      </c>
      <c r="L519" s="16">
        <f t="shared" si="87"/>
        <v>0.64555269364448864</v>
      </c>
      <c r="M519" s="16">
        <f t="shared" si="78"/>
        <v>21.778648595170072</v>
      </c>
      <c r="N519" s="16">
        <f t="shared" si="79"/>
        <v>4.471453383257324</v>
      </c>
      <c r="O519" s="16">
        <f t="shared" si="80"/>
        <v>3.4714533832573236</v>
      </c>
      <c r="P519" s="1">
        <v>2024</v>
      </c>
      <c r="Q519" s="1" t="s">
        <v>60</v>
      </c>
      <c r="R519" s="1" t="s">
        <v>40</v>
      </c>
      <c r="S519" s="70">
        <f>DATE(Table2[[#This Row],[Year]],MONTH(DATEVALUE("1-"&amp;Table2[[#This Row],[Month]]&amp;"-2000")),1)</f>
        <v>45352</v>
      </c>
      <c r="T519" s="16">
        <f t="shared" si="81"/>
        <v>2.8865587760675275</v>
      </c>
      <c r="U519" s="16">
        <f t="shared" si="82"/>
        <v>9.7382211943645575E-2</v>
      </c>
      <c r="V519" s="16">
        <f t="shared" si="83"/>
        <v>424.53653061224492</v>
      </c>
      <c r="W519" s="16">
        <f t="shared" si="84"/>
        <v>1898.2953061224489</v>
      </c>
      <c r="X519" s="16">
        <f t="shared" si="85"/>
        <v>657.63265306122446</v>
      </c>
      <c r="Y519" s="16">
        <f t="shared" si="86"/>
        <v>19493.244897959183</v>
      </c>
      <c r="Z519" s="7" t="str" cm="1">
        <f t="array" ref="Z519">_xlfn.IFS(K519&lt;2%,"Low",K519&lt;5%,"Medium",K519&lt;10%,"Good",K519&gt;10%,"Excellent")</f>
        <v>Medium</v>
      </c>
      <c r="AA519" s="16" t="str">
        <f>Data_Validation!N517</f>
        <v>Pass</v>
      </c>
    </row>
    <row r="520" spans="1:27" x14ac:dyDescent="0.35">
      <c r="A520" s="17" t="s">
        <v>66</v>
      </c>
      <c r="B520" s="3" t="s">
        <v>48</v>
      </c>
      <c r="C520" s="3" t="s">
        <v>29</v>
      </c>
      <c r="D520" s="3" t="s">
        <v>63</v>
      </c>
      <c r="E520" s="3" t="s">
        <v>22</v>
      </c>
      <c r="F520" s="3">
        <v>8932.66</v>
      </c>
      <c r="G520" s="3">
        <v>807861</v>
      </c>
      <c r="H520" s="3">
        <v>28211</v>
      </c>
      <c r="I520" s="3">
        <v>65698.09</v>
      </c>
      <c r="J520" s="3">
        <v>36</v>
      </c>
      <c r="K520" s="15">
        <f t="shared" si="77"/>
        <v>3.4920611342792882E-2</v>
      </c>
      <c r="L520" s="16">
        <f t="shared" si="87"/>
        <v>0.31663748183332741</v>
      </c>
      <c r="M520" s="16">
        <f t="shared" si="78"/>
        <v>11.057174439662267</v>
      </c>
      <c r="N520" s="16">
        <f t="shared" si="79"/>
        <v>7.3548181616674091</v>
      </c>
      <c r="O520" s="16">
        <f t="shared" si="80"/>
        <v>6.3548181616674082</v>
      </c>
      <c r="P520" s="1">
        <v>2024</v>
      </c>
      <c r="Q520" s="1" t="s">
        <v>60</v>
      </c>
      <c r="R520" s="1" t="s">
        <v>40</v>
      </c>
      <c r="S520" s="70">
        <f>DATE(Table2[[#This Row],[Year]],MONTH(DATEVALUE("1-"&amp;Table2[[#This Row],[Month]]&amp;"-2000")),1)</f>
        <v>45352</v>
      </c>
      <c r="T520" s="16">
        <f t="shared" si="81"/>
        <v>2.3288111020523909</v>
      </c>
      <c r="U520" s="16">
        <f t="shared" si="82"/>
        <v>8.1323507385552704E-2</v>
      </c>
      <c r="V520" s="16">
        <f t="shared" si="83"/>
        <v>248.12944444444443</v>
      </c>
      <c r="W520" s="16">
        <f t="shared" si="84"/>
        <v>1824.9469444444444</v>
      </c>
      <c r="X520" s="16">
        <f t="shared" si="85"/>
        <v>783.63888888888891</v>
      </c>
      <c r="Y520" s="16">
        <f t="shared" si="86"/>
        <v>22440.583333333332</v>
      </c>
      <c r="Z520" s="7" t="str" cm="1">
        <f t="array" ref="Z520">_xlfn.IFS(K520&lt;2%,"Low",K520&lt;5%,"Medium",K520&lt;10%,"Good",K520&gt;10%,"Excellent")</f>
        <v>Medium</v>
      </c>
      <c r="AA520" s="16" t="str">
        <f>Data_Validation!N518</f>
        <v>Pass</v>
      </c>
    </row>
    <row r="521" spans="1:27" x14ac:dyDescent="0.35">
      <c r="A521" s="17" t="s">
        <v>87</v>
      </c>
      <c r="B521" s="3" t="s">
        <v>19</v>
      </c>
      <c r="C521" s="3" t="s">
        <v>20</v>
      </c>
      <c r="D521" s="3" t="s">
        <v>59</v>
      </c>
      <c r="E521" s="3" t="s">
        <v>22</v>
      </c>
      <c r="F521" s="3">
        <v>16826</v>
      </c>
      <c r="G521" s="3">
        <v>805248</v>
      </c>
      <c r="H521" s="3">
        <v>29797</v>
      </c>
      <c r="I521" s="3">
        <v>15612.78</v>
      </c>
      <c r="J521" s="3">
        <v>22</v>
      </c>
      <c r="K521" s="15">
        <f t="shared" ref="K521:K584" si="88">H521/G521</f>
        <v>3.7003506994118585E-2</v>
      </c>
      <c r="L521" s="16">
        <f t="shared" si="87"/>
        <v>0.56468772024029268</v>
      </c>
      <c r="M521" s="16">
        <f t="shared" ref="M521:M584" si="89">F521/G521*1000</f>
        <v>20.895426005404545</v>
      </c>
      <c r="N521" s="16">
        <f t="shared" ref="N521:N584" si="90">I521/F521</f>
        <v>0.92789611315820753</v>
      </c>
      <c r="O521" s="16">
        <f t="shared" ref="O521:O584" si="91">(I521-F521)/F521</f>
        <v>-7.2103886841792419E-2</v>
      </c>
      <c r="P521" s="1">
        <v>2024</v>
      </c>
      <c r="Q521" s="1" t="s">
        <v>60</v>
      </c>
      <c r="R521" s="1" t="s">
        <v>40</v>
      </c>
      <c r="S521" s="70">
        <f>DATE(Table2[[#This Row],[Year]],MONTH(DATEVALUE("1-"&amp;Table2[[#This Row],[Month]]&amp;"-2000")),1)</f>
        <v>45352</v>
      </c>
      <c r="T521" s="16">
        <f t="shared" ref="T521:T584" si="92">I521/H521</f>
        <v>0.52397154075913688</v>
      </c>
      <c r="U521" s="16">
        <f t="shared" ref="U521:U584" si="93">I521/G521</f>
        <v>1.938878457319981E-2</v>
      </c>
      <c r="V521" s="16">
        <f t="shared" ref="V521:V584" si="94">F521/J521</f>
        <v>764.81818181818187</v>
      </c>
      <c r="W521" s="16">
        <f t="shared" ref="W521:W584" si="95">I521/J521</f>
        <v>709.67181818181825</v>
      </c>
      <c r="X521" s="16">
        <f t="shared" ref="X521:X584" si="96">H521/J521</f>
        <v>1354.409090909091</v>
      </c>
      <c r="Y521" s="16">
        <f t="shared" ref="Y521:Y584" si="97">G521/J521</f>
        <v>36602.181818181816</v>
      </c>
      <c r="Z521" s="7" t="str" cm="1">
        <f t="array" ref="Z521">_xlfn.IFS(K521&lt;2%,"Low",K521&lt;5%,"Medium",K521&lt;10%,"Good",K521&gt;10%,"Excellent")</f>
        <v>Medium</v>
      </c>
      <c r="AA521" s="16" t="str">
        <f>Data_Validation!N519</f>
        <v>Pass</v>
      </c>
    </row>
    <row r="522" spans="1:27" x14ac:dyDescent="0.35">
      <c r="A522" s="17" t="s">
        <v>27</v>
      </c>
      <c r="B522" s="3" t="s">
        <v>28</v>
      </c>
      <c r="C522" s="3" t="s">
        <v>58</v>
      </c>
      <c r="D522" s="3" t="s">
        <v>21</v>
      </c>
      <c r="E522" s="3" t="s">
        <v>30</v>
      </c>
      <c r="F522" s="3">
        <v>42828.27</v>
      </c>
      <c r="G522" s="3">
        <v>293201</v>
      </c>
      <c r="H522" s="3">
        <v>40464</v>
      </c>
      <c r="I522" s="3">
        <v>203008.81</v>
      </c>
      <c r="J522" s="3">
        <v>17</v>
      </c>
      <c r="K522" s="15">
        <f t="shared" si="88"/>
        <v>0.13800771484408306</v>
      </c>
      <c r="L522" s="16">
        <f t="shared" ref="L522:L585" si="98">F522/H522</f>
        <v>1.0584289739027282</v>
      </c>
      <c r="M522" s="16">
        <f t="shared" si="89"/>
        <v>146.07136401308315</v>
      </c>
      <c r="N522" s="16">
        <f t="shared" si="90"/>
        <v>4.7400656155385219</v>
      </c>
      <c r="O522" s="16">
        <f t="shared" si="91"/>
        <v>3.7400656155385219</v>
      </c>
      <c r="P522" s="1">
        <v>2024</v>
      </c>
      <c r="Q522" s="1" t="s">
        <v>60</v>
      </c>
      <c r="R522" s="1" t="s">
        <v>40</v>
      </c>
      <c r="S522" s="70">
        <f>DATE(Table2[[#This Row],[Year]],MONTH(DATEVALUE("1-"&amp;Table2[[#This Row],[Month]]&amp;"-2000")),1)</f>
        <v>45352</v>
      </c>
      <c r="T522" s="16">
        <f t="shared" si="92"/>
        <v>5.0170227856860414</v>
      </c>
      <c r="U522" s="16">
        <f t="shared" si="93"/>
        <v>0.69238784997322655</v>
      </c>
      <c r="V522" s="16">
        <f t="shared" si="94"/>
        <v>2519.31</v>
      </c>
      <c r="W522" s="16">
        <f t="shared" si="95"/>
        <v>11941.694705882353</v>
      </c>
      <c r="X522" s="16">
        <f t="shared" si="96"/>
        <v>2380.2352941176468</v>
      </c>
      <c r="Y522" s="16">
        <f t="shared" si="97"/>
        <v>17247.117647058825</v>
      </c>
      <c r="Z522" s="7" t="str" cm="1">
        <f t="array" ref="Z522">_xlfn.IFS(K522&lt;2%,"Low",K522&lt;5%,"Medium",K522&lt;10%,"Good",K522&gt;10%,"Excellent")</f>
        <v>Excellent</v>
      </c>
      <c r="AA522" s="16" t="str">
        <f>Data_Validation!N520</f>
        <v>Pass</v>
      </c>
    </row>
    <row r="523" spans="1:27" x14ac:dyDescent="0.35">
      <c r="A523" s="17" t="s">
        <v>91</v>
      </c>
      <c r="B523" s="3" t="s">
        <v>48</v>
      </c>
      <c r="C523" s="3" t="s">
        <v>58</v>
      </c>
      <c r="D523" s="3" t="s">
        <v>21</v>
      </c>
      <c r="E523" s="3" t="s">
        <v>22</v>
      </c>
      <c r="F523" s="3">
        <v>30096.22</v>
      </c>
      <c r="G523" s="3">
        <v>210188</v>
      </c>
      <c r="H523" s="3">
        <v>5742</v>
      </c>
      <c r="I523" s="3">
        <v>78724.88</v>
      </c>
      <c r="J523" s="3">
        <v>59</v>
      </c>
      <c r="K523" s="15">
        <f t="shared" si="88"/>
        <v>2.7318400669876491E-2</v>
      </c>
      <c r="L523" s="16">
        <f t="shared" si="98"/>
        <v>5.2414176245210733</v>
      </c>
      <c r="M523" s="16">
        <f t="shared" si="89"/>
        <v>143.1871467448189</v>
      </c>
      <c r="N523" s="16">
        <f t="shared" si="90"/>
        <v>2.6157730106970245</v>
      </c>
      <c r="O523" s="16">
        <f t="shared" si="91"/>
        <v>1.6157730106970245</v>
      </c>
      <c r="P523" s="1">
        <v>2024</v>
      </c>
      <c r="Q523" s="1" t="s">
        <v>60</v>
      </c>
      <c r="R523" s="1" t="s">
        <v>40</v>
      </c>
      <c r="S523" s="70">
        <f>DATE(Table2[[#This Row],[Year]],MONTH(DATEVALUE("1-"&amp;Table2[[#This Row],[Month]]&amp;"-2000")),1)</f>
        <v>45352</v>
      </c>
      <c r="T523" s="16">
        <f t="shared" si="92"/>
        <v>13.710358760013934</v>
      </c>
      <c r="U523" s="16">
        <f t="shared" si="93"/>
        <v>0.37454507393381165</v>
      </c>
      <c r="V523" s="16">
        <f t="shared" si="94"/>
        <v>510.10542372881361</v>
      </c>
      <c r="W523" s="16">
        <f t="shared" si="95"/>
        <v>1334.3200000000002</v>
      </c>
      <c r="X523" s="16">
        <f t="shared" si="96"/>
        <v>97.322033898305079</v>
      </c>
      <c r="Y523" s="16">
        <f t="shared" si="97"/>
        <v>3562.5084745762711</v>
      </c>
      <c r="Z523" s="7" t="str" cm="1">
        <f t="array" ref="Z523">_xlfn.IFS(K523&lt;2%,"Low",K523&lt;5%,"Medium",K523&lt;10%,"Good",K523&gt;10%,"Excellent")</f>
        <v>Medium</v>
      </c>
      <c r="AA523" s="16" t="str">
        <f>Data_Validation!N521</f>
        <v>Pass</v>
      </c>
    </row>
    <row r="524" spans="1:27" x14ac:dyDescent="0.35">
      <c r="A524" s="17" t="s">
        <v>71</v>
      </c>
      <c r="B524" s="3" t="s">
        <v>28</v>
      </c>
      <c r="C524" s="3" t="s">
        <v>69</v>
      </c>
      <c r="D524" s="3" t="s">
        <v>43</v>
      </c>
      <c r="E524" s="3" t="s">
        <v>22</v>
      </c>
      <c r="F524" s="3">
        <v>5664.14</v>
      </c>
      <c r="G524" s="3">
        <v>538751</v>
      </c>
      <c r="H524" s="3">
        <v>7857</v>
      </c>
      <c r="I524" s="3">
        <v>159703.06</v>
      </c>
      <c r="J524" s="3">
        <v>20</v>
      </c>
      <c r="K524" s="15">
        <f t="shared" si="88"/>
        <v>1.4583731631124582E-2</v>
      </c>
      <c r="L524" s="16">
        <f t="shared" si="98"/>
        <v>0.72090365279368718</v>
      </c>
      <c r="M524" s="16">
        <f t="shared" si="89"/>
        <v>10.51346540424055</v>
      </c>
      <c r="N524" s="16">
        <f t="shared" si="90"/>
        <v>28.19546480136437</v>
      </c>
      <c r="O524" s="16">
        <f t="shared" si="91"/>
        <v>27.19546480136437</v>
      </c>
      <c r="P524" s="1">
        <v>2024</v>
      </c>
      <c r="Q524" s="1" t="s">
        <v>60</v>
      </c>
      <c r="R524" s="1" t="s">
        <v>40</v>
      </c>
      <c r="S524" s="70">
        <f>DATE(Table2[[#This Row],[Year]],MONTH(DATEVALUE("1-"&amp;Table2[[#This Row],[Month]]&amp;"-2000")),1)</f>
        <v>45352</v>
      </c>
      <c r="T524" s="16">
        <f t="shared" si="92"/>
        <v>20.32621356751941</v>
      </c>
      <c r="U524" s="16">
        <f t="shared" si="93"/>
        <v>0.29643204374562643</v>
      </c>
      <c r="V524" s="16">
        <f t="shared" si="94"/>
        <v>283.20699999999999</v>
      </c>
      <c r="W524" s="16">
        <f t="shared" si="95"/>
        <v>7985.1530000000002</v>
      </c>
      <c r="X524" s="16">
        <f t="shared" si="96"/>
        <v>392.85</v>
      </c>
      <c r="Y524" s="16">
        <f t="shared" si="97"/>
        <v>26937.55</v>
      </c>
      <c r="Z524" s="7" t="str" cm="1">
        <f t="array" ref="Z524">_xlfn.IFS(K524&lt;2%,"Low",K524&lt;5%,"Medium",K524&lt;10%,"Good",K524&gt;10%,"Excellent")</f>
        <v>Low</v>
      </c>
      <c r="AA524" s="16" t="str">
        <f>Data_Validation!N522</f>
        <v>Pass</v>
      </c>
    </row>
    <row r="525" spans="1:27" x14ac:dyDescent="0.35">
      <c r="A525" s="17" t="s">
        <v>79</v>
      </c>
      <c r="B525" s="3" t="s">
        <v>19</v>
      </c>
      <c r="C525" s="3" t="s">
        <v>58</v>
      </c>
      <c r="D525" s="3" t="s">
        <v>51</v>
      </c>
      <c r="E525" s="3" t="s">
        <v>38</v>
      </c>
      <c r="F525" s="3">
        <v>1959.98</v>
      </c>
      <c r="G525" s="3">
        <v>155699</v>
      </c>
      <c r="H525" s="3">
        <v>37947</v>
      </c>
      <c r="I525" s="3">
        <v>219068.79999999999</v>
      </c>
      <c r="J525" s="3">
        <v>34</v>
      </c>
      <c r="K525" s="15">
        <f t="shared" si="88"/>
        <v>0.24372025510761147</v>
      </c>
      <c r="L525" s="16">
        <f t="shared" si="98"/>
        <v>5.16504598518987E-2</v>
      </c>
      <c r="M525" s="16">
        <f t="shared" si="89"/>
        <v>12.588263251530197</v>
      </c>
      <c r="N525" s="16">
        <f t="shared" si="90"/>
        <v>111.77093643812691</v>
      </c>
      <c r="O525" s="16">
        <f t="shared" si="91"/>
        <v>110.77093643812691</v>
      </c>
      <c r="P525" s="1">
        <v>2024</v>
      </c>
      <c r="Q525" s="1" t="s">
        <v>60</v>
      </c>
      <c r="R525" s="1" t="s">
        <v>40</v>
      </c>
      <c r="S525" s="70">
        <f>DATE(Table2[[#This Row],[Year]],MONTH(DATEVALUE("1-"&amp;Table2[[#This Row],[Month]]&amp;"-2000")),1)</f>
        <v>45352</v>
      </c>
      <c r="T525" s="16">
        <f t="shared" si="92"/>
        <v>5.773020265106596</v>
      </c>
      <c r="U525" s="16">
        <f t="shared" si="93"/>
        <v>1.4070019717531903</v>
      </c>
      <c r="V525" s="16">
        <f t="shared" si="94"/>
        <v>57.646470588235296</v>
      </c>
      <c r="W525" s="16">
        <f t="shared" si="95"/>
        <v>6443.2</v>
      </c>
      <c r="X525" s="16">
        <f t="shared" si="96"/>
        <v>1116.0882352941176</v>
      </c>
      <c r="Y525" s="16">
        <f t="shared" si="97"/>
        <v>4579.3823529411766</v>
      </c>
      <c r="Z525" s="7" t="str" cm="1">
        <f t="array" ref="Z525">_xlfn.IFS(K525&lt;2%,"Low",K525&lt;5%,"Medium",K525&lt;10%,"Good",K525&gt;10%,"Excellent")</f>
        <v>Excellent</v>
      </c>
      <c r="AA525" s="16" t="str">
        <f>Data_Validation!N523</f>
        <v>Pass</v>
      </c>
    </row>
    <row r="526" spans="1:27" x14ac:dyDescent="0.35">
      <c r="A526" s="17" t="s">
        <v>84</v>
      </c>
      <c r="B526" s="3" t="s">
        <v>35</v>
      </c>
      <c r="C526" s="3" t="s">
        <v>29</v>
      </c>
      <c r="D526" s="3" t="s">
        <v>37</v>
      </c>
      <c r="E526" s="3" t="s">
        <v>30</v>
      </c>
      <c r="F526" s="3">
        <v>7869.49</v>
      </c>
      <c r="G526" s="3">
        <v>221883</v>
      </c>
      <c r="H526" s="3">
        <v>35396</v>
      </c>
      <c r="I526" s="3">
        <v>71427.520000000004</v>
      </c>
      <c r="J526" s="3">
        <v>47</v>
      </c>
      <c r="K526" s="15">
        <f t="shared" si="88"/>
        <v>0.15952551569971563</v>
      </c>
      <c r="L526" s="16">
        <f t="shared" si="98"/>
        <v>0.22232709910724374</v>
      </c>
      <c r="M526" s="16">
        <f t="shared" si="89"/>
        <v>35.466845139104841</v>
      </c>
      <c r="N526" s="16">
        <f t="shared" si="90"/>
        <v>9.076511946771646</v>
      </c>
      <c r="O526" s="16">
        <f t="shared" si="91"/>
        <v>8.0765119467716477</v>
      </c>
      <c r="P526" s="1">
        <v>2024</v>
      </c>
      <c r="Q526" s="1" t="s">
        <v>60</v>
      </c>
      <c r="R526" s="1" t="s">
        <v>40</v>
      </c>
      <c r="S526" s="70">
        <f>DATE(Table2[[#This Row],[Year]],MONTH(DATEVALUE("1-"&amp;Table2[[#This Row],[Month]]&amp;"-2000")),1)</f>
        <v>45352</v>
      </c>
      <c r="T526" s="16">
        <f t="shared" si="92"/>
        <v>2.0179545711379818</v>
      </c>
      <c r="U526" s="16">
        <f t="shared" si="93"/>
        <v>0.32191524361938501</v>
      </c>
      <c r="V526" s="16">
        <f t="shared" si="94"/>
        <v>167.43595744680852</v>
      </c>
      <c r="W526" s="16">
        <f t="shared" si="95"/>
        <v>1519.7344680851065</v>
      </c>
      <c r="X526" s="16">
        <f t="shared" si="96"/>
        <v>753.10638297872345</v>
      </c>
      <c r="Y526" s="16">
        <f t="shared" si="97"/>
        <v>4720.9148936170213</v>
      </c>
      <c r="Z526" s="7" t="str" cm="1">
        <f t="array" ref="Z526">_xlfn.IFS(K526&lt;2%,"Low",K526&lt;5%,"Medium",K526&lt;10%,"Good",K526&gt;10%,"Excellent")</f>
        <v>Excellent</v>
      </c>
      <c r="AA526" s="16" t="str">
        <f>Data_Validation!N524</f>
        <v>Pass</v>
      </c>
    </row>
    <row r="527" spans="1:27" x14ac:dyDescent="0.35">
      <c r="A527" s="17" t="s">
        <v>79</v>
      </c>
      <c r="B527" s="3" t="s">
        <v>28</v>
      </c>
      <c r="C527" s="3" t="s">
        <v>58</v>
      </c>
      <c r="D527" s="3" t="s">
        <v>37</v>
      </c>
      <c r="E527" s="3" t="s">
        <v>22</v>
      </c>
      <c r="F527" s="3">
        <v>5335.89</v>
      </c>
      <c r="G527" s="3">
        <v>68900</v>
      </c>
      <c r="H527" s="3">
        <v>23164</v>
      </c>
      <c r="I527" s="3">
        <v>129297.54</v>
      </c>
      <c r="J527" s="3">
        <v>46</v>
      </c>
      <c r="K527" s="15">
        <f t="shared" si="88"/>
        <v>0.33619738751814221</v>
      </c>
      <c r="L527" s="16">
        <f t="shared" si="98"/>
        <v>0.230352702469349</v>
      </c>
      <c r="M527" s="16">
        <f t="shared" si="89"/>
        <v>77.443976777939042</v>
      </c>
      <c r="N527" s="16">
        <f t="shared" si="90"/>
        <v>24.231672691903317</v>
      </c>
      <c r="O527" s="16">
        <f t="shared" si="91"/>
        <v>23.231672691903317</v>
      </c>
      <c r="P527" s="1">
        <v>2024</v>
      </c>
      <c r="Q527" s="1" t="s">
        <v>60</v>
      </c>
      <c r="R527" s="1" t="s">
        <v>40</v>
      </c>
      <c r="S527" s="70">
        <f>DATE(Table2[[#This Row],[Year]],MONTH(DATEVALUE("1-"&amp;Table2[[#This Row],[Month]]&amp;"-2000")),1)</f>
        <v>45352</v>
      </c>
      <c r="T527" s="16">
        <f t="shared" si="92"/>
        <v>5.5818312899326541</v>
      </c>
      <c r="U527" s="16">
        <f t="shared" si="93"/>
        <v>1.8765970972423802</v>
      </c>
      <c r="V527" s="16">
        <f t="shared" si="94"/>
        <v>115.99760869565218</v>
      </c>
      <c r="W527" s="16">
        <f t="shared" si="95"/>
        <v>2810.8160869565218</v>
      </c>
      <c r="X527" s="16">
        <f t="shared" si="96"/>
        <v>503.56521739130437</v>
      </c>
      <c r="Y527" s="16">
        <f t="shared" si="97"/>
        <v>1497.8260869565217</v>
      </c>
      <c r="Z527" s="7" t="str" cm="1">
        <f t="array" ref="Z527">_xlfn.IFS(K527&lt;2%,"Low",K527&lt;5%,"Medium",K527&lt;10%,"Good",K527&gt;10%,"Excellent")</f>
        <v>Excellent</v>
      </c>
      <c r="AA527" s="16" t="str">
        <f>Data_Validation!N525</f>
        <v>Pass</v>
      </c>
    </row>
    <row r="528" spans="1:27" x14ac:dyDescent="0.35">
      <c r="A528" s="17" t="s">
        <v>66</v>
      </c>
      <c r="B528" s="3" t="s">
        <v>48</v>
      </c>
      <c r="C528" s="3" t="s">
        <v>29</v>
      </c>
      <c r="D528" s="3" t="s">
        <v>37</v>
      </c>
      <c r="E528" s="3" t="s">
        <v>22</v>
      </c>
      <c r="F528" s="3">
        <v>1354.54</v>
      </c>
      <c r="G528" s="3">
        <v>83384</v>
      </c>
      <c r="H528" s="3">
        <v>12713</v>
      </c>
      <c r="I528" s="3">
        <v>17766.18</v>
      </c>
      <c r="J528" s="3">
        <v>46</v>
      </c>
      <c r="K528" s="15">
        <f t="shared" si="88"/>
        <v>0.15246330231219418</v>
      </c>
      <c r="L528" s="16">
        <f t="shared" si="98"/>
        <v>0.10654762841186187</v>
      </c>
      <c r="M528" s="16">
        <f t="shared" si="89"/>
        <v>16.244603281205027</v>
      </c>
      <c r="N528" s="16">
        <f t="shared" si="90"/>
        <v>13.116024628287095</v>
      </c>
      <c r="O528" s="16">
        <f t="shared" si="91"/>
        <v>12.116024628287093</v>
      </c>
      <c r="P528" s="1">
        <v>2024</v>
      </c>
      <c r="Q528" s="1" t="s">
        <v>60</v>
      </c>
      <c r="R528" s="1" t="s">
        <v>40</v>
      </c>
      <c r="S528" s="70">
        <f>DATE(Table2[[#This Row],[Year]],MONTH(DATEVALUE("1-"&amp;Table2[[#This Row],[Month]]&amp;"-2000")),1)</f>
        <v>45352</v>
      </c>
      <c r="T528" s="16">
        <f t="shared" si="92"/>
        <v>1.3974813183355621</v>
      </c>
      <c r="U528" s="16">
        <f t="shared" si="93"/>
        <v>0.21306461671303847</v>
      </c>
      <c r="V528" s="16">
        <f t="shared" si="94"/>
        <v>29.446521739130436</v>
      </c>
      <c r="W528" s="16">
        <f t="shared" si="95"/>
        <v>386.22130434782611</v>
      </c>
      <c r="X528" s="16">
        <f t="shared" si="96"/>
        <v>276.36956521739131</v>
      </c>
      <c r="Y528" s="16">
        <f t="shared" si="97"/>
        <v>1812.695652173913</v>
      </c>
      <c r="Z528" s="7" t="str" cm="1">
        <f t="array" ref="Z528">_xlfn.IFS(K528&lt;2%,"Low",K528&lt;5%,"Medium",K528&lt;10%,"Good",K528&gt;10%,"Excellent")</f>
        <v>Excellent</v>
      </c>
      <c r="AA528" s="16" t="str">
        <f>Data_Validation!N526</f>
        <v>Pass</v>
      </c>
    </row>
    <row r="529" spans="1:27" x14ac:dyDescent="0.35">
      <c r="A529" s="17" t="s">
        <v>79</v>
      </c>
      <c r="B529" s="3" t="s">
        <v>28</v>
      </c>
      <c r="C529" s="3" t="s">
        <v>29</v>
      </c>
      <c r="D529" s="3" t="s">
        <v>63</v>
      </c>
      <c r="E529" s="3" t="s">
        <v>30</v>
      </c>
      <c r="F529" s="3">
        <v>13477.29</v>
      </c>
      <c r="G529" s="3">
        <v>480735</v>
      </c>
      <c r="H529" s="3">
        <v>15435</v>
      </c>
      <c r="I529" s="3">
        <v>135832.73000000001</v>
      </c>
      <c r="J529" s="3">
        <v>45</v>
      </c>
      <c r="K529" s="15">
        <f t="shared" si="88"/>
        <v>3.2107086024524945E-2</v>
      </c>
      <c r="L529" s="16">
        <f t="shared" si="98"/>
        <v>0.87316423712342084</v>
      </c>
      <c r="M529" s="16">
        <f t="shared" si="89"/>
        <v>28.034759274860374</v>
      </c>
      <c r="N529" s="16">
        <f t="shared" si="90"/>
        <v>10.078638212875141</v>
      </c>
      <c r="O529" s="16">
        <f t="shared" si="91"/>
        <v>9.0786382128751395</v>
      </c>
      <c r="P529" s="1">
        <v>2024</v>
      </c>
      <c r="Q529" s="1" t="s">
        <v>60</v>
      </c>
      <c r="R529" s="1" t="s">
        <v>40</v>
      </c>
      <c r="S529" s="70">
        <f>DATE(Table2[[#This Row],[Year]],MONTH(DATEVALUE("1-"&amp;Table2[[#This Row],[Month]]&amp;"-2000")),1)</f>
        <v>45352</v>
      </c>
      <c r="T529" s="16">
        <f t="shared" si="92"/>
        <v>8.8003064463880794</v>
      </c>
      <c r="U529" s="16">
        <f t="shared" si="93"/>
        <v>0.28255219611636351</v>
      </c>
      <c r="V529" s="16">
        <f t="shared" si="94"/>
        <v>299.49533333333335</v>
      </c>
      <c r="W529" s="16">
        <f t="shared" si="95"/>
        <v>3018.5051111111115</v>
      </c>
      <c r="X529" s="16">
        <f t="shared" si="96"/>
        <v>343</v>
      </c>
      <c r="Y529" s="16">
        <f t="shared" si="97"/>
        <v>10683</v>
      </c>
      <c r="Z529" s="7" t="str" cm="1">
        <f t="array" ref="Z529">_xlfn.IFS(K529&lt;2%,"Low",K529&lt;5%,"Medium",K529&lt;10%,"Good",K529&gt;10%,"Excellent")</f>
        <v>Medium</v>
      </c>
      <c r="AA529" s="16" t="str">
        <f>Data_Validation!N527</f>
        <v>Pass</v>
      </c>
    </row>
    <row r="530" spans="1:27" x14ac:dyDescent="0.35">
      <c r="A530" s="17" t="s">
        <v>42</v>
      </c>
      <c r="B530" s="3" t="s">
        <v>28</v>
      </c>
      <c r="C530" s="3" t="s">
        <v>20</v>
      </c>
      <c r="D530" s="3" t="s">
        <v>63</v>
      </c>
      <c r="E530" s="3" t="s">
        <v>38</v>
      </c>
      <c r="F530" s="3">
        <v>1298.42</v>
      </c>
      <c r="G530" s="3">
        <v>534344</v>
      </c>
      <c r="H530" s="3">
        <v>10197</v>
      </c>
      <c r="I530" s="3">
        <v>51601.86</v>
      </c>
      <c r="J530" s="3">
        <v>38</v>
      </c>
      <c r="K530" s="15">
        <f t="shared" si="88"/>
        <v>1.9083212312667495E-2</v>
      </c>
      <c r="L530" s="16">
        <f t="shared" si="98"/>
        <v>0.12733352946945181</v>
      </c>
      <c r="M530" s="16">
        <f t="shared" si="89"/>
        <v>2.4299327773868522</v>
      </c>
      <c r="N530" s="16">
        <f t="shared" si="90"/>
        <v>39.742040325934596</v>
      </c>
      <c r="O530" s="16">
        <f t="shared" si="91"/>
        <v>38.742040325934596</v>
      </c>
      <c r="P530" s="1">
        <v>2024</v>
      </c>
      <c r="Q530" s="1" t="s">
        <v>60</v>
      </c>
      <c r="R530" s="1" t="s">
        <v>40</v>
      </c>
      <c r="S530" s="70">
        <f>DATE(Table2[[#This Row],[Year]],MONTH(DATEVALUE("1-"&amp;Table2[[#This Row],[Month]]&amp;"-2000")),1)</f>
        <v>45352</v>
      </c>
      <c r="T530" s="16">
        <f t="shared" si="92"/>
        <v>5.0604942630185352</v>
      </c>
      <c r="U530" s="16">
        <f t="shared" si="93"/>
        <v>9.6570486428218527E-2</v>
      </c>
      <c r="V530" s="16">
        <f t="shared" si="94"/>
        <v>34.168947368421051</v>
      </c>
      <c r="W530" s="16">
        <f t="shared" si="95"/>
        <v>1357.9436842105263</v>
      </c>
      <c r="X530" s="16">
        <f t="shared" si="96"/>
        <v>268.34210526315792</v>
      </c>
      <c r="Y530" s="16">
        <f t="shared" si="97"/>
        <v>14061.684210526315</v>
      </c>
      <c r="Z530" s="7" t="str" cm="1">
        <f t="array" ref="Z530">_xlfn.IFS(K530&lt;2%,"Low",K530&lt;5%,"Medium",K530&lt;10%,"Good",K530&gt;10%,"Excellent")</f>
        <v>Low</v>
      </c>
      <c r="AA530" s="16" t="str">
        <f>Data_Validation!N528</f>
        <v>Pass</v>
      </c>
    </row>
    <row r="531" spans="1:27" x14ac:dyDescent="0.35">
      <c r="A531" s="17" t="s">
        <v>108</v>
      </c>
      <c r="B531" s="3" t="s">
        <v>35</v>
      </c>
      <c r="C531" s="3" t="s">
        <v>36</v>
      </c>
      <c r="D531" s="3" t="s">
        <v>21</v>
      </c>
      <c r="E531" s="3" t="s">
        <v>38</v>
      </c>
      <c r="F531" s="3">
        <v>48909.36</v>
      </c>
      <c r="G531" s="3">
        <v>114180</v>
      </c>
      <c r="H531" s="3">
        <v>45036</v>
      </c>
      <c r="I531" s="3">
        <v>94997.06</v>
      </c>
      <c r="J531" s="3">
        <v>34</v>
      </c>
      <c r="K531" s="15">
        <f t="shared" si="88"/>
        <v>0.39442984760903838</v>
      </c>
      <c r="L531" s="16">
        <f t="shared" si="98"/>
        <v>1.0860058619770849</v>
      </c>
      <c r="M531" s="16">
        <f t="shared" si="89"/>
        <v>428.35312664214399</v>
      </c>
      <c r="N531" s="16">
        <f t="shared" si="90"/>
        <v>1.9423083843256177</v>
      </c>
      <c r="O531" s="16">
        <f t="shared" si="91"/>
        <v>0.94230838432561781</v>
      </c>
      <c r="P531" s="1">
        <v>2024</v>
      </c>
      <c r="Q531" s="1" t="s">
        <v>60</v>
      </c>
      <c r="R531" s="1" t="s">
        <v>40</v>
      </c>
      <c r="S531" s="70">
        <f>DATE(Table2[[#This Row],[Year]],MONTH(DATEVALUE("1-"&amp;Table2[[#This Row],[Month]]&amp;"-2000")),1)</f>
        <v>45352</v>
      </c>
      <c r="T531" s="16">
        <f t="shared" si="92"/>
        <v>2.1093582911448618</v>
      </c>
      <c r="U531" s="16">
        <f t="shared" si="93"/>
        <v>0.83199386932912944</v>
      </c>
      <c r="V531" s="16">
        <f t="shared" si="94"/>
        <v>1438.5105882352941</v>
      </c>
      <c r="W531" s="16">
        <f t="shared" si="95"/>
        <v>2794.031176470588</v>
      </c>
      <c r="X531" s="16">
        <f t="shared" si="96"/>
        <v>1324.5882352941176</v>
      </c>
      <c r="Y531" s="16">
        <f t="shared" si="97"/>
        <v>3358.2352941176468</v>
      </c>
      <c r="Z531" s="7" t="str" cm="1">
        <f t="array" ref="Z531">_xlfn.IFS(K531&lt;2%,"Low",K531&lt;5%,"Medium",K531&lt;10%,"Good",K531&gt;10%,"Excellent")</f>
        <v>Excellent</v>
      </c>
      <c r="AA531" s="16" t="str">
        <f>Data_Validation!N529</f>
        <v>Pass</v>
      </c>
    </row>
    <row r="532" spans="1:27" x14ac:dyDescent="0.35">
      <c r="A532" s="17" t="s">
        <v>105</v>
      </c>
      <c r="B532" s="3" t="s">
        <v>28</v>
      </c>
      <c r="C532" s="3" t="s">
        <v>29</v>
      </c>
      <c r="D532" s="3" t="s">
        <v>43</v>
      </c>
      <c r="E532" s="3" t="s">
        <v>38</v>
      </c>
      <c r="F532" s="3">
        <v>10072.379999999999</v>
      </c>
      <c r="G532" s="3">
        <v>344232</v>
      </c>
      <c r="H532" s="3">
        <v>40923</v>
      </c>
      <c r="I532" s="3">
        <v>31351.98</v>
      </c>
      <c r="J532" s="3">
        <v>33</v>
      </c>
      <c r="K532" s="15">
        <f t="shared" si="88"/>
        <v>0.1188820330474796</v>
      </c>
      <c r="L532" s="16">
        <f t="shared" si="98"/>
        <v>0.24613004911663366</v>
      </c>
      <c r="M532" s="16">
        <f t="shared" si="89"/>
        <v>29.260440633061421</v>
      </c>
      <c r="N532" s="16">
        <f t="shared" si="90"/>
        <v>3.1126685053582173</v>
      </c>
      <c r="O532" s="16">
        <f t="shared" si="91"/>
        <v>2.1126685053582173</v>
      </c>
      <c r="P532" s="1">
        <v>2024</v>
      </c>
      <c r="Q532" s="1" t="s">
        <v>76</v>
      </c>
      <c r="R532" s="1" t="s">
        <v>46</v>
      </c>
      <c r="S532" s="70">
        <f>DATE(Table2[[#This Row],[Year]],MONTH(DATEVALUE("1-"&amp;Table2[[#This Row],[Month]]&amp;"-2000")),1)</f>
        <v>45383</v>
      </c>
      <c r="T532" s="16">
        <f t="shared" si="92"/>
        <v>0.76612125210761672</v>
      </c>
      <c r="U532" s="16">
        <f t="shared" si="93"/>
        <v>9.1078052011434152E-2</v>
      </c>
      <c r="V532" s="16">
        <f t="shared" si="94"/>
        <v>305.22363636363633</v>
      </c>
      <c r="W532" s="16">
        <f t="shared" si="95"/>
        <v>950.06</v>
      </c>
      <c r="X532" s="16">
        <f t="shared" si="96"/>
        <v>1240.090909090909</v>
      </c>
      <c r="Y532" s="16">
        <f t="shared" si="97"/>
        <v>10431.272727272728</v>
      </c>
      <c r="Z532" s="7" t="str" cm="1">
        <f t="array" ref="Z532">_xlfn.IFS(K532&lt;2%,"Low",K532&lt;5%,"Medium",K532&lt;10%,"Good",K532&gt;10%,"Excellent")</f>
        <v>Excellent</v>
      </c>
      <c r="AA532" s="16" t="str">
        <f>Data_Validation!N530</f>
        <v>Pass</v>
      </c>
    </row>
    <row r="533" spans="1:27" x14ac:dyDescent="0.35">
      <c r="A533" s="17" t="s">
        <v>18</v>
      </c>
      <c r="B533" s="3" t="s">
        <v>35</v>
      </c>
      <c r="C533" s="3" t="s">
        <v>58</v>
      </c>
      <c r="D533" s="3" t="s">
        <v>37</v>
      </c>
      <c r="E533" s="3" t="s">
        <v>38</v>
      </c>
      <c r="F533" s="3">
        <v>33550.639999999999</v>
      </c>
      <c r="G533" s="3">
        <v>661303</v>
      </c>
      <c r="H533" s="3">
        <v>16079</v>
      </c>
      <c r="I533" s="3">
        <v>239929.72</v>
      </c>
      <c r="J533" s="3">
        <v>21</v>
      </c>
      <c r="K533" s="15">
        <f t="shared" si="88"/>
        <v>2.4314119246396888E-2</v>
      </c>
      <c r="L533" s="16">
        <f t="shared" si="98"/>
        <v>2.0866123515143977</v>
      </c>
      <c r="M533" s="16">
        <f t="shared" si="89"/>
        <v>50.734141535725684</v>
      </c>
      <c r="N533" s="16">
        <f t="shared" si="90"/>
        <v>7.1512710338759558</v>
      </c>
      <c r="O533" s="16">
        <f t="shared" si="91"/>
        <v>6.1512710338759566</v>
      </c>
      <c r="P533" s="1">
        <v>2024</v>
      </c>
      <c r="Q533" s="1" t="s">
        <v>76</v>
      </c>
      <c r="R533" s="1" t="s">
        <v>46</v>
      </c>
      <c r="S533" s="70">
        <f>DATE(Table2[[#This Row],[Year]],MONTH(DATEVALUE("1-"&amp;Table2[[#This Row],[Month]]&amp;"-2000")),1)</f>
        <v>45383</v>
      </c>
      <c r="T533" s="16">
        <f t="shared" si="92"/>
        <v>14.921930468312706</v>
      </c>
      <c r="U533" s="16">
        <f t="shared" si="93"/>
        <v>0.36281359679299807</v>
      </c>
      <c r="V533" s="16">
        <f t="shared" si="94"/>
        <v>1597.6495238095238</v>
      </c>
      <c r="W533" s="16">
        <f t="shared" si="95"/>
        <v>11425.224761904761</v>
      </c>
      <c r="X533" s="16">
        <f t="shared" si="96"/>
        <v>765.66666666666663</v>
      </c>
      <c r="Y533" s="16">
        <f t="shared" si="97"/>
        <v>31490.619047619046</v>
      </c>
      <c r="Z533" s="7" t="str" cm="1">
        <f t="array" ref="Z533">_xlfn.IFS(K533&lt;2%,"Low",K533&lt;5%,"Medium",K533&lt;10%,"Good",K533&gt;10%,"Excellent")</f>
        <v>Medium</v>
      </c>
      <c r="AA533" s="16" t="str">
        <f>Data_Validation!N531</f>
        <v>Pass</v>
      </c>
    </row>
    <row r="534" spans="1:27" x14ac:dyDescent="0.35">
      <c r="A534" s="17" t="s">
        <v>96</v>
      </c>
      <c r="B534" s="3" t="s">
        <v>28</v>
      </c>
      <c r="C534" s="3" t="s">
        <v>36</v>
      </c>
      <c r="D534" s="3" t="s">
        <v>37</v>
      </c>
      <c r="E534" s="3" t="s">
        <v>38</v>
      </c>
      <c r="F534" s="3">
        <v>2014.73</v>
      </c>
      <c r="G534" s="3">
        <v>267724</v>
      </c>
      <c r="H534" s="3">
        <v>42520</v>
      </c>
      <c r="I534" s="3">
        <v>77300.759999999995</v>
      </c>
      <c r="J534" s="3">
        <v>15</v>
      </c>
      <c r="K534" s="15">
        <f t="shared" si="88"/>
        <v>0.15882027759931869</v>
      </c>
      <c r="L534" s="16">
        <f t="shared" si="98"/>
        <v>4.7383113828786454E-2</v>
      </c>
      <c r="M534" s="16">
        <f t="shared" si="89"/>
        <v>7.5253992918079815</v>
      </c>
      <c r="N534" s="16">
        <f t="shared" si="90"/>
        <v>38.367801144570237</v>
      </c>
      <c r="O534" s="16">
        <f t="shared" si="91"/>
        <v>37.367801144570237</v>
      </c>
      <c r="P534" s="1">
        <v>2024</v>
      </c>
      <c r="Q534" s="1" t="s">
        <v>76</v>
      </c>
      <c r="R534" s="1" t="s">
        <v>46</v>
      </c>
      <c r="S534" s="70">
        <f>DATE(Table2[[#This Row],[Year]],MONTH(DATEVALUE("1-"&amp;Table2[[#This Row],[Month]]&amp;"-2000")),1)</f>
        <v>45383</v>
      </c>
      <c r="T534" s="16">
        <f t="shared" si="92"/>
        <v>1.8179858889934148</v>
      </c>
      <c r="U534" s="16">
        <f t="shared" si="93"/>
        <v>0.28873302356157832</v>
      </c>
      <c r="V534" s="16">
        <f t="shared" si="94"/>
        <v>134.31533333333334</v>
      </c>
      <c r="W534" s="16">
        <f t="shared" si="95"/>
        <v>5153.384</v>
      </c>
      <c r="X534" s="16">
        <f t="shared" si="96"/>
        <v>2834.6666666666665</v>
      </c>
      <c r="Y534" s="16">
        <f t="shared" si="97"/>
        <v>17848.266666666666</v>
      </c>
      <c r="Z534" s="7" t="str" cm="1">
        <f t="array" ref="Z534">_xlfn.IFS(K534&lt;2%,"Low",K534&lt;5%,"Medium",K534&lt;10%,"Good",K534&gt;10%,"Excellent")</f>
        <v>Excellent</v>
      </c>
      <c r="AA534" s="16" t="str">
        <f>Data_Validation!N532</f>
        <v>Pass</v>
      </c>
    </row>
    <row r="535" spans="1:27" x14ac:dyDescent="0.35">
      <c r="A535" s="17" t="s">
        <v>119</v>
      </c>
      <c r="B535" s="3" t="s">
        <v>48</v>
      </c>
      <c r="C535" s="3" t="s">
        <v>20</v>
      </c>
      <c r="D535" s="3" t="s">
        <v>59</v>
      </c>
      <c r="E535" s="3" t="s">
        <v>30</v>
      </c>
      <c r="F535" s="3">
        <v>4519.8</v>
      </c>
      <c r="G535" s="3">
        <v>771485</v>
      </c>
      <c r="H535" s="3">
        <v>12696</v>
      </c>
      <c r="I535" s="3">
        <v>119963.91</v>
      </c>
      <c r="J535" s="3">
        <v>50</v>
      </c>
      <c r="K535" s="15">
        <f t="shared" si="88"/>
        <v>1.6456574009864094E-2</v>
      </c>
      <c r="L535" s="16">
        <f t="shared" si="98"/>
        <v>0.35600189035916824</v>
      </c>
      <c r="M535" s="16">
        <f t="shared" si="89"/>
        <v>5.8585714563471756</v>
      </c>
      <c r="N535" s="16">
        <f t="shared" si="90"/>
        <v>26.541862471790786</v>
      </c>
      <c r="O535" s="16">
        <f t="shared" si="91"/>
        <v>25.541862471790786</v>
      </c>
      <c r="P535" s="1">
        <v>2024</v>
      </c>
      <c r="Q535" s="1" t="s">
        <v>76</v>
      </c>
      <c r="R535" s="1" t="s">
        <v>46</v>
      </c>
      <c r="S535" s="70">
        <f>DATE(Table2[[#This Row],[Year]],MONTH(DATEVALUE("1-"&amp;Table2[[#This Row],[Month]]&amp;"-2000")),1)</f>
        <v>45383</v>
      </c>
      <c r="T535" s="16">
        <f t="shared" si="92"/>
        <v>9.4489532136105865</v>
      </c>
      <c r="U535" s="16">
        <f t="shared" si="93"/>
        <v>0.15549739787552577</v>
      </c>
      <c r="V535" s="16">
        <f t="shared" si="94"/>
        <v>90.396000000000001</v>
      </c>
      <c r="W535" s="16">
        <f t="shared" si="95"/>
        <v>2399.2782000000002</v>
      </c>
      <c r="X535" s="16">
        <f t="shared" si="96"/>
        <v>253.92</v>
      </c>
      <c r="Y535" s="16">
        <f t="shared" si="97"/>
        <v>15429.7</v>
      </c>
      <c r="Z535" s="7" t="str" cm="1">
        <f t="array" ref="Z535">_xlfn.IFS(K535&lt;2%,"Low",K535&lt;5%,"Medium",K535&lt;10%,"Good",K535&gt;10%,"Excellent")</f>
        <v>Low</v>
      </c>
      <c r="AA535" s="16" t="str">
        <f>Data_Validation!N533</f>
        <v>Pass</v>
      </c>
    </row>
    <row r="536" spans="1:27" x14ac:dyDescent="0.35">
      <c r="A536" s="17" t="s">
        <v>104</v>
      </c>
      <c r="B536" s="3" t="s">
        <v>35</v>
      </c>
      <c r="C536" s="3" t="s">
        <v>20</v>
      </c>
      <c r="D536" s="3" t="s">
        <v>21</v>
      </c>
      <c r="E536" s="3" t="s">
        <v>30</v>
      </c>
      <c r="F536" s="3">
        <v>547.05999999999995</v>
      </c>
      <c r="G536" s="3">
        <v>574139</v>
      </c>
      <c r="H536" s="3">
        <v>13985</v>
      </c>
      <c r="I536" s="3">
        <v>54931.33</v>
      </c>
      <c r="J536" s="3">
        <v>36</v>
      </c>
      <c r="K536" s="15">
        <f t="shared" si="88"/>
        <v>2.4358212906630625E-2</v>
      </c>
      <c r="L536" s="16">
        <f t="shared" si="98"/>
        <v>3.9117626027887015E-2</v>
      </c>
      <c r="M536" s="16">
        <f t="shared" si="89"/>
        <v>0.95283546318922763</v>
      </c>
      <c r="N536" s="16">
        <f t="shared" si="90"/>
        <v>100.41189266259644</v>
      </c>
      <c r="O536" s="16">
        <f t="shared" si="91"/>
        <v>99.411892662596443</v>
      </c>
      <c r="P536" s="1">
        <v>2024</v>
      </c>
      <c r="Q536" s="1" t="s">
        <v>76</v>
      </c>
      <c r="R536" s="1" t="s">
        <v>46</v>
      </c>
      <c r="S536" s="70">
        <f>DATE(Table2[[#This Row],[Year]],MONTH(DATEVALUE("1-"&amp;Table2[[#This Row],[Month]]&amp;"-2000")),1)</f>
        <v>45383</v>
      </c>
      <c r="T536" s="16">
        <f t="shared" si="92"/>
        <v>3.9278748659277798</v>
      </c>
      <c r="U536" s="16">
        <f t="shared" si="93"/>
        <v>9.5676012254872086E-2</v>
      </c>
      <c r="V536" s="16">
        <f t="shared" si="94"/>
        <v>15.19611111111111</v>
      </c>
      <c r="W536" s="16">
        <f t="shared" si="95"/>
        <v>1525.8702777777778</v>
      </c>
      <c r="X536" s="16">
        <f t="shared" si="96"/>
        <v>388.47222222222223</v>
      </c>
      <c r="Y536" s="16">
        <f t="shared" si="97"/>
        <v>15948.305555555555</v>
      </c>
      <c r="Z536" s="7" t="str" cm="1">
        <f t="array" ref="Z536">_xlfn.IFS(K536&lt;2%,"Low",K536&lt;5%,"Medium",K536&lt;10%,"Good",K536&gt;10%,"Excellent")</f>
        <v>Medium</v>
      </c>
      <c r="AA536" s="16" t="str">
        <f>Data_Validation!N534</f>
        <v>Pass</v>
      </c>
    </row>
    <row r="537" spans="1:27" x14ac:dyDescent="0.35">
      <c r="A537" s="17" t="s">
        <v>50</v>
      </c>
      <c r="B537" s="3" t="s">
        <v>35</v>
      </c>
      <c r="C537" s="3" t="s">
        <v>58</v>
      </c>
      <c r="D537" s="3" t="s">
        <v>37</v>
      </c>
      <c r="E537" s="3" t="s">
        <v>22</v>
      </c>
      <c r="F537" s="3">
        <v>51274.94</v>
      </c>
      <c r="G537" s="3">
        <v>275356</v>
      </c>
      <c r="H537" s="3">
        <v>38561</v>
      </c>
      <c r="I537" s="3">
        <v>105403.03</v>
      </c>
      <c r="J537" s="3">
        <v>16</v>
      </c>
      <c r="K537" s="15">
        <f t="shared" si="88"/>
        <v>0.14004052935109459</v>
      </c>
      <c r="L537" s="16">
        <f t="shared" si="98"/>
        <v>1.3297098104302274</v>
      </c>
      <c r="M537" s="16">
        <f t="shared" si="89"/>
        <v>186.21326573599271</v>
      </c>
      <c r="N537" s="16">
        <f t="shared" si="90"/>
        <v>2.0556441411730564</v>
      </c>
      <c r="O537" s="16">
        <f t="shared" si="91"/>
        <v>1.0556441411730564</v>
      </c>
      <c r="P537" s="1">
        <v>2024</v>
      </c>
      <c r="Q537" s="1" t="s">
        <v>76</v>
      </c>
      <c r="R537" s="1" t="s">
        <v>46</v>
      </c>
      <c r="S537" s="70">
        <f>DATE(Table2[[#This Row],[Year]],MONTH(DATEVALUE("1-"&amp;Table2[[#This Row],[Month]]&amp;"-2000")),1)</f>
        <v>45383</v>
      </c>
      <c r="T537" s="16">
        <f t="shared" si="92"/>
        <v>2.7334101812712324</v>
      </c>
      <c r="U537" s="16">
        <f t="shared" si="93"/>
        <v>0.3827882087188948</v>
      </c>
      <c r="V537" s="16">
        <f t="shared" si="94"/>
        <v>3204.6837500000001</v>
      </c>
      <c r="W537" s="16">
        <f t="shared" si="95"/>
        <v>6587.6893749999999</v>
      </c>
      <c r="X537" s="16">
        <f t="shared" si="96"/>
        <v>2410.0625</v>
      </c>
      <c r="Y537" s="16">
        <f t="shared" si="97"/>
        <v>17209.75</v>
      </c>
      <c r="Z537" s="7" t="str" cm="1">
        <f t="array" ref="Z537">_xlfn.IFS(K537&lt;2%,"Low",K537&lt;5%,"Medium",K537&lt;10%,"Good",K537&gt;10%,"Excellent")</f>
        <v>Excellent</v>
      </c>
      <c r="AA537" s="16" t="str">
        <f>Data_Validation!N535</f>
        <v>Pass</v>
      </c>
    </row>
    <row r="538" spans="1:27" x14ac:dyDescent="0.35">
      <c r="A538" s="17" t="s">
        <v>71</v>
      </c>
      <c r="B538" s="3" t="s">
        <v>48</v>
      </c>
      <c r="C538" s="3" t="s">
        <v>36</v>
      </c>
      <c r="D538" s="3" t="s">
        <v>21</v>
      </c>
      <c r="E538" s="3" t="s">
        <v>22</v>
      </c>
      <c r="F538" s="3">
        <v>168.49</v>
      </c>
      <c r="G538" s="3">
        <v>682758</v>
      </c>
      <c r="H538" s="3">
        <v>12141</v>
      </c>
      <c r="I538" s="3">
        <v>159388.29999999999</v>
      </c>
      <c r="J538" s="3">
        <v>50</v>
      </c>
      <c r="K538" s="15">
        <f t="shared" si="88"/>
        <v>1.7782288892989901E-2</v>
      </c>
      <c r="L538" s="16">
        <f t="shared" si="98"/>
        <v>1.3877769541223953E-2</v>
      </c>
      <c r="M538" s="16">
        <f t="shared" si="89"/>
        <v>0.24677850717238028</v>
      </c>
      <c r="N538" s="16">
        <f t="shared" si="90"/>
        <v>945.98077037212875</v>
      </c>
      <c r="O538" s="16">
        <f t="shared" si="91"/>
        <v>944.98077037212886</v>
      </c>
      <c r="P538" s="1">
        <v>2024</v>
      </c>
      <c r="Q538" s="1" t="s">
        <v>76</v>
      </c>
      <c r="R538" s="1" t="s">
        <v>46</v>
      </c>
      <c r="S538" s="70">
        <f>DATE(Table2[[#This Row],[Year]],MONTH(DATEVALUE("1-"&amp;Table2[[#This Row],[Month]]&amp;"-2000")),1)</f>
        <v>45383</v>
      </c>
      <c r="T538" s="16">
        <f t="shared" si="92"/>
        <v>13.128103121653899</v>
      </c>
      <c r="U538" s="16">
        <f t="shared" si="93"/>
        <v>0.23344772232621219</v>
      </c>
      <c r="V538" s="16">
        <f t="shared" si="94"/>
        <v>3.3698000000000001</v>
      </c>
      <c r="W538" s="16">
        <f t="shared" si="95"/>
        <v>3187.7659999999996</v>
      </c>
      <c r="X538" s="16">
        <f t="shared" si="96"/>
        <v>242.82</v>
      </c>
      <c r="Y538" s="16">
        <f t="shared" si="97"/>
        <v>13655.16</v>
      </c>
      <c r="Z538" s="7" t="str" cm="1">
        <f t="array" ref="Z538">_xlfn.IFS(K538&lt;2%,"Low",K538&lt;5%,"Medium",K538&lt;10%,"Good",K538&gt;10%,"Excellent")</f>
        <v>Low</v>
      </c>
      <c r="AA538" s="16" t="str">
        <f>Data_Validation!N536</f>
        <v>Pass</v>
      </c>
    </row>
    <row r="539" spans="1:27" x14ac:dyDescent="0.35">
      <c r="A539" s="17" t="s">
        <v>85</v>
      </c>
      <c r="B539" s="3" t="s">
        <v>48</v>
      </c>
      <c r="C539" s="3" t="s">
        <v>36</v>
      </c>
      <c r="D539" s="3" t="s">
        <v>59</v>
      </c>
      <c r="E539" s="3" t="s">
        <v>22</v>
      </c>
      <c r="F539" s="3">
        <v>16431.68</v>
      </c>
      <c r="G539" s="3">
        <v>16892</v>
      </c>
      <c r="H539" s="3">
        <v>16137</v>
      </c>
      <c r="I539" s="3">
        <v>221131.13</v>
      </c>
      <c r="J539" s="3">
        <v>32</v>
      </c>
      <c r="K539" s="15">
        <f t="shared" si="88"/>
        <v>0.95530428605256923</v>
      </c>
      <c r="L539" s="16">
        <f t="shared" si="98"/>
        <v>1.0182611389973353</v>
      </c>
      <c r="M539" s="16">
        <f t="shared" si="89"/>
        <v>972.74923040492547</v>
      </c>
      <c r="N539" s="16">
        <f t="shared" si="90"/>
        <v>13.457609325400689</v>
      </c>
      <c r="O539" s="16">
        <f t="shared" si="91"/>
        <v>12.457609325400689</v>
      </c>
      <c r="P539" s="1">
        <v>2024</v>
      </c>
      <c r="Q539" s="1" t="s">
        <v>76</v>
      </c>
      <c r="R539" s="1" t="s">
        <v>46</v>
      </c>
      <c r="S539" s="70">
        <f>DATE(Table2[[#This Row],[Year]],MONTH(DATEVALUE("1-"&amp;Table2[[#This Row],[Month]]&amp;"-2000")),1)</f>
        <v>45383</v>
      </c>
      <c r="T539" s="16">
        <f t="shared" si="92"/>
        <v>13.703360599863668</v>
      </c>
      <c r="U539" s="16">
        <f t="shared" si="93"/>
        <v>13.090879114373669</v>
      </c>
      <c r="V539" s="16">
        <f t="shared" si="94"/>
        <v>513.49</v>
      </c>
      <c r="W539" s="16">
        <f t="shared" si="95"/>
        <v>6910.3478125000001</v>
      </c>
      <c r="X539" s="16">
        <f t="shared" si="96"/>
        <v>504.28125</v>
      </c>
      <c r="Y539" s="16">
        <f t="shared" si="97"/>
        <v>527.875</v>
      </c>
      <c r="Z539" s="7" t="str" cm="1">
        <f t="array" ref="Z539">_xlfn.IFS(K539&lt;2%,"Low",K539&lt;5%,"Medium",K539&lt;10%,"Good",K539&gt;10%,"Excellent")</f>
        <v>Excellent</v>
      </c>
      <c r="AA539" s="16" t="str">
        <f>Data_Validation!N537</f>
        <v>Pass</v>
      </c>
    </row>
    <row r="540" spans="1:27" x14ac:dyDescent="0.35">
      <c r="A540" s="17" t="s">
        <v>72</v>
      </c>
      <c r="B540" s="3" t="s">
        <v>19</v>
      </c>
      <c r="C540" s="3" t="s">
        <v>58</v>
      </c>
      <c r="D540" s="3" t="s">
        <v>43</v>
      </c>
      <c r="E540" s="3" t="s">
        <v>38</v>
      </c>
      <c r="F540" s="3">
        <v>12333.8</v>
      </c>
      <c r="G540" s="3">
        <v>660338</v>
      </c>
      <c r="H540" s="3">
        <v>40681</v>
      </c>
      <c r="I540" s="3">
        <v>29813.09</v>
      </c>
      <c r="J540" s="3">
        <v>30</v>
      </c>
      <c r="K540" s="15">
        <f t="shared" si="88"/>
        <v>6.1606328880058396E-2</v>
      </c>
      <c r="L540" s="16">
        <f t="shared" si="98"/>
        <v>0.30318330424522505</v>
      </c>
      <c r="M540" s="16">
        <f t="shared" si="89"/>
        <v>18.678010352274139</v>
      </c>
      <c r="N540" s="16">
        <f t="shared" si="90"/>
        <v>2.4171861064716471</v>
      </c>
      <c r="O540" s="16">
        <f t="shared" si="91"/>
        <v>1.4171861064716471</v>
      </c>
      <c r="P540" s="1">
        <v>2024</v>
      </c>
      <c r="Q540" s="1" t="s">
        <v>76</v>
      </c>
      <c r="R540" s="1" t="s">
        <v>46</v>
      </c>
      <c r="S540" s="70">
        <f>DATE(Table2[[#This Row],[Year]],MONTH(DATEVALUE("1-"&amp;Table2[[#This Row],[Month]]&amp;"-2000")),1)</f>
        <v>45383</v>
      </c>
      <c r="T540" s="16">
        <f t="shared" si="92"/>
        <v>0.73285047073572429</v>
      </c>
      <c r="U540" s="16">
        <f t="shared" si="93"/>
        <v>4.5148227120050642E-2</v>
      </c>
      <c r="V540" s="16">
        <f t="shared" si="94"/>
        <v>411.12666666666667</v>
      </c>
      <c r="W540" s="16">
        <f t="shared" si="95"/>
        <v>993.76966666666669</v>
      </c>
      <c r="X540" s="16">
        <f t="shared" si="96"/>
        <v>1356.0333333333333</v>
      </c>
      <c r="Y540" s="16">
        <f t="shared" si="97"/>
        <v>22011.266666666666</v>
      </c>
      <c r="Z540" s="7" t="str" cm="1">
        <f t="array" ref="Z540">_xlfn.IFS(K540&lt;2%,"Low",K540&lt;5%,"Medium",K540&lt;10%,"Good",K540&gt;10%,"Excellent")</f>
        <v>Good</v>
      </c>
      <c r="AA540" s="16" t="str">
        <f>Data_Validation!N538</f>
        <v>Pass</v>
      </c>
    </row>
    <row r="541" spans="1:27" x14ac:dyDescent="0.35">
      <c r="A541" s="17" t="s">
        <v>102</v>
      </c>
      <c r="B541" s="3" t="s">
        <v>48</v>
      </c>
      <c r="C541" s="3" t="s">
        <v>69</v>
      </c>
      <c r="D541" s="3" t="s">
        <v>51</v>
      </c>
      <c r="E541" s="3" t="s">
        <v>38</v>
      </c>
      <c r="F541" s="3">
        <v>6882.4</v>
      </c>
      <c r="G541" s="3">
        <v>445810</v>
      </c>
      <c r="H541" s="3">
        <v>31835</v>
      </c>
      <c r="I541" s="3">
        <v>118788.33</v>
      </c>
      <c r="J541" s="3">
        <v>10</v>
      </c>
      <c r="K541" s="15">
        <f t="shared" si="88"/>
        <v>7.1409344788138443E-2</v>
      </c>
      <c r="L541" s="16">
        <f t="shared" si="98"/>
        <v>0.21618972828647715</v>
      </c>
      <c r="M541" s="16">
        <f t="shared" si="89"/>
        <v>15.437966846863013</v>
      </c>
      <c r="N541" s="16">
        <f t="shared" si="90"/>
        <v>17.259724805300479</v>
      </c>
      <c r="O541" s="16">
        <f t="shared" si="91"/>
        <v>16.259724805300479</v>
      </c>
      <c r="P541" s="1">
        <v>2024</v>
      </c>
      <c r="Q541" s="1" t="s">
        <v>76</v>
      </c>
      <c r="R541" s="1" t="s">
        <v>46</v>
      </c>
      <c r="S541" s="70">
        <f>DATE(Table2[[#This Row],[Year]],MONTH(DATEVALUE("1-"&amp;Table2[[#This Row],[Month]]&amp;"-2000")),1)</f>
        <v>45383</v>
      </c>
      <c r="T541" s="16">
        <f t="shared" si="92"/>
        <v>3.7313752159572799</v>
      </c>
      <c r="U541" s="16">
        <f t="shared" si="93"/>
        <v>0.26645505933020797</v>
      </c>
      <c r="V541" s="16">
        <f t="shared" si="94"/>
        <v>688.24</v>
      </c>
      <c r="W541" s="16">
        <f t="shared" si="95"/>
        <v>11878.833000000001</v>
      </c>
      <c r="X541" s="16">
        <f t="shared" si="96"/>
        <v>3183.5</v>
      </c>
      <c r="Y541" s="16">
        <f t="shared" si="97"/>
        <v>44581</v>
      </c>
      <c r="Z541" s="7" t="str" cm="1">
        <f t="array" ref="Z541">_xlfn.IFS(K541&lt;2%,"Low",K541&lt;5%,"Medium",K541&lt;10%,"Good",K541&gt;10%,"Excellent")</f>
        <v>Good</v>
      </c>
      <c r="AA541" s="16" t="str">
        <f>Data_Validation!N539</f>
        <v>Pass</v>
      </c>
    </row>
    <row r="542" spans="1:27" x14ac:dyDescent="0.35">
      <c r="A542" s="17" t="s">
        <v>68</v>
      </c>
      <c r="B542" s="3" t="s">
        <v>19</v>
      </c>
      <c r="C542" s="3" t="s">
        <v>20</v>
      </c>
      <c r="D542" s="3" t="s">
        <v>21</v>
      </c>
      <c r="E542" s="3" t="s">
        <v>30</v>
      </c>
      <c r="F542" s="3">
        <v>21474.98</v>
      </c>
      <c r="G542" s="3">
        <v>413402</v>
      </c>
      <c r="H542" s="3">
        <v>23385</v>
      </c>
      <c r="I542" s="3">
        <v>60306.53</v>
      </c>
      <c r="J542" s="3">
        <v>38</v>
      </c>
      <c r="K542" s="15">
        <f t="shared" si="88"/>
        <v>5.6567215446466153E-2</v>
      </c>
      <c r="L542" s="16">
        <f t="shared" si="98"/>
        <v>0.91832285653196488</v>
      </c>
      <c r="M542" s="16">
        <f t="shared" si="89"/>
        <v>51.946966874857885</v>
      </c>
      <c r="N542" s="16">
        <f t="shared" si="90"/>
        <v>2.8082228714531983</v>
      </c>
      <c r="O542" s="16">
        <f t="shared" si="91"/>
        <v>1.8082228714531983</v>
      </c>
      <c r="P542" s="1">
        <v>2024</v>
      </c>
      <c r="Q542" s="1" t="s">
        <v>76</v>
      </c>
      <c r="R542" s="1" t="s">
        <v>46</v>
      </c>
      <c r="S542" s="70">
        <f>DATE(Table2[[#This Row],[Year]],MONTH(DATEVALUE("1-"&amp;Table2[[#This Row],[Month]]&amp;"-2000")),1)</f>
        <v>45383</v>
      </c>
      <c r="T542" s="16">
        <f t="shared" si="92"/>
        <v>2.5788552490912977</v>
      </c>
      <c r="U542" s="16">
        <f t="shared" si="93"/>
        <v>0.14587866048059758</v>
      </c>
      <c r="V542" s="16">
        <f t="shared" si="94"/>
        <v>565.13105263157888</v>
      </c>
      <c r="W542" s="16">
        <f t="shared" si="95"/>
        <v>1587.013947368421</v>
      </c>
      <c r="X542" s="16">
        <f t="shared" si="96"/>
        <v>615.39473684210532</v>
      </c>
      <c r="Y542" s="16">
        <f t="shared" si="97"/>
        <v>10879</v>
      </c>
      <c r="Z542" s="7" t="str" cm="1">
        <f t="array" ref="Z542">_xlfn.IFS(K542&lt;2%,"Low",K542&lt;5%,"Medium",K542&lt;10%,"Good",K542&gt;10%,"Excellent")</f>
        <v>Good</v>
      </c>
      <c r="AA542" s="16" t="str">
        <f>Data_Validation!N540</f>
        <v>Pass</v>
      </c>
    </row>
    <row r="543" spans="1:27" x14ac:dyDescent="0.35">
      <c r="A543" s="17" t="s">
        <v>111</v>
      </c>
      <c r="B543" s="3" t="s">
        <v>28</v>
      </c>
      <c r="C543" s="3" t="s">
        <v>36</v>
      </c>
      <c r="D543" s="3" t="s">
        <v>51</v>
      </c>
      <c r="E543" s="3" t="s">
        <v>22</v>
      </c>
      <c r="F543" s="3">
        <v>40772.559999999998</v>
      </c>
      <c r="G543" s="3">
        <v>435051</v>
      </c>
      <c r="H543" s="3">
        <v>12220</v>
      </c>
      <c r="I543" s="3">
        <v>198515.38</v>
      </c>
      <c r="J543" s="3">
        <v>35</v>
      </c>
      <c r="K543" s="15">
        <f t="shared" si="88"/>
        <v>2.8088660869645166E-2</v>
      </c>
      <c r="L543" s="16">
        <f t="shared" si="98"/>
        <v>3.3365433715220947</v>
      </c>
      <c r="M543" s="16">
        <f t="shared" si="89"/>
        <v>93.719035239546628</v>
      </c>
      <c r="N543" s="16">
        <f t="shared" si="90"/>
        <v>4.8688475778808105</v>
      </c>
      <c r="O543" s="16">
        <f t="shared" si="91"/>
        <v>3.8688475778808105</v>
      </c>
      <c r="P543" s="1">
        <v>2024</v>
      </c>
      <c r="Q543" s="1" t="s">
        <v>76</v>
      </c>
      <c r="R543" s="1" t="s">
        <v>46</v>
      </c>
      <c r="S543" s="70">
        <f>DATE(Table2[[#This Row],[Year]],MONTH(DATEVALUE("1-"&amp;Table2[[#This Row],[Month]]&amp;"-2000")),1)</f>
        <v>45383</v>
      </c>
      <c r="T543" s="16">
        <f t="shared" si="92"/>
        <v>16.245121112929624</v>
      </c>
      <c r="U543" s="16">
        <f t="shared" si="93"/>
        <v>0.45630369772739288</v>
      </c>
      <c r="V543" s="16">
        <f t="shared" si="94"/>
        <v>1164.9302857142857</v>
      </c>
      <c r="W543" s="16">
        <f t="shared" si="95"/>
        <v>5671.8680000000004</v>
      </c>
      <c r="X543" s="16">
        <f t="shared" si="96"/>
        <v>349.14285714285717</v>
      </c>
      <c r="Y543" s="16">
        <f t="shared" si="97"/>
        <v>12430.028571428571</v>
      </c>
      <c r="Z543" s="7" t="str" cm="1">
        <f t="array" ref="Z543">_xlfn.IFS(K543&lt;2%,"Low",K543&lt;5%,"Medium",K543&lt;10%,"Good",K543&gt;10%,"Excellent")</f>
        <v>Medium</v>
      </c>
      <c r="AA543" s="16" t="str">
        <f>Data_Validation!N541</f>
        <v>Pass</v>
      </c>
    </row>
    <row r="544" spans="1:27" x14ac:dyDescent="0.35">
      <c r="A544" s="17" t="s">
        <v>75</v>
      </c>
      <c r="B544" s="3" t="s">
        <v>48</v>
      </c>
      <c r="C544" s="3" t="s">
        <v>29</v>
      </c>
      <c r="D544" s="3" t="s">
        <v>51</v>
      </c>
      <c r="E544" s="3" t="s">
        <v>30</v>
      </c>
      <c r="F544" s="3">
        <v>30872.39</v>
      </c>
      <c r="G544" s="3">
        <v>763240</v>
      </c>
      <c r="H544" s="3">
        <v>45736</v>
      </c>
      <c r="I544" s="3">
        <v>99074.72</v>
      </c>
      <c r="J544" s="3">
        <v>32</v>
      </c>
      <c r="K544" s="15">
        <f t="shared" si="88"/>
        <v>5.9923484094125047E-2</v>
      </c>
      <c r="L544" s="16">
        <f t="shared" si="98"/>
        <v>0.67501290012244186</v>
      </c>
      <c r="M544" s="16">
        <f t="shared" si="89"/>
        <v>40.449124783816359</v>
      </c>
      <c r="N544" s="16">
        <f t="shared" si="90"/>
        <v>3.2091690989910404</v>
      </c>
      <c r="O544" s="16">
        <f t="shared" si="91"/>
        <v>2.2091690989910404</v>
      </c>
      <c r="P544" s="1">
        <v>2024</v>
      </c>
      <c r="Q544" s="1" t="s">
        <v>76</v>
      </c>
      <c r="R544" s="1" t="s">
        <v>46</v>
      </c>
      <c r="S544" s="70">
        <f>DATE(Table2[[#This Row],[Year]],MONTH(DATEVALUE("1-"&amp;Table2[[#This Row],[Month]]&amp;"-2000")),1)</f>
        <v>45383</v>
      </c>
      <c r="T544" s="16">
        <f t="shared" si="92"/>
        <v>2.1662305404932658</v>
      </c>
      <c r="U544" s="16">
        <f t="shared" si="93"/>
        <v>0.12980808133745611</v>
      </c>
      <c r="V544" s="16">
        <f t="shared" si="94"/>
        <v>964.76218749999998</v>
      </c>
      <c r="W544" s="16">
        <f t="shared" si="95"/>
        <v>3096.085</v>
      </c>
      <c r="X544" s="16">
        <f t="shared" si="96"/>
        <v>1429.25</v>
      </c>
      <c r="Y544" s="16">
        <f t="shared" si="97"/>
        <v>23851.25</v>
      </c>
      <c r="Z544" s="7" t="str" cm="1">
        <f t="array" ref="Z544">_xlfn.IFS(K544&lt;2%,"Low",K544&lt;5%,"Medium",K544&lt;10%,"Good",K544&gt;10%,"Excellent")</f>
        <v>Good</v>
      </c>
      <c r="AA544" s="16" t="str">
        <f>Data_Validation!N542</f>
        <v>Pass</v>
      </c>
    </row>
    <row r="545" spans="1:27" x14ac:dyDescent="0.35">
      <c r="A545" s="17" t="s">
        <v>105</v>
      </c>
      <c r="B545" s="3" t="s">
        <v>35</v>
      </c>
      <c r="C545" s="3" t="s">
        <v>20</v>
      </c>
      <c r="D545" s="3" t="s">
        <v>63</v>
      </c>
      <c r="E545" s="3" t="s">
        <v>30</v>
      </c>
      <c r="F545" s="3">
        <v>18953.689999999999</v>
      </c>
      <c r="G545" s="3">
        <v>904787</v>
      </c>
      <c r="H545" s="3">
        <v>31767</v>
      </c>
      <c r="I545" s="3">
        <v>31130.05</v>
      </c>
      <c r="J545" s="3">
        <v>60</v>
      </c>
      <c r="K545" s="15">
        <f t="shared" si="88"/>
        <v>3.5109920898509818E-2</v>
      </c>
      <c r="L545" s="16">
        <f t="shared" si="98"/>
        <v>0.59664714955771714</v>
      </c>
      <c r="M545" s="16">
        <f t="shared" si="89"/>
        <v>20.948234225292801</v>
      </c>
      <c r="N545" s="16">
        <f t="shared" si="90"/>
        <v>1.6424268836305755</v>
      </c>
      <c r="O545" s="16">
        <f t="shared" si="91"/>
        <v>0.64242688363057543</v>
      </c>
      <c r="P545" s="1">
        <v>2024</v>
      </c>
      <c r="Q545" s="1" t="s">
        <v>76</v>
      </c>
      <c r="R545" s="1" t="s">
        <v>46</v>
      </c>
      <c r="S545" s="70">
        <f>DATE(Table2[[#This Row],[Year]],MONTH(DATEVALUE("1-"&amp;Table2[[#This Row],[Month]]&amp;"-2000")),1)</f>
        <v>45383</v>
      </c>
      <c r="T545" s="16">
        <f t="shared" si="92"/>
        <v>0.9799493184751471</v>
      </c>
      <c r="U545" s="16">
        <f t="shared" si="93"/>
        <v>3.4405943056211016E-2</v>
      </c>
      <c r="V545" s="16">
        <f t="shared" si="94"/>
        <v>315.89483333333334</v>
      </c>
      <c r="W545" s="16">
        <f t="shared" si="95"/>
        <v>518.83416666666665</v>
      </c>
      <c r="X545" s="16">
        <f t="shared" si="96"/>
        <v>529.45000000000005</v>
      </c>
      <c r="Y545" s="16">
        <f t="shared" si="97"/>
        <v>15079.783333333333</v>
      </c>
      <c r="Z545" s="7" t="str" cm="1">
        <f t="array" ref="Z545">_xlfn.IFS(K545&lt;2%,"Low",K545&lt;5%,"Medium",K545&lt;10%,"Good",K545&gt;10%,"Excellent")</f>
        <v>Medium</v>
      </c>
      <c r="AA545" s="16" t="str">
        <f>Data_Validation!N543</f>
        <v>Pass</v>
      </c>
    </row>
    <row r="546" spans="1:27" x14ac:dyDescent="0.35">
      <c r="A546" s="17" t="s">
        <v>77</v>
      </c>
      <c r="B546" s="3" t="s">
        <v>28</v>
      </c>
      <c r="C546" s="3" t="s">
        <v>36</v>
      </c>
      <c r="D546" s="3" t="s">
        <v>51</v>
      </c>
      <c r="E546" s="3" t="s">
        <v>22</v>
      </c>
      <c r="F546" s="3">
        <v>39017.019999999997</v>
      </c>
      <c r="G546" s="3">
        <v>297286</v>
      </c>
      <c r="H546" s="3">
        <v>24240</v>
      </c>
      <c r="I546" s="3">
        <v>206759.04000000001</v>
      </c>
      <c r="J546" s="3">
        <v>9</v>
      </c>
      <c r="K546" s="15">
        <f t="shared" si="88"/>
        <v>8.1537643885013084E-2</v>
      </c>
      <c r="L546" s="16">
        <f t="shared" si="98"/>
        <v>1.6096130363036303</v>
      </c>
      <c r="M546" s="16">
        <f t="shared" si="89"/>
        <v>131.24405454680004</v>
      </c>
      <c r="N546" s="16">
        <f t="shared" si="90"/>
        <v>5.2992012203904864</v>
      </c>
      <c r="O546" s="16">
        <f t="shared" si="91"/>
        <v>4.2992012203904872</v>
      </c>
      <c r="P546" s="1">
        <v>2024</v>
      </c>
      <c r="Q546" s="1" t="s">
        <v>76</v>
      </c>
      <c r="R546" s="1" t="s">
        <v>46</v>
      </c>
      <c r="S546" s="70">
        <f>DATE(Table2[[#This Row],[Year]],MONTH(DATEVALUE("1-"&amp;Table2[[#This Row],[Month]]&amp;"-2000")),1)</f>
        <v>45383</v>
      </c>
      <c r="T546" s="16">
        <f t="shared" si="92"/>
        <v>8.5296633663366332</v>
      </c>
      <c r="U546" s="16">
        <f t="shared" si="93"/>
        <v>0.69548865402339832</v>
      </c>
      <c r="V546" s="16">
        <f t="shared" si="94"/>
        <v>4335.2244444444441</v>
      </c>
      <c r="W546" s="16">
        <f t="shared" si="95"/>
        <v>22973.226666666669</v>
      </c>
      <c r="X546" s="16">
        <f t="shared" si="96"/>
        <v>2693.3333333333335</v>
      </c>
      <c r="Y546" s="16">
        <f t="shared" si="97"/>
        <v>33031.777777777781</v>
      </c>
      <c r="Z546" s="7" t="str" cm="1">
        <f t="array" ref="Z546">_xlfn.IFS(K546&lt;2%,"Low",K546&lt;5%,"Medium",K546&lt;10%,"Good",K546&gt;10%,"Excellent")</f>
        <v>Good</v>
      </c>
      <c r="AA546" s="16" t="str">
        <f>Data_Validation!N544</f>
        <v>Pass</v>
      </c>
    </row>
    <row r="547" spans="1:27" x14ac:dyDescent="0.35">
      <c r="A547" s="17" t="s">
        <v>95</v>
      </c>
      <c r="B547" s="3" t="s">
        <v>19</v>
      </c>
      <c r="C547" s="3" t="s">
        <v>20</v>
      </c>
      <c r="D547" s="3" t="s">
        <v>37</v>
      </c>
      <c r="E547" s="3" t="s">
        <v>22</v>
      </c>
      <c r="F547" s="3">
        <v>21606.45</v>
      </c>
      <c r="G547" s="3">
        <v>999583</v>
      </c>
      <c r="H547" s="3">
        <v>2050</v>
      </c>
      <c r="I547" s="3">
        <v>113431.78</v>
      </c>
      <c r="J547" s="3">
        <v>60</v>
      </c>
      <c r="K547" s="15">
        <f t="shared" si="88"/>
        <v>2.050855206621161E-3</v>
      </c>
      <c r="L547" s="16">
        <f t="shared" si="98"/>
        <v>10.539731707317074</v>
      </c>
      <c r="M547" s="16">
        <f t="shared" si="89"/>
        <v>21.615463648341358</v>
      </c>
      <c r="N547" s="16">
        <f t="shared" si="90"/>
        <v>5.2499036167440742</v>
      </c>
      <c r="O547" s="16">
        <f t="shared" si="91"/>
        <v>4.2499036167440742</v>
      </c>
      <c r="P547" s="1">
        <v>2024</v>
      </c>
      <c r="Q547" s="1" t="s">
        <v>76</v>
      </c>
      <c r="R547" s="1" t="s">
        <v>46</v>
      </c>
      <c r="S547" s="70">
        <f>DATE(Table2[[#This Row],[Year]],MONTH(DATEVALUE("1-"&amp;Table2[[#This Row],[Month]]&amp;"-2000")),1)</f>
        <v>45383</v>
      </c>
      <c r="T547" s="16">
        <f t="shared" si="92"/>
        <v>55.332575609756098</v>
      </c>
      <c r="U547" s="16">
        <f t="shared" si="93"/>
        <v>0.11347910078502736</v>
      </c>
      <c r="V547" s="16">
        <f t="shared" si="94"/>
        <v>360.10750000000002</v>
      </c>
      <c r="W547" s="16">
        <f t="shared" si="95"/>
        <v>1890.5296666666666</v>
      </c>
      <c r="X547" s="16">
        <f t="shared" si="96"/>
        <v>34.166666666666664</v>
      </c>
      <c r="Y547" s="16">
        <f t="shared" si="97"/>
        <v>16659.716666666667</v>
      </c>
      <c r="Z547" s="7" t="str" cm="1">
        <f t="array" ref="Z547">_xlfn.IFS(K547&lt;2%,"Low",K547&lt;5%,"Medium",K547&lt;10%,"Good",K547&gt;10%,"Excellent")</f>
        <v>Low</v>
      </c>
      <c r="AA547" s="16" t="str">
        <f>Data_Validation!N545</f>
        <v>Pass</v>
      </c>
    </row>
    <row r="548" spans="1:27" x14ac:dyDescent="0.35">
      <c r="A548" s="17" t="s">
        <v>100</v>
      </c>
      <c r="B548" s="3" t="s">
        <v>48</v>
      </c>
      <c r="C548" s="3" t="s">
        <v>20</v>
      </c>
      <c r="D548" s="3" t="s">
        <v>59</v>
      </c>
      <c r="E548" s="3" t="s">
        <v>38</v>
      </c>
      <c r="F548" s="3">
        <v>6876.28</v>
      </c>
      <c r="G548" s="3">
        <v>563081</v>
      </c>
      <c r="H548" s="3">
        <v>27537</v>
      </c>
      <c r="I548" s="3">
        <v>241735.7</v>
      </c>
      <c r="J548" s="3">
        <v>55</v>
      </c>
      <c r="K548" s="15">
        <f t="shared" si="88"/>
        <v>4.8904154109266698E-2</v>
      </c>
      <c r="L548" s="16">
        <f t="shared" si="98"/>
        <v>0.24971057123143406</v>
      </c>
      <c r="M548" s="16">
        <f t="shared" si="89"/>
        <v>12.21188425821507</v>
      </c>
      <c r="N548" s="16">
        <f t="shared" si="90"/>
        <v>35.155011139744168</v>
      </c>
      <c r="O548" s="16">
        <f t="shared" si="91"/>
        <v>34.155011139744168</v>
      </c>
      <c r="P548" s="1">
        <v>2024</v>
      </c>
      <c r="Q548" s="1" t="s">
        <v>76</v>
      </c>
      <c r="R548" s="1" t="s">
        <v>46</v>
      </c>
      <c r="S548" s="70">
        <f>DATE(Table2[[#This Row],[Year]],MONTH(DATEVALUE("1-"&amp;Table2[[#This Row],[Month]]&amp;"-2000")),1)</f>
        <v>45383</v>
      </c>
      <c r="T548" s="16">
        <f t="shared" si="92"/>
        <v>8.7785779133529438</v>
      </c>
      <c r="U548" s="16">
        <f t="shared" si="93"/>
        <v>0.42930892713481722</v>
      </c>
      <c r="V548" s="16">
        <f t="shared" si="94"/>
        <v>125.02327272727273</v>
      </c>
      <c r="W548" s="16">
        <f t="shared" si="95"/>
        <v>4395.1945454545457</v>
      </c>
      <c r="X548" s="16">
        <f t="shared" si="96"/>
        <v>500.67272727272729</v>
      </c>
      <c r="Y548" s="16">
        <f t="shared" si="97"/>
        <v>10237.836363636363</v>
      </c>
      <c r="Z548" s="7" t="str" cm="1">
        <f t="array" ref="Z548">_xlfn.IFS(K548&lt;2%,"Low",K548&lt;5%,"Medium",K548&lt;10%,"Good",K548&gt;10%,"Excellent")</f>
        <v>Medium</v>
      </c>
      <c r="AA548" s="16" t="str">
        <f>Data_Validation!N546</f>
        <v>Pass</v>
      </c>
    </row>
    <row r="549" spans="1:27" x14ac:dyDescent="0.35">
      <c r="A549" s="17" t="s">
        <v>85</v>
      </c>
      <c r="B549" s="3" t="s">
        <v>19</v>
      </c>
      <c r="C549" s="3" t="s">
        <v>69</v>
      </c>
      <c r="D549" s="3" t="s">
        <v>43</v>
      </c>
      <c r="E549" s="3" t="s">
        <v>22</v>
      </c>
      <c r="F549" s="3">
        <v>24045.48</v>
      </c>
      <c r="G549" s="3">
        <v>889962</v>
      </c>
      <c r="H549" s="3">
        <v>3661</v>
      </c>
      <c r="I549" s="3">
        <v>25741.48</v>
      </c>
      <c r="J549" s="3">
        <v>57</v>
      </c>
      <c r="K549" s="15">
        <f t="shared" si="88"/>
        <v>4.1136587854312878E-3</v>
      </c>
      <c r="L549" s="16">
        <f t="shared" si="98"/>
        <v>6.5680087407812069</v>
      </c>
      <c r="M549" s="16">
        <f t="shared" si="89"/>
        <v>27.018546859304106</v>
      </c>
      <c r="N549" s="16">
        <f t="shared" si="90"/>
        <v>1.0705330066191234</v>
      </c>
      <c r="O549" s="16">
        <f t="shared" si="91"/>
        <v>7.0533006619123428E-2</v>
      </c>
      <c r="P549" s="1">
        <v>2024</v>
      </c>
      <c r="Q549" s="1" t="s">
        <v>76</v>
      </c>
      <c r="R549" s="1" t="s">
        <v>46</v>
      </c>
      <c r="S549" s="70">
        <f>DATE(Table2[[#This Row],[Year]],MONTH(DATEVALUE("1-"&amp;Table2[[#This Row],[Month]]&amp;"-2000")),1)</f>
        <v>45383</v>
      </c>
      <c r="T549" s="16">
        <f t="shared" si="92"/>
        <v>7.0312701447691888</v>
      </c>
      <c r="U549" s="16">
        <f t="shared" si="93"/>
        <v>2.8924246203770498E-2</v>
      </c>
      <c r="V549" s="16">
        <f t="shared" si="94"/>
        <v>421.85052631578947</v>
      </c>
      <c r="W549" s="16">
        <f t="shared" si="95"/>
        <v>451.60491228070174</v>
      </c>
      <c r="X549" s="16">
        <f t="shared" si="96"/>
        <v>64.228070175438603</v>
      </c>
      <c r="Y549" s="16">
        <f t="shared" si="97"/>
        <v>15613.368421052632</v>
      </c>
      <c r="Z549" s="7" t="str" cm="1">
        <f t="array" ref="Z549">_xlfn.IFS(K549&lt;2%,"Low",K549&lt;5%,"Medium",K549&lt;10%,"Good",K549&gt;10%,"Excellent")</f>
        <v>Low</v>
      </c>
      <c r="AA549" s="16" t="str">
        <f>Data_Validation!N547</f>
        <v>Pass</v>
      </c>
    </row>
    <row r="550" spans="1:27" x14ac:dyDescent="0.35">
      <c r="A550" s="17" t="s">
        <v>50</v>
      </c>
      <c r="B550" s="3" t="s">
        <v>19</v>
      </c>
      <c r="C550" s="3" t="s">
        <v>69</v>
      </c>
      <c r="D550" s="3" t="s">
        <v>59</v>
      </c>
      <c r="E550" s="3" t="s">
        <v>30</v>
      </c>
      <c r="F550" s="3">
        <v>6939.01</v>
      </c>
      <c r="G550" s="3">
        <v>588469</v>
      </c>
      <c r="H550" s="3">
        <v>7232</v>
      </c>
      <c r="I550" s="3">
        <v>48063.69</v>
      </c>
      <c r="J550" s="3">
        <v>34</v>
      </c>
      <c r="K550" s="15">
        <f t="shared" si="88"/>
        <v>1.2289517374747013E-2</v>
      </c>
      <c r="L550" s="16">
        <f t="shared" si="98"/>
        <v>0.95948700221238936</v>
      </c>
      <c r="M550" s="16">
        <f t="shared" si="89"/>
        <v>11.791632184533086</v>
      </c>
      <c r="N550" s="16">
        <f t="shared" si="90"/>
        <v>6.9265918337053849</v>
      </c>
      <c r="O550" s="16">
        <f t="shared" si="91"/>
        <v>5.926591833705384</v>
      </c>
      <c r="P550" s="1">
        <v>2024</v>
      </c>
      <c r="Q550" s="1" t="s">
        <v>76</v>
      </c>
      <c r="R550" s="1" t="s">
        <v>46</v>
      </c>
      <c r="S550" s="70">
        <f>DATE(Table2[[#This Row],[Year]],MONTH(DATEVALUE("1-"&amp;Table2[[#This Row],[Month]]&amp;"-2000")),1)</f>
        <v>45383</v>
      </c>
      <c r="T550" s="16">
        <f t="shared" si="92"/>
        <v>6.6459748340707971</v>
      </c>
      <c r="U550" s="16">
        <f t="shared" si="93"/>
        <v>8.1675823195444461E-2</v>
      </c>
      <c r="V550" s="16">
        <f t="shared" si="94"/>
        <v>204.08852941176471</v>
      </c>
      <c r="W550" s="16">
        <f t="shared" si="95"/>
        <v>1413.6379411764706</v>
      </c>
      <c r="X550" s="16">
        <f t="shared" si="96"/>
        <v>212.70588235294119</v>
      </c>
      <c r="Y550" s="16">
        <f t="shared" si="97"/>
        <v>17307.911764705881</v>
      </c>
      <c r="Z550" s="7" t="str" cm="1">
        <f t="array" ref="Z550">_xlfn.IFS(K550&lt;2%,"Low",K550&lt;5%,"Medium",K550&lt;10%,"Good",K550&gt;10%,"Excellent")</f>
        <v>Low</v>
      </c>
      <c r="AA550" s="16" t="str">
        <f>Data_Validation!N548</f>
        <v>Pass</v>
      </c>
    </row>
    <row r="551" spans="1:27" x14ac:dyDescent="0.35">
      <c r="A551" s="17" t="s">
        <v>62</v>
      </c>
      <c r="B551" s="3" t="s">
        <v>48</v>
      </c>
      <c r="C551" s="3" t="s">
        <v>29</v>
      </c>
      <c r="D551" s="3" t="s">
        <v>21</v>
      </c>
      <c r="E551" s="3" t="s">
        <v>38</v>
      </c>
      <c r="F551" s="3">
        <v>7124.96</v>
      </c>
      <c r="G551" s="3">
        <v>22537</v>
      </c>
      <c r="H551" s="3">
        <v>4141</v>
      </c>
      <c r="I551" s="3">
        <v>208441.22</v>
      </c>
      <c r="J551" s="3">
        <v>12</v>
      </c>
      <c r="K551" s="15">
        <f t="shared" si="88"/>
        <v>0.18374229045569507</v>
      </c>
      <c r="L551" s="16">
        <f t="shared" si="98"/>
        <v>1.7205892296546728</v>
      </c>
      <c r="M551" s="16">
        <f t="shared" si="89"/>
        <v>316.14500599014957</v>
      </c>
      <c r="N551" s="16">
        <f t="shared" si="90"/>
        <v>29.255072309177876</v>
      </c>
      <c r="O551" s="16">
        <f t="shared" si="91"/>
        <v>28.255072309177876</v>
      </c>
      <c r="P551" s="1">
        <v>2024</v>
      </c>
      <c r="Q551" s="1" t="s">
        <v>76</v>
      </c>
      <c r="R551" s="1" t="s">
        <v>46</v>
      </c>
      <c r="S551" s="70">
        <f>DATE(Table2[[#This Row],[Year]],MONTH(DATEVALUE("1-"&amp;Table2[[#This Row],[Month]]&amp;"-2000")),1)</f>
        <v>45383</v>
      </c>
      <c r="T551" s="16">
        <f t="shared" si="92"/>
        <v>50.335962327940109</v>
      </c>
      <c r="U551" s="16">
        <f t="shared" si="93"/>
        <v>9.2488450104272975</v>
      </c>
      <c r="V551" s="16">
        <f t="shared" si="94"/>
        <v>593.74666666666667</v>
      </c>
      <c r="W551" s="16">
        <f t="shared" si="95"/>
        <v>17370.101666666666</v>
      </c>
      <c r="X551" s="16">
        <f t="shared" si="96"/>
        <v>345.08333333333331</v>
      </c>
      <c r="Y551" s="16">
        <f t="shared" si="97"/>
        <v>1878.0833333333333</v>
      </c>
      <c r="Z551" s="7" t="str" cm="1">
        <f t="array" ref="Z551">_xlfn.IFS(K551&lt;2%,"Low",K551&lt;5%,"Medium",K551&lt;10%,"Good",K551&gt;10%,"Excellent")</f>
        <v>Excellent</v>
      </c>
      <c r="AA551" s="16" t="str">
        <f>Data_Validation!N549</f>
        <v>Pass</v>
      </c>
    </row>
    <row r="552" spans="1:27" x14ac:dyDescent="0.35">
      <c r="A552" s="17" t="s">
        <v>90</v>
      </c>
      <c r="B552" s="3" t="s">
        <v>48</v>
      </c>
      <c r="C552" s="3" t="s">
        <v>58</v>
      </c>
      <c r="D552" s="3" t="s">
        <v>21</v>
      </c>
      <c r="E552" s="3" t="s">
        <v>38</v>
      </c>
      <c r="F552" s="3">
        <v>3840.69</v>
      </c>
      <c r="G552" s="3">
        <v>534977</v>
      </c>
      <c r="H552" s="3">
        <v>7516</v>
      </c>
      <c r="I552" s="3">
        <v>49043.99</v>
      </c>
      <c r="J552" s="3">
        <v>59</v>
      </c>
      <c r="K552" s="15">
        <f t="shared" si="88"/>
        <v>1.4049202115231122E-2</v>
      </c>
      <c r="L552" s="16">
        <f t="shared" si="98"/>
        <v>0.5110018626929218</v>
      </c>
      <c r="M552" s="16">
        <f t="shared" si="89"/>
        <v>7.1791684502324404</v>
      </c>
      <c r="N552" s="16">
        <f t="shared" si="90"/>
        <v>12.769577862311198</v>
      </c>
      <c r="O552" s="16">
        <f t="shared" si="91"/>
        <v>11.769577862311198</v>
      </c>
      <c r="P552" s="1">
        <v>2024</v>
      </c>
      <c r="Q552" s="1" t="s">
        <v>76</v>
      </c>
      <c r="R552" s="1" t="s">
        <v>46</v>
      </c>
      <c r="S552" s="70">
        <f>DATE(Table2[[#This Row],[Year]],MONTH(DATEVALUE("1-"&amp;Table2[[#This Row],[Month]]&amp;"-2000")),1)</f>
        <v>45383</v>
      </c>
      <c r="T552" s="16">
        <f t="shared" si="92"/>
        <v>6.5252780734433209</v>
      </c>
      <c r="U552" s="16">
        <f t="shared" si="93"/>
        <v>9.167495051189116E-2</v>
      </c>
      <c r="V552" s="16">
        <f t="shared" si="94"/>
        <v>65.0964406779661</v>
      </c>
      <c r="W552" s="16">
        <f t="shared" si="95"/>
        <v>831.25406779661012</v>
      </c>
      <c r="X552" s="16">
        <f t="shared" si="96"/>
        <v>127.38983050847457</v>
      </c>
      <c r="Y552" s="16">
        <f t="shared" si="97"/>
        <v>9067.4067796610161</v>
      </c>
      <c r="Z552" s="7" t="str" cm="1">
        <f t="array" ref="Z552">_xlfn.IFS(K552&lt;2%,"Low",K552&lt;5%,"Medium",K552&lt;10%,"Good",K552&gt;10%,"Excellent")</f>
        <v>Low</v>
      </c>
      <c r="AA552" s="16" t="str">
        <f>Data_Validation!N550</f>
        <v>Pass</v>
      </c>
    </row>
    <row r="553" spans="1:27" x14ac:dyDescent="0.35">
      <c r="A553" s="17" t="s">
        <v>27</v>
      </c>
      <c r="B553" s="3" t="s">
        <v>48</v>
      </c>
      <c r="C553" s="3" t="s">
        <v>29</v>
      </c>
      <c r="D553" s="3" t="s">
        <v>37</v>
      </c>
      <c r="E553" s="3" t="s">
        <v>38</v>
      </c>
      <c r="F553" s="3">
        <v>17908.740000000002</v>
      </c>
      <c r="G553" s="3">
        <v>820143</v>
      </c>
      <c r="H553" s="3">
        <v>12907</v>
      </c>
      <c r="I553" s="3">
        <v>184453.52</v>
      </c>
      <c r="J553" s="3">
        <v>29</v>
      </c>
      <c r="K553" s="15">
        <f t="shared" si="88"/>
        <v>1.5737499436073953E-2</v>
      </c>
      <c r="L553" s="16">
        <f t="shared" si="98"/>
        <v>1.3875214999612615</v>
      </c>
      <c r="M553" s="16">
        <f t="shared" si="89"/>
        <v>21.836118823180836</v>
      </c>
      <c r="N553" s="16">
        <f t="shared" si="90"/>
        <v>10.299636937048612</v>
      </c>
      <c r="O553" s="16">
        <f t="shared" si="91"/>
        <v>9.2996369370486125</v>
      </c>
      <c r="P553" s="1">
        <v>2024</v>
      </c>
      <c r="Q553" s="1" t="s">
        <v>76</v>
      </c>
      <c r="R553" s="1" t="s">
        <v>46</v>
      </c>
      <c r="S553" s="70">
        <f>DATE(Table2[[#This Row],[Year]],MONTH(DATEVALUE("1-"&amp;Table2[[#This Row],[Month]]&amp;"-2000")),1)</f>
        <v>45383</v>
      </c>
      <c r="T553" s="16">
        <f t="shared" si="92"/>
        <v>14.290967691950105</v>
      </c>
      <c r="U553" s="16">
        <f t="shared" si="93"/>
        <v>0.22490409599301583</v>
      </c>
      <c r="V553" s="16">
        <f t="shared" si="94"/>
        <v>617.54275862068971</v>
      </c>
      <c r="W553" s="16">
        <f t="shared" si="95"/>
        <v>6360.4662068965517</v>
      </c>
      <c r="X553" s="16">
        <f t="shared" si="96"/>
        <v>445.06896551724139</v>
      </c>
      <c r="Y553" s="16">
        <f t="shared" si="97"/>
        <v>28280.793103448275</v>
      </c>
      <c r="Z553" s="7" t="str" cm="1">
        <f t="array" ref="Z553">_xlfn.IFS(K553&lt;2%,"Low",K553&lt;5%,"Medium",K553&lt;10%,"Good",K553&gt;10%,"Excellent")</f>
        <v>Low</v>
      </c>
      <c r="AA553" s="16" t="str">
        <f>Data_Validation!N551</f>
        <v>Pass</v>
      </c>
    </row>
    <row r="554" spans="1:27" x14ac:dyDescent="0.35">
      <c r="A554" s="17" t="s">
        <v>78</v>
      </c>
      <c r="B554" s="3" t="s">
        <v>35</v>
      </c>
      <c r="C554" s="3" t="s">
        <v>20</v>
      </c>
      <c r="D554" s="3" t="s">
        <v>51</v>
      </c>
      <c r="E554" s="3" t="s">
        <v>30</v>
      </c>
      <c r="F554" s="3">
        <v>5990.58</v>
      </c>
      <c r="G554" s="3">
        <v>506171</v>
      </c>
      <c r="H554" s="3">
        <v>48331</v>
      </c>
      <c r="I554" s="3">
        <v>46574.39</v>
      </c>
      <c r="J554" s="3">
        <v>34</v>
      </c>
      <c r="K554" s="15">
        <f t="shared" si="88"/>
        <v>9.5483542123116494E-2</v>
      </c>
      <c r="L554" s="16">
        <f t="shared" si="98"/>
        <v>0.1239490182284662</v>
      </c>
      <c r="M554" s="16">
        <f t="shared" si="89"/>
        <v>11.835091303136686</v>
      </c>
      <c r="N554" s="16">
        <f t="shared" si="90"/>
        <v>7.7746044623392061</v>
      </c>
      <c r="O554" s="16">
        <f t="shared" si="91"/>
        <v>6.7746044623392052</v>
      </c>
      <c r="P554" s="1">
        <v>2024</v>
      </c>
      <c r="Q554" s="1" t="s">
        <v>76</v>
      </c>
      <c r="R554" s="1" t="s">
        <v>46</v>
      </c>
      <c r="S554" s="70">
        <f>DATE(Table2[[#This Row],[Year]],MONTH(DATEVALUE("1-"&amp;Table2[[#This Row],[Month]]&amp;"-2000")),1)</f>
        <v>45383</v>
      </c>
      <c r="T554" s="16">
        <f t="shared" si="92"/>
        <v>0.96365459022159694</v>
      </c>
      <c r="U554" s="16">
        <f t="shared" si="93"/>
        <v>9.2013153657558411E-2</v>
      </c>
      <c r="V554" s="16">
        <f t="shared" si="94"/>
        <v>176.1935294117647</v>
      </c>
      <c r="W554" s="16">
        <f t="shared" si="95"/>
        <v>1369.835</v>
      </c>
      <c r="X554" s="16">
        <f t="shared" si="96"/>
        <v>1421.5</v>
      </c>
      <c r="Y554" s="16">
        <f t="shared" si="97"/>
        <v>14887.382352941177</v>
      </c>
      <c r="Z554" s="7" t="str" cm="1">
        <f t="array" ref="Z554">_xlfn.IFS(K554&lt;2%,"Low",K554&lt;5%,"Medium",K554&lt;10%,"Good",K554&gt;10%,"Excellent")</f>
        <v>Good</v>
      </c>
      <c r="AA554" s="16" t="str">
        <f>Data_Validation!N552</f>
        <v>Pass</v>
      </c>
    </row>
    <row r="555" spans="1:27" x14ac:dyDescent="0.35">
      <c r="A555" s="17" t="s">
        <v>95</v>
      </c>
      <c r="B555" s="3" t="s">
        <v>35</v>
      </c>
      <c r="C555" s="3" t="s">
        <v>58</v>
      </c>
      <c r="D555" s="3" t="s">
        <v>43</v>
      </c>
      <c r="E555" s="3" t="s">
        <v>30</v>
      </c>
      <c r="F555" s="3">
        <v>2698.89</v>
      </c>
      <c r="G555" s="3">
        <v>983737</v>
      </c>
      <c r="H555" s="3">
        <v>21243</v>
      </c>
      <c r="I555" s="3">
        <v>151235.68</v>
      </c>
      <c r="J555" s="3">
        <v>51</v>
      </c>
      <c r="K555" s="15">
        <f t="shared" si="88"/>
        <v>2.1594186251000014E-2</v>
      </c>
      <c r="L555" s="16">
        <f t="shared" si="98"/>
        <v>0.12704843948594829</v>
      </c>
      <c r="M555" s="16">
        <f t="shared" si="89"/>
        <v>2.743507665158472</v>
      </c>
      <c r="N555" s="16">
        <f t="shared" si="90"/>
        <v>56.036251940612622</v>
      </c>
      <c r="O555" s="16">
        <f t="shared" si="91"/>
        <v>55.036251940612615</v>
      </c>
      <c r="P555" s="1">
        <v>2024</v>
      </c>
      <c r="Q555" s="1" t="s">
        <v>76</v>
      </c>
      <c r="R555" s="1" t="s">
        <v>46</v>
      </c>
      <c r="S555" s="70">
        <f>DATE(Table2[[#This Row],[Year]],MONTH(DATEVALUE("1-"&amp;Table2[[#This Row],[Month]]&amp;"-2000")),1)</f>
        <v>45383</v>
      </c>
      <c r="T555" s="16">
        <f t="shared" si="92"/>
        <v>7.1193183636962765</v>
      </c>
      <c r="U555" s="16">
        <f t="shared" si="93"/>
        <v>0.15373588672582203</v>
      </c>
      <c r="V555" s="16">
        <f t="shared" si="94"/>
        <v>52.919411764705877</v>
      </c>
      <c r="W555" s="16">
        <f t="shared" si="95"/>
        <v>2965.4054901960785</v>
      </c>
      <c r="X555" s="16">
        <f t="shared" si="96"/>
        <v>416.52941176470586</v>
      </c>
      <c r="Y555" s="16">
        <f t="shared" si="97"/>
        <v>19288.960784313724</v>
      </c>
      <c r="Z555" s="7" t="str" cm="1">
        <f t="array" ref="Z555">_xlfn.IFS(K555&lt;2%,"Low",K555&lt;5%,"Medium",K555&lt;10%,"Good",K555&gt;10%,"Excellent")</f>
        <v>Medium</v>
      </c>
      <c r="AA555" s="16" t="str">
        <f>Data_Validation!N553</f>
        <v>Pass</v>
      </c>
    </row>
    <row r="556" spans="1:27" x14ac:dyDescent="0.35">
      <c r="A556" s="17" t="s">
        <v>89</v>
      </c>
      <c r="B556" s="3" t="s">
        <v>35</v>
      </c>
      <c r="C556" s="3" t="s">
        <v>69</v>
      </c>
      <c r="D556" s="3" t="s">
        <v>59</v>
      </c>
      <c r="E556" s="3" t="s">
        <v>22</v>
      </c>
      <c r="F556" s="3">
        <v>36096.839999999997</v>
      </c>
      <c r="G556" s="3">
        <v>977516</v>
      </c>
      <c r="H556" s="3">
        <v>18213</v>
      </c>
      <c r="I556" s="3">
        <v>193492.99</v>
      </c>
      <c r="J556" s="3">
        <v>48</v>
      </c>
      <c r="K556" s="15">
        <f t="shared" si="88"/>
        <v>1.8631920091333545E-2</v>
      </c>
      <c r="L556" s="16">
        <f t="shared" si="98"/>
        <v>1.9819271948608135</v>
      </c>
      <c r="M556" s="16">
        <f t="shared" si="89"/>
        <v>36.927109121487518</v>
      </c>
      <c r="N556" s="16">
        <f t="shared" si="90"/>
        <v>5.360385839868532</v>
      </c>
      <c r="O556" s="16">
        <f t="shared" si="91"/>
        <v>4.360385839868532</v>
      </c>
      <c r="P556" s="1">
        <v>2024</v>
      </c>
      <c r="Q556" s="1" t="s">
        <v>76</v>
      </c>
      <c r="R556" s="1" t="s">
        <v>46</v>
      </c>
      <c r="S556" s="70">
        <f>DATE(Table2[[#This Row],[Year]],MONTH(DATEVALUE("1-"&amp;Table2[[#This Row],[Month]]&amp;"-2000")),1)</f>
        <v>45383</v>
      </c>
      <c r="T556" s="16">
        <f t="shared" si="92"/>
        <v>10.623894470982265</v>
      </c>
      <c r="U556" s="16">
        <f t="shared" si="93"/>
        <v>0.1979435528421018</v>
      </c>
      <c r="V556" s="16">
        <f t="shared" si="94"/>
        <v>752.01749999999993</v>
      </c>
      <c r="W556" s="16">
        <f t="shared" si="95"/>
        <v>4031.1039583333331</v>
      </c>
      <c r="X556" s="16">
        <f t="shared" si="96"/>
        <v>379.4375</v>
      </c>
      <c r="Y556" s="16">
        <f t="shared" si="97"/>
        <v>20364.916666666668</v>
      </c>
      <c r="Z556" s="7" t="str" cm="1">
        <f t="array" ref="Z556">_xlfn.IFS(K556&lt;2%,"Low",K556&lt;5%,"Medium",K556&lt;10%,"Good",K556&gt;10%,"Excellent")</f>
        <v>Low</v>
      </c>
      <c r="AA556" s="16" t="str">
        <f>Data_Validation!N554</f>
        <v>Pass</v>
      </c>
    </row>
    <row r="557" spans="1:27" x14ac:dyDescent="0.35">
      <c r="A557" s="17" t="s">
        <v>18</v>
      </c>
      <c r="B557" s="3" t="s">
        <v>48</v>
      </c>
      <c r="C557" s="3" t="s">
        <v>36</v>
      </c>
      <c r="D557" s="3" t="s">
        <v>59</v>
      </c>
      <c r="E557" s="3" t="s">
        <v>30</v>
      </c>
      <c r="F557" s="3">
        <v>10892.7</v>
      </c>
      <c r="G557" s="3">
        <v>18474</v>
      </c>
      <c r="H557" s="3">
        <v>34026</v>
      </c>
      <c r="I557" s="3">
        <v>148677.78</v>
      </c>
      <c r="J557" s="3">
        <v>25</v>
      </c>
      <c r="K557" s="15">
        <f t="shared" si="88"/>
        <v>1.8418317635595973</v>
      </c>
      <c r="L557" s="16">
        <f t="shared" si="98"/>
        <v>0.32012872509257628</v>
      </c>
      <c r="M557" s="16">
        <f t="shared" si="89"/>
        <v>589.62325430334533</v>
      </c>
      <c r="N557" s="16">
        <f t="shared" si="90"/>
        <v>13.649304580131647</v>
      </c>
      <c r="O557" s="16">
        <f t="shared" si="91"/>
        <v>12.649304580131647</v>
      </c>
      <c r="P557" s="1">
        <v>2024</v>
      </c>
      <c r="Q557" s="1" t="s">
        <v>76</v>
      </c>
      <c r="R557" s="1" t="s">
        <v>46</v>
      </c>
      <c r="S557" s="70">
        <f>DATE(Table2[[#This Row],[Year]],MONTH(DATEVALUE("1-"&amp;Table2[[#This Row],[Month]]&amp;"-2000")),1)</f>
        <v>45383</v>
      </c>
      <c r="T557" s="16">
        <f t="shared" si="92"/>
        <v>4.3695344736378061</v>
      </c>
      <c r="U557" s="16">
        <f t="shared" si="93"/>
        <v>8.0479473855147781</v>
      </c>
      <c r="V557" s="16">
        <f t="shared" si="94"/>
        <v>435.70800000000003</v>
      </c>
      <c r="W557" s="16">
        <f t="shared" si="95"/>
        <v>5947.1112000000003</v>
      </c>
      <c r="X557" s="16">
        <f t="shared" si="96"/>
        <v>1361.04</v>
      </c>
      <c r="Y557" s="16">
        <f t="shared" si="97"/>
        <v>738.96</v>
      </c>
      <c r="Z557" s="7" t="str" cm="1">
        <f t="array" ref="Z557">_xlfn.IFS(K557&lt;2%,"Low",K557&lt;5%,"Medium",K557&lt;10%,"Good",K557&gt;10%,"Excellent")</f>
        <v>Excellent</v>
      </c>
      <c r="AA557" s="16" t="str">
        <f>Data_Validation!N555</f>
        <v>Fail</v>
      </c>
    </row>
    <row r="558" spans="1:27" x14ac:dyDescent="0.35">
      <c r="A558" s="17" t="s">
        <v>104</v>
      </c>
      <c r="B558" s="3" t="s">
        <v>35</v>
      </c>
      <c r="C558" s="3" t="s">
        <v>29</v>
      </c>
      <c r="D558" s="3" t="s">
        <v>51</v>
      </c>
      <c r="E558" s="3" t="s">
        <v>38</v>
      </c>
      <c r="F558" s="3">
        <v>23152.93</v>
      </c>
      <c r="G558" s="3">
        <v>982462</v>
      </c>
      <c r="H558" s="3">
        <v>33325</v>
      </c>
      <c r="I558" s="3">
        <v>194972.51</v>
      </c>
      <c r="J558" s="3">
        <v>44</v>
      </c>
      <c r="K558" s="15">
        <f t="shared" si="88"/>
        <v>3.3919886977816956E-2</v>
      </c>
      <c r="L558" s="16">
        <f t="shared" si="98"/>
        <v>0.69476159039759944</v>
      </c>
      <c r="M558" s="16">
        <f t="shared" si="89"/>
        <v>23.566234622814932</v>
      </c>
      <c r="N558" s="16">
        <f t="shared" si="90"/>
        <v>8.42107284045691</v>
      </c>
      <c r="O558" s="16">
        <f t="shared" si="91"/>
        <v>7.42107284045691</v>
      </c>
      <c r="P558" s="1">
        <v>2024</v>
      </c>
      <c r="Q558" s="1" t="s">
        <v>76</v>
      </c>
      <c r="R558" s="1" t="s">
        <v>46</v>
      </c>
      <c r="S558" s="70">
        <f>DATE(Table2[[#This Row],[Year]],MONTH(DATEVALUE("1-"&amp;Table2[[#This Row],[Month]]&amp;"-2000")),1)</f>
        <v>45383</v>
      </c>
      <c r="T558" s="16">
        <f t="shared" si="92"/>
        <v>5.8506379594898723</v>
      </c>
      <c r="U558" s="16">
        <f t="shared" si="93"/>
        <v>0.19845297833402209</v>
      </c>
      <c r="V558" s="16">
        <f t="shared" si="94"/>
        <v>526.20295454545453</v>
      </c>
      <c r="W558" s="16">
        <f t="shared" si="95"/>
        <v>4431.193409090909</v>
      </c>
      <c r="X558" s="16">
        <f t="shared" si="96"/>
        <v>757.38636363636363</v>
      </c>
      <c r="Y558" s="16">
        <f t="shared" si="97"/>
        <v>22328.68181818182</v>
      </c>
      <c r="Z558" s="7" t="str" cm="1">
        <f t="array" ref="Z558">_xlfn.IFS(K558&lt;2%,"Low",K558&lt;5%,"Medium",K558&lt;10%,"Good",K558&gt;10%,"Excellent")</f>
        <v>Medium</v>
      </c>
      <c r="AA558" s="16" t="str">
        <f>Data_Validation!N556</f>
        <v>Pass</v>
      </c>
    </row>
    <row r="559" spans="1:27" x14ac:dyDescent="0.35">
      <c r="A559" s="17" t="s">
        <v>92</v>
      </c>
      <c r="B559" s="3" t="s">
        <v>48</v>
      </c>
      <c r="C559" s="3" t="s">
        <v>29</v>
      </c>
      <c r="D559" s="3" t="s">
        <v>59</v>
      </c>
      <c r="E559" s="3" t="s">
        <v>38</v>
      </c>
      <c r="F559" s="3">
        <v>26603.03</v>
      </c>
      <c r="G559" s="3">
        <v>410209</v>
      </c>
      <c r="H559" s="3">
        <v>34823</v>
      </c>
      <c r="I559" s="3">
        <v>78097.16</v>
      </c>
      <c r="J559" s="3">
        <v>18</v>
      </c>
      <c r="K559" s="15">
        <f t="shared" si="88"/>
        <v>8.4890872701476563E-2</v>
      </c>
      <c r="L559" s="16">
        <f t="shared" si="98"/>
        <v>0.7639499755908451</v>
      </c>
      <c r="M559" s="16">
        <f t="shared" si="89"/>
        <v>64.852380128178567</v>
      </c>
      <c r="N559" s="16">
        <f t="shared" si="90"/>
        <v>2.9356490595244229</v>
      </c>
      <c r="O559" s="16">
        <f t="shared" si="91"/>
        <v>1.9356490595244229</v>
      </c>
      <c r="P559" s="1">
        <v>2024</v>
      </c>
      <c r="Q559" s="1" t="s">
        <v>76</v>
      </c>
      <c r="R559" s="1" t="s">
        <v>46</v>
      </c>
      <c r="S559" s="70">
        <f>DATE(Table2[[#This Row],[Year]],MONTH(DATEVALUE("1-"&amp;Table2[[#This Row],[Month]]&amp;"-2000")),1)</f>
        <v>45383</v>
      </c>
      <c r="T559" s="16">
        <f t="shared" si="92"/>
        <v>2.2426890273669704</v>
      </c>
      <c r="U559" s="16">
        <f t="shared" si="93"/>
        <v>0.19038382873120777</v>
      </c>
      <c r="V559" s="16">
        <f t="shared" si="94"/>
        <v>1477.9461111111111</v>
      </c>
      <c r="W559" s="16">
        <f t="shared" si="95"/>
        <v>4338.7311111111112</v>
      </c>
      <c r="X559" s="16">
        <f t="shared" si="96"/>
        <v>1934.6111111111111</v>
      </c>
      <c r="Y559" s="16">
        <f t="shared" si="97"/>
        <v>22789.388888888891</v>
      </c>
      <c r="Z559" s="7" t="str" cm="1">
        <f t="array" ref="Z559">_xlfn.IFS(K559&lt;2%,"Low",K559&lt;5%,"Medium",K559&lt;10%,"Good",K559&gt;10%,"Excellent")</f>
        <v>Good</v>
      </c>
      <c r="AA559" s="16" t="str">
        <f>Data_Validation!N557</f>
        <v>Pass</v>
      </c>
    </row>
    <row r="560" spans="1:27" x14ac:dyDescent="0.35">
      <c r="A560" s="17" t="s">
        <v>70</v>
      </c>
      <c r="B560" s="3" t="s">
        <v>19</v>
      </c>
      <c r="C560" s="3" t="s">
        <v>69</v>
      </c>
      <c r="D560" s="3" t="s">
        <v>21</v>
      </c>
      <c r="E560" s="3" t="s">
        <v>30</v>
      </c>
      <c r="F560" s="3">
        <v>13116.6</v>
      </c>
      <c r="G560" s="3">
        <v>348756</v>
      </c>
      <c r="H560" s="3">
        <v>10494</v>
      </c>
      <c r="I560" s="3">
        <v>159145.24</v>
      </c>
      <c r="J560" s="3">
        <v>30</v>
      </c>
      <c r="K560" s="15">
        <f t="shared" si="88"/>
        <v>3.0089804906582251E-2</v>
      </c>
      <c r="L560" s="16">
        <f t="shared" si="98"/>
        <v>1.2499142367066896</v>
      </c>
      <c r="M560" s="16">
        <f t="shared" si="89"/>
        <v>37.60967553246396</v>
      </c>
      <c r="N560" s="16">
        <f t="shared" si="90"/>
        <v>12.133116813808455</v>
      </c>
      <c r="O560" s="16">
        <f t="shared" si="91"/>
        <v>11.133116813808455</v>
      </c>
      <c r="P560" s="1">
        <v>2024</v>
      </c>
      <c r="Q560" s="1" t="s">
        <v>76</v>
      </c>
      <c r="R560" s="1" t="s">
        <v>46</v>
      </c>
      <c r="S560" s="70">
        <f>DATE(Table2[[#This Row],[Year]],MONTH(DATEVALUE("1-"&amp;Table2[[#This Row],[Month]]&amp;"-2000")),1)</f>
        <v>45383</v>
      </c>
      <c r="T560" s="16">
        <f t="shared" si="92"/>
        <v>15.165355441204497</v>
      </c>
      <c r="U560" s="16">
        <f t="shared" si="93"/>
        <v>0.45632258656481894</v>
      </c>
      <c r="V560" s="16">
        <f t="shared" si="94"/>
        <v>437.22</v>
      </c>
      <c r="W560" s="16">
        <f t="shared" si="95"/>
        <v>5304.8413333333328</v>
      </c>
      <c r="X560" s="16">
        <f t="shared" si="96"/>
        <v>349.8</v>
      </c>
      <c r="Y560" s="16">
        <f t="shared" si="97"/>
        <v>11625.2</v>
      </c>
      <c r="Z560" s="7" t="str" cm="1">
        <f t="array" ref="Z560">_xlfn.IFS(K560&lt;2%,"Low",K560&lt;5%,"Medium",K560&lt;10%,"Good",K560&gt;10%,"Excellent")</f>
        <v>Medium</v>
      </c>
      <c r="AA560" s="16" t="str">
        <f>Data_Validation!N558</f>
        <v>Pass</v>
      </c>
    </row>
    <row r="561" spans="1:27" x14ac:dyDescent="0.35">
      <c r="A561" s="17" t="s">
        <v>86</v>
      </c>
      <c r="B561" s="3" t="s">
        <v>48</v>
      </c>
      <c r="C561" s="3" t="s">
        <v>20</v>
      </c>
      <c r="D561" s="3" t="s">
        <v>51</v>
      </c>
      <c r="E561" s="3" t="s">
        <v>38</v>
      </c>
      <c r="F561" s="3">
        <v>19166.54</v>
      </c>
      <c r="G561" s="3">
        <v>32525</v>
      </c>
      <c r="H561" s="3">
        <v>19204</v>
      </c>
      <c r="I561" s="3">
        <v>51319.86</v>
      </c>
      <c r="J561" s="3">
        <v>28</v>
      </c>
      <c r="K561" s="15">
        <f t="shared" si="88"/>
        <v>0.59043812451960032</v>
      </c>
      <c r="L561" s="16">
        <f t="shared" si="98"/>
        <v>0.99804936471568428</v>
      </c>
      <c r="M561" s="16">
        <f t="shared" si="89"/>
        <v>589.28639508070717</v>
      </c>
      <c r="N561" s="16">
        <f t="shared" si="90"/>
        <v>2.6775756083257591</v>
      </c>
      <c r="O561" s="16">
        <f t="shared" si="91"/>
        <v>1.6775756083257594</v>
      </c>
      <c r="P561" s="1">
        <v>2024</v>
      </c>
      <c r="Q561" s="1" t="s">
        <v>76</v>
      </c>
      <c r="R561" s="1" t="s">
        <v>46</v>
      </c>
      <c r="S561" s="70">
        <f>DATE(Table2[[#This Row],[Year]],MONTH(DATEVALUE("1-"&amp;Table2[[#This Row],[Month]]&amp;"-2000")),1)</f>
        <v>45383</v>
      </c>
      <c r="T561" s="16">
        <f t="shared" si="92"/>
        <v>2.6723526348677358</v>
      </c>
      <c r="U561" s="16">
        <f t="shared" si="93"/>
        <v>1.5778588777863183</v>
      </c>
      <c r="V561" s="16">
        <f t="shared" si="94"/>
        <v>684.51928571428573</v>
      </c>
      <c r="W561" s="16">
        <f t="shared" si="95"/>
        <v>1832.8521428571428</v>
      </c>
      <c r="X561" s="16">
        <f t="shared" si="96"/>
        <v>685.85714285714289</v>
      </c>
      <c r="Y561" s="16">
        <f t="shared" si="97"/>
        <v>1161.6071428571429</v>
      </c>
      <c r="Z561" s="7" t="str" cm="1">
        <f t="array" ref="Z561">_xlfn.IFS(K561&lt;2%,"Low",K561&lt;5%,"Medium",K561&lt;10%,"Good",K561&gt;10%,"Excellent")</f>
        <v>Excellent</v>
      </c>
      <c r="AA561" s="16" t="str">
        <f>Data_Validation!N559</f>
        <v>Pass</v>
      </c>
    </row>
    <row r="562" spans="1:27" x14ac:dyDescent="0.35">
      <c r="A562" s="17" t="s">
        <v>107</v>
      </c>
      <c r="B562" s="3" t="s">
        <v>48</v>
      </c>
      <c r="C562" s="3" t="s">
        <v>58</v>
      </c>
      <c r="D562" s="3" t="s">
        <v>51</v>
      </c>
      <c r="E562" s="3" t="s">
        <v>38</v>
      </c>
      <c r="F562" s="3">
        <v>14680.86</v>
      </c>
      <c r="G562" s="3">
        <v>803237</v>
      </c>
      <c r="H562" s="3">
        <v>27791</v>
      </c>
      <c r="I562" s="3">
        <v>203693.62</v>
      </c>
      <c r="J562" s="3">
        <v>23</v>
      </c>
      <c r="K562" s="15">
        <f t="shared" si="88"/>
        <v>3.4598754788437283E-2</v>
      </c>
      <c r="L562" s="16">
        <f t="shared" si="98"/>
        <v>0.52825950847396641</v>
      </c>
      <c r="M562" s="16">
        <f t="shared" si="89"/>
        <v>18.277121198351171</v>
      </c>
      <c r="N562" s="16">
        <f t="shared" si="90"/>
        <v>13.87477436607937</v>
      </c>
      <c r="O562" s="16">
        <f t="shared" si="91"/>
        <v>12.874774366079372</v>
      </c>
      <c r="P562" s="1">
        <v>2024</v>
      </c>
      <c r="Q562" s="1" t="s">
        <v>45</v>
      </c>
      <c r="R562" s="1" t="s">
        <v>46</v>
      </c>
      <c r="S562" s="70">
        <f>DATE(Table2[[#This Row],[Year]],MONTH(DATEVALUE("1-"&amp;Table2[[#This Row],[Month]]&amp;"-2000")),1)</f>
        <v>45413</v>
      </c>
      <c r="T562" s="16">
        <f t="shared" si="92"/>
        <v>7.3294814868122771</v>
      </c>
      <c r="U562" s="16">
        <f t="shared" si="93"/>
        <v>0.25359093268860872</v>
      </c>
      <c r="V562" s="16">
        <f t="shared" si="94"/>
        <v>638.2982608695653</v>
      </c>
      <c r="W562" s="16">
        <f t="shared" si="95"/>
        <v>8856.2443478260866</v>
      </c>
      <c r="X562" s="16">
        <f t="shared" si="96"/>
        <v>1208.304347826087</v>
      </c>
      <c r="Y562" s="16">
        <f t="shared" si="97"/>
        <v>34923.34782608696</v>
      </c>
      <c r="Z562" s="7" t="str" cm="1">
        <f t="array" ref="Z562">_xlfn.IFS(K562&lt;2%,"Low",K562&lt;5%,"Medium",K562&lt;10%,"Good",K562&gt;10%,"Excellent")</f>
        <v>Medium</v>
      </c>
      <c r="AA562" s="16" t="str">
        <f>Data_Validation!N560</f>
        <v>Pass</v>
      </c>
    </row>
    <row r="563" spans="1:27" x14ac:dyDescent="0.35">
      <c r="A563" s="17" t="s">
        <v>78</v>
      </c>
      <c r="B563" s="3" t="s">
        <v>19</v>
      </c>
      <c r="C563" s="3" t="s">
        <v>29</v>
      </c>
      <c r="D563" s="3" t="s">
        <v>59</v>
      </c>
      <c r="E563" s="3" t="s">
        <v>30</v>
      </c>
      <c r="F563" s="3">
        <v>2374.66</v>
      </c>
      <c r="G563" s="3">
        <v>179054</v>
      </c>
      <c r="H563" s="3">
        <v>10031</v>
      </c>
      <c r="I563" s="3">
        <v>172181.63</v>
      </c>
      <c r="J563" s="3">
        <v>43</v>
      </c>
      <c r="K563" s="15">
        <f t="shared" si="88"/>
        <v>5.6022205591609232E-2</v>
      </c>
      <c r="L563" s="16">
        <f t="shared" si="98"/>
        <v>0.23673213039577309</v>
      </c>
      <c r="M563" s="16">
        <f t="shared" si="89"/>
        <v>13.262256079171644</v>
      </c>
      <c r="N563" s="16">
        <f t="shared" si="90"/>
        <v>72.507908500585359</v>
      </c>
      <c r="O563" s="16">
        <f t="shared" si="91"/>
        <v>71.507908500585359</v>
      </c>
      <c r="P563" s="1">
        <v>2024</v>
      </c>
      <c r="Q563" s="1" t="s">
        <v>45</v>
      </c>
      <c r="R563" s="1" t="s">
        <v>46</v>
      </c>
      <c r="S563" s="70">
        <f>DATE(Table2[[#This Row],[Year]],MONTH(DATEVALUE("1-"&amp;Table2[[#This Row],[Month]]&amp;"-2000")),1)</f>
        <v>45413</v>
      </c>
      <c r="T563" s="16">
        <f t="shared" si="92"/>
        <v>17.164951649885356</v>
      </c>
      <c r="U563" s="16">
        <f t="shared" si="93"/>
        <v>0.96161845029990956</v>
      </c>
      <c r="V563" s="16">
        <f t="shared" si="94"/>
        <v>55.224651162790693</v>
      </c>
      <c r="W563" s="16">
        <f t="shared" si="95"/>
        <v>4004.223953488372</v>
      </c>
      <c r="X563" s="16">
        <f t="shared" si="96"/>
        <v>233.27906976744185</v>
      </c>
      <c r="Y563" s="16">
        <f t="shared" si="97"/>
        <v>4164.0465116279074</v>
      </c>
      <c r="Z563" s="7" t="str" cm="1">
        <f t="array" ref="Z563">_xlfn.IFS(K563&lt;2%,"Low",K563&lt;5%,"Medium",K563&lt;10%,"Good",K563&gt;10%,"Excellent")</f>
        <v>Good</v>
      </c>
      <c r="AA563" s="16" t="str">
        <f>Data_Validation!N561</f>
        <v>Pass</v>
      </c>
    </row>
    <row r="564" spans="1:27" x14ac:dyDescent="0.35">
      <c r="A564" s="17" t="s">
        <v>82</v>
      </c>
      <c r="B564" s="3" t="s">
        <v>48</v>
      </c>
      <c r="C564" s="3" t="s">
        <v>69</v>
      </c>
      <c r="D564" s="3" t="s">
        <v>43</v>
      </c>
      <c r="E564" s="3" t="s">
        <v>38</v>
      </c>
      <c r="F564" s="3">
        <v>20311.48</v>
      </c>
      <c r="G564" s="3">
        <v>750880</v>
      </c>
      <c r="H564" s="3">
        <v>44430</v>
      </c>
      <c r="I564" s="3">
        <v>11922.74</v>
      </c>
      <c r="J564" s="3">
        <v>8</v>
      </c>
      <c r="K564" s="15">
        <f t="shared" si="88"/>
        <v>5.9170573194118899E-2</v>
      </c>
      <c r="L564" s="16">
        <f t="shared" si="98"/>
        <v>0.45715687598469501</v>
      </c>
      <c r="M564" s="16">
        <f t="shared" si="89"/>
        <v>27.050234391647134</v>
      </c>
      <c r="N564" s="16">
        <f t="shared" si="90"/>
        <v>0.58699513772506973</v>
      </c>
      <c r="O564" s="16">
        <f t="shared" si="91"/>
        <v>-0.41300486227493022</v>
      </c>
      <c r="P564" s="1">
        <v>2024</v>
      </c>
      <c r="Q564" s="1" t="s">
        <v>45</v>
      </c>
      <c r="R564" s="1" t="s">
        <v>46</v>
      </c>
      <c r="S564" s="70">
        <f>DATE(Table2[[#This Row],[Year]],MONTH(DATEVALUE("1-"&amp;Table2[[#This Row],[Month]]&amp;"-2000")),1)</f>
        <v>45413</v>
      </c>
      <c r="T564" s="16">
        <f t="shared" si="92"/>
        <v>0.26834886338059871</v>
      </c>
      <c r="U564" s="16">
        <f t="shared" si="93"/>
        <v>1.5878356062220329E-2</v>
      </c>
      <c r="V564" s="16">
        <f t="shared" si="94"/>
        <v>2538.9349999999999</v>
      </c>
      <c r="W564" s="16">
        <f t="shared" si="95"/>
        <v>1490.3425</v>
      </c>
      <c r="X564" s="16">
        <f t="shared" si="96"/>
        <v>5553.75</v>
      </c>
      <c r="Y564" s="16">
        <f t="shared" si="97"/>
        <v>93860</v>
      </c>
      <c r="Z564" s="7" t="str" cm="1">
        <f t="array" ref="Z564">_xlfn.IFS(K564&lt;2%,"Low",K564&lt;5%,"Medium",K564&lt;10%,"Good",K564&gt;10%,"Excellent")</f>
        <v>Good</v>
      </c>
      <c r="AA564" s="16" t="str">
        <f>Data_Validation!N562</f>
        <v>Pass</v>
      </c>
    </row>
    <row r="565" spans="1:27" x14ac:dyDescent="0.35">
      <c r="A565" s="17" t="s">
        <v>98</v>
      </c>
      <c r="B565" s="3" t="s">
        <v>28</v>
      </c>
      <c r="C565" s="3" t="s">
        <v>58</v>
      </c>
      <c r="D565" s="3" t="s">
        <v>37</v>
      </c>
      <c r="E565" s="3" t="s">
        <v>30</v>
      </c>
      <c r="F565" s="3">
        <v>20506.259999999998</v>
      </c>
      <c r="G565" s="3">
        <v>274742</v>
      </c>
      <c r="H565" s="3">
        <v>31408</v>
      </c>
      <c r="I565" s="3">
        <v>32951.35</v>
      </c>
      <c r="J565" s="3">
        <v>34</v>
      </c>
      <c r="K565" s="15">
        <f t="shared" si="88"/>
        <v>0.1143181603104003</v>
      </c>
      <c r="L565" s="16">
        <f t="shared" si="98"/>
        <v>0.65289926133469178</v>
      </c>
      <c r="M565" s="16">
        <f t="shared" si="89"/>
        <v>74.638242423801245</v>
      </c>
      <c r="N565" s="16">
        <f t="shared" si="90"/>
        <v>1.6068922368096377</v>
      </c>
      <c r="O565" s="16">
        <f t="shared" si="91"/>
        <v>0.60689223680963766</v>
      </c>
      <c r="P565" s="1">
        <v>2024</v>
      </c>
      <c r="Q565" s="1" t="s">
        <v>45</v>
      </c>
      <c r="R565" s="1" t="s">
        <v>46</v>
      </c>
      <c r="S565" s="70">
        <f>DATE(Table2[[#This Row],[Year]],MONTH(DATEVALUE("1-"&amp;Table2[[#This Row],[Month]]&amp;"-2000")),1)</f>
        <v>45413</v>
      </c>
      <c r="T565" s="16">
        <f t="shared" si="92"/>
        <v>1.0491387544574631</v>
      </c>
      <c r="U565" s="16">
        <f t="shared" si="93"/>
        <v>0.11993561231992196</v>
      </c>
      <c r="V565" s="16">
        <f t="shared" si="94"/>
        <v>603.12529411764706</v>
      </c>
      <c r="W565" s="16">
        <f t="shared" si="95"/>
        <v>969.15735294117644</v>
      </c>
      <c r="X565" s="16">
        <f t="shared" si="96"/>
        <v>923.76470588235293</v>
      </c>
      <c r="Y565" s="16">
        <f t="shared" si="97"/>
        <v>8080.6470588235297</v>
      </c>
      <c r="Z565" s="7" t="str" cm="1">
        <f t="array" ref="Z565">_xlfn.IFS(K565&lt;2%,"Low",K565&lt;5%,"Medium",K565&lt;10%,"Good",K565&gt;10%,"Excellent")</f>
        <v>Excellent</v>
      </c>
      <c r="AA565" s="16" t="str">
        <f>Data_Validation!N563</f>
        <v>Pass</v>
      </c>
    </row>
    <row r="566" spans="1:27" x14ac:dyDescent="0.35">
      <c r="A566" s="17" t="s">
        <v>114</v>
      </c>
      <c r="B566" s="3" t="s">
        <v>19</v>
      </c>
      <c r="C566" s="3" t="s">
        <v>58</v>
      </c>
      <c r="D566" s="3" t="s">
        <v>59</v>
      </c>
      <c r="E566" s="3" t="s">
        <v>30</v>
      </c>
      <c r="F566" s="3">
        <v>17712.03</v>
      </c>
      <c r="G566" s="3">
        <v>963149</v>
      </c>
      <c r="H566" s="3">
        <v>1104</v>
      </c>
      <c r="I566" s="3">
        <v>56892.9</v>
      </c>
      <c r="J566" s="3">
        <v>19</v>
      </c>
      <c r="K566" s="15">
        <f t="shared" si="88"/>
        <v>1.1462400936926686E-3</v>
      </c>
      <c r="L566" s="16">
        <f t="shared" si="98"/>
        <v>16.043505434782606</v>
      </c>
      <c r="M566" s="16">
        <f t="shared" si="89"/>
        <v>18.389709172724054</v>
      </c>
      <c r="N566" s="16">
        <f t="shared" si="90"/>
        <v>3.2121049930470988</v>
      </c>
      <c r="O566" s="16">
        <f t="shared" si="91"/>
        <v>2.2121049930470988</v>
      </c>
      <c r="P566" s="1">
        <v>2024</v>
      </c>
      <c r="Q566" s="1" t="s">
        <v>45</v>
      </c>
      <c r="R566" s="1" t="s">
        <v>46</v>
      </c>
      <c r="S566" s="70">
        <f>DATE(Table2[[#This Row],[Year]],MONTH(DATEVALUE("1-"&amp;Table2[[#This Row],[Month]]&amp;"-2000")),1)</f>
        <v>45413</v>
      </c>
      <c r="T566" s="16">
        <f t="shared" si="92"/>
        <v>51.533423913043478</v>
      </c>
      <c r="U566" s="16">
        <f t="shared" si="93"/>
        <v>5.906967665439096E-2</v>
      </c>
      <c r="V566" s="16">
        <f t="shared" si="94"/>
        <v>932.21210526315781</v>
      </c>
      <c r="W566" s="16">
        <f t="shared" si="95"/>
        <v>2994.363157894737</v>
      </c>
      <c r="X566" s="16">
        <f t="shared" si="96"/>
        <v>58.10526315789474</v>
      </c>
      <c r="Y566" s="16">
        <f t="shared" si="97"/>
        <v>50692.052631578947</v>
      </c>
      <c r="Z566" s="7" t="str" cm="1">
        <f t="array" ref="Z566">_xlfn.IFS(K566&lt;2%,"Low",K566&lt;5%,"Medium",K566&lt;10%,"Good",K566&gt;10%,"Excellent")</f>
        <v>Low</v>
      </c>
      <c r="AA566" s="16" t="str">
        <f>Data_Validation!N564</f>
        <v>Pass</v>
      </c>
    </row>
    <row r="567" spans="1:27" x14ac:dyDescent="0.35">
      <c r="A567" s="17" t="s">
        <v>87</v>
      </c>
      <c r="B567" s="3" t="s">
        <v>48</v>
      </c>
      <c r="C567" s="3" t="s">
        <v>29</v>
      </c>
      <c r="D567" s="3" t="s">
        <v>37</v>
      </c>
      <c r="E567" s="3" t="s">
        <v>38</v>
      </c>
      <c r="F567" s="3">
        <v>5143.8</v>
      </c>
      <c r="G567" s="3">
        <v>609083</v>
      </c>
      <c r="H567" s="3">
        <v>12951</v>
      </c>
      <c r="I567" s="3">
        <v>142486.06</v>
      </c>
      <c r="J567" s="3">
        <v>41</v>
      </c>
      <c r="K567" s="15">
        <f t="shared" si="88"/>
        <v>2.1263111923990656E-2</v>
      </c>
      <c r="L567" s="16">
        <f t="shared" si="98"/>
        <v>0.39717396340050964</v>
      </c>
      <c r="M567" s="16">
        <f t="shared" si="89"/>
        <v>8.4451544370800047</v>
      </c>
      <c r="N567" s="16">
        <f t="shared" si="90"/>
        <v>27.700544344647923</v>
      </c>
      <c r="O567" s="16">
        <f t="shared" si="91"/>
        <v>26.700544344647927</v>
      </c>
      <c r="P567" s="1">
        <v>2024</v>
      </c>
      <c r="Q567" s="1" t="s">
        <v>45</v>
      </c>
      <c r="R567" s="1" t="s">
        <v>46</v>
      </c>
      <c r="S567" s="70">
        <f>DATE(Table2[[#This Row],[Year]],MONTH(DATEVALUE("1-"&amp;Table2[[#This Row],[Month]]&amp;"-2000")),1)</f>
        <v>45413</v>
      </c>
      <c r="T567" s="16">
        <f t="shared" si="92"/>
        <v>11.001934985715389</v>
      </c>
      <c r="U567" s="16">
        <f t="shared" si="93"/>
        <v>0.23393537498173483</v>
      </c>
      <c r="V567" s="16">
        <f t="shared" si="94"/>
        <v>125.45853658536586</v>
      </c>
      <c r="W567" s="16">
        <f t="shared" si="95"/>
        <v>3475.2697560975607</v>
      </c>
      <c r="X567" s="16">
        <f t="shared" si="96"/>
        <v>315.8780487804878</v>
      </c>
      <c r="Y567" s="16">
        <f t="shared" si="97"/>
        <v>14855.682926829268</v>
      </c>
      <c r="Z567" s="7" t="str" cm="1">
        <f t="array" ref="Z567">_xlfn.IFS(K567&lt;2%,"Low",K567&lt;5%,"Medium",K567&lt;10%,"Good",K567&gt;10%,"Excellent")</f>
        <v>Medium</v>
      </c>
      <c r="AA567" s="16" t="str">
        <f>Data_Validation!N565</f>
        <v>Pass</v>
      </c>
    </row>
    <row r="568" spans="1:27" x14ac:dyDescent="0.35">
      <c r="A568" s="17" t="s">
        <v>57</v>
      </c>
      <c r="B568" s="3" t="s">
        <v>28</v>
      </c>
      <c r="C568" s="3" t="s">
        <v>69</v>
      </c>
      <c r="D568" s="3" t="s">
        <v>43</v>
      </c>
      <c r="E568" s="3" t="s">
        <v>30</v>
      </c>
      <c r="F568" s="3">
        <v>29309.040000000001</v>
      </c>
      <c r="G568" s="3">
        <v>266496</v>
      </c>
      <c r="H568" s="3">
        <v>25161</v>
      </c>
      <c r="I568" s="3">
        <v>9217.07</v>
      </c>
      <c r="J568" s="3">
        <v>24</v>
      </c>
      <c r="K568" s="15">
        <f t="shared" si="88"/>
        <v>9.4414175072046108E-2</v>
      </c>
      <c r="L568" s="16">
        <f t="shared" si="98"/>
        <v>1.1648599022296411</v>
      </c>
      <c r="M568" s="16">
        <f t="shared" si="89"/>
        <v>109.97928674351586</v>
      </c>
      <c r="N568" s="16">
        <f t="shared" si="90"/>
        <v>0.31447874103007123</v>
      </c>
      <c r="O568" s="16">
        <f t="shared" si="91"/>
        <v>-0.68552125896992877</v>
      </c>
      <c r="P568" s="1">
        <v>2024</v>
      </c>
      <c r="Q568" s="1" t="s">
        <v>45</v>
      </c>
      <c r="R568" s="1" t="s">
        <v>46</v>
      </c>
      <c r="S568" s="70">
        <f>DATE(Table2[[#This Row],[Year]],MONTH(DATEVALUE("1-"&amp;Table2[[#This Row],[Month]]&amp;"-2000")),1)</f>
        <v>45413</v>
      </c>
      <c r="T568" s="16">
        <f t="shared" si="92"/>
        <v>0.36632367552958944</v>
      </c>
      <c r="U568" s="16">
        <f t="shared" si="93"/>
        <v>3.4586147634486072E-2</v>
      </c>
      <c r="V568" s="16">
        <f t="shared" si="94"/>
        <v>1221.21</v>
      </c>
      <c r="W568" s="16">
        <f t="shared" si="95"/>
        <v>384.04458333333332</v>
      </c>
      <c r="X568" s="16">
        <f t="shared" si="96"/>
        <v>1048.375</v>
      </c>
      <c r="Y568" s="16">
        <f t="shared" si="97"/>
        <v>11104</v>
      </c>
      <c r="Z568" s="7" t="str" cm="1">
        <f t="array" ref="Z568">_xlfn.IFS(K568&lt;2%,"Low",K568&lt;5%,"Medium",K568&lt;10%,"Good",K568&gt;10%,"Excellent")</f>
        <v>Good</v>
      </c>
      <c r="AA568" s="16" t="str">
        <f>Data_Validation!N566</f>
        <v>Pass</v>
      </c>
    </row>
    <row r="569" spans="1:27" x14ac:dyDescent="0.35">
      <c r="A569" s="17" t="s">
        <v>110</v>
      </c>
      <c r="B569" s="3" t="s">
        <v>35</v>
      </c>
      <c r="C569" s="3" t="s">
        <v>69</v>
      </c>
      <c r="D569" s="3" t="s">
        <v>51</v>
      </c>
      <c r="E569" s="3" t="s">
        <v>38</v>
      </c>
      <c r="F569" s="3">
        <v>8093.21</v>
      </c>
      <c r="G569" s="3">
        <v>740897</v>
      </c>
      <c r="H569" s="3">
        <v>32218</v>
      </c>
      <c r="I569" s="3">
        <v>51495.08</v>
      </c>
      <c r="J569" s="3">
        <v>51</v>
      </c>
      <c r="K569" s="15">
        <f t="shared" si="88"/>
        <v>4.34851268124989E-2</v>
      </c>
      <c r="L569" s="16">
        <f t="shared" si="98"/>
        <v>0.25120150226581417</v>
      </c>
      <c r="M569" s="16">
        <f t="shared" si="89"/>
        <v>10.923529181519159</v>
      </c>
      <c r="N569" s="16">
        <f t="shared" si="90"/>
        <v>6.362750997441065</v>
      </c>
      <c r="O569" s="16">
        <f t="shared" si="91"/>
        <v>5.362750997441065</v>
      </c>
      <c r="P569" s="1">
        <v>2024</v>
      </c>
      <c r="Q569" s="1" t="s">
        <v>45</v>
      </c>
      <c r="R569" s="1" t="s">
        <v>46</v>
      </c>
      <c r="S569" s="70">
        <f>DATE(Table2[[#This Row],[Year]],MONTH(DATEVALUE("1-"&amp;Table2[[#This Row],[Month]]&amp;"-2000")),1)</f>
        <v>45413</v>
      </c>
      <c r="T569" s="16">
        <f t="shared" si="92"/>
        <v>1.5983326091005028</v>
      </c>
      <c r="U569" s="16">
        <f t="shared" si="93"/>
        <v>6.9503696195287609E-2</v>
      </c>
      <c r="V569" s="16">
        <f t="shared" si="94"/>
        <v>158.69039215686274</v>
      </c>
      <c r="W569" s="16">
        <f t="shared" si="95"/>
        <v>1009.7074509803922</v>
      </c>
      <c r="X569" s="16">
        <f t="shared" si="96"/>
        <v>631.72549019607845</v>
      </c>
      <c r="Y569" s="16">
        <f t="shared" si="97"/>
        <v>14527.392156862745</v>
      </c>
      <c r="Z569" s="7" t="str" cm="1">
        <f t="array" ref="Z569">_xlfn.IFS(K569&lt;2%,"Low",K569&lt;5%,"Medium",K569&lt;10%,"Good",K569&gt;10%,"Excellent")</f>
        <v>Medium</v>
      </c>
      <c r="AA569" s="16" t="str">
        <f>Data_Validation!N567</f>
        <v>Pass</v>
      </c>
    </row>
    <row r="570" spans="1:27" x14ac:dyDescent="0.35">
      <c r="A570" s="17" t="s">
        <v>57</v>
      </c>
      <c r="B570" s="3" t="s">
        <v>48</v>
      </c>
      <c r="C570" s="3" t="s">
        <v>29</v>
      </c>
      <c r="D570" s="3" t="s">
        <v>37</v>
      </c>
      <c r="E570" s="3" t="s">
        <v>22</v>
      </c>
      <c r="F570" s="3">
        <v>13549.58</v>
      </c>
      <c r="G570" s="3">
        <v>123284</v>
      </c>
      <c r="H570" s="3">
        <v>8107</v>
      </c>
      <c r="I570" s="3">
        <v>66419.02</v>
      </c>
      <c r="J570" s="3">
        <v>38</v>
      </c>
      <c r="K570" s="15">
        <f t="shared" si="88"/>
        <v>6.5758735926803147E-2</v>
      </c>
      <c r="L570" s="16">
        <f t="shared" si="98"/>
        <v>1.6713432835820896</v>
      </c>
      <c r="M570" s="16">
        <f t="shared" si="89"/>
        <v>109.9054216281107</v>
      </c>
      <c r="N570" s="16">
        <f t="shared" si="90"/>
        <v>4.9019246353023496</v>
      </c>
      <c r="O570" s="16">
        <f t="shared" si="91"/>
        <v>3.9019246353023491</v>
      </c>
      <c r="P570" s="1">
        <v>2024</v>
      </c>
      <c r="Q570" s="1" t="s">
        <v>45</v>
      </c>
      <c r="R570" s="1" t="s">
        <v>46</v>
      </c>
      <c r="S570" s="70">
        <f>DATE(Table2[[#This Row],[Year]],MONTH(DATEVALUE("1-"&amp;Table2[[#This Row],[Month]]&amp;"-2000")),1)</f>
        <v>45413</v>
      </c>
      <c r="T570" s="16">
        <f t="shared" si="92"/>
        <v>8.1927988158381648</v>
      </c>
      <c r="U570" s="16">
        <f t="shared" si="93"/>
        <v>0.53874809383212752</v>
      </c>
      <c r="V570" s="16">
        <f t="shared" si="94"/>
        <v>356.56789473684211</v>
      </c>
      <c r="W570" s="16">
        <f t="shared" si="95"/>
        <v>1747.8689473684212</v>
      </c>
      <c r="X570" s="16">
        <f t="shared" si="96"/>
        <v>213.34210526315789</v>
      </c>
      <c r="Y570" s="16">
        <f t="shared" si="97"/>
        <v>3244.3157894736842</v>
      </c>
      <c r="Z570" s="7" t="str" cm="1">
        <f t="array" ref="Z570">_xlfn.IFS(K570&lt;2%,"Low",K570&lt;5%,"Medium",K570&lt;10%,"Good",K570&gt;10%,"Excellent")</f>
        <v>Good</v>
      </c>
      <c r="AA570" s="16" t="str">
        <f>Data_Validation!N568</f>
        <v>Pass</v>
      </c>
    </row>
    <row r="571" spans="1:27" x14ac:dyDescent="0.35">
      <c r="A571" s="17" t="s">
        <v>50</v>
      </c>
      <c r="B571" s="3" t="s">
        <v>48</v>
      </c>
      <c r="C571" s="3" t="s">
        <v>58</v>
      </c>
      <c r="D571" s="3" t="s">
        <v>21</v>
      </c>
      <c r="E571" s="3" t="s">
        <v>38</v>
      </c>
      <c r="F571" s="3">
        <v>41607.29</v>
      </c>
      <c r="G571" s="3">
        <v>369502</v>
      </c>
      <c r="H571" s="3">
        <v>5631</v>
      </c>
      <c r="I571" s="3">
        <v>241999.68</v>
      </c>
      <c r="J571" s="3">
        <v>17</v>
      </c>
      <c r="K571" s="15">
        <f t="shared" si="88"/>
        <v>1.5239430368441848E-2</v>
      </c>
      <c r="L571" s="16">
        <f t="shared" si="98"/>
        <v>7.3889699875688155</v>
      </c>
      <c r="M571" s="16">
        <f t="shared" si="89"/>
        <v>112.60369362006161</v>
      </c>
      <c r="N571" s="16">
        <f t="shared" si="90"/>
        <v>5.8162807527238609</v>
      </c>
      <c r="O571" s="16">
        <f t="shared" si="91"/>
        <v>4.8162807527238609</v>
      </c>
      <c r="P571" s="1">
        <v>2024</v>
      </c>
      <c r="Q571" s="1" t="s">
        <v>45</v>
      </c>
      <c r="R571" s="1" t="s">
        <v>46</v>
      </c>
      <c r="S571" s="70">
        <f>DATE(Table2[[#This Row],[Year]],MONTH(DATEVALUE("1-"&amp;Table2[[#This Row],[Month]]&amp;"-2000")),1)</f>
        <v>45413</v>
      </c>
      <c r="T571" s="16">
        <f t="shared" si="92"/>
        <v>42.976323921150772</v>
      </c>
      <c r="U571" s="16">
        <f t="shared" si="93"/>
        <v>0.65493469588797892</v>
      </c>
      <c r="V571" s="16">
        <f t="shared" si="94"/>
        <v>2447.4876470588238</v>
      </c>
      <c r="W571" s="16">
        <f t="shared" si="95"/>
        <v>14235.275294117646</v>
      </c>
      <c r="X571" s="16">
        <f t="shared" si="96"/>
        <v>331.23529411764707</v>
      </c>
      <c r="Y571" s="16">
        <f t="shared" si="97"/>
        <v>21735.411764705881</v>
      </c>
      <c r="Z571" s="7" t="str" cm="1">
        <f t="array" ref="Z571">_xlfn.IFS(K571&lt;2%,"Low",K571&lt;5%,"Medium",K571&lt;10%,"Good",K571&gt;10%,"Excellent")</f>
        <v>Low</v>
      </c>
      <c r="AA571" s="16" t="str">
        <f>Data_Validation!N569</f>
        <v>Pass</v>
      </c>
    </row>
    <row r="572" spans="1:27" x14ac:dyDescent="0.35">
      <c r="A572" s="17" t="s">
        <v>85</v>
      </c>
      <c r="B572" s="3" t="s">
        <v>48</v>
      </c>
      <c r="C572" s="3" t="s">
        <v>36</v>
      </c>
      <c r="D572" s="3" t="s">
        <v>63</v>
      </c>
      <c r="E572" s="3" t="s">
        <v>38</v>
      </c>
      <c r="F572" s="3">
        <v>25391.47</v>
      </c>
      <c r="G572" s="3">
        <v>959648</v>
      </c>
      <c r="H572" s="3">
        <v>2525</v>
      </c>
      <c r="I572" s="3">
        <v>54487.67</v>
      </c>
      <c r="J572" s="3">
        <v>41</v>
      </c>
      <c r="K572" s="15">
        <f t="shared" si="88"/>
        <v>2.6311730968021606E-3</v>
      </c>
      <c r="L572" s="16">
        <f t="shared" si="98"/>
        <v>10.056027722772278</v>
      </c>
      <c r="M572" s="16">
        <f t="shared" si="89"/>
        <v>26.459149604855114</v>
      </c>
      <c r="N572" s="16">
        <f t="shared" si="90"/>
        <v>2.145904510451738</v>
      </c>
      <c r="O572" s="16">
        <f t="shared" si="91"/>
        <v>1.1459045104517382</v>
      </c>
      <c r="P572" s="1">
        <v>2024</v>
      </c>
      <c r="Q572" s="1" t="s">
        <v>45</v>
      </c>
      <c r="R572" s="1" t="s">
        <v>46</v>
      </c>
      <c r="S572" s="70">
        <f>DATE(Table2[[#This Row],[Year]],MONTH(DATEVALUE("1-"&amp;Table2[[#This Row],[Month]]&amp;"-2000")),1)</f>
        <v>45413</v>
      </c>
      <c r="T572" s="16">
        <f t="shared" si="92"/>
        <v>21.579275247524752</v>
      </c>
      <c r="U572" s="16">
        <f t="shared" si="93"/>
        <v>5.6778808479775913E-2</v>
      </c>
      <c r="V572" s="16">
        <f t="shared" si="94"/>
        <v>619.30414634146348</v>
      </c>
      <c r="W572" s="16">
        <f t="shared" si="95"/>
        <v>1328.9675609756098</v>
      </c>
      <c r="X572" s="16">
        <f t="shared" si="96"/>
        <v>61.585365853658537</v>
      </c>
      <c r="Y572" s="16">
        <f t="shared" si="97"/>
        <v>23406.048780487807</v>
      </c>
      <c r="Z572" s="7" t="str" cm="1">
        <f t="array" ref="Z572">_xlfn.IFS(K572&lt;2%,"Low",K572&lt;5%,"Medium",K572&lt;10%,"Good",K572&gt;10%,"Excellent")</f>
        <v>Low</v>
      </c>
      <c r="AA572" s="16" t="str">
        <f>Data_Validation!N570</f>
        <v>Pass</v>
      </c>
    </row>
    <row r="573" spans="1:27" x14ac:dyDescent="0.35">
      <c r="A573" s="17" t="s">
        <v>102</v>
      </c>
      <c r="B573" s="3" t="s">
        <v>35</v>
      </c>
      <c r="C573" s="3" t="s">
        <v>29</v>
      </c>
      <c r="D573" s="3" t="s">
        <v>63</v>
      </c>
      <c r="E573" s="3" t="s">
        <v>30</v>
      </c>
      <c r="F573" s="3">
        <v>27774.26</v>
      </c>
      <c r="G573" s="3">
        <v>362898</v>
      </c>
      <c r="H573" s="3">
        <v>24399</v>
      </c>
      <c r="I573" s="3">
        <v>172055.7</v>
      </c>
      <c r="J573" s="3">
        <v>36</v>
      </c>
      <c r="K573" s="15">
        <f t="shared" si="88"/>
        <v>6.7233768166261601E-2</v>
      </c>
      <c r="L573" s="16">
        <f t="shared" si="98"/>
        <v>1.1383359973769416</v>
      </c>
      <c r="M573" s="16">
        <f t="shared" si="89"/>
        <v>76.534618542951463</v>
      </c>
      <c r="N573" s="16">
        <f t="shared" si="90"/>
        <v>6.1947897081686429</v>
      </c>
      <c r="O573" s="16">
        <f t="shared" si="91"/>
        <v>5.1947897081686429</v>
      </c>
      <c r="P573" s="1">
        <v>2024</v>
      </c>
      <c r="Q573" s="1" t="s">
        <v>45</v>
      </c>
      <c r="R573" s="1" t="s">
        <v>46</v>
      </c>
      <c r="S573" s="70">
        <f>DATE(Table2[[#This Row],[Year]],MONTH(DATEVALUE("1-"&amp;Table2[[#This Row],[Month]]&amp;"-2000")),1)</f>
        <v>45413</v>
      </c>
      <c r="T573" s="16">
        <f t="shared" si="92"/>
        <v>7.0517521209885654</v>
      </c>
      <c r="U573" s="16">
        <f t="shared" si="93"/>
        <v>0.4741158672684887</v>
      </c>
      <c r="V573" s="16">
        <f t="shared" si="94"/>
        <v>771.50722222222214</v>
      </c>
      <c r="W573" s="16">
        <f t="shared" si="95"/>
        <v>4779.3250000000007</v>
      </c>
      <c r="X573" s="16">
        <f t="shared" si="96"/>
        <v>677.75</v>
      </c>
      <c r="Y573" s="16">
        <f t="shared" si="97"/>
        <v>10080.5</v>
      </c>
      <c r="Z573" s="7" t="str" cm="1">
        <f t="array" ref="Z573">_xlfn.IFS(K573&lt;2%,"Low",K573&lt;5%,"Medium",K573&lt;10%,"Good",K573&gt;10%,"Excellent")</f>
        <v>Good</v>
      </c>
      <c r="AA573" s="16" t="str">
        <f>Data_Validation!N571</f>
        <v>Pass</v>
      </c>
    </row>
    <row r="574" spans="1:27" x14ac:dyDescent="0.35">
      <c r="A574" s="17" t="s">
        <v>100</v>
      </c>
      <c r="B574" s="3" t="s">
        <v>19</v>
      </c>
      <c r="C574" s="3" t="s">
        <v>36</v>
      </c>
      <c r="D574" s="3" t="s">
        <v>21</v>
      </c>
      <c r="E574" s="3" t="s">
        <v>38</v>
      </c>
      <c r="F574" s="3">
        <v>1502.75</v>
      </c>
      <c r="G574" s="3">
        <v>485904</v>
      </c>
      <c r="H574" s="3">
        <v>2783</v>
      </c>
      <c r="I574" s="3">
        <v>58244.7</v>
      </c>
      <c r="J574" s="3">
        <v>24</v>
      </c>
      <c r="K574" s="15">
        <f t="shared" si="88"/>
        <v>5.727468800421482E-3</v>
      </c>
      <c r="L574" s="16">
        <f t="shared" si="98"/>
        <v>0.53997484728710021</v>
      </c>
      <c r="M574" s="16">
        <f t="shared" si="89"/>
        <v>3.0926890908492215</v>
      </c>
      <c r="N574" s="16">
        <f t="shared" si="90"/>
        <v>38.758742305772749</v>
      </c>
      <c r="O574" s="16">
        <f t="shared" si="91"/>
        <v>37.758742305772749</v>
      </c>
      <c r="P574" s="1">
        <v>2024</v>
      </c>
      <c r="Q574" s="1" t="s">
        <v>45</v>
      </c>
      <c r="R574" s="1" t="s">
        <v>46</v>
      </c>
      <c r="S574" s="70">
        <f>DATE(Table2[[#This Row],[Year]],MONTH(DATEVALUE("1-"&amp;Table2[[#This Row],[Month]]&amp;"-2000")),1)</f>
        <v>45413</v>
      </c>
      <c r="T574" s="16">
        <f t="shared" si="92"/>
        <v>20.928745957599713</v>
      </c>
      <c r="U574" s="16">
        <f t="shared" si="93"/>
        <v>0.11986873950409957</v>
      </c>
      <c r="V574" s="16">
        <f t="shared" si="94"/>
        <v>62.614583333333336</v>
      </c>
      <c r="W574" s="16">
        <f t="shared" si="95"/>
        <v>2426.8624999999997</v>
      </c>
      <c r="X574" s="16">
        <f t="shared" si="96"/>
        <v>115.95833333333333</v>
      </c>
      <c r="Y574" s="16">
        <f t="shared" si="97"/>
        <v>20246</v>
      </c>
      <c r="Z574" s="7" t="str" cm="1">
        <f t="array" ref="Z574">_xlfn.IFS(K574&lt;2%,"Low",K574&lt;5%,"Medium",K574&lt;10%,"Good",K574&gt;10%,"Excellent")</f>
        <v>Low</v>
      </c>
      <c r="AA574" s="16" t="str">
        <f>Data_Validation!N572</f>
        <v>Pass</v>
      </c>
    </row>
    <row r="575" spans="1:27" x14ac:dyDescent="0.35">
      <c r="A575" s="17" t="s">
        <v>92</v>
      </c>
      <c r="B575" s="3" t="s">
        <v>48</v>
      </c>
      <c r="C575" s="3" t="s">
        <v>29</v>
      </c>
      <c r="D575" s="3" t="s">
        <v>63</v>
      </c>
      <c r="E575" s="3" t="s">
        <v>38</v>
      </c>
      <c r="F575" s="3">
        <v>3618.68</v>
      </c>
      <c r="G575" s="3">
        <v>604639</v>
      </c>
      <c r="H575" s="3">
        <v>14031</v>
      </c>
      <c r="I575" s="3">
        <v>50481.32</v>
      </c>
      <c r="J575" s="3">
        <v>17</v>
      </c>
      <c r="K575" s="15">
        <f t="shared" si="88"/>
        <v>2.3205582173826036E-2</v>
      </c>
      <c r="L575" s="16">
        <f t="shared" si="98"/>
        <v>0.25790606514147246</v>
      </c>
      <c r="M575" s="16">
        <f t="shared" si="89"/>
        <v>5.9848603877685687</v>
      </c>
      <c r="N575" s="16">
        <f t="shared" si="90"/>
        <v>13.950202836393382</v>
      </c>
      <c r="O575" s="16">
        <f t="shared" si="91"/>
        <v>12.950202836393382</v>
      </c>
      <c r="P575" s="1">
        <v>2024</v>
      </c>
      <c r="Q575" s="1" t="s">
        <v>45</v>
      </c>
      <c r="R575" s="1" t="s">
        <v>46</v>
      </c>
      <c r="S575" s="70">
        <f>DATE(Table2[[#This Row],[Year]],MONTH(DATEVALUE("1-"&amp;Table2[[#This Row],[Month]]&amp;"-2000")),1)</f>
        <v>45413</v>
      </c>
      <c r="T575" s="16">
        <f t="shared" si="92"/>
        <v>3.5978419214596249</v>
      </c>
      <c r="U575" s="16">
        <f t="shared" si="93"/>
        <v>8.349001635686748E-2</v>
      </c>
      <c r="V575" s="16">
        <f t="shared" si="94"/>
        <v>212.86352941176469</v>
      </c>
      <c r="W575" s="16">
        <f t="shared" si="95"/>
        <v>2969.4894117647059</v>
      </c>
      <c r="X575" s="16">
        <f t="shared" si="96"/>
        <v>825.35294117647061</v>
      </c>
      <c r="Y575" s="16">
        <f t="shared" si="97"/>
        <v>35567</v>
      </c>
      <c r="Z575" s="7" t="str" cm="1">
        <f t="array" ref="Z575">_xlfn.IFS(K575&lt;2%,"Low",K575&lt;5%,"Medium",K575&lt;10%,"Good",K575&gt;10%,"Excellent")</f>
        <v>Medium</v>
      </c>
      <c r="AA575" s="16" t="str">
        <f>Data_Validation!N573</f>
        <v>Pass</v>
      </c>
    </row>
    <row r="576" spans="1:27" x14ac:dyDescent="0.35">
      <c r="A576" s="17" t="s">
        <v>86</v>
      </c>
      <c r="B576" s="3" t="s">
        <v>48</v>
      </c>
      <c r="C576" s="3" t="s">
        <v>58</v>
      </c>
      <c r="D576" s="3" t="s">
        <v>21</v>
      </c>
      <c r="E576" s="3" t="s">
        <v>22</v>
      </c>
      <c r="F576" s="3">
        <v>23572.26</v>
      </c>
      <c r="G576" s="3">
        <v>208667</v>
      </c>
      <c r="H576" s="3">
        <v>9271</v>
      </c>
      <c r="I576" s="3">
        <v>13746.08</v>
      </c>
      <c r="J576" s="3">
        <v>11</v>
      </c>
      <c r="K576" s="15">
        <f t="shared" si="88"/>
        <v>4.4429641486195708E-2</v>
      </c>
      <c r="L576" s="16">
        <f t="shared" si="98"/>
        <v>2.5425800884478478</v>
      </c>
      <c r="M576" s="16">
        <f t="shared" si="89"/>
        <v>112.96592177967767</v>
      </c>
      <c r="N576" s="16">
        <f t="shared" si="90"/>
        <v>0.58314646113694657</v>
      </c>
      <c r="O576" s="16">
        <f t="shared" si="91"/>
        <v>-0.41685353886305337</v>
      </c>
      <c r="P576" s="1">
        <v>2024</v>
      </c>
      <c r="Q576" s="1" t="s">
        <v>45</v>
      </c>
      <c r="R576" s="1" t="s">
        <v>46</v>
      </c>
      <c r="S576" s="70">
        <f>DATE(Table2[[#This Row],[Year]],MONTH(DATEVALUE("1-"&amp;Table2[[#This Row],[Month]]&amp;"-2000")),1)</f>
        <v>45413</v>
      </c>
      <c r="T576" s="16">
        <f t="shared" si="92"/>
        <v>1.4826965807356272</v>
      </c>
      <c r="U576" s="16">
        <f t="shared" si="93"/>
        <v>6.587567751489215E-2</v>
      </c>
      <c r="V576" s="16">
        <f t="shared" si="94"/>
        <v>2142.9327272727273</v>
      </c>
      <c r="W576" s="16">
        <f t="shared" si="95"/>
        <v>1249.6436363636365</v>
      </c>
      <c r="X576" s="16">
        <f t="shared" si="96"/>
        <v>842.81818181818187</v>
      </c>
      <c r="Y576" s="16">
        <f t="shared" si="97"/>
        <v>18969.727272727272</v>
      </c>
      <c r="Z576" s="7" t="str" cm="1">
        <f t="array" ref="Z576">_xlfn.IFS(K576&lt;2%,"Low",K576&lt;5%,"Medium",K576&lt;10%,"Good",K576&gt;10%,"Excellent")</f>
        <v>Medium</v>
      </c>
      <c r="AA576" s="16" t="str">
        <f>Data_Validation!N574</f>
        <v>Pass</v>
      </c>
    </row>
    <row r="577" spans="1:27" x14ac:dyDescent="0.35">
      <c r="A577" s="17" t="s">
        <v>85</v>
      </c>
      <c r="B577" s="3" t="s">
        <v>19</v>
      </c>
      <c r="C577" s="3" t="s">
        <v>20</v>
      </c>
      <c r="D577" s="3" t="s">
        <v>59</v>
      </c>
      <c r="E577" s="3" t="s">
        <v>22</v>
      </c>
      <c r="F577" s="3">
        <v>5835.85</v>
      </c>
      <c r="G577" s="3">
        <v>303243</v>
      </c>
      <c r="H577" s="3">
        <v>39169</v>
      </c>
      <c r="I577" s="3">
        <v>176790.02</v>
      </c>
      <c r="J577" s="3">
        <v>19</v>
      </c>
      <c r="K577" s="15">
        <f t="shared" si="88"/>
        <v>0.12916703765626905</v>
      </c>
      <c r="L577" s="16">
        <f t="shared" si="98"/>
        <v>0.14899154943960785</v>
      </c>
      <c r="M577" s="16">
        <f t="shared" si="89"/>
        <v>19.2447970769317</v>
      </c>
      <c r="N577" s="16">
        <f t="shared" si="90"/>
        <v>30.293790964469611</v>
      </c>
      <c r="O577" s="16">
        <f t="shared" si="91"/>
        <v>29.293790964469611</v>
      </c>
      <c r="P577" s="1">
        <v>2024</v>
      </c>
      <c r="Q577" s="1" t="s">
        <v>45</v>
      </c>
      <c r="R577" s="1" t="s">
        <v>46</v>
      </c>
      <c r="S577" s="70">
        <f>DATE(Table2[[#This Row],[Year]],MONTH(DATEVALUE("1-"&amp;Table2[[#This Row],[Month]]&amp;"-2000")),1)</f>
        <v>45413</v>
      </c>
      <c r="T577" s="16">
        <f t="shared" si="92"/>
        <v>4.5135188541959197</v>
      </c>
      <c r="U577" s="16">
        <f t="shared" si="93"/>
        <v>0.58299785980220475</v>
      </c>
      <c r="V577" s="16">
        <f t="shared" si="94"/>
        <v>307.15000000000003</v>
      </c>
      <c r="W577" s="16">
        <f t="shared" si="95"/>
        <v>9304.7378947368416</v>
      </c>
      <c r="X577" s="16">
        <f t="shared" si="96"/>
        <v>2061.5263157894738</v>
      </c>
      <c r="Y577" s="16">
        <f t="shared" si="97"/>
        <v>15960.157894736842</v>
      </c>
      <c r="Z577" s="7" t="str" cm="1">
        <f t="array" ref="Z577">_xlfn.IFS(K577&lt;2%,"Low",K577&lt;5%,"Medium",K577&lt;10%,"Good",K577&gt;10%,"Excellent")</f>
        <v>Excellent</v>
      </c>
      <c r="AA577" s="16" t="str">
        <f>Data_Validation!N575</f>
        <v>Pass</v>
      </c>
    </row>
    <row r="578" spans="1:27" x14ac:dyDescent="0.35">
      <c r="A578" s="17" t="s">
        <v>120</v>
      </c>
      <c r="B578" s="3" t="s">
        <v>48</v>
      </c>
      <c r="C578" s="3" t="s">
        <v>69</v>
      </c>
      <c r="D578" s="3" t="s">
        <v>43</v>
      </c>
      <c r="E578" s="3" t="s">
        <v>30</v>
      </c>
      <c r="F578" s="3">
        <v>23776.58</v>
      </c>
      <c r="G578" s="3">
        <v>76412</v>
      </c>
      <c r="H578" s="3">
        <v>17245</v>
      </c>
      <c r="I578" s="3">
        <v>165468.51999999999</v>
      </c>
      <c r="J578" s="3">
        <v>13</v>
      </c>
      <c r="K578" s="15">
        <f t="shared" si="88"/>
        <v>0.22568444746898392</v>
      </c>
      <c r="L578" s="16">
        <f t="shared" si="98"/>
        <v>1.3787521020585678</v>
      </c>
      <c r="M578" s="16">
        <f t="shared" si="89"/>
        <v>311.16290634978799</v>
      </c>
      <c r="N578" s="16">
        <f t="shared" si="90"/>
        <v>6.9593070155590073</v>
      </c>
      <c r="O578" s="16">
        <f t="shared" si="91"/>
        <v>5.9593070155590073</v>
      </c>
      <c r="P578" s="1">
        <v>2024</v>
      </c>
      <c r="Q578" s="1" t="s">
        <v>45</v>
      </c>
      <c r="R578" s="1" t="s">
        <v>46</v>
      </c>
      <c r="S578" s="70">
        <f>DATE(Table2[[#This Row],[Year]],MONTH(DATEVALUE("1-"&amp;Table2[[#This Row],[Month]]&amp;"-2000")),1)</f>
        <v>45413</v>
      </c>
      <c r="T578" s="16">
        <f t="shared" si="92"/>
        <v>9.5951591765729187</v>
      </c>
      <c r="U578" s="16">
        <f t="shared" si="93"/>
        <v>2.1654781971418102</v>
      </c>
      <c r="V578" s="16">
        <f t="shared" si="94"/>
        <v>1828.9676923076925</v>
      </c>
      <c r="W578" s="16">
        <f t="shared" si="95"/>
        <v>12728.347692307692</v>
      </c>
      <c r="X578" s="16">
        <f t="shared" si="96"/>
        <v>1326.5384615384614</v>
      </c>
      <c r="Y578" s="16">
        <f t="shared" si="97"/>
        <v>5877.8461538461543</v>
      </c>
      <c r="Z578" s="7" t="str" cm="1">
        <f t="array" ref="Z578">_xlfn.IFS(K578&lt;2%,"Low",K578&lt;5%,"Medium",K578&lt;10%,"Good",K578&gt;10%,"Excellent")</f>
        <v>Excellent</v>
      </c>
      <c r="AA578" s="16" t="str">
        <f>Data_Validation!N576</f>
        <v>Pass</v>
      </c>
    </row>
    <row r="579" spans="1:27" x14ac:dyDescent="0.35">
      <c r="A579" s="17" t="s">
        <v>97</v>
      </c>
      <c r="B579" s="3" t="s">
        <v>48</v>
      </c>
      <c r="C579" s="3" t="s">
        <v>20</v>
      </c>
      <c r="D579" s="3" t="s">
        <v>43</v>
      </c>
      <c r="E579" s="3" t="s">
        <v>22</v>
      </c>
      <c r="F579" s="3">
        <v>1840.55</v>
      </c>
      <c r="G579" s="3">
        <v>868706</v>
      </c>
      <c r="H579" s="3">
        <v>1239</v>
      </c>
      <c r="I579" s="3">
        <v>143980.35</v>
      </c>
      <c r="J579" s="3">
        <v>61</v>
      </c>
      <c r="K579" s="15">
        <f t="shared" si="88"/>
        <v>1.4262592868012883E-3</v>
      </c>
      <c r="L579" s="16">
        <f t="shared" si="98"/>
        <v>1.4855125100887812</v>
      </c>
      <c r="M579" s="16">
        <f t="shared" si="89"/>
        <v>2.1187260131736165</v>
      </c>
      <c r="N579" s="16">
        <f t="shared" si="90"/>
        <v>78.226807204368271</v>
      </c>
      <c r="O579" s="16">
        <f t="shared" si="91"/>
        <v>77.226807204368271</v>
      </c>
      <c r="P579" s="1">
        <v>2024</v>
      </c>
      <c r="Q579" s="1" t="s">
        <v>45</v>
      </c>
      <c r="R579" s="1" t="s">
        <v>46</v>
      </c>
      <c r="S579" s="70">
        <f>DATE(Table2[[#This Row],[Year]],MONTH(DATEVALUE("1-"&amp;Table2[[#This Row],[Month]]&amp;"-2000")),1)</f>
        <v>45413</v>
      </c>
      <c r="T579" s="16">
        <f t="shared" si="92"/>
        <v>116.20690072639226</v>
      </c>
      <c r="U579" s="16">
        <f t="shared" si="93"/>
        <v>0.16574117135141234</v>
      </c>
      <c r="V579" s="16">
        <f t="shared" si="94"/>
        <v>30.172950819672131</v>
      </c>
      <c r="W579" s="16">
        <f t="shared" si="95"/>
        <v>2360.3336065573772</v>
      </c>
      <c r="X579" s="16">
        <f t="shared" si="96"/>
        <v>20.311475409836067</v>
      </c>
      <c r="Y579" s="16">
        <f t="shared" si="97"/>
        <v>14241.081967213115</v>
      </c>
      <c r="Z579" s="7" t="str" cm="1">
        <f t="array" ref="Z579">_xlfn.IFS(K579&lt;2%,"Low",K579&lt;5%,"Medium",K579&lt;10%,"Good",K579&gt;10%,"Excellent")</f>
        <v>Low</v>
      </c>
      <c r="AA579" s="16" t="str">
        <f>Data_Validation!N577</f>
        <v>Pass</v>
      </c>
    </row>
    <row r="580" spans="1:27" x14ac:dyDescent="0.35">
      <c r="A580" s="17" t="s">
        <v>112</v>
      </c>
      <c r="B580" s="3" t="s">
        <v>48</v>
      </c>
      <c r="C580" s="3" t="s">
        <v>69</v>
      </c>
      <c r="D580" s="3" t="s">
        <v>51</v>
      </c>
      <c r="E580" s="3" t="s">
        <v>30</v>
      </c>
      <c r="F580" s="3">
        <v>26356.51</v>
      </c>
      <c r="G580" s="3">
        <v>507635</v>
      </c>
      <c r="H580" s="3">
        <v>38561</v>
      </c>
      <c r="I580" s="3">
        <v>140076.76</v>
      </c>
      <c r="J580" s="3">
        <v>44</v>
      </c>
      <c r="K580" s="15">
        <f t="shared" si="88"/>
        <v>7.5962059353669467E-2</v>
      </c>
      <c r="L580" s="16">
        <f t="shared" si="98"/>
        <v>0.68350172454033864</v>
      </c>
      <c r="M580" s="16">
        <f t="shared" si="89"/>
        <v>51.920198567868638</v>
      </c>
      <c r="N580" s="16">
        <f t="shared" si="90"/>
        <v>5.3146930302987769</v>
      </c>
      <c r="O580" s="16">
        <f t="shared" si="91"/>
        <v>4.3146930302987769</v>
      </c>
      <c r="P580" s="1">
        <v>2024</v>
      </c>
      <c r="Q580" s="1" t="s">
        <v>45</v>
      </c>
      <c r="R580" s="1" t="s">
        <v>46</v>
      </c>
      <c r="S580" s="70">
        <f>DATE(Table2[[#This Row],[Year]],MONTH(DATEVALUE("1-"&amp;Table2[[#This Row],[Month]]&amp;"-2000")),1)</f>
        <v>45413</v>
      </c>
      <c r="T580" s="16">
        <f t="shared" si="92"/>
        <v>3.6326018516117324</v>
      </c>
      <c r="U580" s="16">
        <f t="shared" si="93"/>
        <v>0.27593991746037999</v>
      </c>
      <c r="V580" s="16">
        <f t="shared" si="94"/>
        <v>599.01159090909084</v>
      </c>
      <c r="W580" s="16">
        <f t="shared" si="95"/>
        <v>3183.5627272727274</v>
      </c>
      <c r="X580" s="16">
        <f t="shared" si="96"/>
        <v>876.38636363636363</v>
      </c>
      <c r="Y580" s="16">
        <f t="shared" si="97"/>
        <v>11537.15909090909</v>
      </c>
      <c r="Z580" s="7" t="str" cm="1">
        <f t="array" ref="Z580">_xlfn.IFS(K580&lt;2%,"Low",K580&lt;5%,"Medium",K580&lt;10%,"Good",K580&gt;10%,"Excellent")</f>
        <v>Good</v>
      </c>
      <c r="AA580" s="16" t="str">
        <f>Data_Validation!N578</f>
        <v>Pass</v>
      </c>
    </row>
    <row r="581" spans="1:27" x14ac:dyDescent="0.35">
      <c r="A581" s="17" t="s">
        <v>71</v>
      </c>
      <c r="B581" s="3" t="s">
        <v>19</v>
      </c>
      <c r="C581" s="3" t="s">
        <v>36</v>
      </c>
      <c r="D581" s="3" t="s">
        <v>63</v>
      </c>
      <c r="E581" s="3" t="s">
        <v>22</v>
      </c>
      <c r="F581" s="3">
        <v>31733.23</v>
      </c>
      <c r="G581" s="3">
        <v>687278</v>
      </c>
      <c r="H581" s="3">
        <v>46751</v>
      </c>
      <c r="I581" s="3">
        <v>125251.23</v>
      </c>
      <c r="J581" s="3">
        <v>41</v>
      </c>
      <c r="K581" s="15">
        <f t="shared" si="88"/>
        <v>6.8023419926143427E-2</v>
      </c>
      <c r="L581" s="16">
        <f t="shared" si="98"/>
        <v>0.6787711492802293</v>
      </c>
      <c r="M581" s="16">
        <f t="shared" si="89"/>
        <v>46.172334921240022</v>
      </c>
      <c r="N581" s="16">
        <f t="shared" si="90"/>
        <v>3.9470053946604238</v>
      </c>
      <c r="O581" s="16">
        <f t="shared" si="91"/>
        <v>2.9470053946604238</v>
      </c>
      <c r="P581" s="1">
        <v>2024</v>
      </c>
      <c r="Q581" s="1" t="s">
        <v>45</v>
      </c>
      <c r="R581" s="1" t="s">
        <v>46</v>
      </c>
      <c r="S581" s="70">
        <f>DATE(Table2[[#This Row],[Year]],MONTH(DATEVALUE("1-"&amp;Table2[[#This Row],[Month]]&amp;"-2000")),1)</f>
        <v>45413</v>
      </c>
      <c r="T581" s="16">
        <f t="shared" si="92"/>
        <v>2.6791133879489206</v>
      </c>
      <c r="U581" s="16">
        <f t="shared" si="93"/>
        <v>0.18224245501820224</v>
      </c>
      <c r="V581" s="16">
        <f t="shared" si="94"/>
        <v>773.98121951219514</v>
      </c>
      <c r="W581" s="16">
        <f t="shared" si="95"/>
        <v>3054.9080487804877</v>
      </c>
      <c r="X581" s="16">
        <f t="shared" si="96"/>
        <v>1140.2682926829268</v>
      </c>
      <c r="Y581" s="16">
        <f t="shared" si="97"/>
        <v>16762.878048780487</v>
      </c>
      <c r="Z581" s="7" t="str" cm="1">
        <f t="array" ref="Z581">_xlfn.IFS(K581&lt;2%,"Low",K581&lt;5%,"Medium",K581&lt;10%,"Good",K581&gt;10%,"Excellent")</f>
        <v>Good</v>
      </c>
      <c r="AA581" s="16" t="str">
        <f>Data_Validation!N579</f>
        <v>Pass</v>
      </c>
    </row>
    <row r="582" spans="1:27" x14ac:dyDescent="0.35">
      <c r="A582" s="17" t="s">
        <v>67</v>
      </c>
      <c r="B582" s="3" t="s">
        <v>19</v>
      </c>
      <c r="C582" s="3" t="s">
        <v>36</v>
      </c>
      <c r="D582" s="3" t="s">
        <v>51</v>
      </c>
      <c r="E582" s="3" t="s">
        <v>38</v>
      </c>
      <c r="F582" s="3">
        <v>2864.18</v>
      </c>
      <c r="G582" s="3">
        <v>882064</v>
      </c>
      <c r="H582" s="3">
        <v>20253</v>
      </c>
      <c r="I582" s="3">
        <v>63665.82</v>
      </c>
      <c r="J582" s="3">
        <v>7</v>
      </c>
      <c r="K582" s="15">
        <f t="shared" si="88"/>
        <v>2.2960918935587441E-2</v>
      </c>
      <c r="L582" s="16">
        <f t="shared" si="98"/>
        <v>0.14142003653779686</v>
      </c>
      <c r="M582" s="16">
        <f t="shared" si="89"/>
        <v>3.2471339948121676</v>
      </c>
      <c r="N582" s="16">
        <f t="shared" si="90"/>
        <v>22.228288724870644</v>
      </c>
      <c r="O582" s="16">
        <f t="shared" si="91"/>
        <v>21.228288724870644</v>
      </c>
      <c r="P582" s="1">
        <v>2024</v>
      </c>
      <c r="Q582" s="1" t="s">
        <v>45</v>
      </c>
      <c r="R582" s="1" t="s">
        <v>46</v>
      </c>
      <c r="S582" s="70">
        <f>DATE(Table2[[#This Row],[Year]],MONTH(DATEVALUE("1-"&amp;Table2[[#This Row],[Month]]&amp;"-2000")),1)</f>
        <v>45413</v>
      </c>
      <c r="T582" s="16">
        <f t="shared" si="92"/>
        <v>3.1435254036439044</v>
      </c>
      <c r="U582" s="16">
        <f t="shared" si="93"/>
        <v>7.2178231965027484E-2</v>
      </c>
      <c r="V582" s="16">
        <f t="shared" si="94"/>
        <v>409.1685714285714</v>
      </c>
      <c r="W582" s="16">
        <f t="shared" si="95"/>
        <v>9095.1171428571433</v>
      </c>
      <c r="X582" s="16">
        <f t="shared" si="96"/>
        <v>2893.2857142857142</v>
      </c>
      <c r="Y582" s="16">
        <f t="shared" si="97"/>
        <v>126009.14285714286</v>
      </c>
      <c r="Z582" s="7" t="str" cm="1">
        <f t="array" ref="Z582">_xlfn.IFS(K582&lt;2%,"Low",K582&lt;5%,"Medium",K582&lt;10%,"Good",K582&gt;10%,"Excellent")</f>
        <v>Medium</v>
      </c>
      <c r="AA582" s="16" t="str">
        <f>Data_Validation!N580</f>
        <v>Pass</v>
      </c>
    </row>
    <row r="583" spans="1:27" x14ac:dyDescent="0.35">
      <c r="A583" s="17" t="s">
        <v>79</v>
      </c>
      <c r="B583" s="3" t="s">
        <v>48</v>
      </c>
      <c r="C583" s="3" t="s">
        <v>20</v>
      </c>
      <c r="D583" s="3" t="s">
        <v>63</v>
      </c>
      <c r="E583" s="3" t="s">
        <v>22</v>
      </c>
      <c r="F583" s="3">
        <v>1195.46</v>
      </c>
      <c r="G583" s="3">
        <v>727552</v>
      </c>
      <c r="H583" s="3">
        <v>23162</v>
      </c>
      <c r="I583" s="3">
        <v>92067.64</v>
      </c>
      <c r="J583" s="3">
        <v>31</v>
      </c>
      <c r="K583" s="15">
        <f t="shared" si="88"/>
        <v>3.1835525158339199E-2</v>
      </c>
      <c r="L583" s="16">
        <f t="shared" si="98"/>
        <v>5.1612986788705642E-2</v>
      </c>
      <c r="M583" s="16">
        <f t="shared" si="89"/>
        <v>1.6431265394088672</v>
      </c>
      <c r="N583" s="16">
        <f t="shared" si="90"/>
        <v>77.0144044970137</v>
      </c>
      <c r="O583" s="16">
        <f t="shared" si="91"/>
        <v>76.0144044970137</v>
      </c>
      <c r="P583" s="1">
        <v>2024</v>
      </c>
      <c r="Q583" s="1" t="s">
        <v>45</v>
      </c>
      <c r="R583" s="1" t="s">
        <v>46</v>
      </c>
      <c r="S583" s="70">
        <f>DATE(Table2[[#This Row],[Year]],MONTH(DATEVALUE("1-"&amp;Table2[[#This Row],[Month]]&amp;"-2000")),1)</f>
        <v>45413</v>
      </c>
      <c r="T583" s="16">
        <f t="shared" si="92"/>
        <v>3.9749434418444003</v>
      </c>
      <c r="U583" s="16">
        <f t="shared" si="93"/>
        <v>0.12654441194581281</v>
      </c>
      <c r="V583" s="16">
        <f t="shared" si="94"/>
        <v>38.563225806451612</v>
      </c>
      <c r="W583" s="16">
        <f t="shared" si="95"/>
        <v>2969.923870967742</v>
      </c>
      <c r="X583" s="16">
        <f t="shared" si="96"/>
        <v>747.16129032258061</v>
      </c>
      <c r="Y583" s="16">
        <f t="shared" si="97"/>
        <v>23469.419354838708</v>
      </c>
      <c r="Z583" s="7" t="str" cm="1">
        <f t="array" ref="Z583">_xlfn.IFS(K583&lt;2%,"Low",K583&lt;5%,"Medium",K583&lt;10%,"Good",K583&gt;10%,"Excellent")</f>
        <v>Medium</v>
      </c>
      <c r="AA583" s="16" t="str">
        <f>Data_Validation!N581</f>
        <v>Pass</v>
      </c>
    </row>
    <row r="584" spans="1:27" x14ac:dyDescent="0.35">
      <c r="A584" s="17" t="s">
        <v>98</v>
      </c>
      <c r="B584" s="3" t="s">
        <v>48</v>
      </c>
      <c r="C584" s="3" t="s">
        <v>69</v>
      </c>
      <c r="D584" s="3" t="s">
        <v>43</v>
      </c>
      <c r="E584" s="3" t="s">
        <v>30</v>
      </c>
      <c r="F584" s="3">
        <v>4443.6000000000004</v>
      </c>
      <c r="G584" s="3">
        <v>94714</v>
      </c>
      <c r="H584" s="3">
        <v>21209</v>
      </c>
      <c r="I584" s="3">
        <v>154032.87</v>
      </c>
      <c r="J584" s="3">
        <v>51</v>
      </c>
      <c r="K584" s="15">
        <f t="shared" si="88"/>
        <v>0.22392676900986128</v>
      </c>
      <c r="L584" s="16">
        <f t="shared" si="98"/>
        <v>0.20951482861049556</v>
      </c>
      <c r="M584" s="16">
        <f t="shared" si="89"/>
        <v>46.91597863040311</v>
      </c>
      <c r="N584" s="16">
        <f t="shared" si="90"/>
        <v>34.663981906562242</v>
      </c>
      <c r="O584" s="16">
        <f t="shared" si="91"/>
        <v>33.663981906562242</v>
      </c>
      <c r="P584" s="1">
        <v>2024</v>
      </c>
      <c r="Q584" s="1" t="s">
        <v>45</v>
      </c>
      <c r="R584" s="1" t="s">
        <v>46</v>
      </c>
      <c r="S584" s="70">
        <f>DATE(Table2[[#This Row],[Year]],MONTH(DATEVALUE("1-"&amp;Table2[[#This Row],[Month]]&amp;"-2000")),1)</f>
        <v>45413</v>
      </c>
      <c r="T584" s="16">
        <f t="shared" si="92"/>
        <v>7.2626182281107079</v>
      </c>
      <c r="U584" s="16">
        <f t="shared" si="93"/>
        <v>1.6262946343729543</v>
      </c>
      <c r="V584" s="16">
        <f t="shared" si="94"/>
        <v>87.129411764705893</v>
      </c>
      <c r="W584" s="16">
        <f t="shared" si="95"/>
        <v>3020.2523529411765</v>
      </c>
      <c r="X584" s="16">
        <f t="shared" si="96"/>
        <v>415.86274509803923</v>
      </c>
      <c r="Y584" s="16">
        <f t="shared" si="97"/>
        <v>1857.1372549019609</v>
      </c>
      <c r="Z584" s="7" t="str" cm="1">
        <f t="array" ref="Z584">_xlfn.IFS(K584&lt;2%,"Low",K584&lt;5%,"Medium",K584&lt;10%,"Good",K584&gt;10%,"Excellent")</f>
        <v>Excellent</v>
      </c>
      <c r="AA584" s="16" t="str">
        <f>Data_Validation!N582</f>
        <v>Pass</v>
      </c>
    </row>
    <row r="585" spans="1:27" x14ac:dyDescent="0.35">
      <c r="A585" s="17" t="s">
        <v>57</v>
      </c>
      <c r="B585" s="3" t="s">
        <v>19</v>
      </c>
      <c r="C585" s="3" t="s">
        <v>29</v>
      </c>
      <c r="D585" s="3" t="s">
        <v>51</v>
      </c>
      <c r="E585" s="3" t="s">
        <v>38</v>
      </c>
      <c r="F585" s="3">
        <v>3204.82</v>
      </c>
      <c r="G585" s="3">
        <v>171177</v>
      </c>
      <c r="H585" s="3">
        <v>27016</v>
      </c>
      <c r="I585" s="3">
        <v>35341.449999999997</v>
      </c>
      <c r="J585" s="3">
        <v>18</v>
      </c>
      <c r="K585" s="15">
        <f t="shared" ref="K585:K648" si="99">H585/G585</f>
        <v>0.15782494143488904</v>
      </c>
      <c r="L585" s="16">
        <f t="shared" si="98"/>
        <v>0.1186267397098016</v>
      </c>
      <c r="M585" s="16">
        <f t="shared" ref="M585:M648" si="100">F585/G585*1000</f>
        <v>18.722258247311263</v>
      </c>
      <c r="N585" s="16">
        <f t="shared" ref="N585:N648" si="101">I585/F585</f>
        <v>11.027592813324928</v>
      </c>
      <c r="O585" s="16">
        <f t="shared" ref="O585:O648" si="102">(I585-F585)/F585</f>
        <v>10.027592813324928</v>
      </c>
      <c r="P585" s="1">
        <v>2024</v>
      </c>
      <c r="Q585" s="1" t="s">
        <v>45</v>
      </c>
      <c r="R585" s="1" t="s">
        <v>46</v>
      </c>
      <c r="S585" s="70">
        <f>DATE(Table2[[#This Row],[Year]],MONTH(DATEVALUE("1-"&amp;Table2[[#This Row],[Month]]&amp;"-2000")),1)</f>
        <v>45413</v>
      </c>
      <c r="T585" s="16">
        <f t="shared" ref="T585:T648" si="103">I585/H585</f>
        <v>1.308167382291975</v>
      </c>
      <c r="U585" s="16">
        <f t="shared" ref="U585:U648" si="104">I585/G585</f>
        <v>0.20646144049726306</v>
      </c>
      <c r="V585" s="16">
        <f t="shared" ref="V585:V648" si="105">F585/J585</f>
        <v>178.04555555555555</v>
      </c>
      <c r="W585" s="16">
        <f t="shared" ref="W585:W648" si="106">I585/J585</f>
        <v>1963.4138888888888</v>
      </c>
      <c r="X585" s="16">
        <f t="shared" ref="X585:X648" si="107">H585/J585</f>
        <v>1500.8888888888889</v>
      </c>
      <c r="Y585" s="16">
        <f t="shared" ref="Y585:Y648" si="108">G585/J585</f>
        <v>9509.8333333333339</v>
      </c>
      <c r="Z585" s="7" t="str" cm="1">
        <f t="array" ref="Z585">_xlfn.IFS(K585&lt;2%,"Low",K585&lt;5%,"Medium",K585&lt;10%,"Good",K585&gt;10%,"Excellent")</f>
        <v>Excellent</v>
      </c>
      <c r="AA585" s="16" t="str">
        <f>Data_Validation!N583</f>
        <v>Pass</v>
      </c>
    </row>
    <row r="586" spans="1:27" x14ac:dyDescent="0.35">
      <c r="A586" s="17" t="s">
        <v>91</v>
      </c>
      <c r="B586" s="3" t="s">
        <v>28</v>
      </c>
      <c r="C586" s="3" t="s">
        <v>36</v>
      </c>
      <c r="D586" s="3" t="s">
        <v>21</v>
      </c>
      <c r="E586" s="3" t="s">
        <v>22</v>
      </c>
      <c r="F586" s="3">
        <v>17729.38</v>
      </c>
      <c r="G586" s="3">
        <v>130671</v>
      </c>
      <c r="H586" s="3">
        <v>17748</v>
      </c>
      <c r="I586" s="3">
        <v>19854.830000000002</v>
      </c>
      <c r="J586" s="3">
        <v>38</v>
      </c>
      <c r="K586" s="15">
        <f t="shared" si="99"/>
        <v>0.13582202631035195</v>
      </c>
      <c r="L586" s="16">
        <f t="shared" ref="L586:L649" si="109">F586/H586</f>
        <v>0.99895086770340324</v>
      </c>
      <c r="M586" s="16">
        <f t="shared" si="100"/>
        <v>135.67953103596057</v>
      </c>
      <c r="N586" s="16">
        <f t="shared" si="101"/>
        <v>1.1198829287882599</v>
      </c>
      <c r="O586" s="16">
        <f t="shared" si="102"/>
        <v>0.11988292878825997</v>
      </c>
      <c r="P586" s="1">
        <v>2024</v>
      </c>
      <c r="Q586" s="1" t="s">
        <v>45</v>
      </c>
      <c r="R586" s="1" t="s">
        <v>46</v>
      </c>
      <c r="S586" s="70">
        <f>DATE(Table2[[#This Row],[Year]],MONTH(DATEVALUE("1-"&amp;Table2[[#This Row],[Month]]&amp;"-2000")),1)</f>
        <v>45413</v>
      </c>
      <c r="T586" s="16">
        <f t="shared" si="103"/>
        <v>1.1187080234392608</v>
      </c>
      <c r="U586" s="16">
        <f t="shared" si="104"/>
        <v>0.1519451905931691</v>
      </c>
      <c r="V586" s="16">
        <f t="shared" si="105"/>
        <v>466.56263157894739</v>
      </c>
      <c r="W586" s="16">
        <f t="shared" si="106"/>
        <v>522.49552631578956</v>
      </c>
      <c r="X586" s="16">
        <f t="shared" si="107"/>
        <v>467.05263157894734</v>
      </c>
      <c r="Y586" s="16">
        <f t="shared" si="108"/>
        <v>3438.7105263157896</v>
      </c>
      <c r="Z586" s="7" t="str" cm="1">
        <f t="array" ref="Z586">_xlfn.IFS(K586&lt;2%,"Low",K586&lt;5%,"Medium",K586&lt;10%,"Good",K586&gt;10%,"Excellent")</f>
        <v>Excellent</v>
      </c>
      <c r="AA586" s="16" t="str">
        <f>Data_Validation!N584</f>
        <v>Pass</v>
      </c>
    </row>
    <row r="587" spans="1:27" x14ac:dyDescent="0.35">
      <c r="A587" s="17" t="s">
        <v>103</v>
      </c>
      <c r="B587" s="3" t="s">
        <v>19</v>
      </c>
      <c r="C587" s="3" t="s">
        <v>69</v>
      </c>
      <c r="D587" s="3" t="s">
        <v>43</v>
      </c>
      <c r="E587" s="3" t="s">
        <v>22</v>
      </c>
      <c r="F587" s="3">
        <v>1207.23</v>
      </c>
      <c r="G587" s="3">
        <v>486663</v>
      </c>
      <c r="H587" s="3">
        <v>32431</v>
      </c>
      <c r="I587" s="3">
        <v>212924.72</v>
      </c>
      <c r="J587" s="3">
        <v>45</v>
      </c>
      <c r="K587" s="15">
        <f t="shared" si="99"/>
        <v>6.6639543174640353E-2</v>
      </c>
      <c r="L587" s="16">
        <f t="shared" si="109"/>
        <v>3.7224569085134593E-2</v>
      </c>
      <c r="M587" s="16">
        <f t="shared" si="100"/>
        <v>2.4806282787062095</v>
      </c>
      <c r="N587" s="16">
        <f t="shared" si="101"/>
        <v>176.37460964356418</v>
      </c>
      <c r="O587" s="16">
        <f t="shared" si="102"/>
        <v>175.37460964356418</v>
      </c>
      <c r="P587" s="1">
        <v>2024</v>
      </c>
      <c r="Q587" s="1" t="s">
        <v>45</v>
      </c>
      <c r="R587" s="1" t="s">
        <v>46</v>
      </c>
      <c r="S587" s="70">
        <f>DATE(Table2[[#This Row],[Year]],MONTH(DATEVALUE("1-"&amp;Table2[[#This Row],[Month]]&amp;"-2000")),1)</f>
        <v>45413</v>
      </c>
      <c r="T587" s="16">
        <f t="shared" si="103"/>
        <v>6.5654688415405014</v>
      </c>
      <c r="U587" s="16">
        <f t="shared" si="104"/>
        <v>0.43751984432759428</v>
      </c>
      <c r="V587" s="16">
        <f t="shared" si="105"/>
        <v>26.827333333333335</v>
      </c>
      <c r="W587" s="16">
        <f t="shared" si="106"/>
        <v>4731.6604444444447</v>
      </c>
      <c r="X587" s="16">
        <f t="shared" si="107"/>
        <v>720.68888888888887</v>
      </c>
      <c r="Y587" s="16">
        <f t="shared" si="108"/>
        <v>10814.733333333334</v>
      </c>
      <c r="Z587" s="7" t="str" cm="1">
        <f t="array" ref="Z587">_xlfn.IFS(K587&lt;2%,"Low",K587&lt;5%,"Medium",K587&lt;10%,"Good",K587&gt;10%,"Excellent")</f>
        <v>Good</v>
      </c>
      <c r="AA587" s="16" t="str">
        <f>Data_Validation!N585</f>
        <v>Pass</v>
      </c>
    </row>
    <row r="588" spans="1:27" x14ac:dyDescent="0.35">
      <c r="A588" s="17" t="s">
        <v>55</v>
      </c>
      <c r="B588" s="3" t="s">
        <v>28</v>
      </c>
      <c r="C588" s="3" t="s">
        <v>29</v>
      </c>
      <c r="D588" s="3" t="s">
        <v>43</v>
      </c>
      <c r="E588" s="3" t="s">
        <v>38</v>
      </c>
      <c r="F588" s="3">
        <v>10995.29</v>
      </c>
      <c r="G588" s="3">
        <v>781934</v>
      </c>
      <c r="H588" s="3">
        <v>20547</v>
      </c>
      <c r="I588" s="3">
        <v>173326.41</v>
      </c>
      <c r="J588" s="3">
        <v>13</v>
      </c>
      <c r="K588" s="15">
        <f t="shared" si="99"/>
        <v>2.6277153826282013E-2</v>
      </c>
      <c r="L588" s="16">
        <f t="shared" si="109"/>
        <v>0.53512872925487909</v>
      </c>
      <c r="M588" s="16">
        <f t="shared" si="100"/>
        <v>14.061659935493278</v>
      </c>
      <c r="N588" s="16">
        <f t="shared" si="101"/>
        <v>15.763696091690168</v>
      </c>
      <c r="O588" s="16">
        <f t="shared" si="102"/>
        <v>14.763696091690168</v>
      </c>
      <c r="P588" s="1">
        <v>2024</v>
      </c>
      <c r="Q588" s="1" t="s">
        <v>45</v>
      </c>
      <c r="R588" s="1" t="s">
        <v>46</v>
      </c>
      <c r="S588" s="70">
        <f>DATE(Table2[[#This Row],[Year]],MONTH(DATEVALUE("1-"&amp;Table2[[#This Row],[Month]]&amp;"-2000")),1)</f>
        <v>45413</v>
      </c>
      <c r="T588" s="16">
        <f t="shared" si="103"/>
        <v>8.4356066579062645</v>
      </c>
      <c r="U588" s="16">
        <f t="shared" si="104"/>
        <v>0.22166373376781162</v>
      </c>
      <c r="V588" s="16">
        <f t="shared" si="105"/>
        <v>845.79153846153849</v>
      </c>
      <c r="W588" s="16">
        <f t="shared" si="106"/>
        <v>13332.800769230769</v>
      </c>
      <c r="X588" s="16">
        <f t="shared" si="107"/>
        <v>1580.5384615384614</v>
      </c>
      <c r="Y588" s="16">
        <f t="shared" si="108"/>
        <v>60148.769230769234</v>
      </c>
      <c r="Z588" s="7" t="str" cm="1">
        <f t="array" ref="Z588">_xlfn.IFS(K588&lt;2%,"Low",K588&lt;5%,"Medium",K588&lt;10%,"Good",K588&gt;10%,"Excellent")</f>
        <v>Medium</v>
      </c>
      <c r="AA588" s="16" t="str">
        <f>Data_Validation!N586</f>
        <v>Pass</v>
      </c>
    </row>
    <row r="589" spans="1:27" x14ac:dyDescent="0.35">
      <c r="A589" s="17" t="s">
        <v>47</v>
      </c>
      <c r="B589" s="3" t="s">
        <v>19</v>
      </c>
      <c r="C589" s="3" t="s">
        <v>58</v>
      </c>
      <c r="D589" s="3" t="s">
        <v>59</v>
      </c>
      <c r="E589" s="3" t="s">
        <v>38</v>
      </c>
      <c r="F589" s="3">
        <v>34883.43</v>
      </c>
      <c r="G589" s="3">
        <v>503446</v>
      </c>
      <c r="H589" s="3">
        <v>18826</v>
      </c>
      <c r="I589" s="3">
        <v>136489.23000000001</v>
      </c>
      <c r="J589" s="3">
        <v>44</v>
      </c>
      <c r="K589" s="15">
        <f t="shared" si="99"/>
        <v>3.7394278631670524E-2</v>
      </c>
      <c r="L589" s="16">
        <f t="shared" si="109"/>
        <v>1.852939020503559</v>
      </c>
      <c r="M589" s="16">
        <f t="shared" si="100"/>
        <v>69.289318020204746</v>
      </c>
      <c r="N589" s="16">
        <f t="shared" si="101"/>
        <v>3.9127238921172607</v>
      </c>
      <c r="O589" s="16">
        <f t="shared" si="102"/>
        <v>2.9127238921172607</v>
      </c>
      <c r="P589" s="1">
        <v>2024</v>
      </c>
      <c r="Q589" s="1" t="s">
        <v>45</v>
      </c>
      <c r="R589" s="1" t="s">
        <v>46</v>
      </c>
      <c r="S589" s="70">
        <f>DATE(Table2[[#This Row],[Year]],MONTH(DATEVALUE("1-"&amp;Table2[[#This Row],[Month]]&amp;"-2000")),1)</f>
        <v>45413</v>
      </c>
      <c r="T589" s="16">
        <f t="shared" si="103"/>
        <v>7.2500387761606291</v>
      </c>
      <c r="U589" s="16">
        <f t="shared" si="104"/>
        <v>0.27110997008616616</v>
      </c>
      <c r="V589" s="16">
        <f t="shared" si="105"/>
        <v>792.80522727272728</v>
      </c>
      <c r="W589" s="16">
        <f t="shared" si="106"/>
        <v>3102.0279545454546</v>
      </c>
      <c r="X589" s="16">
        <f t="shared" si="107"/>
        <v>427.86363636363637</v>
      </c>
      <c r="Y589" s="16">
        <f t="shared" si="108"/>
        <v>11441.954545454546</v>
      </c>
      <c r="Z589" s="7" t="str" cm="1">
        <f t="array" ref="Z589">_xlfn.IFS(K589&lt;2%,"Low",K589&lt;5%,"Medium",K589&lt;10%,"Good",K589&gt;10%,"Excellent")</f>
        <v>Medium</v>
      </c>
      <c r="AA589" s="16" t="str">
        <f>Data_Validation!N587</f>
        <v>Pass</v>
      </c>
    </row>
    <row r="590" spans="1:27" x14ac:dyDescent="0.35">
      <c r="A590" s="17" t="s">
        <v>109</v>
      </c>
      <c r="B590" s="3" t="s">
        <v>48</v>
      </c>
      <c r="C590" s="3" t="s">
        <v>29</v>
      </c>
      <c r="D590" s="3" t="s">
        <v>51</v>
      </c>
      <c r="E590" s="3" t="s">
        <v>30</v>
      </c>
      <c r="F590" s="3">
        <v>16270.97</v>
      </c>
      <c r="G590" s="3">
        <v>859566</v>
      </c>
      <c r="H590" s="3">
        <v>21932</v>
      </c>
      <c r="I590" s="3">
        <v>42412.05</v>
      </c>
      <c r="J590" s="3">
        <v>24</v>
      </c>
      <c r="K590" s="15">
        <f t="shared" si="99"/>
        <v>2.5515201857681667E-2</v>
      </c>
      <c r="L590" s="16">
        <f t="shared" si="109"/>
        <v>0.74188263724238557</v>
      </c>
      <c r="M590" s="16">
        <f t="shared" si="100"/>
        <v>18.929285243948687</v>
      </c>
      <c r="N590" s="16">
        <f t="shared" si="101"/>
        <v>2.6066085795745431</v>
      </c>
      <c r="O590" s="16">
        <f t="shared" si="102"/>
        <v>1.6066085795745431</v>
      </c>
      <c r="P590" s="1">
        <v>2024</v>
      </c>
      <c r="Q590" s="1" t="s">
        <v>45</v>
      </c>
      <c r="R590" s="1" t="s">
        <v>46</v>
      </c>
      <c r="S590" s="70">
        <f>DATE(Table2[[#This Row],[Year]],MONTH(DATEVALUE("1-"&amp;Table2[[#This Row],[Month]]&amp;"-2000")),1)</f>
        <v>45413</v>
      </c>
      <c r="T590" s="16">
        <f t="shared" si="103"/>
        <v>1.9337976472733907</v>
      </c>
      <c r="U590" s="16">
        <f t="shared" si="104"/>
        <v>4.9341237322090455E-2</v>
      </c>
      <c r="V590" s="16">
        <f t="shared" si="105"/>
        <v>677.95708333333334</v>
      </c>
      <c r="W590" s="16">
        <f t="shared" si="106"/>
        <v>1767.16875</v>
      </c>
      <c r="X590" s="16">
        <f t="shared" si="107"/>
        <v>913.83333333333337</v>
      </c>
      <c r="Y590" s="16">
        <f t="shared" si="108"/>
        <v>35815.25</v>
      </c>
      <c r="Z590" s="7" t="str" cm="1">
        <f t="array" ref="Z590">_xlfn.IFS(K590&lt;2%,"Low",K590&lt;5%,"Medium",K590&lt;10%,"Good",K590&gt;10%,"Excellent")</f>
        <v>Medium</v>
      </c>
      <c r="AA590" s="16" t="str">
        <f>Data_Validation!N588</f>
        <v>Pass</v>
      </c>
    </row>
    <row r="591" spans="1:27" x14ac:dyDescent="0.35">
      <c r="A591" s="17" t="s">
        <v>97</v>
      </c>
      <c r="B591" s="3" t="s">
        <v>19</v>
      </c>
      <c r="C591" s="3" t="s">
        <v>36</v>
      </c>
      <c r="D591" s="3" t="s">
        <v>59</v>
      </c>
      <c r="E591" s="3" t="s">
        <v>30</v>
      </c>
      <c r="F591" s="3">
        <v>2366.6799999999998</v>
      </c>
      <c r="G591" s="3">
        <v>677837</v>
      </c>
      <c r="H591" s="3">
        <v>18973</v>
      </c>
      <c r="I591" s="3">
        <v>177934.07</v>
      </c>
      <c r="J591" s="3">
        <v>19</v>
      </c>
      <c r="K591" s="15">
        <f t="shared" si="99"/>
        <v>2.7990505091932131E-2</v>
      </c>
      <c r="L591" s="16">
        <f t="shared" si="109"/>
        <v>0.12473936646813892</v>
      </c>
      <c r="M591" s="16">
        <f t="shared" si="100"/>
        <v>3.4915178722908307</v>
      </c>
      <c r="N591" s="16">
        <f t="shared" si="101"/>
        <v>75.182986293034972</v>
      </c>
      <c r="O591" s="16">
        <f t="shared" si="102"/>
        <v>74.182986293034986</v>
      </c>
      <c r="P591" s="1">
        <v>2024</v>
      </c>
      <c r="Q591" s="1" t="s">
        <v>45</v>
      </c>
      <c r="R591" s="1" t="s">
        <v>46</v>
      </c>
      <c r="S591" s="70">
        <f>DATE(Table2[[#This Row],[Year]],MONTH(DATEVALUE("1-"&amp;Table2[[#This Row],[Month]]&amp;"-2000")),1)</f>
        <v>45413</v>
      </c>
      <c r="T591" s="16">
        <f t="shared" si="103"/>
        <v>9.3782780793759564</v>
      </c>
      <c r="U591" s="16">
        <f t="shared" si="104"/>
        <v>0.26250274033432819</v>
      </c>
      <c r="V591" s="16">
        <f t="shared" si="105"/>
        <v>124.56210526315789</v>
      </c>
      <c r="W591" s="16">
        <f t="shared" si="106"/>
        <v>9364.9510526315789</v>
      </c>
      <c r="X591" s="16">
        <f t="shared" si="107"/>
        <v>998.57894736842104</v>
      </c>
      <c r="Y591" s="16">
        <f t="shared" si="108"/>
        <v>35675.631578947367</v>
      </c>
      <c r="Z591" s="7" t="str" cm="1">
        <f t="array" ref="Z591">_xlfn.IFS(K591&lt;2%,"Low",K591&lt;5%,"Medium",K591&lt;10%,"Good",K591&gt;10%,"Excellent")</f>
        <v>Medium</v>
      </c>
      <c r="AA591" s="16" t="str">
        <f>Data_Validation!N589</f>
        <v>Pass</v>
      </c>
    </row>
    <row r="592" spans="1:27" x14ac:dyDescent="0.35">
      <c r="A592" s="17" t="s">
        <v>90</v>
      </c>
      <c r="B592" s="3" t="s">
        <v>28</v>
      </c>
      <c r="C592" s="3" t="s">
        <v>29</v>
      </c>
      <c r="D592" s="3" t="s">
        <v>21</v>
      </c>
      <c r="E592" s="3" t="s">
        <v>22</v>
      </c>
      <c r="F592" s="3">
        <v>1969.53</v>
      </c>
      <c r="G592" s="3">
        <v>855872</v>
      </c>
      <c r="H592" s="3">
        <v>20639</v>
      </c>
      <c r="I592" s="3">
        <v>85675.05</v>
      </c>
      <c r="J592" s="3">
        <v>11</v>
      </c>
      <c r="K592" s="15">
        <f t="shared" si="99"/>
        <v>2.4114587227996708E-2</v>
      </c>
      <c r="L592" s="16">
        <f t="shared" si="109"/>
        <v>9.5427588545956676E-2</v>
      </c>
      <c r="M592" s="16">
        <f t="shared" si="100"/>
        <v>2.3011969079488521</v>
      </c>
      <c r="N592" s="16">
        <f t="shared" si="101"/>
        <v>43.500251328997273</v>
      </c>
      <c r="O592" s="16">
        <f t="shared" si="102"/>
        <v>42.50025132899728</v>
      </c>
      <c r="P592" s="1">
        <v>2024</v>
      </c>
      <c r="Q592" s="1" t="s">
        <v>45</v>
      </c>
      <c r="R592" s="1" t="s">
        <v>46</v>
      </c>
      <c r="S592" s="70">
        <f>DATE(Table2[[#This Row],[Year]],MONTH(DATEVALUE("1-"&amp;Table2[[#This Row],[Month]]&amp;"-2000")),1)</f>
        <v>45413</v>
      </c>
      <c r="T592" s="16">
        <f t="shared" si="103"/>
        <v>4.1511240854692577</v>
      </c>
      <c r="U592" s="16">
        <f t="shared" si="104"/>
        <v>0.10010264385328647</v>
      </c>
      <c r="V592" s="16">
        <f t="shared" si="105"/>
        <v>179.0481818181818</v>
      </c>
      <c r="W592" s="16">
        <f t="shared" si="106"/>
        <v>7788.6409090909092</v>
      </c>
      <c r="X592" s="16">
        <f t="shared" si="107"/>
        <v>1876.2727272727273</v>
      </c>
      <c r="Y592" s="16">
        <f t="shared" si="108"/>
        <v>77806.545454545456</v>
      </c>
      <c r="Z592" s="7" t="str" cm="1">
        <f t="array" ref="Z592">_xlfn.IFS(K592&lt;2%,"Low",K592&lt;5%,"Medium",K592&lt;10%,"Good",K592&gt;10%,"Excellent")</f>
        <v>Medium</v>
      </c>
      <c r="AA592" s="16" t="str">
        <f>Data_Validation!N590</f>
        <v>Pass</v>
      </c>
    </row>
    <row r="593" spans="1:27" x14ac:dyDescent="0.35">
      <c r="A593" s="17" t="s">
        <v>84</v>
      </c>
      <c r="B593" s="3" t="s">
        <v>35</v>
      </c>
      <c r="C593" s="3" t="s">
        <v>36</v>
      </c>
      <c r="D593" s="3" t="s">
        <v>21</v>
      </c>
      <c r="E593" s="3" t="s">
        <v>30</v>
      </c>
      <c r="F593" s="3">
        <v>3618.11</v>
      </c>
      <c r="G593" s="3">
        <v>568453</v>
      </c>
      <c r="H593" s="3">
        <v>46215</v>
      </c>
      <c r="I593" s="3">
        <v>61377.13</v>
      </c>
      <c r="J593" s="3">
        <v>53</v>
      </c>
      <c r="K593" s="15">
        <f t="shared" si="99"/>
        <v>8.1299597328187201E-2</v>
      </c>
      <c r="L593" s="16">
        <f t="shared" si="109"/>
        <v>7.8288650870929358E-2</v>
      </c>
      <c r="M593" s="16">
        <f t="shared" si="100"/>
        <v>6.3648357911735882</v>
      </c>
      <c r="N593" s="16">
        <f t="shared" si="101"/>
        <v>16.963865111895437</v>
      </c>
      <c r="O593" s="16">
        <f t="shared" si="102"/>
        <v>15.963865111895435</v>
      </c>
      <c r="P593" s="1">
        <v>2024</v>
      </c>
      <c r="Q593" s="1" t="s">
        <v>45</v>
      </c>
      <c r="R593" s="1" t="s">
        <v>46</v>
      </c>
      <c r="S593" s="70">
        <f>DATE(Table2[[#This Row],[Year]],MONTH(DATEVALUE("1-"&amp;Table2[[#This Row],[Month]]&amp;"-2000")),1)</f>
        <v>45413</v>
      </c>
      <c r="T593" s="16">
        <f t="shared" si="103"/>
        <v>1.3280781131667208</v>
      </c>
      <c r="U593" s="16">
        <f t="shared" si="104"/>
        <v>0.10797221582083302</v>
      </c>
      <c r="V593" s="16">
        <f t="shared" si="105"/>
        <v>68.266226415094337</v>
      </c>
      <c r="W593" s="16">
        <f t="shared" si="106"/>
        <v>1158.0590566037736</v>
      </c>
      <c r="X593" s="16">
        <f t="shared" si="107"/>
        <v>871.98113207547169</v>
      </c>
      <c r="Y593" s="16">
        <f t="shared" si="108"/>
        <v>10725.528301886792</v>
      </c>
      <c r="Z593" s="7" t="str" cm="1">
        <f t="array" ref="Z593">_xlfn.IFS(K593&lt;2%,"Low",K593&lt;5%,"Medium",K593&lt;10%,"Good",K593&gt;10%,"Excellent")</f>
        <v>Good</v>
      </c>
      <c r="AA593" s="16" t="str">
        <f>Data_Validation!N591</f>
        <v>Pass</v>
      </c>
    </row>
    <row r="594" spans="1:27" x14ac:dyDescent="0.35">
      <c r="A594" s="17" t="s">
        <v>79</v>
      </c>
      <c r="B594" s="3" t="s">
        <v>19</v>
      </c>
      <c r="C594" s="3" t="s">
        <v>36</v>
      </c>
      <c r="D594" s="3" t="s">
        <v>51</v>
      </c>
      <c r="E594" s="3" t="s">
        <v>30</v>
      </c>
      <c r="F594" s="3">
        <v>515.52</v>
      </c>
      <c r="G594" s="3">
        <v>643952</v>
      </c>
      <c r="H594" s="3">
        <v>44612</v>
      </c>
      <c r="I594" s="3">
        <v>85104.19</v>
      </c>
      <c r="J594" s="3">
        <v>49</v>
      </c>
      <c r="K594" s="15">
        <f t="shared" si="99"/>
        <v>6.9278455537058664E-2</v>
      </c>
      <c r="L594" s="16">
        <f t="shared" si="109"/>
        <v>1.1555635255088317E-2</v>
      </c>
      <c r="M594" s="16">
        <f t="shared" si="100"/>
        <v>0.80055656322210356</v>
      </c>
      <c r="N594" s="16">
        <f t="shared" si="101"/>
        <v>165.08416744258227</v>
      </c>
      <c r="O594" s="16">
        <f t="shared" si="102"/>
        <v>164.08416744258224</v>
      </c>
      <c r="P594" s="1">
        <v>2024</v>
      </c>
      <c r="Q594" s="1" t="s">
        <v>45</v>
      </c>
      <c r="R594" s="1" t="s">
        <v>46</v>
      </c>
      <c r="S594" s="70">
        <f>DATE(Table2[[#This Row],[Year]],MONTH(DATEVALUE("1-"&amp;Table2[[#This Row],[Month]]&amp;"-2000")),1)</f>
        <v>45413</v>
      </c>
      <c r="T594" s="16">
        <f t="shared" si="103"/>
        <v>1.9076524253564064</v>
      </c>
      <c r="U594" s="16">
        <f t="shared" si="104"/>
        <v>0.13215921373021591</v>
      </c>
      <c r="V594" s="16">
        <f t="shared" si="105"/>
        <v>10.520816326530612</v>
      </c>
      <c r="W594" s="16">
        <f t="shared" si="106"/>
        <v>1736.8202040816327</v>
      </c>
      <c r="X594" s="16">
        <f t="shared" si="107"/>
        <v>910.44897959183675</v>
      </c>
      <c r="Y594" s="16">
        <f t="shared" si="108"/>
        <v>13141.877551020409</v>
      </c>
      <c r="Z594" s="7" t="str" cm="1">
        <f t="array" ref="Z594">_xlfn.IFS(K594&lt;2%,"Low",K594&lt;5%,"Medium",K594&lt;10%,"Good",K594&gt;10%,"Excellent")</f>
        <v>Good</v>
      </c>
      <c r="AA594" s="16" t="str">
        <f>Data_Validation!N592</f>
        <v>Pass</v>
      </c>
    </row>
    <row r="595" spans="1:27" x14ac:dyDescent="0.35">
      <c r="A595" s="17" t="s">
        <v>67</v>
      </c>
      <c r="B595" s="3" t="s">
        <v>48</v>
      </c>
      <c r="C595" s="3" t="s">
        <v>20</v>
      </c>
      <c r="D595" s="3" t="s">
        <v>63</v>
      </c>
      <c r="E595" s="3" t="s">
        <v>22</v>
      </c>
      <c r="F595" s="3">
        <v>2973.5</v>
      </c>
      <c r="G595" s="3">
        <v>422344</v>
      </c>
      <c r="H595" s="3">
        <v>33224</v>
      </c>
      <c r="I595" s="3">
        <v>117021.51</v>
      </c>
      <c r="J595" s="3">
        <v>25</v>
      </c>
      <c r="K595" s="15">
        <f t="shared" si="99"/>
        <v>7.8665732199344612E-2</v>
      </c>
      <c r="L595" s="16">
        <f t="shared" si="109"/>
        <v>8.9498555261256926E-2</v>
      </c>
      <c r="M595" s="16">
        <f t="shared" si="100"/>
        <v>7.0404693804102818</v>
      </c>
      <c r="N595" s="16">
        <f t="shared" si="101"/>
        <v>39.354804102909029</v>
      </c>
      <c r="O595" s="16">
        <f t="shared" si="102"/>
        <v>38.354804102909029</v>
      </c>
      <c r="P595" s="1">
        <v>2024</v>
      </c>
      <c r="Q595" s="1" t="s">
        <v>45</v>
      </c>
      <c r="R595" s="1" t="s">
        <v>46</v>
      </c>
      <c r="S595" s="70">
        <f>DATE(Table2[[#This Row],[Year]],MONTH(DATEVALUE("1-"&amp;Table2[[#This Row],[Month]]&amp;"-2000")),1)</f>
        <v>45413</v>
      </c>
      <c r="T595" s="16">
        <f t="shared" si="103"/>
        <v>3.5221981098001445</v>
      </c>
      <c r="U595" s="16">
        <f t="shared" si="104"/>
        <v>0.27707629325857591</v>
      </c>
      <c r="V595" s="16">
        <f t="shared" si="105"/>
        <v>118.94</v>
      </c>
      <c r="W595" s="16">
        <f t="shared" si="106"/>
        <v>4680.8603999999996</v>
      </c>
      <c r="X595" s="16">
        <f t="shared" si="107"/>
        <v>1328.96</v>
      </c>
      <c r="Y595" s="16">
        <f t="shared" si="108"/>
        <v>16893.759999999998</v>
      </c>
      <c r="Z595" s="7" t="str" cm="1">
        <f t="array" ref="Z595">_xlfn.IFS(K595&lt;2%,"Low",K595&lt;5%,"Medium",K595&lt;10%,"Good",K595&gt;10%,"Excellent")</f>
        <v>Good</v>
      </c>
      <c r="AA595" s="16" t="str">
        <f>Data_Validation!N593</f>
        <v>Pass</v>
      </c>
    </row>
    <row r="596" spans="1:27" x14ac:dyDescent="0.35">
      <c r="A596" s="17" t="s">
        <v>101</v>
      </c>
      <c r="B596" s="3" t="s">
        <v>35</v>
      </c>
      <c r="C596" s="3" t="s">
        <v>69</v>
      </c>
      <c r="D596" s="3" t="s">
        <v>37</v>
      </c>
      <c r="E596" s="3" t="s">
        <v>22</v>
      </c>
      <c r="F596" s="3">
        <v>4936.55</v>
      </c>
      <c r="G596" s="3">
        <v>319967</v>
      </c>
      <c r="H596" s="3">
        <v>10682</v>
      </c>
      <c r="I596" s="3">
        <v>21699.65</v>
      </c>
      <c r="J596" s="3">
        <v>12</v>
      </c>
      <c r="K596" s="15">
        <f t="shared" si="99"/>
        <v>3.3384692796444633E-2</v>
      </c>
      <c r="L596" s="16">
        <f t="shared" si="109"/>
        <v>0.46213724021718783</v>
      </c>
      <c r="M596" s="16">
        <f t="shared" si="100"/>
        <v>15.428309794447552</v>
      </c>
      <c r="N596" s="16">
        <f t="shared" si="101"/>
        <v>4.3957115799495599</v>
      </c>
      <c r="O596" s="16">
        <f t="shared" si="102"/>
        <v>3.3957115799495603</v>
      </c>
      <c r="P596" s="1">
        <v>2024</v>
      </c>
      <c r="Q596" s="1" t="s">
        <v>45</v>
      </c>
      <c r="R596" s="1" t="s">
        <v>46</v>
      </c>
      <c r="S596" s="70">
        <f>DATE(Table2[[#This Row],[Year]],MONTH(DATEVALUE("1-"&amp;Table2[[#This Row],[Month]]&amp;"-2000")),1)</f>
        <v>45413</v>
      </c>
      <c r="T596" s="16">
        <f t="shared" si="103"/>
        <v>2.031422018348624</v>
      </c>
      <c r="U596" s="16">
        <f t="shared" si="104"/>
        <v>6.781840002250232E-2</v>
      </c>
      <c r="V596" s="16">
        <f t="shared" si="105"/>
        <v>411.37916666666666</v>
      </c>
      <c r="W596" s="16">
        <f t="shared" si="106"/>
        <v>1808.3041666666668</v>
      </c>
      <c r="X596" s="16">
        <f t="shared" si="107"/>
        <v>890.16666666666663</v>
      </c>
      <c r="Y596" s="16">
        <f t="shared" si="108"/>
        <v>26663.916666666668</v>
      </c>
      <c r="Z596" s="7" t="str" cm="1">
        <f t="array" ref="Z596">_xlfn.IFS(K596&lt;2%,"Low",K596&lt;5%,"Medium",K596&lt;10%,"Good",K596&gt;10%,"Excellent")</f>
        <v>Medium</v>
      </c>
      <c r="AA596" s="16" t="str">
        <f>Data_Validation!N594</f>
        <v>Pass</v>
      </c>
    </row>
    <row r="597" spans="1:27" x14ac:dyDescent="0.35">
      <c r="A597" s="17" t="s">
        <v>117</v>
      </c>
      <c r="B597" s="3" t="s">
        <v>48</v>
      </c>
      <c r="C597" s="3" t="s">
        <v>20</v>
      </c>
      <c r="D597" s="3" t="s">
        <v>59</v>
      </c>
      <c r="E597" s="3" t="s">
        <v>30</v>
      </c>
      <c r="F597" s="3">
        <v>1829.78</v>
      </c>
      <c r="G597" s="3">
        <v>990741</v>
      </c>
      <c r="H597" s="3">
        <v>28464</v>
      </c>
      <c r="I597" s="3">
        <v>210509.95</v>
      </c>
      <c r="J597" s="3">
        <v>6</v>
      </c>
      <c r="K597" s="15">
        <f t="shared" si="99"/>
        <v>2.8730011173455021E-2</v>
      </c>
      <c r="L597" s="16">
        <f t="shared" si="109"/>
        <v>6.4284007869589654E-2</v>
      </c>
      <c r="M597" s="16">
        <f t="shared" si="100"/>
        <v>1.8468802643677813</v>
      </c>
      <c r="N597" s="16">
        <f t="shared" si="101"/>
        <v>115.04659030047328</v>
      </c>
      <c r="O597" s="16">
        <f t="shared" si="102"/>
        <v>114.04659030047328</v>
      </c>
      <c r="P597" s="1">
        <v>2024</v>
      </c>
      <c r="Q597" s="1" t="s">
        <v>45</v>
      </c>
      <c r="R597" s="1" t="s">
        <v>46</v>
      </c>
      <c r="S597" s="70">
        <f>DATE(Table2[[#This Row],[Year]],MONTH(DATEVALUE("1-"&amp;Table2[[#This Row],[Month]]&amp;"-2000")),1)</f>
        <v>45413</v>
      </c>
      <c r="T597" s="16">
        <f t="shared" si="103"/>
        <v>7.3956559162450821</v>
      </c>
      <c r="U597" s="16">
        <f t="shared" si="104"/>
        <v>0.21247727710874992</v>
      </c>
      <c r="V597" s="16">
        <f t="shared" si="105"/>
        <v>304.96333333333331</v>
      </c>
      <c r="W597" s="16">
        <f t="shared" si="106"/>
        <v>35084.991666666669</v>
      </c>
      <c r="X597" s="16">
        <f t="shared" si="107"/>
        <v>4744</v>
      </c>
      <c r="Y597" s="16">
        <f t="shared" si="108"/>
        <v>165123.5</v>
      </c>
      <c r="Z597" s="7" t="str" cm="1">
        <f t="array" ref="Z597">_xlfn.IFS(K597&lt;2%,"Low",K597&lt;5%,"Medium",K597&lt;10%,"Good",K597&gt;10%,"Excellent")</f>
        <v>Medium</v>
      </c>
      <c r="AA597" s="16" t="str">
        <f>Data_Validation!N595</f>
        <v>Pass</v>
      </c>
    </row>
    <row r="598" spans="1:27" x14ac:dyDescent="0.35">
      <c r="A598" s="17" t="s">
        <v>102</v>
      </c>
      <c r="B598" s="3" t="s">
        <v>19</v>
      </c>
      <c r="C598" s="3" t="s">
        <v>58</v>
      </c>
      <c r="D598" s="3" t="s">
        <v>37</v>
      </c>
      <c r="E598" s="3" t="s">
        <v>22</v>
      </c>
      <c r="F598" s="3">
        <v>47123.95</v>
      </c>
      <c r="G598" s="3">
        <v>27215</v>
      </c>
      <c r="H598" s="3">
        <v>2527</v>
      </c>
      <c r="I598" s="3">
        <v>88124.85</v>
      </c>
      <c r="J598" s="3">
        <v>40</v>
      </c>
      <c r="K598" s="15">
        <f t="shared" si="99"/>
        <v>9.2853205952599674E-2</v>
      </c>
      <c r="L598" s="16">
        <f t="shared" si="109"/>
        <v>18.648179659675503</v>
      </c>
      <c r="M598" s="16">
        <f t="shared" si="100"/>
        <v>1731.5432665809296</v>
      </c>
      <c r="N598" s="16">
        <f t="shared" si="101"/>
        <v>1.8700650094060454</v>
      </c>
      <c r="O598" s="16">
        <f t="shared" si="102"/>
        <v>0.87006500940604536</v>
      </c>
      <c r="P598" s="1">
        <v>2024</v>
      </c>
      <c r="Q598" s="1" t="s">
        <v>45</v>
      </c>
      <c r="R598" s="1" t="s">
        <v>46</v>
      </c>
      <c r="S598" s="70">
        <f>DATE(Table2[[#This Row],[Year]],MONTH(DATEVALUE("1-"&amp;Table2[[#This Row],[Month]]&amp;"-2000")),1)</f>
        <v>45413</v>
      </c>
      <c r="T598" s="16">
        <f t="shared" si="103"/>
        <v>34.873308270676695</v>
      </c>
      <c r="U598" s="16">
        <f t="shared" si="104"/>
        <v>3.2380984751056405</v>
      </c>
      <c r="V598" s="16">
        <f t="shared" si="105"/>
        <v>1178.0987499999999</v>
      </c>
      <c r="W598" s="16">
        <f t="shared" si="106"/>
        <v>2203.1212500000001</v>
      </c>
      <c r="X598" s="16">
        <f t="shared" si="107"/>
        <v>63.174999999999997</v>
      </c>
      <c r="Y598" s="16">
        <f t="shared" si="108"/>
        <v>680.375</v>
      </c>
      <c r="Z598" s="7" t="str" cm="1">
        <f t="array" ref="Z598">_xlfn.IFS(K598&lt;2%,"Low",K598&lt;5%,"Medium",K598&lt;10%,"Good",K598&gt;10%,"Excellent")</f>
        <v>Good</v>
      </c>
      <c r="AA598" s="16" t="str">
        <f>Data_Validation!N596</f>
        <v>Pass</v>
      </c>
    </row>
    <row r="599" spans="1:27" x14ac:dyDescent="0.35">
      <c r="A599" s="17" t="s">
        <v>106</v>
      </c>
      <c r="B599" s="3" t="s">
        <v>35</v>
      </c>
      <c r="C599" s="3" t="s">
        <v>69</v>
      </c>
      <c r="D599" s="3" t="s">
        <v>63</v>
      </c>
      <c r="E599" s="3" t="s">
        <v>30</v>
      </c>
      <c r="F599" s="3">
        <v>36442.15</v>
      </c>
      <c r="G599" s="3">
        <v>558706</v>
      </c>
      <c r="H599" s="3">
        <v>22474</v>
      </c>
      <c r="I599" s="3">
        <v>114632.65</v>
      </c>
      <c r="J599" s="3">
        <v>39</v>
      </c>
      <c r="K599" s="15">
        <f t="shared" si="99"/>
        <v>4.0225091550833536E-2</v>
      </c>
      <c r="L599" s="16">
        <f t="shared" si="109"/>
        <v>1.6215248731867937</v>
      </c>
      <c r="M599" s="16">
        <f t="shared" si="100"/>
        <v>65.225986475892512</v>
      </c>
      <c r="N599" s="16">
        <f t="shared" si="101"/>
        <v>3.1456061181900625</v>
      </c>
      <c r="O599" s="16">
        <f t="shared" si="102"/>
        <v>2.145606118190063</v>
      </c>
      <c r="P599" s="1">
        <v>2024</v>
      </c>
      <c r="Q599" s="1" t="s">
        <v>45</v>
      </c>
      <c r="R599" s="1" t="s">
        <v>46</v>
      </c>
      <c r="S599" s="70">
        <f>DATE(Table2[[#This Row],[Year]],MONTH(DATEVALUE("1-"&amp;Table2[[#This Row],[Month]]&amp;"-2000")),1)</f>
        <v>45413</v>
      </c>
      <c r="T599" s="16">
        <f t="shared" si="103"/>
        <v>5.1006785618937434</v>
      </c>
      <c r="U599" s="16">
        <f t="shared" si="104"/>
        <v>0.20517526212354975</v>
      </c>
      <c r="V599" s="16">
        <f t="shared" si="105"/>
        <v>934.41410256410256</v>
      </c>
      <c r="W599" s="16">
        <f t="shared" si="106"/>
        <v>2939.2987179487177</v>
      </c>
      <c r="X599" s="16">
        <f t="shared" si="107"/>
        <v>576.25641025641028</v>
      </c>
      <c r="Y599" s="16">
        <f t="shared" si="108"/>
        <v>14325.794871794871</v>
      </c>
      <c r="Z599" s="7" t="str" cm="1">
        <f t="array" ref="Z599">_xlfn.IFS(K599&lt;2%,"Low",K599&lt;5%,"Medium",K599&lt;10%,"Good",K599&gt;10%,"Excellent")</f>
        <v>Medium</v>
      </c>
      <c r="AA599" s="16" t="str">
        <f>Data_Validation!N597</f>
        <v>Pass</v>
      </c>
    </row>
    <row r="600" spans="1:27" x14ac:dyDescent="0.35">
      <c r="A600" s="17" t="s">
        <v>96</v>
      </c>
      <c r="B600" s="3" t="s">
        <v>28</v>
      </c>
      <c r="C600" s="3" t="s">
        <v>36</v>
      </c>
      <c r="D600" s="3" t="s">
        <v>43</v>
      </c>
      <c r="E600" s="3" t="s">
        <v>22</v>
      </c>
      <c r="F600" s="3">
        <v>20379.490000000002</v>
      </c>
      <c r="G600" s="3">
        <v>458443</v>
      </c>
      <c r="H600" s="3">
        <v>30675</v>
      </c>
      <c r="I600" s="3">
        <v>108023.89</v>
      </c>
      <c r="J600" s="3">
        <v>49</v>
      </c>
      <c r="K600" s="15">
        <f t="shared" si="99"/>
        <v>6.691126268696436E-2</v>
      </c>
      <c r="L600" s="16">
        <f t="shared" si="109"/>
        <v>0.66436805215973926</v>
      </c>
      <c r="M600" s="16">
        <f t="shared" si="100"/>
        <v>44.453705258887148</v>
      </c>
      <c r="N600" s="16">
        <f t="shared" si="101"/>
        <v>5.3006179251786962</v>
      </c>
      <c r="O600" s="16">
        <f t="shared" si="102"/>
        <v>4.3006179251786962</v>
      </c>
      <c r="P600" s="1">
        <v>2024</v>
      </c>
      <c r="Q600" s="1" t="s">
        <v>45</v>
      </c>
      <c r="R600" s="1" t="s">
        <v>46</v>
      </c>
      <c r="S600" s="70">
        <f>DATE(Table2[[#This Row],[Year]],MONTH(DATEVALUE("1-"&amp;Table2[[#This Row],[Month]]&amp;"-2000")),1)</f>
        <v>45413</v>
      </c>
      <c r="T600" s="16">
        <f t="shared" si="103"/>
        <v>3.5215612061939692</v>
      </c>
      <c r="U600" s="16">
        <f t="shared" si="104"/>
        <v>0.2356321069358677</v>
      </c>
      <c r="V600" s="16">
        <f t="shared" si="105"/>
        <v>415.90795918367348</v>
      </c>
      <c r="W600" s="16">
        <f t="shared" si="106"/>
        <v>2204.5691836734695</v>
      </c>
      <c r="X600" s="16">
        <f t="shared" si="107"/>
        <v>626.0204081632653</v>
      </c>
      <c r="Y600" s="16">
        <f t="shared" si="108"/>
        <v>9355.9795918367345</v>
      </c>
      <c r="Z600" s="7" t="str" cm="1">
        <f t="array" ref="Z600">_xlfn.IFS(K600&lt;2%,"Low",K600&lt;5%,"Medium",K600&lt;10%,"Good",K600&gt;10%,"Excellent")</f>
        <v>Good</v>
      </c>
      <c r="AA600" s="16" t="str">
        <f>Data_Validation!N598</f>
        <v>Pass</v>
      </c>
    </row>
    <row r="601" spans="1:27" x14ac:dyDescent="0.35">
      <c r="A601" s="17" t="s">
        <v>83</v>
      </c>
      <c r="B601" s="3" t="s">
        <v>28</v>
      </c>
      <c r="C601" s="3" t="s">
        <v>20</v>
      </c>
      <c r="D601" s="3" t="s">
        <v>59</v>
      </c>
      <c r="E601" s="3" t="s">
        <v>22</v>
      </c>
      <c r="F601" s="3">
        <v>12548.58</v>
      </c>
      <c r="G601" s="3">
        <v>338574</v>
      </c>
      <c r="H601" s="3">
        <v>13212</v>
      </c>
      <c r="I601" s="3">
        <v>106506.99</v>
      </c>
      <c r="J601" s="3">
        <v>57</v>
      </c>
      <c r="K601" s="15">
        <f t="shared" si="99"/>
        <v>3.9022488436796683E-2</v>
      </c>
      <c r="L601" s="16">
        <f t="shared" si="109"/>
        <v>0.9497865576748411</v>
      </c>
      <c r="M601" s="16">
        <f t="shared" si="100"/>
        <v>37.063034964291411</v>
      </c>
      <c r="N601" s="16">
        <f t="shared" si="101"/>
        <v>8.4875730959200162</v>
      </c>
      <c r="O601" s="16">
        <f t="shared" si="102"/>
        <v>7.4875730959200171</v>
      </c>
      <c r="P601" s="1">
        <v>2024</v>
      </c>
      <c r="Q601" s="1" t="s">
        <v>45</v>
      </c>
      <c r="R601" s="1" t="s">
        <v>46</v>
      </c>
      <c r="S601" s="70">
        <f>DATE(Table2[[#This Row],[Year]],MONTH(DATEVALUE("1-"&amp;Table2[[#This Row],[Month]]&amp;"-2000")),1)</f>
        <v>45413</v>
      </c>
      <c r="T601" s="16">
        <f t="shared" si="103"/>
        <v>8.0613828337874658</v>
      </c>
      <c r="U601" s="16">
        <f t="shared" si="104"/>
        <v>0.31457521841606267</v>
      </c>
      <c r="V601" s="16">
        <f t="shared" si="105"/>
        <v>220.15052631578948</v>
      </c>
      <c r="W601" s="16">
        <f t="shared" si="106"/>
        <v>1868.5436842105264</v>
      </c>
      <c r="X601" s="16">
        <f t="shared" si="107"/>
        <v>231.78947368421052</v>
      </c>
      <c r="Y601" s="16">
        <f t="shared" si="108"/>
        <v>5939.894736842105</v>
      </c>
      <c r="Z601" s="7" t="str" cm="1">
        <f t="array" ref="Z601">_xlfn.IFS(K601&lt;2%,"Low",K601&lt;5%,"Medium",K601&lt;10%,"Good",K601&gt;10%,"Excellent")</f>
        <v>Medium</v>
      </c>
      <c r="AA601" s="16" t="str">
        <f>Data_Validation!N599</f>
        <v>Pass</v>
      </c>
    </row>
    <row r="602" spans="1:27" x14ac:dyDescent="0.35">
      <c r="A602" s="17" t="s">
        <v>88</v>
      </c>
      <c r="B602" s="3" t="s">
        <v>19</v>
      </c>
      <c r="C602" s="3" t="s">
        <v>20</v>
      </c>
      <c r="D602" s="3" t="s">
        <v>51</v>
      </c>
      <c r="E602" s="3" t="s">
        <v>30</v>
      </c>
      <c r="F602" s="3">
        <v>12863.73</v>
      </c>
      <c r="G602" s="3">
        <v>480888</v>
      </c>
      <c r="H602" s="3">
        <v>9863</v>
      </c>
      <c r="I602" s="3">
        <v>217254.66</v>
      </c>
      <c r="J602" s="3">
        <v>46</v>
      </c>
      <c r="K602" s="15">
        <f t="shared" si="99"/>
        <v>2.0509973216216667E-2</v>
      </c>
      <c r="L602" s="16">
        <f t="shared" si="109"/>
        <v>1.3042411031126431</v>
      </c>
      <c r="M602" s="16">
        <f t="shared" si="100"/>
        <v>26.74995009232919</v>
      </c>
      <c r="N602" s="16">
        <f t="shared" si="101"/>
        <v>16.888931903887908</v>
      </c>
      <c r="O602" s="16">
        <f t="shared" si="102"/>
        <v>15.888931903887908</v>
      </c>
      <c r="P602" s="1">
        <v>2024</v>
      </c>
      <c r="Q602" s="1" t="s">
        <v>45</v>
      </c>
      <c r="R602" s="1" t="s">
        <v>46</v>
      </c>
      <c r="S602" s="70">
        <f>DATE(Table2[[#This Row],[Year]],MONTH(DATEVALUE("1-"&amp;Table2[[#This Row],[Month]]&amp;"-2000")),1)</f>
        <v>45413</v>
      </c>
      <c r="T602" s="16">
        <f t="shared" si="103"/>
        <v>22.027239176721078</v>
      </c>
      <c r="U602" s="16">
        <f t="shared" si="104"/>
        <v>0.45177808554174775</v>
      </c>
      <c r="V602" s="16">
        <f t="shared" si="105"/>
        <v>279.64630434782606</v>
      </c>
      <c r="W602" s="16">
        <f t="shared" si="106"/>
        <v>4722.927391304348</v>
      </c>
      <c r="X602" s="16">
        <f t="shared" si="107"/>
        <v>214.41304347826087</v>
      </c>
      <c r="Y602" s="16">
        <f t="shared" si="108"/>
        <v>10454.08695652174</v>
      </c>
      <c r="Z602" s="7" t="str" cm="1">
        <f t="array" ref="Z602">_xlfn.IFS(K602&lt;2%,"Low",K602&lt;5%,"Medium",K602&lt;10%,"Good",K602&gt;10%,"Excellent")</f>
        <v>Medium</v>
      </c>
      <c r="AA602" s="16" t="str">
        <f>Data_Validation!N600</f>
        <v>Pass</v>
      </c>
    </row>
    <row r="603" spans="1:27" x14ac:dyDescent="0.35">
      <c r="A603" s="17" t="s">
        <v>105</v>
      </c>
      <c r="B603" s="3" t="s">
        <v>28</v>
      </c>
      <c r="C603" s="3" t="s">
        <v>36</v>
      </c>
      <c r="D603" s="3" t="s">
        <v>63</v>
      </c>
      <c r="E603" s="3" t="s">
        <v>30</v>
      </c>
      <c r="F603" s="3">
        <v>33858.1</v>
      </c>
      <c r="G603" s="3">
        <v>869416</v>
      </c>
      <c r="H603" s="3">
        <v>31688</v>
      </c>
      <c r="I603" s="3">
        <v>9853.7099999999991</v>
      </c>
      <c r="J603" s="3">
        <v>45</v>
      </c>
      <c r="K603" s="15">
        <f t="shared" si="99"/>
        <v>3.6447454383172151E-2</v>
      </c>
      <c r="L603" s="16">
        <f t="shared" si="109"/>
        <v>1.068483337541025</v>
      </c>
      <c r="M603" s="16">
        <f t="shared" si="100"/>
        <v>38.943497704206038</v>
      </c>
      <c r="N603" s="16">
        <f t="shared" si="101"/>
        <v>0.29102962068160942</v>
      </c>
      <c r="O603" s="16">
        <f t="shared" si="102"/>
        <v>-0.70897037931839058</v>
      </c>
      <c r="P603" s="1">
        <v>2024</v>
      </c>
      <c r="Q603" s="1" t="s">
        <v>53</v>
      </c>
      <c r="R603" s="1" t="s">
        <v>46</v>
      </c>
      <c r="S603" s="70">
        <f>DATE(Table2[[#This Row],[Year]],MONTH(DATEVALUE("1-"&amp;Table2[[#This Row],[Month]]&amp;"-2000")),1)</f>
        <v>45444</v>
      </c>
      <c r="T603" s="16">
        <f t="shared" si="103"/>
        <v>0.31096030042918454</v>
      </c>
      <c r="U603" s="16">
        <f t="shared" si="104"/>
        <v>1.133371136487021E-2</v>
      </c>
      <c r="V603" s="16">
        <f t="shared" si="105"/>
        <v>752.40222222222224</v>
      </c>
      <c r="W603" s="16">
        <f t="shared" si="106"/>
        <v>218.97133333333332</v>
      </c>
      <c r="X603" s="16">
        <f t="shared" si="107"/>
        <v>704.17777777777781</v>
      </c>
      <c r="Y603" s="16">
        <f t="shared" si="108"/>
        <v>19320.355555555554</v>
      </c>
      <c r="Z603" s="7" t="str" cm="1">
        <f t="array" ref="Z603">_xlfn.IFS(K603&lt;2%,"Low",K603&lt;5%,"Medium",K603&lt;10%,"Good",K603&gt;10%,"Excellent")</f>
        <v>Medium</v>
      </c>
      <c r="AA603" s="16" t="str">
        <f>Data_Validation!N601</f>
        <v>Pass</v>
      </c>
    </row>
    <row r="604" spans="1:27" x14ac:dyDescent="0.35">
      <c r="A604" s="17" t="s">
        <v>79</v>
      </c>
      <c r="B604" s="3" t="s">
        <v>19</v>
      </c>
      <c r="C604" s="3" t="s">
        <v>20</v>
      </c>
      <c r="D604" s="3" t="s">
        <v>63</v>
      </c>
      <c r="E604" s="3" t="s">
        <v>30</v>
      </c>
      <c r="F604" s="3">
        <v>12378.01</v>
      </c>
      <c r="G604" s="3">
        <v>453601</v>
      </c>
      <c r="H604" s="3">
        <v>43233</v>
      </c>
      <c r="I604" s="3">
        <v>5020.96</v>
      </c>
      <c r="J604" s="3">
        <v>25</v>
      </c>
      <c r="K604" s="15">
        <f t="shared" si="99"/>
        <v>9.5310636440395849E-2</v>
      </c>
      <c r="L604" s="16">
        <f t="shared" si="109"/>
        <v>0.28630930076561883</v>
      </c>
      <c r="M604" s="16">
        <f t="shared" si="100"/>
        <v>27.288321674775851</v>
      </c>
      <c r="N604" s="16">
        <f t="shared" si="101"/>
        <v>0.40563547775450171</v>
      </c>
      <c r="O604" s="16">
        <f t="shared" si="102"/>
        <v>-0.59436452224549829</v>
      </c>
      <c r="P604" s="1">
        <v>2024</v>
      </c>
      <c r="Q604" s="1" t="s">
        <v>53</v>
      </c>
      <c r="R604" s="1" t="s">
        <v>46</v>
      </c>
      <c r="S604" s="70">
        <f>DATE(Table2[[#This Row],[Year]],MONTH(DATEVALUE("1-"&amp;Table2[[#This Row],[Month]]&amp;"-2000")),1)</f>
        <v>45444</v>
      </c>
      <c r="T604" s="16">
        <f t="shared" si="103"/>
        <v>0.11613721000161914</v>
      </c>
      <c r="U604" s="16">
        <f t="shared" si="104"/>
        <v>1.1069111399666227E-2</v>
      </c>
      <c r="V604" s="16">
        <f t="shared" si="105"/>
        <v>495.12040000000002</v>
      </c>
      <c r="W604" s="16">
        <f t="shared" si="106"/>
        <v>200.83840000000001</v>
      </c>
      <c r="X604" s="16">
        <f t="shared" si="107"/>
        <v>1729.32</v>
      </c>
      <c r="Y604" s="16">
        <f t="shared" si="108"/>
        <v>18144.04</v>
      </c>
      <c r="Z604" s="7" t="str" cm="1">
        <f t="array" ref="Z604">_xlfn.IFS(K604&lt;2%,"Low",K604&lt;5%,"Medium",K604&lt;10%,"Good",K604&gt;10%,"Excellent")</f>
        <v>Good</v>
      </c>
      <c r="AA604" s="16" t="str">
        <f>Data_Validation!N602</f>
        <v>Pass</v>
      </c>
    </row>
    <row r="605" spans="1:27" x14ac:dyDescent="0.35">
      <c r="A605" s="17" t="s">
        <v>109</v>
      </c>
      <c r="B605" s="3" t="s">
        <v>35</v>
      </c>
      <c r="C605" s="3" t="s">
        <v>36</v>
      </c>
      <c r="D605" s="3" t="s">
        <v>21</v>
      </c>
      <c r="E605" s="3" t="s">
        <v>22</v>
      </c>
      <c r="F605" s="3">
        <v>11048.07</v>
      </c>
      <c r="G605" s="3">
        <v>547756</v>
      </c>
      <c r="H605" s="3">
        <v>44145</v>
      </c>
      <c r="I605" s="3">
        <v>195376.16</v>
      </c>
      <c r="J605" s="3">
        <v>27</v>
      </c>
      <c r="K605" s="15">
        <f t="shared" si="99"/>
        <v>8.0592453574219181E-2</v>
      </c>
      <c r="L605" s="16">
        <f t="shared" si="109"/>
        <v>0.25026775399252466</v>
      </c>
      <c r="M605" s="16">
        <f t="shared" si="100"/>
        <v>20.169692344766649</v>
      </c>
      <c r="N605" s="16">
        <f t="shared" si="101"/>
        <v>17.684189184174251</v>
      </c>
      <c r="O605" s="16">
        <f t="shared" si="102"/>
        <v>16.684189184174251</v>
      </c>
      <c r="P605" s="1">
        <v>2024</v>
      </c>
      <c r="Q605" s="1" t="s">
        <v>53</v>
      </c>
      <c r="R605" s="1" t="s">
        <v>46</v>
      </c>
      <c r="S605" s="70">
        <f>DATE(Table2[[#This Row],[Year]],MONTH(DATEVALUE("1-"&amp;Table2[[#This Row],[Month]]&amp;"-2000")),1)</f>
        <v>45444</v>
      </c>
      <c r="T605" s="16">
        <f t="shared" si="103"/>
        <v>4.4257823083021863</v>
      </c>
      <c r="U605" s="16">
        <f t="shared" si="104"/>
        <v>0.35668465521144455</v>
      </c>
      <c r="V605" s="16">
        <f t="shared" si="105"/>
        <v>409.18777777777774</v>
      </c>
      <c r="W605" s="16">
        <f t="shared" si="106"/>
        <v>7236.1540740740738</v>
      </c>
      <c r="X605" s="16">
        <f t="shared" si="107"/>
        <v>1635</v>
      </c>
      <c r="Y605" s="16">
        <f t="shared" si="108"/>
        <v>20287.259259259259</v>
      </c>
      <c r="Z605" s="7" t="str" cm="1">
        <f t="array" ref="Z605">_xlfn.IFS(K605&lt;2%,"Low",K605&lt;5%,"Medium",K605&lt;10%,"Good",K605&gt;10%,"Excellent")</f>
        <v>Good</v>
      </c>
      <c r="AA605" s="16" t="str">
        <f>Data_Validation!N603</f>
        <v>Pass</v>
      </c>
    </row>
    <row r="606" spans="1:27" x14ac:dyDescent="0.35">
      <c r="A606" s="17" t="s">
        <v>66</v>
      </c>
      <c r="B606" s="3" t="s">
        <v>35</v>
      </c>
      <c r="C606" s="3" t="s">
        <v>29</v>
      </c>
      <c r="D606" s="3" t="s">
        <v>43</v>
      </c>
      <c r="E606" s="3" t="s">
        <v>30</v>
      </c>
      <c r="F606" s="3">
        <v>15938.59</v>
      </c>
      <c r="G606" s="3">
        <v>679987</v>
      </c>
      <c r="H606" s="3">
        <v>33370</v>
      </c>
      <c r="I606" s="3">
        <v>154197.70000000001</v>
      </c>
      <c r="J606" s="3">
        <v>12</v>
      </c>
      <c r="K606" s="15">
        <f t="shared" si="99"/>
        <v>4.9074467600115884E-2</v>
      </c>
      <c r="L606" s="16">
        <f t="shared" si="109"/>
        <v>0.47763230446508842</v>
      </c>
      <c r="M606" s="16">
        <f t="shared" si="100"/>
        <v>23.439551050240667</v>
      </c>
      <c r="N606" s="16">
        <f t="shared" si="101"/>
        <v>9.6744881448108018</v>
      </c>
      <c r="O606" s="16">
        <f t="shared" si="102"/>
        <v>8.6744881448108035</v>
      </c>
      <c r="P606" s="1">
        <v>2024</v>
      </c>
      <c r="Q606" s="1" t="s">
        <v>53</v>
      </c>
      <c r="R606" s="1" t="s">
        <v>46</v>
      </c>
      <c r="S606" s="70">
        <f>DATE(Table2[[#This Row],[Year]],MONTH(DATEVALUE("1-"&amp;Table2[[#This Row],[Month]]&amp;"-2000")),1)</f>
        <v>45444</v>
      </c>
      <c r="T606" s="16">
        <f t="shared" si="103"/>
        <v>4.6208480671261611</v>
      </c>
      <c r="U606" s="16">
        <f t="shared" si="104"/>
        <v>0.22676565875524093</v>
      </c>
      <c r="V606" s="16">
        <f t="shared" si="105"/>
        <v>1328.2158333333334</v>
      </c>
      <c r="W606" s="16">
        <f t="shared" si="106"/>
        <v>12849.808333333334</v>
      </c>
      <c r="X606" s="16">
        <f t="shared" si="107"/>
        <v>2780.8333333333335</v>
      </c>
      <c r="Y606" s="16">
        <f t="shared" si="108"/>
        <v>56665.583333333336</v>
      </c>
      <c r="Z606" s="7" t="str" cm="1">
        <f t="array" ref="Z606">_xlfn.IFS(K606&lt;2%,"Low",K606&lt;5%,"Medium",K606&lt;10%,"Good",K606&gt;10%,"Excellent")</f>
        <v>Medium</v>
      </c>
      <c r="AA606" s="16" t="str">
        <f>Data_Validation!N604</f>
        <v>Pass</v>
      </c>
    </row>
    <row r="607" spans="1:27" x14ac:dyDescent="0.35">
      <c r="A607" s="17" t="s">
        <v>102</v>
      </c>
      <c r="B607" s="3" t="s">
        <v>19</v>
      </c>
      <c r="C607" s="3" t="s">
        <v>20</v>
      </c>
      <c r="D607" s="3" t="s">
        <v>43</v>
      </c>
      <c r="E607" s="3" t="s">
        <v>30</v>
      </c>
      <c r="F607" s="3">
        <v>33820.239999999998</v>
      </c>
      <c r="G607" s="3">
        <v>111605</v>
      </c>
      <c r="H607" s="3">
        <v>15321</v>
      </c>
      <c r="I607" s="3">
        <v>77850.39</v>
      </c>
      <c r="J607" s="3">
        <v>52</v>
      </c>
      <c r="K607" s="15">
        <f t="shared" si="99"/>
        <v>0.13727879575287846</v>
      </c>
      <c r="L607" s="16">
        <f t="shared" si="109"/>
        <v>2.207443378369558</v>
      </c>
      <c r="M607" s="16">
        <f t="shared" si="100"/>
        <v>303.03516867523854</v>
      </c>
      <c r="N607" s="16">
        <f t="shared" si="101"/>
        <v>2.3018875679179098</v>
      </c>
      <c r="O607" s="16">
        <f t="shared" si="102"/>
        <v>1.3018875679179096</v>
      </c>
      <c r="P607" s="1">
        <v>2024</v>
      </c>
      <c r="Q607" s="1" t="s">
        <v>53</v>
      </c>
      <c r="R607" s="1" t="s">
        <v>46</v>
      </c>
      <c r="S607" s="70">
        <f>DATE(Table2[[#This Row],[Year]],MONTH(DATEVALUE("1-"&amp;Table2[[#This Row],[Month]]&amp;"-2000")),1)</f>
        <v>45444</v>
      </c>
      <c r="T607" s="16">
        <f t="shared" si="103"/>
        <v>5.0812864695515962</v>
      </c>
      <c r="U607" s="16">
        <f t="shared" si="104"/>
        <v>0.69755288741543842</v>
      </c>
      <c r="V607" s="16">
        <f t="shared" si="105"/>
        <v>650.38923076923072</v>
      </c>
      <c r="W607" s="16">
        <f t="shared" si="106"/>
        <v>1497.1228846153847</v>
      </c>
      <c r="X607" s="16">
        <f t="shared" si="107"/>
        <v>294.63461538461536</v>
      </c>
      <c r="Y607" s="16">
        <f t="shared" si="108"/>
        <v>2146.25</v>
      </c>
      <c r="Z607" s="7" t="str" cm="1">
        <f t="array" ref="Z607">_xlfn.IFS(K607&lt;2%,"Low",K607&lt;5%,"Medium",K607&lt;10%,"Good",K607&gt;10%,"Excellent")</f>
        <v>Excellent</v>
      </c>
      <c r="AA607" s="16" t="str">
        <f>Data_Validation!N605</f>
        <v>Pass</v>
      </c>
    </row>
    <row r="608" spans="1:27" x14ac:dyDescent="0.35">
      <c r="A608" s="17" t="s">
        <v>115</v>
      </c>
      <c r="B608" s="3" t="s">
        <v>28</v>
      </c>
      <c r="C608" s="3" t="s">
        <v>29</v>
      </c>
      <c r="D608" s="3" t="s">
        <v>63</v>
      </c>
      <c r="E608" s="3" t="s">
        <v>22</v>
      </c>
      <c r="F608" s="3">
        <v>1205.4100000000001</v>
      </c>
      <c r="G608" s="3">
        <v>112564</v>
      </c>
      <c r="H608" s="3">
        <v>3320</v>
      </c>
      <c r="I608" s="3">
        <v>163912.32999999999</v>
      </c>
      <c r="J608" s="3">
        <v>27</v>
      </c>
      <c r="K608" s="15">
        <f t="shared" si="99"/>
        <v>2.9494332113286663E-2</v>
      </c>
      <c r="L608" s="16">
        <f t="shared" si="109"/>
        <v>0.36307530120481929</v>
      </c>
      <c r="M608" s="16">
        <f t="shared" si="100"/>
        <v>10.70866351586653</v>
      </c>
      <c r="N608" s="16">
        <f t="shared" si="101"/>
        <v>135.98056263014243</v>
      </c>
      <c r="O608" s="16">
        <f t="shared" si="102"/>
        <v>134.98056263014243</v>
      </c>
      <c r="P608" s="1">
        <v>2024</v>
      </c>
      <c r="Q608" s="1" t="s">
        <v>53</v>
      </c>
      <c r="R608" s="1" t="s">
        <v>46</v>
      </c>
      <c r="S608" s="70">
        <f>DATE(Table2[[#This Row],[Year]],MONTH(DATEVALUE("1-"&amp;Table2[[#This Row],[Month]]&amp;"-2000")),1)</f>
        <v>45444</v>
      </c>
      <c r="T608" s="16">
        <f t="shared" si="103"/>
        <v>49.371183734939756</v>
      </c>
      <c r="U608" s="16">
        <f t="shared" si="104"/>
        <v>1.4561700899044099</v>
      </c>
      <c r="V608" s="16">
        <f t="shared" si="105"/>
        <v>44.644814814814815</v>
      </c>
      <c r="W608" s="16">
        <f t="shared" si="106"/>
        <v>6070.8270370370365</v>
      </c>
      <c r="X608" s="16">
        <f t="shared" si="107"/>
        <v>122.96296296296296</v>
      </c>
      <c r="Y608" s="16">
        <f t="shared" si="108"/>
        <v>4169.0370370370374</v>
      </c>
      <c r="Z608" s="7" t="str" cm="1">
        <f t="array" ref="Z608">_xlfn.IFS(K608&lt;2%,"Low",K608&lt;5%,"Medium",K608&lt;10%,"Good",K608&gt;10%,"Excellent")</f>
        <v>Medium</v>
      </c>
      <c r="AA608" s="16" t="str">
        <f>Data_Validation!N606</f>
        <v>Pass</v>
      </c>
    </row>
    <row r="609" spans="1:27" x14ac:dyDescent="0.35">
      <c r="A609" s="17" t="s">
        <v>42</v>
      </c>
      <c r="B609" s="3" t="s">
        <v>28</v>
      </c>
      <c r="C609" s="3" t="s">
        <v>58</v>
      </c>
      <c r="D609" s="3" t="s">
        <v>37</v>
      </c>
      <c r="E609" s="3" t="s">
        <v>22</v>
      </c>
      <c r="F609" s="3">
        <v>16140.44</v>
      </c>
      <c r="G609" s="3">
        <v>667233</v>
      </c>
      <c r="H609" s="3">
        <v>12522</v>
      </c>
      <c r="I609" s="3">
        <v>158044.97</v>
      </c>
      <c r="J609" s="3">
        <v>12</v>
      </c>
      <c r="K609" s="15">
        <f t="shared" si="99"/>
        <v>1.8767057384751654E-2</v>
      </c>
      <c r="L609" s="16">
        <f t="shared" si="109"/>
        <v>1.2889666187509983</v>
      </c>
      <c r="M609" s="16">
        <f t="shared" si="100"/>
        <v>24.19011050112929</v>
      </c>
      <c r="N609" s="16">
        <f t="shared" si="101"/>
        <v>9.7918625514546065</v>
      </c>
      <c r="O609" s="16">
        <f t="shared" si="102"/>
        <v>8.7918625514546065</v>
      </c>
      <c r="P609" s="1">
        <v>2024</v>
      </c>
      <c r="Q609" s="1" t="s">
        <v>53</v>
      </c>
      <c r="R609" s="1" t="s">
        <v>46</v>
      </c>
      <c r="S609" s="70">
        <f>DATE(Table2[[#This Row],[Year]],MONTH(DATEVALUE("1-"&amp;Table2[[#This Row],[Month]]&amp;"-2000")),1)</f>
        <v>45444</v>
      </c>
      <c r="T609" s="16">
        <f t="shared" si="103"/>
        <v>12.621383964222968</v>
      </c>
      <c r="U609" s="16">
        <f t="shared" si="104"/>
        <v>0.23686623713155674</v>
      </c>
      <c r="V609" s="16">
        <f t="shared" si="105"/>
        <v>1345.0366666666666</v>
      </c>
      <c r="W609" s="16">
        <f t="shared" si="106"/>
        <v>13170.414166666667</v>
      </c>
      <c r="X609" s="16">
        <f t="shared" si="107"/>
        <v>1043.5</v>
      </c>
      <c r="Y609" s="16">
        <f t="shared" si="108"/>
        <v>55602.75</v>
      </c>
      <c r="Z609" s="7" t="str" cm="1">
        <f t="array" ref="Z609">_xlfn.IFS(K609&lt;2%,"Low",K609&lt;5%,"Medium",K609&lt;10%,"Good",K609&gt;10%,"Excellent")</f>
        <v>Low</v>
      </c>
      <c r="AA609" s="16" t="str">
        <f>Data_Validation!N607</f>
        <v>Pass</v>
      </c>
    </row>
    <row r="610" spans="1:27" x14ac:dyDescent="0.35">
      <c r="A610" s="17" t="s">
        <v>42</v>
      </c>
      <c r="B610" s="3" t="s">
        <v>28</v>
      </c>
      <c r="C610" s="3" t="s">
        <v>20</v>
      </c>
      <c r="D610" s="3" t="s">
        <v>51</v>
      </c>
      <c r="E610" s="3" t="s">
        <v>30</v>
      </c>
      <c r="F610" s="3">
        <v>39682.61</v>
      </c>
      <c r="G610" s="3">
        <v>689068</v>
      </c>
      <c r="H610" s="3">
        <v>45073</v>
      </c>
      <c r="I610" s="3">
        <v>179840.69</v>
      </c>
      <c r="J610" s="3">
        <v>27</v>
      </c>
      <c r="K610" s="15">
        <f t="shared" si="99"/>
        <v>6.5411541386336328E-2</v>
      </c>
      <c r="L610" s="16">
        <f t="shared" si="109"/>
        <v>0.88040756106760143</v>
      </c>
      <c r="M610" s="16">
        <f t="shared" si="100"/>
        <v>57.588815617616838</v>
      </c>
      <c r="N610" s="16">
        <f t="shared" si="101"/>
        <v>4.5319773573361228</v>
      </c>
      <c r="O610" s="16">
        <f t="shared" si="102"/>
        <v>3.5319773573361233</v>
      </c>
      <c r="P610" s="1">
        <v>2024</v>
      </c>
      <c r="Q610" s="1" t="s">
        <v>53</v>
      </c>
      <c r="R610" s="1" t="s">
        <v>46</v>
      </c>
      <c r="S610" s="70">
        <f>DATE(Table2[[#This Row],[Year]],MONTH(DATEVALUE("1-"&amp;Table2[[#This Row],[Month]]&amp;"-2000")),1)</f>
        <v>45444</v>
      </c>
      <c r="T610" s="16">
        <f t="shared" si="103"/>
        <v>3.9899871319858895</v>
      </c>
      <c r="U610" s="16">
        <f t="shared" si="104"/>
        <v>0.26099120841484441</v>
      </c>
      <c r="V610" s="16">
        <f t="shared" si="105"/>
        <v>1469.7262962962964</v>
      </c>
      <c r="W610" s="16">
        <f t="shared" si="106"/>
        <v>6660.7662962962968</v>
      </c>
      <c r="X610" s="16">
        <f t="shared" si="107"/>
        <v>1669.3703703703704</v>
      </c>
      <c r="Y610" s="16">
        <f t="shared" si="108"/>
        <v>25521.037037037036</v>
      </c>
      <c r="Z610" s="7" t="str" cm="1">
        <f t="array" ref="Z610">_xlfn.IFS(K610&lt;2%,"Low",K610&lt;5%,"Medium",K610&lt;10%,"Good",K610&gt;10%,"Excellent")</f>
        <v>Good</v>
      </c>
      <c r="AA610" s="16" t="str">
        <f>Data_Validation!N608</f>
        <v>Pass</v>
      </c>
    </row>
    <row r="611" spans="1:27" x14ac:dyDescent="0.35">
      <c r="A611" s="17" t="s">
        <v>96</v>
      </c>
      <c r="B611" s="3" t="s">
        <v>48</v>
      </c>
      <c r="C611" s="3" t="s">
        <v>69</v>
      </c>
      <c r="D611" s="3" t="s">
        <v>59</v>
      </c>
      <c r="E611" s="3" t="s">
        <v>22</v>
      </c>
      <c r="F611" s="3">
        <v>1296.9100000000001</v>
      </c>
      <c r="G611" s="3">
        <v>476428</v>
      </c>
      <c r="H611" s="3">
        <v>38943</v>
      </c>
      <c r="I611" s="3">
        <v>147041.64000000001</v>
      </c>
      <c r="J611" s="3">
        <v>13</v>
      </c>
      <c r="K611" s="15">
        <f t="shared" si="99"/>
        <v>8.1739528323272345E-2</v>
      </c>
      <c r="L611" s="16">
        <f t="shared" si="109"/>
        <v>3.3302775851886089E-2</v>
      </c>
      <c r="M611" s="16">
        <f t="shared" si="100"/>
        <v>2.722153189988834</v>
      </c>
      <c r="N611" s="16">
        <f t="shared" si="101"/>
        <v>113.37844569014041</v>
      </c>
      <c r="O611" s="16">
        <f t="shared" si="102"/>
        <v>112.37844569014041</v>
      </c>
      <c r="P611" s="1">
        <v>2024</v>
      </c>
      <c r="Q611" s="1" t="s">
        <v>53</v>
      </c>
      <c r="R611" s="1" t="s">
        <v>46</v>
      </c>
      <c r="S611" s="70">
        <f>DATE(Table2[[#This Row],[Year]],MONTH(DATEVALUE("1-"&amp;Table2[[#This Row],[Month]]&amp;"-2000")),1)</f>
        <v>45444</v>
      </c>
      <c r="T611" s="16">
        <f t="shared" si="103"/>
        <v>3.7758169632539871</v>
      </c>
      <c r="U611" s="16">
        <f t="shared" si="104"/>
        <v>0.30863349761139147</v>
      </c>
      <c r="V611" s="16">
        <f t="shared" si="105"/>
        <v>99.762307692307701</v>
      </c>
      <c r="W611" s="16">
        <f t="shared" si="106"/>
        <v>11310.895384615385</v>
      </c>
      <c r="X611" s="16">
        <f t="shared" si="107"/>
        <v>2995.6153846153848</v>
      </c>
      <c r="Y611" s="16">
        <f t="shared" si="108"/>
        <v>36648.307692307695</v>
      </c>
      <c r="Z611" s="7" t="str" cm="1">
        <f t="array" ref="Z611">_xlfn.IFS(K611&lt;2%,"Low",K611&lt;5%,"Medium",K611&lt;10%,"Good",K611&gt;10%,"Excellent")</f>
        <v>Good</v>
      </c>
      <c r="AA611" s="16" t="str">
        <f>Data_Validation!N609</f>
        <v>Pass</v>
      </c>
    </row>
    <row r="612" spans="1:27" x14ac:dyDescent="0.35">
      <c r="A612" s="17" t="s">
        <v>86</v>
      </c>
      <c r="B612" s="3" t="s">
        <v>35</v>
      </c>
      <c r="C612" s="3" t="s">
        <v>29</v>
      </c>
      <c r="D612" s="3" t="s">
        <v>59</v>
      </c>
      <c r="E612" s="3" t="s">
        <v>22</v>
      </c>
      <c r="F612" s="3">
        <v>10237.969999999999</v>
      </c>
      <c r="G612" s="3">
        <v>392615</v>
      </c>
      <c r="H612" s="3">
        <v>7622</v>
      </c>
      <c r="I612" s="3">
        <v>225150.23</v>
      </c>
      <c r="J612" s="3">
        <v>38</v>
      </c>
      <c r="K612" s="15">
        <f t="shared" si="99"/>
        <v>1.9413420271767508E-2</v>
      </c>
      <c r="L612" s="16">
        <f t="shared" si="109"/>
        <v>1.3432130674363683</v>
      </c>
      <c r="M612" s="16">
        <f t="shared" si="100"/>
        <v>26.076359792672211</v>
      </c>
      <c r="N612" s="16">
        <f t="shared" si="101"/>
        <v>21.991686828541209</v>
      </c>
      <c r="O612" s="16">
        <f t="shared" si="102"/>
        <v>20.991686828541209</v>
      </c>
      <c r="P612" s="1">
        <v>2024</v>
      </c>
      <c r="Q612" s="1" t="s">
        <v>53</v>
      </c>
      <c r="R612" s="1" t="s">
        <v>46</v>
      </c>
      <c r="S612" s="70">
        <f>DATE(Table2[[#This Row],[Year]],MONTH(DATEVALUE("1-"&amp;Table2[[#This Row],[Month]]&amp;"-2000")),1)</f>
        <v>45444</v>
      </c>
      <c r="T612" s="16">
        <f t="shared" si="103"/>
        <v>29.539521123064812</v>
      </c>
      <c r="U612" s="16">
        <f t="shared" si="104"/>
        <v>0.57346313818881089</v>
      </c>
      <c r="V612" s="16">
        <f t="shared" si="105"/>
        <v>269.42026315789474</v>
      </c>
      <c r="W612" s="16">
        <f t="shared" si="106"/>
        <v>5925.0060526315792</v>
      </c>
      <c r="X612" s="16">
        <f t="shared" si="107"/>
        <v>200.57894736842104</v>
      </c>
      <c r="Y612" s="16">
        <f t="shared" si="108"/>
        <v>10331.973684210527</v>
      </c>
      <c r="Z612" s="7" t="str" cm="1">
        <f t="array" ref="Z612">_xlfn.IFS(K612&lt;2%,"Low",K612&lt;5%,"Medium",K612&lt;10%,"Good",K612&gt;10%,"Excellent")</f>
        <v>Low</v>
      </c>
      <c r="AA612" s="16" t="str">
        <f>Data_Validation!N610</f>
        <v>Pass</v>
      </c>
    </row>
    <row r="613" spans="1:27" x14ac:dyDescent="0.35">
      <c r="A613" s="17" t="s">
        <v>34</v>
      </c>
      <c r="B613" s="3" t="s">
        <v>48</v>
      </c>
      <c r="C613" s="3" t="s">
        <v>36</v>
      </c>
      <c r="D613" s="3" t="s">
        <v>59</v>
      </c>
      <c r="E613" s="3" t="s">
        <v>30</v>
      </c>
      <c r="F613" s="3">
        <v>25482.38</v>
      </c>
      <c r="G613" s="3">
        <v>838446</v>
      </c>
      <c r="H613" s="3">
        <v>42809</v>
      </c>
      <c r="I613" s="3">
        <v>35401.89</v>
      </c>
      <c r="J613" s="3">
        <v>59</v>
      </c>
      <c r="K613" s="15">
        <f t="shared" si="99"/>
        <v>5.1057551708756435E-2</v>
      </c>
      <c r="L613" s="16">
        <f t="shared" si="109"/>
        <v>0.59525753930248315</v>
      </c>
      <c r="M613" s="16">
        <f t="shared" si="100"/>
        <v>30.392392592963652</v>
      </c>
      <c r="N613" s="16">
        <f t="shared" si="101"/>
        <v>1.3892693696585641</v>
      </c>
      <c r="O613" s="16">
        <f t="shared" si="102"/>
        <v>0.38926936965856401</v>
      </c>
      <c r="P613" s="1">
        <v>2024</v>
      </c>
      <c r="Q613" s="1" t="s">
        <v>53</v>
      </c>
      <c r="R613" s="1" t="s">
        <v>46</v>
      </c>
      <c r="S613" s="70">
        <f>DATE(Table2[[#This Row],[Year]],MONTH(DATEVALUE("1-"&amp;Table2[[#This Row],[Month]]&amp;"-2000")),1)</f>
        <v>45444</v>
      </c>
      <c r="T613" s="16">
        <f t="shared" si="103"/>
        <v>0.82697306641126866</v>
      </c>
      <c r="U613" s="16">
        <f t="shared" si="104"/>
        <v>4.2223220100042223E-2</v>
      </c>
      <c r="V613" s="16">
        <f t="shared" si="105"/>
        <v>431.90474576271185</v>
      </c>
      <c r="W613" s="16">
        <f t="shared" si="106"/>
        <v>600.03203389830503</v>
      </c>
      <c r="X613" s="16">
        <f t="shared" si="107"/>
        <v>725.57627118644064</v>
      </c>
      <c r="Y613" s="16">
        <f t="shared" si="108"/>
        <v>14210.949152542373</v>
      </c>
      <c r="Z613" s="7" t="str" cm="1">
        <f t="array" ref="Z613">_xlfn.IFS(K613&lt;2%,"Low",K613&lt;5%,"Medium",K613&lt;10%,"Good",K613&gt;10%,"Excellent")</f>
        <v>Good</v>
      </c>
      <c r="AA613" s="16" t="str">
        <f>Data_Validation!N611</f>
        <v>Pass</v>
      </c>
    </row>
    <row r="614" spans="1:27" x14ac:dyDescent="0.35">
      <c r="A614" s="17" t="s">
        <v>99</v>
      </c>
      <c r="B614" s="3" t="s">
        <v>35</v>
      </c>
      <c r="C614" s="3" t="s">
        <v>20</v>
      </c>
      <c r="D614" s="3" t="s">
        <v>43</v>
      </c>
      <c r="E614" s="3" t="s">
        <v>22</v>
      </c>
      <c r="F614" s="3">
        <v>13083.32</v>
      </c>
      <c r="G614" s="3">
        <v>675905</v>
      </c>
      <c r="H614" s="3">
        <v>36199</v>
      </c>
      <c r="I614" s="3">
        <v>72240.5</v>
      </c>
      <c r="J614" s="3">
        <v>24</v>
      </c>
      <c r="K614" s="15">
        <f t="shared" si="99"/>
        <v>5.3556342977193541E-2</v>
      </c>
      <c r="L614" s="16">
        <f t="shared" si="109"/>
        <v>0.36142766374761731</v>
      </c>
      <c r="M614" s="16">
        <f t="shared" si="100"/>
        <v>19.356743921113175</v>
      </c>
      <c r="N614" s="16">
        <f t="shared" si="101"/>
        <v>5.5215725060611529</v>
      </c>
      <c r="O614" s="16">
        <f t="shared" si="102"/>
        <v>4.5215725060611529</v>
      </c>
      <c r="P614" s="1">
        <v>2024</v>
      </c>
      <c r="Q614" s="1" t="s">
        <v>53</v>
      </c>
      <c r="R614" s="1" t="s">
        <v>46</v>
      </c>
      <c r="S614" s="70">
        <f>DATE(Table2[[#This Row],[Year]],MONTH(DATEVALUE("1-"&amp;Table2[[#This Row],[Month]]&amp;"-2000")),1)</f>
        <v>45444</v>
      </c>
      <c r="T614" s="16">
        <f t="shared" si="103"/>
        <v>1.995649051078759</v>
      </c>
      <c r="U614" s="16">
        <f t="shared" si="104"/>
        <v>0.10687966504168485</v>
      </c>
      <c r="V614" s="16">
        <f t="shared" si="105"/>
        <v>545.13833333333332</v>
      </c>
      <c r="W614" s="16">
        <f t="shared" si="106"/>
        <v>3010.0208333333335</v>
      </c>
      <c r="X614" s="16">
        <f t="shared" si="107"/>
        <v>1508.2916666666667</v>
      </c>
      <c r="Y614" s="16">
        <f t="shared" si="108"/>
        <v>28162.708333333332</v>
      </c>
      <c r="Z614" s="7" t="str" cm="1">
        <f t="array" ref="Z614">_xlfn.IFS(K614&lt;2%,"Low",K614&lt;5%,"Medium",K614&lt;10%,"Good",K614&gt;10%,"Excellent")</f>
        <v>Good</v>
      </c>
      <c r="AA614" s="16" t="str">
        <f>Data_Validation!N612</f>
        <v>Pass</v>
      </c>
    </row>
    <row r="615" spans="1:27" x14ac:dyDescent="0.35">
      <c r="A615" s="17" t="s">
        <v>120</v>
      </c>
      <c r="B615" s="3" t="s">
        <v>19</v>
      </c>
      <c r="C615" s="3" t="s">
        <v>36</v>
      </c>
      <c r="D615" s="3" t="s">
        <v>21</v>
      </c>
      <c r="E615" s="3" t="s">
        <v>22</v>
      </c>
      <c r="F615" s="3">
        <v>40772.74</v>
      </c>
      <c r="G615" s="3">
        <v>338487</v>
      </c>
      <c r="H615" s="3">
        <v>35988</v>
      </c>
      <c r="I615" s="3">
        <v>7591.61</v>
      </c>
      <c r="J615" s="3">
        <v>27</v>
      </c>
      <c r="K615" s="15">
        <f t="shared" si="99"/>
        <v>0.10632018364073066</v>
      </c>
      <c r="L615" s="16">
        <f t="shared" si="109"/>
        <v>1.1329537623652328</v>
      </c>
      <c r="M615" s="16">
        <f t="shared" si="100"/>
        <v>120.45585207112829</v>
      </c>
      <c r="N615" s="16">
        <f t="shared" si="101"/>
        <v>0.18619327521280149</v>
      </c>
      <c r="O615" s="16">
        <f t="shared" si="102"/>
        <v>-0.81380672478719851</v>
      </c>
      <c r="P615" s="1">
        <v>2024</v>
      </c>
      <c r="Q615" s="1" t="s">
        <v>53</v>
      </c>
      <c r="R615" s="1" t="s">
        <v>46</v>
      </c>
      <c r="S615" s="70">
        <f>DATE(Table2[[#This Row],[Year]],MONTH(DATEVALUE("1-"&amp;Table2[[#This Row],[Month]]&amp;"-2000")),1)</f>
        <v>45444</v>
      </c>
      <c r="T615" s="16">
        <f t="shared" si="103"/>
        <v>0.21094837167944869</v>
      </c>
      <c r="U615" s="16">
        <f t="shared" si="104"/>
        <v>2.2428069615672092E-2</v>
      </c>
      <c r="V615" s="16">
        <f t="shared" si="105"/>
        <v>1510.1014814814814</v>
      </c>
      <c r="W615" s="16">
        <f t="shared" si="106"/>
        <v>281.17074074074071</v>
      </c>
      <c r="X615" s="16">
        <f t="shared" si="107"/>
        <v>1332.8888888888889</v>
      </c>
      <c r="Y615" s="16">
        <f t="shared" si="108"/>
        <v>12536.555555555555</v>
      </c>
      <c r="Z615" s="7" t="str" cm="1">
        <f t="array" ref="Z615">_xlfn.IFS(K615&lt;2%,"Low",K615&lt;5%,"Medium",K615&lt;10%,"Good",K615&gt;10%,"Excellent")</f>
        <v>Excellent</v>
      </c>
      <c r="AA615" s="16" t="str">
        <f>Data_Validation!N613</f>
        <v>Pass</v>
      </c>
    </row>
    <row r="616" spans="1:27" x14ac:dyDescent="0.35">
      <c r="A616" s="17" t="s">
        <v>94</v>
      </c>
      <c r="B616" s="3" t="s">
        <v>48</v>
      </c>
      <c r="C616" s="3" t="s">
        <v>58</v>
      </c>
      <c r="D616" s="3" t="s">
        <v>51</v>
      </c>
      <c r="E616" s="3" t="s">
        <v>30</v>
      </c>
      <c r="F616" s="3">
        <v>4929.37</v>
      </c>
      <c r="G616" s="3">
        <v>853356</v>
      </c>
      <c r="H616" s="3">
        <v>20802</v>
      </c>
      <c r="I616" s="3">
        <v>105167.03999999999</v>
      </c>
      <c r="J616" s="3">
        <v>6</v>
      </c>
      <c r="K616" s="15">
        <f t="shared" si="99"/>
        <v>2.437669624400602E-2</v>
      </c>
      <c r="L616" s="16">
        <f t="shared" si="109"/>
        <v>0.23696615710027882</v>
      </c>
      <c r="M616" s="16">
        <f t="shared" si="100"/>
        <v>5.7764520317429069</v>
      </c>
      <c r="N616" s="16">
        <f t="shared" si="101"/>
        <v>21.334783146730718</v>
      </c>
      <c r="O616" s="16">
        <f t="shared" si="102"/>
        <v>20.334783146730718</v>
      </c>
      <c r="P616" s="1">
        <v>2024</v>
      </c>
      <c r="Q616" s="1" t="s">
        <v>53</v>
      </c>
      <c r="R616" s="1" t="s">
        <v>46</v>
      </c>
      <c r="S616" s="70">
        <f>DATE(Table2[[#This Row],[Year]],MONTH(DATEVALUE("1-"&amp;Table2[[#This Row],[Month]]&amp;"-2000")),1)</f>
        <v>45444</v>
      </c>
      <c r="T616" s="16">
        <f t="shared" si="103"/>
        <v>5.0556215748485718</v>
      </c>
      <c r="U616" s="16">
        <f t="shared" si="104"/>
        <v>0.12323935145472698</v>
      </c>
      <c r="V616" s="16">
        <f t="shared" si="105"/>
        <v>821.56166666666661</v>
      </c>
      <c r="W616" s="16">
        <f t="shared" si="106"/>
        <v>17527.84</v>
      </c>
      <c r="X616" s="16">
        <f t="shared" si="107"/>
        <v>3467</v>
      </c>
      <c r="Y616" s="16">
        <f t="shared" si="108"/>
        <v>142226</v>
      </c>
      <c r="Z616" s="7" t="str" cm="1">
        <f t="array" ref="Z616">_xlfn.IFS(K616&lt;2%,"Low",K616&lt;5%,"Medium",K616&lt;10%,"Good",K616&gt;10%,"Excellent")</f>
        <v>Medium</v>
      </c>
      <c r="AA616" s="16" t="str">
        <f>Data_Validation!N614</f>
        <v>Pass</v>
      </c>
    </row>
    <row r="617" spans="1:27" x14ac:dyDescent="0.35">
      <c r="A617" s="17" t="s">
        <v>98</v>
      </c>
      <c r="B617" s="3" t="s">
        <v>35</v>
      </c>
      <c r="C617" s="3" t="s">
        <v>36</v>
      </c>
      <c r="D617" s="3" t="s">
        <v>51</v>
      </c>
      <c r="E617" s="3" t="s">
        <v>22</v>
      </c>
      <c r="F617" s="3">
        <v>2280.02</v>
      </c>
      <c r="G617" s="3">
        <v>767065</v>
      </c>
      <c r="H617" s="3">
        <v>45763</v>
      </c>
      <c r="I617" s="3">
        <v>115849.56</v>
      </c>
      <c r="J617" s="3">
        <v>36</v>
      </c>
      <c r="K617" s="15">
        <f t="shared" si="99"/>
        <v>5.9659872370659589E-2</v>
      </c>
      <c r="L617" s="16">
        <f t="shared" si="109"/>
        <v>4.9822345563009421E-2</v>
      </c>
      <c r="M617" s="16">
        <f t="shared" si="100"/>
        <v>2.97239477749604</v>
      </c>
      <c r="N617" s="16">
        <f t="shared" si="101"/>
        <v>50.810764817852473</v>
      </c>
      <c r="O617" s="16">
        <f t="shared" si="102"/>
        <v>49.810764817852473</v>
      </c>
      <c r="P617" s="1">
        <v>2024</v>
      </c>
      <c r="Q617" s="1" t="s">
        <v>53</v>
      </c>
      <c r="R617" s="1" t="s">
        <v>46</v>
      </c>
      <c r="S617" s="70">
        <f>DATE(Table2[[#This Row],[Year]],MONTH(DATEVALUE("1-"&amp;Table2[[#This Row],[Month]]&amp;"-2000")),1)</f>
        <v>45444</v>
      </c>
      <c r="T617" s="16">
        <f t="shared" si="103"/>
        <v>2.5315114830758474</v>
      </c>
      <c r="U617" s="16">
        <f t="shared" si="104"/>
        <v>0.15102965198516421</v>
      </c>
      <c r="V617" s="16">
        <f t="shared" si="105"/>
        <v>63.333888888888886</v>
      </c>
      <c r="W617" s="16">
        <f t="shared" si="106"/>
        <v>3218.0433333333331</v>
      </c>
      <c r="X617" s="16">
        <f t="shared" si="107"/>
        <v>1271.1944444444443</v>
      </c>
      <c r="Y617" s="16">
        <f t="shared" si="108"/>
        <v>21307.361111111109</v>
      </c>
      <c r="Z617" s="7" t="str" cm="1">
        <f t="array" ref="Z617">_xlfn.IFS(K617&lt;2%,"Low",K617&lt;5%,"Medium",K617&lt;10%,"Good",K617&gt;10%,"Excellent")</f>
        <v>Good</v>
      </c>
      <c r="AA617" s="16" t="str">
        <f>Data_Validation!N615</f>
        <v>Pass</v>
      </c>
    </row>
    <row r="618" spans="1:27" x14ac:dyDescent="0.35">
      <c r="A618" s="17" t="s">
        <v>67</v>
      </c>
      <c r="B618" s="3" t="s">
        <v>35</v>
      </c>
      <c r="C618" s="3" t="s">
        <v>58</v>
      </c>
      <c r="D618" s="3" t="s">
        <v>43</v>
      </c>
      <c r="E618" s="3" t="s">
        <v>22</v>
      </c>
      <c r="F618" s="3">
        <v>7634.29</v>
      </c>
      <c r="G618" s="3">
        <v>39246</v>
      </c>
      <c r="H618" s="3">
        <v>35485</v>
      </c>
      <c r="I618" s="3">
        <v>150163.38</v>
      </c>
      <c r="J618" s="3">
        <v>27</v>
      </c>
      <c r="K618" s="15">
        <f t="shared" si="99"/>
        <v>0.90416857768944603</v>
      </c>
      <c r="L618" s="16">
        <f t="shared" si="109"/>
        <v>0.2151413273214034</v>
      </c>
      <c r="M618" s="16">
        <f t="shared" si="100"/>
        <v>194.52402792641288</v>
      </c>
      <c r="N618" s="16">
        <f t="shared" si="101"/>
        <v>19.669593374105517</v>
      </c>
      <c r="O618" s="16">
        <f t="shared" si="102"/>
        <v>18.669593374105517</v>
      </c>
      <c r="P618" s="1">
        <v>2024</v>
      </c>
      <c r="Q618" s="1" t="s">
        <v>53</v>
      </c>
      <c r="R618" s="1" t="s">
        <v>46</v>
      </c>
      <c r="S618" s="70">
        <f>DATE(Table2[[#This Row],[Year]],MONTH(DATEVALUE("1-"&amp;Table2[[#This Row],[Month]]&amp;"-2000")),1)</f>
        <v>45444</v>
      </c>
      <c r="T618" s="16">
        <f t="shared" si="103"/>
        <v>4.2317424263773429</v>
      </c>
      <c r="U618" s="16">
        <f t="shared" si="104"/>
        <v>3.8262085308056872</v>
      </c>
      <c r="V618" s="16">
        <f t="shared" si="105"/>
        <v>282.75148148148151</v>
      </c>
      <c r="W618" s="16">
        <f t="shared" si="106"/>
        <v>5561.6066666666666</v>
      </c>
      <c r="X618" s="16">
        <f t="shared" si="107"/>
        <v>1314.2592592592594</v>
      </c>
      <c r="Y618" s="16">
        <f t="shared" si="108"/>
        <v>1453.5555555555557</v>
      </c>
      <c r="Z618" s="7" t="str" cm="1">
        <f t="array" ref="Z618">_xlfn.IFS(K618&lt;2%,"Low",K618&lt;5%,"Medium",K618&lt;10%,"Good",K618&gt;10%,"Excellent")</f>
        <v>Excellent</v>
      </c>
      <c r="AA618" s="16" t="str">
        <f>Data_Validation!N616</f>
        <v>Pass</v>
      </c>
    </row>
    <row r="619" spans="1:27" x14ac:dyDescent="0.35">
      <c r="A619" s="17" t="s">
        <v>75</v>
      </c>
      <c r="B619" s="3" t="s">
        <v>19</v>
      </c>
      <c r="C619" s="3" t="s">
        <v>20</v>
      </c>
      <c r="D619" s="3" t="s">
        <v>21</v>
      </c>
      <c r="E619" s="3" t="s">
        <v>30</v>
      </c>
      <c r="F619" s="3">
        <v>22992.41</v>
      </c>
      <c r="G619" s="3">
        <v>54476</v>
      </c>
      <c r="H619" s="3">
        <v>16203</v>
      </c>
      <c r="I619" s="3">
        <v>132082.15</v>
      </c>
      <c r="J619" s="3">
        <v>12</v>
      </c>
      <c r="K619" s="15">
        <f t="shared" si="99"/>
        <v>0.29743373228577724</v>
      </c>
      <c r="L619" s="16">
        <f t="shared" si="109"/>
        <v>1.4190217860889958</v>
      </c>
      <c r="M619" s="16">
        <f t="shared" si="100"/>
        <v>422.06494603127982</v>
      </c>
      <c r="N619" s="16">
        <f t="shared" si="101"/>
        <v>5.7445978912171451</v>
      </c>
      <c r="O619" s="16">
        <f t="shared" si="102"/>
        <v>4.7445978912171451</v>
      </c>
      <c r="P619" s="1">
        <v>2024</v>
      </c>
      <c r="Q619" s="1" t="s">
        <v>53</v>
      </c>
      <c r="R619" s="1" t="s">
        <v>46</v>
      </c>
      <c r="S619" s="70">
        <f>DATE(Table2[[#This Row],[Year]],MONTH(DATEVALUE("1-"&amp;Table2[[#This Row],[Month]]&amp;"-2000")),1)</f>
        <v>45444</v>
      </c>
      <c r="T619" s="16">
        <f t="shared" si="103"/>
        <v>8.1517095599580323</v>
      </c>
      <c r="U619" s="16">
        <f t="shared" si="104"/>
        <v>2.4245933989279682</v>
      </c>
      <c r="V619" s="16">
        <f t="shared" si="105"/>
        <v>1916.0341666666666</v>
      </c>
      <c r="W619" s="16">
        <f t="shared" si="106"/>
        <v>11006.845833333333</v>
      </c>
      <c r="X619" s="16">
        <f t="shared" si="107"/>
        <v>1350.25</v>
      </c>
      <c r="Y619" s="16">
        <f t="shared" si="108"/>
        <v>4539.666666666667</v>
      </c>
      <c r="Z619" s="7" t="str" cm="1">
        <f t="array" ref="Z619">_xlfn.IFS(K619&lt;2%,"Low",K619&lt;5%,"Medium",K619&lt;10%,"Good",K619&gt;10%,"Excellent")</f>
        <v>Excellent</v>
      </c>
      <c r="AA619" s="16" t="str">
        <f>Data_Validation!N617</f>
        <v>Pass</v>
      </c>
    </row>
    <row r="620" spans="1:27" x14ac:dyDescent="0.35">
      <c r="A620" s="17" t="s">
        <v>115</v>
      </c>
      <c r="B620" s="3" t="s">
        <v>28</v>
      </c>
      <c r="C620" s="3" t="s">
        <v>29</v>
      </c>
      <c r="D620" s="3" t="s">
        <v>37</v>
      </c>
      <c r="E620" s="3" t="s">
        <v>38</v>
      </c>
      <c r="F620" s="3">
        <v>7399.06</v>
      </c>
      <c r="G620" s="3">
        <v>523911</v>
      </c>
      <c r="H620" s="3">
        <v>18485</v>
      </c>
      <c r="I620" s="3">
        <v>83868.28</v>
      </c>
      <c r="J620" s="3">
        <v>39</v>
      </c>
      <c r="K620" s="15">
        <f t="shared" si="99"/>
        <v>3.5282710231317918E-2</v>
      </c>
      <c r="L620" s="16">
        <f t="shared" si="109"/>
        <v>0.40027373546118478</v>
      </c>
      <c r="M620" s="16">
        <f t="shared" si="100"/>
        <v>14.122742221484184</v>
      </c>
      <c r="N620" s="16">
        <f t="shared" si="101"/>
        <v>11.334991201585066</v>
      </c>
      <c r="O620" s="16">
        <f t="shared" si="102"/>
        <v>10.334991201585066</v>
      </c>
      <c r="P620" s="1">
        <v>2024</v>
      </c>
      <c r="Q620" s="1" t="s">
        <v>53</v>
      </c>
      <c r="R620" s="1" t="s">
        <v>46</v>
      </c>
      <c r="S620" s="70">
        <f>DATE(Table2[[#This Row],[Year]],MONTH(DATEVALUE("1-"&amp;Table2[[#This Row],[Month]]&amp;"-2000")),1)</f>
        <v>45444</v>
      </c>
      <c r="T620" s="16">
        <f t="shared" si="103"/>
        <v>4.5370992696781176</v>
      </c>
      <c r="U620" s="16">
        <f t="shared" si="104"/>
        <v>0.16008115882277715</v>
      </c>
      <c r="V620" s="16">
        <f t="shared" si="105"/>
        <v>189.7194871794872</v>
      </c>
      <c r="W620" s="16">
        <f t="shared" si="106"/>
        <v>2150.4687179487178</v>
      </c>
      <c r="X620" s="16">
        <f t="shared" si="107"/>
        <v>473.97435897435895</v>
      </c>
      <c r="Y620" s="16">
        <f t="shared" si="108"/>
        <v>13433.615384615385</v>
      </c>
      <c r="Z620" s="7" t="str" cm="1">
        <f t="array" ref="Z620">_xlfn.IFS(K620&lt;2%,"Low",K620&lt;5%,"Medium",K620&lt;10%,"Good",K620&gt;10%,"Excellent")</f>
        <v>Medium</v>
      </c>
      <c r="AA620" s="16" t="str">
        <f>Data_Validation!N618</f>
        <v>Pass</v>
      </c>
    </row>
    <row r="621" spans="1:27" x14ac:dyDescent="0.35">
      <c r="A621" s="17" t="s">
        <v>118</v>
      </c>
      <c r="B621" s="3" t="s">
        <v>19</v>
      </c>
      <c r="C621" s="3" t="s">
        <v>58</v>
      </c>
      <c r="D621" s="3" t="s">
        <v>63</v>
      </c>
      <c r="E621" s="3" t="s">
        <v>38</v>
      </c>
      <c r="F621" s="3">
        <v>12239.51</v>
      </c>
      <c r="G621" s="3">
        <v>374032</v>
      </c>
      <c r="H621" s="3">
        <v>31665</v>
      </c>
      <c r="I621" s="3">
        <v>137218.69</v>
      </c>
      <c r="J621" s="3">
        <v>46</v>
      </c>
      <c r="K621" s="15">
        <f t="shared" si="99"/>
        <v>8.4658531890319549E-2</v>
      </c>
      <c r="L621" s="16">
        <f t="shared" si="109"/>
        <v>0.38653118585188695</v>
      </c>
      <c r="M621" s="16">
        <f t="shared" si="100"/>
        <v>32.723162724045004</v>
      </c>
      <c r="N621" s="16">
        <f t="shared" si="101"/>
        <v>11.21112609900233</v>
      </c>
      <c r="O621" s="16">
        <f t="shared" si="102"/>
        <v>10.21112609900233</v>
      </c>
      <c r="P621" s="1">
        <v>2024</v>
      </c>
      <c r="Q621" s="1" t="s">
        <v>53</v>
      </c>
      <c r="R621" s="1" t="s">
        <v>46</v>
      </c>
      <c r="S621" s="70">
        <f>DATE(Table2[[#This Row],[Year]],MONTH(DATEVALUE("1-"&amp;Table2[[#This Row],[Month]]&amp;"-2000")),1)</f>
        <v>45444</v>
      </c>
      <c r="T621" s="16">
        <f t="shared" si="103"/>
        <v>4.3334498657824101</v>
      </c>
      <c r="U621" s="16">
        <f t="shared" si="104"/>
        <v>0.36686350365744108</v>
      </c>
      <c r="V621" s="16">
        <f t="shared" si="105"/>
        <v>266.07630434782607</v>
      </c>
      <c r="W621" s="16">
        <f t="shared" si="106"/>
        <v>2983.0149999999999</v>
      </c>
      <c r="X621" s="16">
        <f t="shared" si="107"/>
        <v>688.36956521739125</v>
      </c>
      <c r="Y621" s="16">
        <f t="shared" si="108"/>
        <v>8131.130434782609</v>
      </c>
      <c r="Z621" s="7" t="str" cm="1">
        <f t="array" ref="Z621">_xlfn.IFS(K621&lt;2%,"Low",K621&lt;5%,"Medium",K621&lt;10%,"Good",K621&gt;10%,"Excellent")</f>
        <v>Good</v>
      </c>
      <c r="AA621" s="16" t="str">
        <f>Data_Validation!N619</f>
        <v>Pass</v>
      </c>
    </row>
    <row r="622" spans="1:27" x14ac:dyDescent="0.35">
      <c r="A622" s="17" t="s">
        <v>115</v>
      </c>
      <c r="B622" s="3" t="s">
        <v>19</v>
      </c>
      <c r="C622" s="3" t="s">
        <v>58</v>
      </c>
      <c r="D622" s="3" t="s">
        <v>51</v>
      </c>
      <c r="E622" s="3" t="s">
        <v>30</v>
      </c>
      <c r="F622" s="3">
        <v>22381.02</v>
      </c>
      <c r="G622" s="3">
        <v>651784</v>
      </c>
      <c r="H622" s="3">
        <v>3913</v>
      </c>
      <c r="I622" s="3">
        <v>31779.05</v>
      </c>
      <c r="J622" s="3">
        <v>32</v>
      </c>
      <c r="K622" s="15">
        <f t="shared" si="99"/>
        <v>6.0035226394020104E-3</v>
      </c>
      <c r="L622" s="16">
        <f t="shared" si="109"/>
        <v>5.7196575517505748</v>
      </c>
      <c r="M622" s="16">
        <f t="shared" si="100"/>
        <v>34.338093601561255</v>
      </c>
      <c r="N622" s="16">
        <f t="shared" si="101"/>
        <v>1.4199107100570036</v>
      </c>
      <c r="O622" s="16">
        <f t="shared" si="102"/>
        <v>0.41991071005700359</v>
      </c>
      <c r="P622" s="1">
        <v>2024</v>
      </c>
      <c r="Q622" s="1" t="s">
        <v>53</v>
      </c>
      <c r="R622" s="1" t="s">
        <v>46</v>
      </c>
      <c r="S622" s="70">
        <f>DATE(Table2[[#This Row],[Year]],MONTH(DATEVALUE("1-"&amp;Table2[[#This Row],[Month]]&amp;"-2000")),1)</f>
        <v>45444</v>
      </c>
      <c r="T622" s="16">
        <f t="shared" si="103"/>
        <v>8.1214030155890615</v>
      </c>
      <c r="U622" s="16">
        <f t="shared" si="104"/>
        <v>4.8757026867796691E-2</v>
      </c>
      <c r="V622" s="16">
        <f t="shared" si="105"/>
        <v>699.40687500000001</v>
      </c>
      <c r="W622" s="16">
        <f t="shared" si="106"/>
        <v>993.09531249999998</v>
      </c>
      <c r="X622" s="16">
        <f t="shared" si="107"/>
        <v>122.28125</v>
      </c>
      <c r="Y622" s="16">
        <f t="shared" si="108"/>
        <v>20368.25</v>
      </c>
      <c r="Z622" s="7" t="str" cm="1">
        <f t="array" ref="Z622">_xlfn.IFS(K622&lt;2%,"Low",K622&lt;5%,"Medium",K622&lt;10%,"Good",K622&gt;10%,"Excellent")</f>
        <v>Low</v>
      </c>
      <c r="AA622" s="16" t="str">
        <f>Data_Validation!N620</f>
        <v>Pass</v>
      </c>
    </row>
    <row r="623" spans="1:27" x14ac:dyDescent="0.35">
      <c r="A623" s="17" t="s">
        <v>115</v>
      </c>
      <c r="B623" s="3" t="s">
        <v>19</v>
      </c>
      <c r="C623" s="3" t="s">
        <v>29</v>
      </c>
      <c r="D623" s="3" t="s">
        <v>43</v>
      </c>
      <c r="E623" s="3" t="s">
        <v>30</v>
      </c>
      <c r="F623" s="3">
        <v>41756.550000000003</v>
      </c>
      <c r="G623" s="3">
        <v>190117</v>
      </c>
      <c r="H623" s="3">
        <v>49515</v>
      </c>
      <c r="I623" s="3">
        <v>136595.99</v>
      </c>
      <c r="J623" s="3">
        <v>19</v>
      </c>
      <c r="K623" s="15">
        <f t="shared" si="99"/>
        <v>0.26044488393988963</v>
      </c>
      <c r="L623" s="16">
        <f t="shared" si="109"/>
        <v>0.84331111784307788</v>
      </c>
      <c r="M623" s="16">
        <f t="shared" si="100"/>
        <v>219.63606621185903</v>
      </c>
      <c r="N623" s="16">
        <f t="shared" si="101"/>
        <v>3.2712470259156943</v>
      </c>
      <c r="O623" s="16">
        <f t="shared" si="102"/>
        <v>2.2712470259156943</v>
      </c>
      <c r="P623" s="1">
        <v>2024</v>
      </c>
      <c r="Q623" s="1" t="s">
        <v>53</v>
      </c>
      <c r="R623" s="1" t="s">
        <v>46</v>
      </c>
      <c r="S623" s="70">
        <f>DATE(Table2[[#This Row],[Year]],MONTH(DATEVALUE("1-"&amp;Table2[[#This Row],[Month]]&amp;"-2000")),1)</f>
        <v>45444</v>
      </c>
      <c r="T623" s="16">
        <f t="shared" si="103"/>
        <v>2.7586789861658083</v>
      </c>
      <c r="U623" s="16">
        <f t="shared" si="104"/>
        <v>0.71848382837936631</v>
      </c>
      <c r="V623" s="16">
        <f t="shared" si="105"/>
        <v>2197.7131578947369</v>
      </c>
      <c r="W623" s="16">
        <f t="shared" si="106"/>
        <v>7189.2626315789466</v>
      </c>
      <c r="X623" s="16">
        <f t="shared" si="107"/>
        <v>2606.0526315789475</v>
      </c>
      <c r="Y623" s="16">
        <f t="shared" si="108"/>
        <v>10006.157894736842</v>
      </c>
      <c r="Z623" s="7" t="str" cm="1">
        <f t="array" ref="Z623">_xlfn.IFS(K623&lt;2%,"Low",K623&lt;5%,"Medium",K623&lt;10%,"Good",K623&gt;10%,"Excellent")</f>
        <v>Excellent</v>
      </c>
      <c r="AA623" s="16" t="str">
        <f>Data_Validation!N621</f>
        <v>Pass</v>
      </c>
    </row>
    <row r="624" spans="1:27" x14ac:dyDescent="0.35">
      <c r="A624" s="17" t="s">
        <v>79</v>
      </c>
      <c r="B624" s="3" t="s">
        <v>28</v>
      </c>
      <c r="C624" s="3" t="s">
        <v>20</v>
      </c>
      <c r="D624" s="3" t="s">
        <v>21</v>
      </c>
      <c r="E624" s="3" t="s">
        <v>30</v>
      </c>
      <c r="F624" s="3">
        <v>10082.89</v>
      </c>
      <c r="G624" s="3">
        <v>13642</v>
      </c>
      <c r="H624" s="3">
        <v>49656</v>
      </c>
      <c r="I624" s="3">
        <v>10570.16</v>
      </c>
      <c r="J624" s="3">
        <v>14</v>
      </c>
      <c r="K624" s="15">
        <f t="shared" si="99"/>
        <v>3.6399354933294239</v>
      </c>
      <c r="L624" s="16">
        <f t="shared" si="109"/>
        <v>0.20305481714193652</v>
      </c>
      <c r="M624" s="16">
        <f t="shared" si="100"/>
        <v>739.10643600645062</v>
      </c>
      <c r="N624" s="16">
        <f t="shared" si="101"/>
        <v>1.0483264222856741</v>
      </c>
      <c r="O624" s="16">
        <f t="shared" si="102"/>
        <v>4.8326422285674096E-2</v>
      </c>
      <c r="P624" s="1">
        <v>2024</v>
      </c>
      <c r="Q624" s="1" t="s">
        <v>53</v>
      </c>
      <c r="R624" s="1" t="s">
        <v>46</v>
      </c>
      <c r="S624" s="70">
        <f>DATE(Table2[[#This Row],[Year]],MONTH(DATEVALUE("1-"&amp;Table2[[#This Row],[Month]]&amp;"-2000")),1)</f>
        <v>45444</v>
      </c>
      <c r="T624" s="16">
        <f t="shared" si="103"/>
        <v>0.21286772998227807</v>
      </c>
      <c r="U624" s="16">
        <f t="shared" si="104"/>
        <v>0.77482480574695789</v>
      </c>
      <c r="V624" s="16">
        <f t="shared" si="105"/>
        <v>720.20642857142855</v>
      </c>
      <c r="W624" s="16">
        <f t="shared" si="106"/>
        <v>755.01142857142861</v>
      </c>
      <c r="X624" s="16">
        <f t="shared" si="107"/>
        <v>3546.8571428571427</v>
      </c>
      <c r="Y624" s="16">
        <f t="shared" si="108"/>
        <v>974.42857142857144</v>
      </c>
      <c r="Z624" s="7" t="str" cm="1">
        <f t="array" ref="Z624">_xlfn.IFS(K624&lt;2%,"Low",K624&lt;5%,"Medium",K624&lt;10%,"Good",K624&gt;10%,"Excellent")</f>
        <v>Excellent</v>
      </c>
      <c r="AA624" s="16" t="str">
        <f>Data_Validation!N622</f>
        <v>Fail</v>
      </c>
    </row>
    <row r="625" spans="1:27" x14ac:dyDescent="0.35">
      <c r="A625" s="17" t="s">
        <v>99</v>
      </c>
      <c r="B625" s="3" t="s">
        <v>48</v>
      </c>
      <c r="C625" s="3" t="s">
        <v>58</v>
      </c>
      <c r="D625" s="3" t="s">
        <v>43</v>
      </c>
      <c r="E625" s="3" t="s">
        <v>30</v>
      </c>
      <c r="F625" s="3">
        <v>1108.8599999999999</v>
      </c>
      <c r="G625" s="3">
        <v>471477</v>
      </c>
      <c r="H625" s="3">
        <v>23115</v>
      </c>
      <c r="I625" s="3">
        <v>181995.85</v>
      </c>
      <c r="J625" s="3">
        <v>42</v>
      </c>
      <c r="K625" s="15">
        <f t="shared" si="99"/>
        <v>4.9026781794233865E-2</v>
      </c>
      <c r="L625" s="16">
        <f t="shared" si="109"/>
        <v>4.797144711226476E-2</v>
      </c>
      <c r="M625" s="16">
        <f t="shared" si="100"/>
        <v>2.3518856699266348</v>
      </c>
      <c r="N625" s="16">
        <f t="shared" si="101"/>
        <v>164.12878992839495</v>
      </c>
      <c r="O625" s="16">
        <f t="shared" si="102"/>
        <v>163.12878992839495</v>
      </c>
      <c r="P625" s="1">
        <v>2024</v>
      </c>
      <c r="Q625" s="1" t="s">
        <v>53</v>
      </c>
      <c r="R625" s="1" t="s">
        <v>46</v>
      </c>
      <c r="S625" s="70">
        <f>DATE(Table2[[#This Row],[Year]],MONTH(DATEVALUE("1-"&amp;Table2[[#This Row],[Month]]&amp;"-2000")),1)</f>
        <v>45444</v>
      </c>
      <c r="T625" s="16">
        <f t="shared" si="103"/>
        <v>7.8734955656500114</v>
      </c>
      <c r="U625" s="16">
        <f t="shared" si="104"/>
        <v>0.38601214905499104</v>
      </c>
      <c r="V625" s="16">
        <f t="shared" si="105"/>
        <v>26.401428571428568</v>
      </c>
      <c r="W625" s="16">
        <f t="shared" si="106"/>
        <v>4333.234523809524</v>
      </c>
      <c r="X625" s="16">
        <f t="shared" si="107"/>
        <v>550.35714285714289</v>
      </c>
      <c r="Y625" s="16">
        <f t="shared" si="108"/>
        <v>11225.642857142857</v>
      </c>
      <c r="Z625" s="7" t="str" cm="1">
        <f t="array" ref="Z625">_xlfn.IFS(K625&lt;2%,"Low",K625&lt;5%,"Medium",K625&lt;10%,"Good",K625&gt;10%,"Excellent")</f>
        <v>Medium</v>
      </c>
      <c r="AA625" s="16" t="str">
        <f>Data_Validation!N623</f>
        <v>Pass</v>
      </c>
    </row>
    <row r="626" spans="1:27" x14ac:dyDescent="0.35">
      <c r="A626" s="17" t="s">
        <v>71</v>
      </c>
      <c r="B626" s="3" t="s">
        <v>48</v>
      </c>
      <c r="C626" s="3" t="s">
        <v>36</v>
      </c>
      <c r="D626" s="3" t="s">
        <v>43</v>
      </c>
      <c r="E626" s="3" t="s">
        <v>38</v>
      </c>
      <c r="F626" s="3">
        <v>14071.26</v>
      </c>
      <c r="G626" s="3">
        <v>741963</v>
      </c>
      <c r="H626" s="3">
        <v>40240</v>
      </c>
      <c r="I626" s="3">
        <v>137896.6</v>
      </c>
      <c r="J626" s="3">
        <v>8</v>
      </c>
      <c r="K626" s="15">
        <f t="shared" si="99"/>
        <v>5.4234510346203246E-2</v>
      </c>
      <c r="L626" s="16">
        <f t="shared" si="109"/>
        <v>0.3496833996023857</v>
      </c>
      <c r="M626" s="16">
        <f t="shared" si="100"/>
        <v>18.964907953631112</v>
      </c>
      <c r="N626" s="16">
        <f t="shared" si="101"/>
        <v>9.7998757751615706</v>
      </c>
      <c r="O626" s="16">
        <f t="shared" si="102"/>
        <v>8.7998757751615706</v>
      </c>
      <c r="P626" s="1">
        <v>2024</v>
      </c>
      <c r="Q626" s="1" t="s">
        <v>53</v>
      </c>
      <c r="R626" s="1" t="s">
        <v>46</v>
      </c>
      <c r="S626" s="70">
        <f>DATE(Table2[[#This Row],[Year]],MONTH(DATEVALUE("1-"&amp;Table2[[#This Row],[Month]]&amp;"-2000")),1)</f>
        <v>45444</v>
      </c>
      <c r="T626" s="16">
        <f t="shared" si="103"/>
        <v>3.4268538767395627</v>
      </c>
      <c r="U626" s="16">
        <f t="shared" si="104"/>
        <v>0.18585374203295851</v>
      </c>
      <c r="V626" s="16">
        <f t="shared" si="105"/>
        <v>1758.9075</v>
      </c>
      <c r="W626" s="16">
        <f t="shared" si="106"/>
        <v>17237.075000000001</v>
      </c>
      <c r="X626" s="16">
        <f t="shared" si="107"/>
        <v>5030</v>
      </c>
      <c r="Y626" s="16">
        <f t="shared" si="108"/>
        <v>92745.375</v>
      </c>
      <c r="Z626" s="7" t="str" cm="1">
        <f t="array" ref="Z626">_xlfn.IFS(K626&lt;2%,"Low",K626&lt;5%,"Medium",K626&lt;10%,"Good",K626&gt;10%,"Excellent")</f>
        <v>Good</v>
      </c>
      <c r="AA626" s="16" t="str">
        <f>Data_Validation!N624</f>
        <v>Pass</v>
      </c>
    </row>
    <row r="627" spans="1:27" x14ac:dyDescent="0.35">
      <c r="A627" s="17" t="s">
        <v>117</v>
      </c>
      <c r="B627" s="3" t="s">
        <v>28</v>
      </c>
      <c r="C627" s="3" t="s">
        <v>36</v>
      </c>
      <c r="D627" s="3" t="s">
        <v>63</v>
      </c>
      <c r="E627" s="3" t="s">
        <v>22</v>
      </c>
      <c r="F627" s="3">
        <v>10361.290000000001</v>
      </c>
      <c r="G627" s="3">
        <v>661034</v>
      </c>
      <c r="H627" s="3">
        <v>16070</v>
      </c>
      <c r="I627" s="3">
        <v>139247.51</v>
      </c>
      <c r="J627" s="3">
        <v>35</v>
      </c>
      <c r="K627" s="15">
        <f t="shared" si="99"/>
        <v>2.4310398557411569E-2</v>
      </c>
      <c r="L627" s="16">
        <f t="shared" si="109"/>
        <v>0.64475980087118856</v>
      </c>
      <c r="M627" s="16">
        <f t="shared" si="100"/>
        <v>15.674367732975915</v>
      </c>
      <c r="N627" s="16">
        <f t="shared" si="101"/>
        <v>13.439205928991466</v>
      </c>
      <c r="O627" s="16">
        <f t="shared" si="102"/>
        <v>12.439205928991466</v>
      </c>
      <c r="P627" s="1">
        <v>2024</v>
      </c>
      <c r="Q627" s="1" t="s">
        <v>53</v>
      </c>
      <c r="R627" s="1" t="s">
        <v>46</v>
      </c>
      <c r="S627" s="70">
        <f>DATE(Table2[[#This Row],[Year]],MONTH(DATEVALUE("1-"&amp;Table2[[#This Row],[Month]]&amp;"-2000")),1)</f>
        <v>45444</v>
      </c>
      <c r="T627" s="16">
        <f t="shared" si="103"/>
        <v>8.6650597386434356</v>
      </c>
      <c r="U627" s="16">
        <f t="shared" si="104"/>
        <v>0.21065105577020246</v>
      </c>
      <c r="V627" s="16">
        <f t="shared" si="105"/>
        <v>296.03685714285717</v>
      </c>
      <c r="W627" s="16">
        <f t="shared" si="106"/>
        <v>3978.5002857142858</v>
      </c>
      <c r="X627" s="16">
        <f t="shared" si="107"/>
        <v>459.14285714285717</v>
      </c>
      <c r="Y627" s="16">
        <f t="shared" si="108"/>
        <v>18886.685714285715</v>
      </c>
      <c r="Z627" s="7" t="str" cm="1">
        <f t="array" ref="Z627">_xlfn.IFS(K627&lt;2%,"Low",K627&lt;5%,"Medium",K627&lt;10%,"Good",K627&gt;10%,"Excellent")</f>
        <v>Medium</v>
      </c>
      <c r="AA627" s="16" t="str">
        <f>Data_Validation!N625</f>
        <v>Pass</v>
      </c>
    </row>
    <row r="628" spans="1:27" x14ac:dyDescent="0.35">
      <c r="A628" s="17" t="s">
        <v>96</v>
      </c>
      <c r="B628" s="3" t="s">
        <v>28</v>
      </c>
      <c r="C628" s="3" t="s">
        <v>36</v>
      </c>
      <c r="D628" s="3" t="s">
        <v>21</v>
      </c>
      <c r="E628" s="3" t="s">
        <v>38</v>
      </c>
      <c r="F628" s="3">
        <v>3077.48</v>
      </c>
      <c r="G628" s="3">
        <v>688998</v>
      </c>
      <c r="H628" s="3">
        <v>22462</v>
      </c>
      <c r="I628" s="3">
        <v>8099.78</v>
      </c>
      <c r="J628" s="3">
        <v>33</v>
      </c>
      <c r="K628" s="15">
        <f t="shared" si="99"/>
        <v>3.2600965459986822E-2</v>
      </c>
      <c r="L628" s="16">
        <f t="shared" si="109"/>
        <v>0.13700828065176743</v>
      </c>
      <c r="M628" s="16">
        <f t="shared" si="100"/>
        <v>4.4666022252604511</v>
      </c>
      <c r="N628" s="16">
        <f t="shared" si="101"/>
        <v>2.6319521166668833</v>
      </c>
      <c r="O628" s="16">
        <f t="shared" si="102"/>
        <v>1.6319521166668831</v>
      </c>
      <c r="P628" s="1">
        <v>2024</v>
      </c>
      <c r="Q628" s="1" t="s">
        <v>53</v>
      </c>
      <c r="R628" s="1" t="s">
        <v>46</v>
      </c>
      <c r="S628" s="70">
        <f>DATE(Table2[[#This Row],[Year]],MONTH(DATEVALUE("1-"&amp;Table2[[#This Row],[Month]]&amp;"-2000")),1)</f>
        <v>45444</v>
      </c>
      <c r="T628" s="16">
        <f t="shared" si="103"/>
        <v>0.36059923426230966</v>
      </c>
      <c r="U628" s="16">
        <f t="shared" si="104"/>
        <v>1.1755883181083254E-2</v>
      </c>
      <c r="V628" s="16">
        <f t="shared" si="105"/>
        <v>93.256969696969691</v>
      </c>
      <c r="W628" s="16">
        <f t="shared" si="106"/>
        <v>245.44787878787878</v>
      </c>
      <c r="X628" s="16">
        <f t="shared" si="107"/>
        <v>680.66666666666663</v>
      </c>
      <c r="Y628" s="16">
        <f t="shared" si="108"/>
        <v>20878.727272727272</v>
      </c>
      <c r="Z628" s="7" t="str" cm="1">
        <f t="array" ref="Z628">_xlfn.IFS(K628&lt;2%,"Low",K628&lt;5%,"Medium",K628&lt;10%,"Good",K628&gt;10%,"Excellent")</f>
        <v>Medium</v>
      </c>
      <c r="AA628" s="16" t="str">
        <f>Data_Validation!N626</f>
        <v>Pass</v>
      </c>
    </row>
    <row r="629" spans="1:27" x14ac:dyDescent="0.35">
      <c r="A629" s="17" t="s">
        <v>103</v>
      </c>
      <c r="B629" s="3" t="s">
        <v>35</v>
      </c>
      <c r="C629" s="3" t="s">
        <v>69</v>
      </c>
      <c r="D629" s="3" t="s">
        <v>37</v>
      </c>
      <c r="E629" s="3" t="s">
        <v>22</v>
      </c>
      <c r="F629" s="3">
        <v>6750.62</v>
      </c>
      <c r="G629" s="3">
        <v>18248</v>
      </c>
      <c r="H629" s="3">
        <v>25854</v>
      </c>
      <c r="I629" s="3">
        <v>232239.31</v>
      </c>
      <c r="J629" s="3">
        <v>61</v>
      </c>
      <c r="K629" s="15">
        <f t="shared" si="99"/>
        <v>1.4168128014028936</v>
      </c>
      <c r="L629" s="16">
        <f t="shared" si="109"/>
        <v>0.2611054382300611</v>
      </c>
      <c r="M629" s="16">
        <f t="shared" si="100"/>
        <v>369.93752740026304</v>
      </c>
      <c r="N629" s="16">
        <f t="shared" si="101"/>
        <v>34.402663755329144</v>
      </c>
      <c r="O629" s="16">
        <f t="shared" si="102"/>
        <v>33.402663755329144</v>
      </c>
      <c r="P629" s="1">
        <v>2024</v>
      </c>
      <c r="Q629" s="1" t="s">
        <v>80</v>
      </c>
      <c r="R629" s="1" t="s">
        <v>33</v>
      </c>
      <c r="S629" s="70">
        <f>DATE(Table2[[#This Row],[Year]],MONTH(DATEVALUE("1-"&amp;Table2[[#This Row],[Month]]&amp;"-2000")),1)</f>
        <v>45474</v>
      </c>
      <c r="T629" s="16">
        <f t="shared" si="103"/>
        <v>8.9827225961166555</v>
      </c>
      <c r="U629" s="16">
        <f t="shared" si="104"/>
        <v>12.72683636562911</v>
      </c>
      <c r="V629" s="16">
        <f t="shared" si="105"/>
        <v>110.66590163934426</v>
      </c>
      <c r="W629" s="16">
        <f t="shared" si="106"/>
        <v>3807.2018032786887</v>
      </c>
      <c r="X629" s="16">
        <f t="shared" si="107"/>
        <v>423.8360655737705</v>
      </c>
      <c r="Y629" s="16">
        <f t="shared" si="108"/>
        <v>299.14754098360658</v>
      </c>
      <c r="Z629" s="7" t="str" cm="1">
        <f t="array" ref="Z629">_xlfn.IFS(K629&lt;2%,"Low",K629&lt;5%,"Medium",K629&lt;10%,"Good",K629&gt;10%,"Excellent")</f>
        <v>Excellent</v>
      </c>
      <c r="AA629" s="16" t="str">
        <f>Data_Validation!N627</f>
        <v>Fail</v>
      </c>
    </row>
    <row r="630" spans="1:27" x14ac:dyDescent="0.35">
      <c r="A630" s="17" t="s">
        <v>111</v>
      </c>
      <c r="B630" s="3" t="s">
        <v>19</v>
      </c>
      <c r="C630" s="3" t="s">
        <v>36</v>
      </c>
      <c r="D630" s="3" t="s">
        <v>59</v>
      </c>
      <c r="E630" s="3" t="s">
        <v>30</v>
      </c>
      <c r="F630" s="3">
        <v>48327.97</v>
      </c>
      <c r="G630" s="3">
        <v>448620</v>
      </c>
      <c r="H630" s="3">
        <v>35728</v>
      </c>
      <c r="I630" s="3">
        <v>14007.47</v>
      </c>
      <c r="J630" s="3">
        <v>38</v>
      </c>
      <c r="K630" s="15">
        <f t="shared" si="99"/>
        <v>7.9639784227185595E-2</v>
      </c>
      <c r="L630" s="16">
        <f t="shared" si="109"/>
        <v>1.3526637371249441</v>
      </c>
      <c r="M630" s="16">
        <f t="shared" si="100"/>
        <v>107.72584815656903</v>
      </c>
      <c r="N630" s="16">
        <f t="shared" si="101"/>
        <v>0.28984188659279503</v>
      </c>
      <c r="O630" s="16">
        <f t="shared" si="102"/>
        <v>-0.71015811340720492</v>
      </c>
      <c r="P630" s="1">
        <v>2024</v>
      </c>
      <c r="Q630" s="1" t="s">
        <v>80</v>
      </c>
      <c r="R630" s="1" t="s">
        <v>33</v>
      </c>
      <c r="S630" s="70">
        <f>DATE(Table2[[#This Row],[Year]],MONTH(DATEVALUE("1-"&amp;Table2[[#This Row],[Month]]&amp;"-2000")),1)</f>
        <v>45474</v>
      </c>
      <c r="T630" s="16">
        <f t="shared" si="103"/>
        <v>0.39205860949395432</v>
      </c>
      <c r="U630" s="16">
        <f t="shared" si="104"/>
        <v>3.1223463064508936E-2</v>
      </c>
      <c r="V630" s="16">
        <f t="shared" si="105"/>
        <v>1271.7886842105263</v>
      </c>
      <c r="W630" s="16">
        <f t="shared" si="106"/>
        <v>368.61763157894734</v>
      </c>
      <c r="X630" s="16">
        <f t="shared" si="107"/>
        <v>940.21052631578948</v>
      </c>
      <c r="Y630" s="16">
        <f t="shared" si="108"/>
        <v>11805.78947368421</v>
      </c>
      <c r="Z630" s="7" t="str" cm="1">
        <f t="array" ref="Z630">_xlfn.IFS(K630&lt;2%,"Low",K630&lt;5%,"Medium",K630&lt;10%,"Good",K630&gt;10%,"Excellent")</f>
        <v>Good</v>
      </c>
      <c r="AA630" s="16" t="str">
        <f>Data_Validation!N628</f>
        <v>Pass</v>
      </c>
    </row>
    <row r="631" spans="1:27" x14ac:dyDescent="0.35">
      <c r="A631" s="17" t="s">
        <v>89</v>
      </c>
      <c r="B631" s="3" t="s">
        <v>19</v>
      </c>
      <c r="C631" s="3" t="s">
        <v>69</v>
      </c>
      <c r="D631" s="3" t="s">
        <v>43</v>
      </c>
      <c r="E631" s="3" t="s">
        <v>22</v>
      </c>
      <c r="F631" s="3">
        <v>24186.080000000002</v>
      </c>
      <c r="G631" s="3">
        <v>802682</v>
      </c>
      <c r="H631" s="3">
        <v>48986</v>
      </c>
      <c r="I631" s="3">
        <v>148473.96</v>
      </c>
      <c r="J631" s="3">
        <v>6</v>
      </c>
      <c r="K631" s="15">
        <f t="shared" si="99"/>
        <v>6.1027903952000917E-2</v>
      </c>
      <c r="L631" s="16">
        <f t="shared" si="109"/>
        <v>0.49373453639815462</v>
      </c>
      <c r="M631" s="16">
        <f t="shared" si="100"/>
        <v>30.131583865092278</v>
      </c>
      <c r="N631" s="16">
        <f t="shared" si="101"/>
        <v>6.1388186924048869</v>
      </c>
      <c r="O631" s="16">
        <f t="shared" si="102"/>
        <v>5.1388186924048869</v>
      </c>
      <c r="P631" s="1">
        <v>2024</v>
      </c>
      <c r="Q631" s="1" t="s">
        <v>80</v>
      </c>
      <c r="R631" s="1" t="s">
        <v>33</v>
      </c>
      <c r="S631" s="70">
        <f>DATE(Table2[[#This Row],[Year]],MONTH(DATEVALUE("1-"&amp;Table2[[#This Row],[Month]]&amp;"-2000")),1)</f>
        <v>45474</v>
      </c>
      <c r="T631" s="16">
        <f t="shared" si="103"/>
        <v>3.0309468011268526</v>
      </c>
      <c r="U631" s="16">
        <f t="shared" si="104"/>
        <v>0.18497233026279397</v>
      </c>
      <c r="V631" s="16">
        <f t="shared" si="105"/>
        <v>4031.0133333333338</v>
      </c>
      <c r="W631" s="16">
        <f t="shared" si="106"/>
        <v>24745.66</v>
      </c>
      <c r="X631" s="16">
        <f t="shared" si="107"/>
        <v>8164.333333333333</v>
      </c>
      <c r="Y631" s="16">
        <f t="shared" si="108"/>
        <v>133780.33333333334</v>
      </c>
      <c r="Z631" s="7" t="str" cm="1">
        <f t="array" ref="Z631">_xlfn.IFS(K631&lt;2%,"Low",K631&lt;5%,"Medium",K631&lt;10%,"Good",K631&gt;10%,"Excellent")</f>
        <v>Good</v>
      </c>
      <c r="AA631" s="16" t="str">
        <f>Data_Validation!N629</f>
        <v>Pass</v>
      </c>
    </row>
    <row r="632" spans="1:27" x14ac:dyDescent="0.35">
      <c r="A632" s="17" t="s">
        <v>78</v>
      </c>
      <c r="B632" s="3" t="s">
        <v>28</v>
      </c>
      <c r="C632" s="3" t="s">
        <v>36</v>
      </c>
      <c r="D632" s="3" t="s">
        <v>43</v>
      </c>
      <c r="E632" s="3" t="s">
        <v>30</v>
      </c>
      <c r="F632" s="3">
        <v>24999.74</v>
      </c>
      <c r="G632" s="3">
        <v>934481</v>
      </c>
      <c r="H632" s="3">
        <v>15543</v>
      </c>
      <c r="I632" s="3">
        <v>121684.26</v>
      </c>
      <c r="J632" s="3">
        <v>49</v>
      </c>
      <c r="K632" s="15">
        <f t="shared" si="99"/>
        <v>1.6632761928813963E-2</v>
      </c>
      <c r="L632" s="16">
        <f t="shared" si="109"/>
        <v>1.6084243710995305</v>
      </c>
      <c r="M632" s="16">
        <f t="shared" si="100"/>
        <v>26.752539645000809</v>
      </c>
      <c r="N632" s="16">
        <f t="shared" si="101"/>
        <v>4.86742102117862</v>
      </c>
      <c r="O632" s="16">
        <f t="shared" si="102"/>
        <v>3.8674210211786195</v>
      </c>
      <c r="P632" s="1">
        <v>2024</v>
      </c>
      <c r="Q632" s="1" t="s">
        <v>80</v>
      </c>
      <c r="R632" s="1" t="s">
        <v>33</v>
      </c>
      <c r="S632" s="70">
        <f>DATE(Table2[[#This Row],[Year]],MONTH(DATEVALUE("1-"&amp;Table2[[#This Row],[Month]]&amp;"-2000")),1)</f>
        <v>45474</v>
      </c>
      <c r="T632" s="16">
        <f t="shared" si="103"/>
        <v>7.8288785948658557</v>
      </c>
      <c r="U632" s="16">
        <f t="shared" si="104"/>
        <v>0.13021587383799135</v>
      </c>
      <c r="V632" s="16">
        <f t="shared" si="105"/>
        <v>510.19877551020409</v>
      </c>
      <c r="W632" s="16">
        <f t="shared" si="106"/>
        <v>2483.3522448979593</v>
      </c>
      <c r="X632" s="16">
        <f t="shared" si="107"/>
        <v>317.20408163265307</v>
      </c>
      <c r="Y632" s="16">
        <f t="shared" si="108"/>
        <v>19071.040816326531</v>
      </c>
      <c r="Z632" s="7" t="str" cm="1">
        <f t="array" ref="Z632">_xlfn.IFS(K632&lt;2%,"Low",K632&lt;5%,"Medium",K632&lt;10%,"Good",K632&gt;10%,"Excellent")</f>
        <v>Low</v>
      </c>
      <c r="AA632" s="16" t="str">
        <f>Data_Validation!N630</f>
        <v>Pass</v>
      </c>
    </row>
    <row r="633" spans="1:27" x14ac:dyDescent="0.35">
      <c r="A633" s="17" t="s">
        <v>82</v>
      </c>
      <c r="B633" s="3" t="s">
        <v>28</v>
      </c>
      <c r="C633" s="3" t="s">
        <v>69</v>
      </c>
      <c r="D633" s="3" t="s">
        <v>63</v>
      </c>
      <c r="E633" s="3" t="s">
        <v>22</v>
      </c>
      <c r="F633" s="3">
        <v>7325.4</v>
      </c>
      <c r="G633" s="3">
        <v>846979</v>
      </c>
      <c r="H633" s="3">
        <v>3470</v>
      </c>
      <c r="I633" s="3">
        <v>153739.99</v>
      </c>
      <c r="J633" s="3">
        <v>52</v>
      </c>
      <c r="K633" s="15">
        <f t="shared" si="99"/>
        <v>4.0969138550070311E-3</v>
      </c>
      <c r="L633" s="16">
        <f t="shared" si="109"/>
        <v>2.1110662824207491</v>
      </c>
      <c r="M633" s="16">
        <f t="shared" si="100"/>
        <v>8.6488567012877535</v>
      </c>
      <c r="N633" s="16">
        <f t="shared" si="101"/>
        <v>20.987248477898817</v>
      </c>
      <c r="O633" s="16">
        <f t="shared" si="102"/>
        <v>19.987248477898817</v>
      </c>
      <c r="P633" s="1">
        <v>2024</v>
      </c>
      <c r="Q633" s="1" t="s">
        <v>80</v>
      </c>
      <c r="R633" s="1" t="s">
        <v>33</v>
      </c>
      <c r="S633" s="70">
        <f>DATE(Table2[[#This Row],[Year]],MONTH(DATEVALUE("1-"&amp;Table2[[#This Row],[Month]]&amp;"-2000")),1)</f>
        <v>45474</v>
      </c>
      <c r="T633" s="16">
        <f t="shared" si="103"/>
        <v>44.305472622478383</v>
      </c>
      <c r="U633" s="16">
        <f t="shared" si="104"/>
        <v>0.18151570463966638</v>
      </c>
      <c r="V633" s="16">
        <f t="shared" si="105"/>
        <v>140.87307692307692</v>
      </c>
      <c r="W633" s="16">
        <f t="shared" si="106"/>
        <v>2956.5382692307689</v>
      </c>
      <c r="X633" s="16">
        <f t="shared" si="107"/>
        <v>66.730769230769226</v>
      </c>
      <c r="Y633" s="16">
        <f t="shared" si="108"/>
        <v>16288.057692307691</v>
      </c>
      <c r="Z633" s="7" t="str" cm="1">
        <f t="array" ref="Z633">_xlfn.IFS(K633&lt;2%,"Low",K633&lt;5%,"Medium",K633&lt;10%,"Good",K633&gt;10%,"Excellent")</f>
        <v>Low</v>
      </c>
      <c r="AA633" s="16" t="str">
        <f>Data_Validation!N631</f>
        <v>Pass</v>
      </c>
    </row>
    <row r="634" spans="1:27" x14ac:dyDescent="0.35">
      <c r="A634" s="17" t="s">
        <v>105</v>
      </c>
      <c r="B634" s="3" t="s">
        <v>19</v>
      </c>
      <c r="C634" s="3" t="s">
        <v>36</v>
      </c>
      <c r="D634" s="3" t="s">
        <v>21</v>
      </c>
      <c r="E634" s="3" t="s">
        <v>38</v>
      </c>
      <c r="F634" s="3">
        <v>155.11000000000001</v>
      </c>
      <c r="G634" s="3">
        <v>957170</v>
      </c>
      <c r="H634" s="3">
        <v>44369</v>
      </c>
      <c r="I634" s="3">
        <v>17361.72</v>
      </c>
      <c r="J634" s="3">
        <v>34</v>
      </c>
      <c r="K634" s="15">
        <f t="shared" si="99"/>
        <v>4.6354357115245985E-2</v>
      </c>
      <c r="L634" s="16">
        <f t="shared" si="109"/>
        <v>3.4959093060470152E-3</v>
      </c>
      <c r="M634" s="16">
        <f t="shared" si="100"/>
        <v>0.16205062841501511</v>
      </c>
      <c r="N634" s="16">
        <f t="shared" si="101"/>
        <v>111.93166140158597</v>
      </c>
      <c r="O634" s="16">
        <f t="shared" si="102"/>
        <v>110.93166140158597</v>
      </c>
      <c r="P634" s="1">
        <v>2024</v>
      </c>
      <c r="Q634" s="1" t="s">
        <v>80</v>
      </c>
      <c r="R634" s="1" t="s">
        <v>33</v>
      </c>
      <c r="S634" s="70">
        <f>DATE(Table2[[#This Row],[Year]],MONTH(DATEVALUE("1-"&amp;Table2[[#This Row],[Month]]&amp;"-2000")),1)</f>
        <v>45474</v>
      </c>
      <c r="T634" s="16">
        <f t="shared" si="103"/>
        <v>0.39130293673510785</v>
      </c>
      <c r="U634" s="16">
        <f t="shared" si="104"/>
        <v>1.8138596069663698E-2</v>
      </c>
      <c r="V634" s="16">
        <f t="shared" si="105"/>
        <v>4.5620588235294122</v>
      </c>
      <c r="W634" s="16">
        <f t="shared" si="106"/>
        <v>510.63882352941181</v>
      </c>
      <c r="X634" s="16">
        <f t="shared" si="107"/>
        <v>1304.9705882352941</v>
      </c>
      <c r="Y634" s="16">
        <f t="shared" si="108"/>
        <v>28152.058823529413</v>
      </c>
      <c r="Z634" s="7" t="str" cm="1">
        <f t="array" ref="Z634">_xlfn.IFS(K634&lt;2%,"Low",K634&lt;5%,"Medium",K634&lt;10%,"Good",K634&gt;10%,"Excellent")</f>
        <v>Medium</v>
      </c>
      <c r="AA634" s="16" t="str">
        <f>Data_Validation!N632</f>
        <v>Pass</v>
      </c>
    </row>
    <row r="635" spans="1:27" x14ac:dyDescent="0.35">
      <c r="A635" s="17" t="s">
        <v>82</v>
      </c>
      <c r="B635" s="3" t="s">
        <v>28</v>
      </c>
      <c r="C635" s="3" t="s">
        <v>69</v>
      </c>
      <c r="D635" s="3" t="s">
        <v>37</v>
      </c>
      <c r="E635" s="3" t="s">
        <v>22</v>
      </c>
      <c r="F635" s="3">
        <v>26860.99</v>
      </c>
      <c r="G635" s="3">
        <v>20060</v>
      </c>
      <c r="H635" s="3">
        <v>22055</v>
      </c>
      <c r="I635" s="3">
        <v>5358.2</v>
      </c>
      <c r="J635" s="3">
        <v>28</v>
      </c>
      <c r="K635" s="15">
        <f t="shared" si="99"/>
        <v>1.0994516450648055</v>
      </c>
      <c r="L635" s="16">
        <f t="shared" si="109"/>
        <v>1.2179093176150533</v>
      </c>
      <c r="M635" s="16">
        <f t="shared" si="100"/>
        <v>1339.0324027916251</v>
      </c>
      <c r="N635" s="16">
        <f t="shared" si="101"/>
        <v>0.19947887252107982</v>
      </c>
      <c r="O635" s="16">
        <f t="shared" si="102"/>
        <v>-0.80052112747892012</v>
      </c>
      <c r="P635" s="1">
        <v>2024</v>
      </c>
      <c r="Q635" s="1" t="s">
        <v>80</v>
      </c>
      <c r="R635" s="1" t="s">
        <v>33</v>
      </c>
      <c r="S635" s="70">
        <f>DATE(Table2[[#This Row],[Year]],MONTH(DATEVALUE("1-"&amp;Table2[[#This Row],[Month]]&amp;"-2000")),1)</f>
        <v>45474</v>
      </c>
      <c r="T635" s="16">
        <f t="shared" si="103"/>
        <v>0.24294717751076852</v>
      </c>
      <c r="U635" s="16">
        <f t="shared" si="104"/>
        <v>0.26710867397806581</v>
      </c>
      <c r="V635" s="16">
        <f t="shared" si="105"/>
        <v>959.32107142857149</v>
      </c>
      <c r="W635" s="16">
        <f t="shared" si="106"/>
        <v>191.3642857142857</v>
      </c>
      <c r="X635" s="16">
        <f t="shared" si="107"/>
        <v>787.67857142857144</v>
      </c>
      <c r="Y635" s="16">
        <f t="shared" si="108"/>
        <v>716.42857142857144</v>
      </c>
      <c r="Z635" s="7" t="str" cm="1">
        <f t="array" ref="Z635">_xlfn.IFS(K635&lt;2%,"Low",K635&lt;5%,"Medium",K635&lt;10%,"Good",K635&gt;10%,"Excellent")</f>
        <v>Excellent</v>
      </c>
      <c r="AA635" s="16" t="str">
        <f>Data_Validation!N633</f>
        <v>Fail</v>
      </c>
    </row>
    <row r="636" spans="1:27" x14ac:dyDescent="0.35">
      <c r="A636" s="17" t="s">
        <v>96</v>
      </c>
      <c r="B636" s="3" t="s">
        <v>48</v>
      </c>
      <c r="C636" s="3" t="s">
        <v>36</v>
      </c>
      <c r="D636" s="3" t="s">
        <v>43</v>
      </c>
      <c r="E636" s="3" t="s">
        <v>38</v>
      </c>
      <c r="F636" s="3">
        <v>3406.96</v>
      </c>
      <c r="G636" s="3">
        <v>815625</v>
      </c>
      <c r="H636" s="3">
        <v>5973</v>
      </c>
      <c r="I636" s="3">
        <v>42785.71</v>
      </c>
      <c r="J636" s="3">
        <v>16</v>
      </c>
      <c r="K636" s="15">
        <f t="shared" si="99"/>
        <v>7.3232183908045973E-3</v>
      </c>
      <c r="L636" s="16">
        <f t="shared" si="109"/>
        <v>0.57039343713376867</v>
      </c>
      <c r="M636" s="16">
        <f t="shared" si="100"/>
        <v>4.177115708812261</v>
      </c>
      <c r="N636" s="16">
        <f t="shared" si="101"/>
        <v>12.558324723507173</v>
      </c>
      <c r="O636" s="16">
        <f t="shared" si="102"/>
        <v>11.558324723507173</v>
      </c>
      <c r="P636" s="1">
        <v>2024</v>
      </c>
      <c r="Q636" s="1" t="s">
        <v>80</v>
      </c>
      <c r="R636" s="1" t="s">
        <v>33</v>
      </c>
      <c r="S636" s="70">
        <f>DATE(Table2[[#This Row],[Year]],MONTH(DATEVALUE("1-"&amp;Table2[[#This Row],[Month]]&amp;"-2000")),1)</f>
        <v>45474</v>
      </c>
      <c r="T636" s="16">
        <f t="shared" si="103"/>
        <v>7.1631860036832409</v>
      </c>
      <c r="U636" s="16">
        <f t="shared" si="104"/>
        <v>5.2457575478927203E-2</v>
      </c>
      <c r="V636" s="16">
        <f t="shared" si="105"/>
        <v>212.935</v>
      </c>
      <c r="W636" s="16">
        <f t="shared" si="106"/>
        <v>2674.1068749999999</v>
      </c>
      <c r="X636" s="16">
        <f t="shared" si="107"/>
        <v>373.3125</v>
      </c>
      <c r="Y636" s="16">
        <f t="shared" si="108"/>
        <v>50976.5625</v>
      </c>
      <c r="Z636" s="7" t="str" cm="1">
        <f t="array" ref="Z636">_xlfn.IFS(K636&lt;2%,"Low",K636&lt;5%,"Medium",K636&lt;10%,"Good",K636&gt;10%,"Excellent")</f>
        <v>Low</v>
      </c>
      <c r="AA636" s="16" t="str">
        <f>Data_Validation!N634</f>
        <v>Pass</v>
      </c>
    </row>
    <row r="637" spans="1:27" x14ac:dyDescent="0.35">
      <c r="A637" s="17" t="s">
        <v>90</v>
      </c>
      <c r="B637" s="3" t="s">
        <v>19</v>
      </c>
      <c r="C637" s="3" t="s">
        <v>20</v>
      </c>
      <c r="D637" s="3" t="s">
        <v>21</v>
      </c>
      <c r="E637" s="3" t="s">
        <v>38</v>
      </c>
      <c r="F637" s="3">
        <v>5473.61</v>
      </c>
      <c r="G637" s="3">
        <v>450552</v>
      </c>
      <c r="H637" s="3">
        <v>25624</v>
      </c>
      <c r="I637" s="3">
        <v>226685.43</v>
      </c>
      <c r="J637" s="3">
        <v>35</v>
      </c>
      <c r="K637" s="15">
        <f t="shared" si="99"/>
        <v>5.6872458672916779E-2</v>
      </c>
      <c r="L637" s="16">
        <f t="shared" si="109"/>
        <v>0.21361262878551357</v>
      </c>
      <c r="M637" s="16">
        <f t="shared" si="100"/>
        <v>12.148675402617235</v>
      </c>
      <c r="N637" s="16">
        <f t="shared" si="101"/>
        <v>41.414245808524903</v>
      </c>
      <c r="O637" s="16">
        <f t="shared" si="102"/>
        <v>40.41424580852491</v>
      </c>
      <c r="P637" s="1">
        <v>2024</v>
      </c>
      <c r="Q637" s="1" t="s">
        <v>80</v>
      </c>
      <c r="R637" s="1" t="s">
        <v>33</v>
      </c>
      <c r="S637" s="70">
        <f>DATE(Table2[[#This Row],[Year]],MONTH(DATEVALUE("1-"&amp;Table2[[#This Row],[Month]]&amp;"-2000")),1)</f>
        <v>45474</v>
      </c>
      <c r="T637" s="16">
        <f t="shared" si="103"/>
        <v>8.846605916328441</v>
      </c>
      <c r="U637" s="16">
        <f t="shared" si="104"/>
        <v>0.50312822937197033</v>
      </c>
      <c r="V637" s="16">
        <f t="shared" si="105"/>
        <v>156.38885714285712</v>
      </c>
      <c r="W637" s="16">
        <f t="shared" si="106"/>
        <v>6476.7265714285713</v>
      </c>
      <c r="X637" s="16">
        <f t="shared" si="107"/>
        <v>732.11428571428576</v>
      </c>
      <c r="Y637" s="16">
        <f t="shared" si="108"/>
        <v>12872.914285714285</v>
      </c>
      <c r="Z637" s="7" t="str" cm="1">
        <f t="array" ref="Z637">_xlfn.IFS(K637&lt;2%,"Low",K637&lt;5%,"Medium",K637&lt;10%,"Good",K637&gt;10%,"Excellent")</f>
        <v>Good</v>
      </c>
      <c r="AA637" s="16" t="str">
        <f>Data_Validation!N635</f>
        <v>Pass</v>
      </c>
    </row>
    <row r="638" spans="1:27" x14ac:dyDescent="0.35">
      <c r="A638" s="17" t="s">
        <v>95</v>
      </c>
      <c r="B638" s="3" t="s">
        <v>35</v>
      </c>
      <c r="C638" s="3" t="s">
        <v>29</v>
      </c>
      <c r="D638" s="3" t="s">
        <v>21</v>
      </c>
      <c r="E638" s="3" t="s">
        <v>30</v>
      </c>
      <c r="F638" s="3">
        <v>22504.11</v>
      </c>
      <c r="G638" s="3">
        <v>393588</v>
      </c>
      <c r="H638" s="3">
        <v>25822</v>
      </c>
      <c r="I638" s="3">
        <v>59710.13</v>
      </c>
      <c r="J638" s="3">
        <v>40</v>
      </c>
      <c r="K638" s="15">
        <f t="shared" si="99"/>
        <v>6.5606675000254078E-2</v>
      </c>
      <c r="L638" s="16">
        <f t="shared" si="109"/>
        <v>0.87150917822012242</v>
      </c>
      <c r="M638" s="16">
        <f t="shared" si="100"/>
        <v>57.17681941522607</v>
      </c>
      <c r="N638" s="16">
        <f t="shared" si="101"/>
        <v>2.6532988862923261</v>
      </c>
      <c r="O638" s="16">
        <f t="shared" si="102"/>
        <v>1.6532988862923259</v>
      </c>
      <c r="P638" s="1">
        <v>2024</v>
      </c>
      <c r="Q638" s="1" t="s">
        <v>80</v>
      </c>
      <c r="R638" s="1" t="s">
        <v>33</v>
      </c>
      <c r="S638" s="70">
        <f>DATE(Table2[[#This Row],[Year]],MONTH(DATEVALUE("1-"&amp;Table2[[#This Row],[Month]]&amp;"-2000")),1)</f>
        <v>45474</v>
      </c>
      <c r="T638" s="16">
        <f t="shared" si="103"/>
        <v>2.3123743319649912</v>
      </c>
      <c r="U638" s="16">
        <f t="shared" si="104"/>
        <v>0.15170719127615678</v>
      </c>
      <c r="V638" s="16">
        <f t="shared" si="105"/>
        <v>562.60275000000001</v>
      </c>
      <c r="W638" s="16">
        <f t="shared" si="106"/>
        <v>1492.75325</v>
      </c>
      <c r="X638" s="16">
        <f t="shared" si="107"/>
        <v>645.54999999999995</v>
      </c>
      <c r="Y638" s="16">
        <f t="shared" si="108"/>
        <v>9839.7000000000007</v>
      </c>
      <c r="Z638" s="7" t="str" cm="1">
        <f t="array" ref="Z638">_xlfn.IFS(K638&lt;2%,"Low",K638&lt;5%,"Medium",K638&lt;10%,"Good",K638&gt;10%,"Excellent")</f>
        <v>Good</v>
      </c>
      <c r="AA638" s="16" t="str">
        <f>Data_Validation!N636</f>
        <v>Pass</v>
      </c>
    </row>
    <row r="639" spans="1:27" x14ac:dyDescent="0.35">
      <c r="A639" s="17" t="s">
        <v>96</v>
      </c>
      <c r="B639" s="3" t="s">
        <v>28</v>
      </c>
      <c r="C639" s="3" t="s">
        <v>69</v>
      </c>
      <c r="D639" s="3" t="s">
        <v>59</v>
      </c>
      <c r="E639" s="3" t="s">
        <v>30</v>
      </c>
      <c r="F639" s="3">
        <v>4186.1099999999997</v>
      </c>
      <c r="G639" s="3">
        <v>933685</v>
      </c>
      <c r="H639" s="3">
        <v>49577</v>
      </c>
      <c r="I639" s="3">
        <v>192164.47</v>
      </c>
      <c r="J639" s="3">
        <v>36</v>
      </c>
      <c r="K639" s="15">
        <f t="shared" si="99"/>
        <v>5.3098207639621503E-2</v>
      </c>
      <c r="L639" s="16">
        <f t="shared" si="109"/>
        <v>8.4436533069770253E-2</v>
      </c>
      <c r="M639" s="16">
        <f t="shared" si="100"/>
        <v>4.4834285653084276</v>
      </c>
      <c r="N639" s="16">
        <f t="shared" si="101"/>
        <v>45.905260492438089</v>
      </c>
      <c r="O639" s="16">
        <f t="shared" si="102"/>
        <v>44.905260492438096</v>
      </c>
      <c r="P639" s="1">
        <v>2024</v>
      </c>
      <c r="Q639" s="1" t="s">
        <v>80</v>
      </c>
      <c r="R639" s="1" t="s">
        <v>33</v>
      </c>
      <c r="S639" s="70">
        <f>DATE(Table2[[#This Row],[Year]],MONTH(DATEVALUE("1-"&amp;Table2[[#This Row],[Month]]&amp;"-2000")),1)</f>
        <v>45474</v>
      </c>
      <c r="T639" s="16">
        <f t="shared" si="103"/>
        <v>3.8760810456461665</v>
      </c>
      <c r="U639" s="16">
        <f t="shared" si="104"/>
        <v>0.20581295618972137</v>
      </c>
      <c r="V639" s="16">
        <f t="shared" si="105"/>
        <v>116.28083333333332</v>
      </c>
      <c r="W639" s="16">
        <f t="shared" si="106"/>
        <v>5337.9019444444448</v>
      </c>
      <c r="X639" s="16">
        <f t="shared" si="107"/>
        <v>1377.1388888888889</v>
      </c>
      <c r="Y639" s="16">
        <f t="shared" si="108"/>
        <v>25935.694444444445</v>
      </c>
      <c r="Z639" s="7" t="str" cm="1">
        <f t="array" ref="Z639">_xlfn.IFS(K639&lt;2%,"Low",K639&lt;5%,"Medium",K639&lt;10%,"Good",K639&gt;10%,"Excellent")</f>
        <v>Good</v>
      </c>
      <c r="AA639" s="16" t="str">
        <f>Data_Validation!N637</f>
        <v>Pass</v>
      </c>
    </row>
    <row r="640" spans="1:27" x14ac:dyDescent="0.35">
      <c r="A640" s="17" t="s">
        <v>77</v>
      </c>
      <c r="B640" s="3" t="s">
        <v>19</v>
      </c>
      <c r="C640" s="3" t="s">
        <v>36</v>
      </c>
      <c r="D640" s="3" t="s">
        <v>21</v>
      </c>
      <c r="E640" s="3" t="s">
        <v>30</v>
      </c>
      <c r="F640" s="3">
        <v>12839.87</v>
      </c>
      <c r="G640" s="3">
        <v>347471</v>
      </c>
      <c r="H640" s="3">
        <v>30336</v>
      </c>
      <c r="I640" s="3">
        <v>178672.7</v>
      </c>
      <c r="J640" s="3">
        <v>37</v>
      </c>
      <c r="K640" s="15">
        <f t="shared" si="99"/>
        <v>8.7305127622161277E-2</v>
      </c>
      <c r="L640" s="16">
        <f t="shared" si="109"/>
        <v>0.42325520833333335</v>
      </c>
      <c r="M640" s="16">
        <f t="shared" si="100"/>
        <v>36.952349980286122</v>
      </c>
      <c r="N640" s="16">
        <f t="shared" si="101"/>
        <v>13.91546020325751</v>
      </c>
      <c r="O640" s="16">
        <f t="shared" si="102"/>
        <v>12.91546020325751</v>
      </c>
      <c r="P640" s="1">
        <v>2024</v>
      </c>
      <c r="Q640" s="1" t="s">
        <v>80</v>
      </c>
      <c r="R640" s="1" t="s">
        <v>33</v>
      </c>
      <c r="S640" s="70">
        <f>DATE(Table2[[#This Row],[Year]],MONTH(DATEVALUE("1-"&amp;Table2[[#This Row],[Month]]&amp;"-2000")),1)</f>
        <v>45474</v>
      </c>
      <c r="T640" s="16">
        <f t="shared" si="103"/>
        <v>5.889791007383967</v>
      </c>
      <c r="U640" s="16">
        <f t="shared" si="104"/>
        <v>0.514208955567515</v>
      </c>
      <c r="V640" s="16">
        <f t="shared" si="105"/>
        <v>347.02351351351354</v>
      </c>
      <c r="W640" s="16">
        <f t="shared" si="106"/>
        <v>4828.991891891892</v>
      </c>
      <c r="X640" s="16">
        <f t="shared" si="107"/>
        <v>819.89189189189187</v>
      </c>
      <c r="Y640" s="16">
        <f t="shared" si="108"/>
        <v>9391.1081081081084</v>
      </c>
      <c r="Z640" s="7" t="str" cm="1">
        <f t="array" ref="Z640">_xlfn.IFS(K640&lt;2%,"Low",K640&lt;5%,"Medium",K640&lt;10%,"Good",K640&gt;10%,"Excellent")</f>
        <v>Good</v>
      </c>
      <c r="AA640" s="16" t="str">
        <f>Data_Validation!N638</f>
        <v>Pass</v>
      </c>
    </row>
    <row r="641" spans="1:27" x14ac:dyDescent="0.35">
      <c r="A641" s="17" t="s">
        <v>79</v>
      </c>
      <c r="B641" s="3" t="s">
        <v>35</v>
      </c>
      <c r="C641" s="3" t="s">
        <v>36</v>
      </c>
      <c r="D641" s="3" t="s">
        <v>63</v>
      </c>
      <c r="E641" s="3" t="s">
        <v>22</v>
      </c>
      <c r="F641" s="3">
        <v>29460.68</v>
      </c>
      <c r="G641" s="3">
        <v>165287</v>
      </c>
      <c r="H641" s="3">
        <v>28266</v>
      </c>
      <c r="I641" s="3">
        <v>36224.15</v>
      </c>
      <c r="J641" s="3">
        <v>8</v>
      </c>
      <c r="K641" s="15">
        <f t="shared" si="99"/>
        <v>0.17101163430880831</v>
      </c>
      <c r="L641" s="16">
        <f t="shared" si="109"/>
        <v>1.0422656194721573</v>
      </c>
      <c r="M641" s="16">
        <f t="shared" si="100"/>
        <v>178.23954696981613</v>
      </c>
      <c r="N641" s="16">
        <f t="shared" si="101"/>
        <v>1.2295761672846655</v>
      </c>
      <c r="O641" s="16">
        <f t="shared" si="102"/>
        <v>0.22957616728466557</v>
      </c>
      <c r="P641" s="1">
        <v>2024</v>
      </c>
      <c r="Q641" s="1" t="s">
        <v>80</v>
      </c>
      <c r="R641" s="1" t="s">
        <v>33</v>
      </c>
      <c r="S641" s="70">
        <f>DATE(Table2[[#This Row],[Year]],MONTH(DATEVALUE("1-"&amp;Table2[[#This Row],[Month]]&amp;"-2000")),1)</f>
        <v>45474</v>
      </c>
      <c r="T641" s="16">
        <f t="shared" si="103"/>
        <v>1.281544965683153</v>
      </c>
      <c r="U641" s="16">
        <f t="shared" si="104"/>
        <v>0.21915909902170166</v>
      </c>
      <c r="V641" s="16">
        <f t="shared" si="105"/>
        <v>3682.585</v>
      </c>
      <c r="W641" s="16">
        <f t="shared" si="106"/>
        <v>4528.0187500000002</v>
      </c>
      <c r="X641" s="16">
        <f t="shared" si="107"/>
        <v>3533.25</v>
      </c>
      <c r="Y641" s="16">
        <f t="shared" si="108"/>
        <v>20660.875</v>
      </c>
      <c r="Z641" s="7" t="str" cm="1">
        <f t="array" ref="Z641">_xlfn.IFS(K641&lt;2%,"Low",K641&lt;5%,"Medium",K641&lt;10%,"Good",K641&gt;10%,"Excellent")</f>
        <v>Excellent</v>
      </c>
      <c r="AA641" s="16" t="str">
        <f>Data_Validation!N639</f>
        <v>Pass</v>
      </c>
    </row>
    <row r="642" spans="1:27" x14ac:dyDescent="0.35">
      <c r="A642" s="17" t="s">
        <v>98</v>
      </c>
      <c r="B642" s="3" t="s">
        <v>19</v>
      </c>
      <c r="C642" s="3" t="s">
        <v>69</v>
      </c>
      <c r="D642" s="3" t="s">
        <v>37</v>
      </c>
      <c r="E642" s="3" t="s">
        <v>38</v>
      </c>
      <c r="F642" s="3">
        <v>41017.94</v>
      </c>
      <c r="G642" s="3">
        <v>705558</v>
      </c>
      <c r="H642" s="3">
        <v>4184</v>
      </c>
      <c r="I642" s="3">
        <v>62726.21</v>
      </c>
      <c r="J642" s="3">
        <v>58</v>
      </c>
      <c r="K642" s="15">
        <f t="shared" si="99"/>
        <v>5.9300581950739702E-3</v>
      </c>
      <c r="L642" s="16">
        <f t="shared" si="109"/>
        <v>9.8035229445506697</v>
      </c>
      <c r="M642" s="16">
        <f t="shared" si="100"/>
        <v>58.135461577928389</v>
      </c>
      <c r="N642" s="16">
        <f t="shared" si="101"/>
        <v>1.5292384259180249</v>
      </c>
      <c r="O642" s="16">
        <f t="shared" si="102"/>
        <v>0.52923842591802506</v>
      </c>
      <c r="P642" s="1">
        <v>2024</v>
      </c>
      <c r="Q642" s="1" t="s">
        <v>80</v>
      </c>
      <c r="R642" s="1" t="s">
        <v>33</v>
      </c>
      <c r="S642" s="70">
        <f>DATE(Table2[[#This Row],[Year]],MONTH(DATEVALUE("1-"&amp;Table2[[#This Row],[Month]]&amp;"-2000")),1)</f>
        <v>45474</v>
      </c>
      <c r="T642" s="16">
        <f t="shared" si="103"/>
        <v>14.991923996175908</v>
      </c>
      <c r="U642" s="16">
        <f t="shared" si="104"/>
        <v>8.8902981753449045E-2</v>
      </c>
      <c r="V642" s="16">
        <f t="shared" si="105"/>
        <v>707.20586206896553</v>
      </c>
      <c r="W642" s="16">
        <f t="shared" si="106"/>
        <v>1081.4863793103448</v>
      </c>
      <c r="X642" s="16">
        <f t="shared" si="107"/>
        <v>72.137931034482762</v>
      </c>
      <c r="Y642" s="16">
        <f t="shared" si="108"/>
        <v>12164.793103448275</v>
      </c>
      <c r="Z642" s="7" t="str" cm="1">
        <f t="array" ref="Z642">_xlfn.IFS(K642&lt;2%,"Low",K642&lt;5%,"Medium",K642&lt;10%,"Good",K642&gt;10%,"Excellent")</f>
        <v>Low</v>
      </c>
      <c r="AA642" s="16" t="str">
        <f>Data_Validation!N640</f>
        <v>Pass</v>
      </c>
    </row>
    <row r="643" spans="1:27" x14ac:dyDescent="0.35">
      <c r="A643" s="17" t="s">
        <v>34</v>
      </c>
      <c r="B643" s="3" t="s">
        <v>19</v>
      </c>
      <c r="C643" s="3" t="s">
        <v>36</v>
      </c>
      <c r="D643" s="3" t="s">
        <v>37</v>
      </c>
      <c r="E643" s="3" t="s">
        <v>30</v>
      </c>
      <c r="F643" s="3">
        <v>7579.66</v>
      </c>
      <c r="G643" s="3">
        <v>836596</v>
      </c>
      <c r="H643" s="3">
        <v>22627</v>
      </c>
      <c r="I643" s="3">
        <v>224067.89</v>
      </c>
      <c r="J643" s="3">
        <v>42</v>
      </c>
      <c r="K643" s="15">
        <f t="shared" si="99"/>
        <v>2.7046507513782042E-2</v>
      </c>
      <c r="L643" s="16">
        <f t="shared" si="109"/>
        <v>0.33498298492950901</v>
      </c>
      <c r="M643" s="16">
        <f t="shared" si="100"/>
        <v>9.0601198188851004</v>
      </c>
      <c r="N643" s="16">
        <f t="shared" si="101"/>
        <v>29.561733639767485</v>
      </c>
      <c r="O643" s="16">
        <f t="shared" si="102"/>
        <v>28.561733639767485</v>
      </c>
      <c r="P643" s="1">
        <v>2024</v>
      </c>
      <c r="Q643" s="1" t="s">
        <v>80</v>
      </c>
      <c r="R643" s="1" t="s">
        <v>33</v>
      </c>
      <c r="S643" s="70">
        <f>DATE(Table2[[#This Row],[Year]],MONTH(DATEVALUE("1-"&amp;Table2[[#This Row],[Month]]&amp;"-2000")),1)</f>
        <v>45474</v>
      </c>
      <c r="T643" s="16">
        <f t="shared" si="103"/>
        <v>9.9026777743403898</v>
      </c>
      <c r="U643" s="16">
        <f t="shared" si="104"/>
        <v>0.26783284883025976</v>
      </c>
      <c r="V643" s="16">
        <f t="shared" si="105"/>
        <v>180.46809523809523</v>
      </c>
      <c r="W643" s="16">
        <f t="shared" si="106"/>
        <v>5334.9497619047625</v>
      </c>
      <c r="X643" s="16">
        <f t="shared" si="107"/>
        <v>538.73809523809518</v>
      </c>
      <c r="Y643" s="16">
        <f t="shared" si="108"/>
        <v>19918.952380952382</v>
      </c>
      <c r="Z643" s="7" t="str" cm="1">
        <f t="array" ref="Z643">_xlfn.IFS(K643&lt;2%,"Low",K643&lt;5%,"Medium",K643&lt;10%,"Good",K643&gt;10%,"Excellent")</f>
        <v>Medium</v>
      </c>
      <c r="AA643" s="16" t="str">
        <f>Data_Validation!N641</f>
        <v>Pass</v>
      </c>
    </row>
    <row r="644" spans="1:27" x14ac:dyDescent="0.35">
      <c r="A644" s="17" t="s">
        <v>68</v>
      </c>
      <c r="B644" s="3" t="s">
        <v>48</v>
      </c>
      <c r="C644" s="3" t="s">
        <v>20</v>
      </c>
      <c r="D644" s="3" t="s">
        <v>21</v>
      </c>
      <c r="E644" s="3" t="s">
        <v>22</v>
      </c>
      <c r="F644" s="3">
        <v>20764.2</v>
      </c>
      <c r="G644" s="3">
        <v>946615</v>
      </c>
      <c r="H644" s="3">
        <v>31736</v>
      </c>
      <c r="I644" s="3">
        <v>177603.64</v>
      </c>
      <c r="J644" s="3">
        <v>11</v>
      </c>
      <c r="K644" s="15">
        <f t="shared" si="99"/>
        <v>3.3525773413689834E-2</v>
      </c>
      <c r="L644" s="16">
        <f t="shared" si="109"/>
        <v>0.6542790521804891</v>
      </c>
      <c r="M644" s="16">
        <f t="shared" si="100"/>
        <v>21.935211252726823</v>
      </c>
      <c r="N644" s="16">
        <f t="shared" si="101"/>
        <v>8.553358183797112</v>
      </c>
      <c r="O644" s="16">
        <f t="shared" si="102"/>
        <v>7.553358183797112</v>
      </c>
      <c r="P644" s="1">
        <v>2024</v>
      </c>
      <c r="Q644" s="1" t="s">
        <v>80</v>
      </c>
      <c r="R644" s="1" t="s">
        <v>33</v>
      </c>
      <c r="S644" s="70">
        <f>DATE(Table2[[#This Row],[Year]],MONTH(DATEVALUE("1-"&amp;Table2[[#This Row],[Month]]&amp;"-2000")),1)</f>
        <v>45474</v>
      </c>
      <c r="T644" s="16">
        <f t="shared" si="103"/>
        <v>5.5962830854550045</v>
      </c>
      <c r="U644" s="16">
        <f t="shared" si="104"/>
        <v>0.18761971868182947</v>
      </c>
      <c r="V644" s="16">
        <f t="shared" si="105"/>
        <v>1887.6545454545455</v>
      </c>
      <c r="W644" s="16">
        <f t="shared" si="106"/>
        <v>16145.785454545456</v>
      </c>
      <c r="X644" s="16">
        <f t="shared" si="107"/>
        <v>2885.090909090909</v>
      </c>
      <c r="Y644" s="16">
        <f t="shared" si="108"/>
        <v>86055.909090909088</v>
      </c>
      <c r="Z644" s="7" t="str" cm="1">
        <f t="array" ref="Z644">_xlfn.IFS(K644&lt;2%,"Low",K644&lt;5%,"Medium",K644&lt;10%,"Good",K644&gt;10%,"Excellent")</f>
        <v>Medium</v>
      </c>
      <c r="AA644" s="16" t="str">
        <f>Data_Validation!N642</f>
        <v>Pass</v>
      </c>
    </row>
    <row r="645" spans="1:27" x14ac:dyDescent="0.35">
      <c r="A645" s="17" t="s">
        <v>57</v>
      </c>
      <c r="B645" s="3" t="s">
        <v>28</v>
      </c>
      <c r="C645" s="3" t="s">
        <v>29</v>
      </c>
      <c r="D645" s="3" t="s">
        <v>21</v>
      </c>
      <c r="E645" s="3" t="s">
        <v>30</v>
      </c>
      <c r="F645" s="3">
        <v>7204.66</v>
      </c>
      <c r="G645" s="3">
        <v>652865</v>
      </c>
      <c r="H645" s="3">
        <v>22585</v>
      </c>
      <c r="I645" s="3">
        <v>94651.42</v>
      </c>
      <c r="J645" s="3">
        <v>22</v>
      </c>
      <c r="K645" s="15">
        <f t="shared" si="99"/>
        <v>3.459367556845596E-2</v>
      </c>
      <c r="L645" s="16">
        <f t="shared" si="109"/>
        <v>0.31900199247288025</v>
      </c>
      <c r="M645" s="16">
        <f t="shared" si="100"/>
        <v>11.035451433297849</v>
      </c>
      <c r="N645" s="16">
        <f t="shared" si="101"/>
        <v>13.13752765571172</v>
      </c>
      <c r="O645" s="16">
        <f t="shared" si="102"/>
        <v>12.13752765571172</v>
      </c>
      <c r="P645" s="1">
        <v>2024</v>
      </c>
      <c r="Q645" s="1" t="s">
        <v>80</v>
      </c>
      <c r="R645" s="1" t="s">
        <v>33</v>
      </c>
      <c r="S645" s="70">
        <f>DATE(Table2[[#This Row],[Year]],MONTH(DATEVALUE("1-"&amp;Table2[[#This Row],[Month]]&amp;"-2000")),1)</f>
        <v>45474</v>
      </c>
      <c r="T645" s="16">
        <f t="shared" si="103"/>
        <v>4.1908974983396057</v>
      </c>
      <c r="U645" s="16">
        <f t="shared" si="104"/>
        <v>0.14497854839821403</v>
      </c>
      <c r="V645" s="16">
        <f t="shared" si="105"/>
        <v>327.48454545454547</v>
      </c>
      <c r="W645" s="16">
        <f t="shared" si="106"/>
        <v>4302.3372727272726</v>
      </c>
      <c r="X645" s="16">
        <f t="shared" si="107"/>
        <v>1026.590909090909</v>
      </c>
      <c r="Y645" s="16">
        <f t="shared" si="108"/>
        <v>29675.68181818182</v>
      </c>
      <c r="Z645" s="7" t="str" cm="1">
        <f t="array" ref="Z645">_xlfn.IFS(K645&lt;2%,"Low",K645&lt;5%,"Medium",K645&lt;10%,"Good",K645&gt;10%,"Excellent")</f>
        <v>Medium</v>
      </c>
      <c r="AA645" s="16" t="str">
        <f>Data_Validation!N643</f>
        <v>Pass</v>
      </c>
    </row>
    <row r="646" spans="1:27" x14ac:dyDescent="0.35">
      <c r="A646" s="17" t="s">
        <v>72</v>
      </c>
      <c r="B646" s="3" t="s">
        <v>28</v>
      </c>
      <c r="C646" s="3" t="s">
        <v>58</v>
      </c>
      <c r="D646" s="3" t="s">
        <v>59</v>
      </c>
      <c r="E646" s="3" t="s">
        <v>30</v>
      </c>
      <c r="F646" s="3">
        <v>19444.490000000002</v>
      </c>
      <c r="G646" s="3">
        <v>810441</v>
      </c>
      <c r="H646" s="3">
        <v>32122</v>
      </c>
      <c r="I646" s="3">
        <v>241794.53</v>
      </c>
      <c r="J646" s="3">
        <v>47</v>
      </c>
      <c r="K646" s="15">
        <f t="shared" si="99"/>
        <v>3.9635210953049019E-2</v>
      </c>
      <c r="L646" s="16">
        <f t="shared" si="109"/>
        <v>0.60533248241080884</v>
      </c>
      <c r="M646" s="16">
        <f t="shared" si="100"/>
        <v>23.992480637085244</v>
      </c>
      <c r="N646" s="16">
        <f t="shared" si="101"/>
        <v>12.435118123437539</v>
      </c>
      <c r="O646" s="16">
        <f t="shared" si="102"/>
        <v>11.435118123437539</v>
      </c>
      <c r="P646" s="1">
        <v>2024</v>
      </c>
      <c r="Q646" s="1" t="s">
        <v>80</v>
      </c>
      <c r="R646" s="1" t="s">
        <v>33</v>
      </c>
      <c r="S646" s="70">
        <f>DATE(Table2[[#This Row],[Year]],MONTH(DATEVALUE("1-"&amp;Table2[[#This Row],[Month]]&amp;"-2000")),1)</f>
        <v>45474</v>
      </c>
      <c r="T646" s="16">
        <f t="shared" si="103"/>
        <v>7.5273809227320836</v>
      </c>
      <c r="U646" s="16">
        <f t="shared" si="104"/>
        <v>0.29834933079644294</v>
      </c>
      <c r="V646" s="16">
        <f t="shared" si="105"/>
        <v>413.71255319148941</v>
      </c>
      <c r="W646" s="16">
        <f t="shared" si="106"/>
        <v>5144.5644680851065</v>
      </c>
      <c r="X646" s="16">
        <f t="shared" si="107"/>
        <v>683.44680851063833</v>
      </c>
      <c r="Y646" s="16">
        <f t="shared" si="108"/>
        <v>17243.425531914894</v>
      </c>
      <c r="Z646" s="7" t="str" cm="1">
        <f t="array" ref="Z646">_xlfn.IFS(K646&lt;2%,"Low",K646&lt;5%,"Medium",K646&lt;10%,"Good",K646&gt;10%,"Excellent")</f>
        <v>Medium</v>
      </c>
      <c r="AA646" s="16" t="str">
        <f>Data_Validation!N644</f>
        <v>Pass</v>
      </c>
    </row>
    <row r="647" spans="1:27" x14ac:dyDescent="0.35">
      <c r="A647" s="17" t="s">
        <v>114</v>
      </c>
      <c r="B647" s="3" t="s">
        <v>35</v>
      </c>
      <c r="C647" s="3" t="s">
        <v>69</v>
      </c>
      <c r="D647" s="3" t="s">
        <v>63</v>
      </c>
      <c r="E647" s="3" t="s">
        <v>30</v>
      </c>
      <c r="F647" s="3">
        <v>23507.62</v>
      </c>
      <c r="G647" s="3">
        <v>931068</v>
      </c>
      <c r="H647" s="3">
        <v>31275</v>
      </c>
      <c r="I647" s="3">
        <v>121974.89</v>
      </c>
      <c r="J647" s="3">
        <v>16</v>
      </c>
      <c r="K647" s="15">
        <f t="shared" si="99"/>
        <v>3.3590457410199899E-2</v>
      </c>
      <c r="L647" s="16">
        <f t="shared" si="109"/>
        <v>0.75164252597921655</v>
      </c>
      <c r="M647" s="16">
        <f t="shared" si="100"/>
        <v>25.248016256599946</v>
      </c>
      <c r="N647" s="16">
        <f t="shared" si="101"/>
        <v>5.1887383750460492</v>
      </c>
      <c r="O647" s="16">
        <f t="shared" si="102"/>
        <v>4.1887383750460492</v>
      </c>
      <c r="P647" s="1">
        <v>2024</v>
      </c>
      <c r="Q647" s="1" t="s">
        <v>80</v>
      </c>
      <c r="R647" s="1" t="s">
        <v>33</v>
      </c>
      <c r="S647" s="70">
        <f>DATE(Table2[[#This Row],[Year]],MONTH(DATEVALUE("1-"&amp;Table2[[#This Row],[Month]]&amp;"-2000")),1)</f>
        <v>45474</v>
      </c>
      <c r="T647" s="16">
        <f t="shared" si="103"/>
        <v>3.900076418864908</v>
      </c>
      <c r="U647" s="16">
        <f t="shared" si="104"/>
        <v>0.13100535084440665</v>
      </c>
      <c r="V647" s="16">
        <f t="shared" si="105"/>
        <v>1469.2262499999999</v>
      </c>
      <c r="W647" s="16">
        <f t="shared" si="106"/>
        <v>7623.430625</v>
      </c>
      <c r="X647" s="16">
        <f t="shared" si="107"/>
        <v>1954.6875</v>
      </c>
      <c r="Y647" s="16">
        <f t="shared" si="108"/>
        <v>58191.75</v>
      </c>
      <c r="Z647" s="7" t="str" cm="1">
        <f t="array" ref="Z647">_xlfn.IFS(K647&lt;2%,"Low",K647&lt;5%,"Medium",K647&lt;10%,"Good",K647&gt;10%,"Excellent")</f>
        <v>Medium</v>
      </c>
      <c r="AA647" s="16" t="str">
        <f>Data_Validation!N645</f>
        <v>Pass</v>
      </c>
    </row>
    <row r="648" spans="1:27" x14ac:dyDescent="0.35">
      <c r="A648" s="17" t="s">
        <v>77</v>
      </c>
      <c r="B648" s="3" t="s">
        <v>48</v>
      </c>
      <c r="C648" s="3" t="s">
        <v>69</v>
      </c>
      <c r="D648" s="3" t="s">
        <v>21</v>
      </c>
      <c r="E648" s="3" t="s">
        <v>38</v>
      </c>
      <c r="F648" s="3">
        <v>15726.56</v>
      </c>
      <c r="G648" s="3">
        <v>53768</v>
      </c>
      <c r="H648" s="3">
        <v>6919</v>
      </c>
      <c r="I648" s="3">
        <v>13722.02</v>
      </c>
      <c r="J648" s="3">
        <v>36</v>
      </c>
      <c r="K648" s="15">
        <f t="shared" si="99"/>
        <v>0.12868248772504093</v>
      </c>
      <c r="L648" s="16">
        <f t="shared" si="109"/>
        <v>2.2729527388350919</v>
      </c>
      <c r="M648" s="16">
        <f t="shared" si="100"/>
        <v>292.48921291474483</v>
      </c>
      <c r="N648" s="16">
        <f t="shared" si="101"/>
        <v>0.87253792310587952</v>
      </c>
      <c r="O648" s="16">
        <f t="shared" si="102"/>
        <v>-0.12746207689412045</v>
      </c>
      <c r="P648" s="1">
        <v>2024</v>
      </c>
      <c r="Q648" s="1" t="s">
        <v>80</v>
      </c>
      <c r="R648" s="1" t="s">
        <v>33</v>
      </c>
      <c r="S648" s="70">
        <f>DATE(Table2[[#This Row],[Year]],MONTH(DATEVALUE("1-"&amp;Table2[[#This Row],[Month]]&amp;"-2000")),1)</f>
        <v>45474</v>
      </c>
      <c r="T648" s="16">
        <f t="shared" si="103"/>
        <v>1.9832374620609916</v>
      </c>
      <c r="U648" s="16">
        <f t="shared" si="104"/>
        <v>0.25520793036750483</v>
      </c>
      <c r="V648" s="16">
        <f t="shared" si="105"/>
        <v>436.84888888888889</v>
      </c>
      <c r="W648" s="16">
        <f t="shared" si="106"/>
        <v>381.16722222222222</v>
      </c>
      <c r="X648" s="16">
        <f t="shared" si="107"/>
        <v>192.19444444444446</v>
      </c>
      <c r="Y648" s="16">
        <f t="shared" si="108"/>
        <v>1493.5555555555557</v>
      </c>
      <c r="Z648" s="7" t="str" cm="1">
        <f t="array" ref="Z648">_xlfn.IFS(K648&lt;2%,"Low",K648&lt;5%,"Medium",K648&lt;10%,"Good",K648&gt;10%,"Excellent")</f>
        <v>Excellent</v>
      </c>
      <c r="AA648" s="16" t="str">
        <f>Data_Validation!N646</f>
        <v>Pass</v>
      </c>
    </row>
    <row r="649" spans="1:27" x14ac:dyDescent="0.35">
      <c r="A649" s="17" t="s">
        <v>91</v>
      </c>
      <c r="B649" s="3" t="s">
        <v>35</v>
      </c>
      <c r="C649" s="3" t="s">
        <v>69</v>
      </c>
      <c r="D649" s="3" t="s">
        <v>63</v>
      </c>
      <c r="E649" s="3" t="s">
        <v>30</v>
      </c>
      <c r="F649" s="3">
        <v>28533.58</v>
      </c>
      <c r="G649" s="3">
        <v>545456</v>
      </c>
      <c r="H649" s="3">
        <v>27947</v>
      </c>
      <c r="I649" s="3">
        <v>106189.75</v>
      </c>
      <c r="J649" s="3">
        <v>10</v>
      </c>
      <c r="K649" s="15">
        <f t="shared" ref="K649:K712" si="110">H649/G649</f>
        <v>5.1236030037253237E-2</v>
      </c>
      <c r="L649" s="16">
        <f t="shared" si="109"/>
        <v>1.0209890149211007</v>
      </c>
      <c r="M649" s="16">
        <f t="shared" ref="M649:M712" si="111">F649/G649*1000</f>
        <v>52.311423836203112</v>
      </c>
      <c r="N649" s="16">
        <f t="shared" ref="N649:N712" si="112">I649/F649</f>
        <v>3.7215712153890257</v>
      </c>
      <c r="O649" s="16">
        <f t="shared" ref="O649:O712" si="113">(I649-F649)/F649</f>
        <v>2.7215712153890257</v>
      </c>
      <c r="P649" s="1">
        <v>2024</v>
      </c>
      <c r="Q649" s="1" t="s">
        <v>80</v>
      </c>
      <c r="R649" s="1" t="s">
        <v>33</v>
      </c>
      <c r="S649" s="70">
        <f>DATE(Table2[[#This Row],[Year]],MONTH(DATEVALUE("1-"&amp;Table2[[#This Row],[Month]]&amp;"-2000")),1)</f>
        <v>45474</v>
      </c>
      <c r="T649" s="16">
        <f t="shared" ref="T649:T712" si="114">I649/H649</f>
        <v>3.7996833291587646</v>
      </c>
      <c r="U649" s="16">
        <f t="shared" ref="U649:U712" si="115">I649/G649</f>
        <v>0.19468068918482884</v>
      </c>
      <c r="V649" s="16">
        <f t="shared" ref="V649:V712" si="116">F649/J649</f>
        <v>2853.3580000000002</v>
      </c>
      <c r="W649" s="16">
        <f t="shared" ref="W649:W712" si="117">I649/J649</f>
        <v>10618.975</v>
      </c>
      <c r="X649" s="16">
        <f t="shared" ref="X649:X712" si="118">H649/J649</f>
        <v>2794.7</v>
      </c>
      <c r="Y649" s="16">
        <f t="shared" ref="Y649:Y712" si="119">G649/J649</f>
        <v>54545.599999999999</v>
      </c>
      <c r="Z649" s="7" t="str" cm="1">
        <f t="array" ref="Z649">_xlfn.IFS(K649&lt;2%,"Low",K649&lt;5%,"Medium",K649&lt;10%,"Good",K649&gt;10%,"Excellent")</f>
        <v>Good</v>
      </c>
      <c r="AA649" s="16" t="str">
        <f>Data_Validation!N647</f>
        <v>Pass</v>
      </c>
    </row>
    <row r="650" spans="1:27" x14ac:dyDescent="0.35">
      <c r="A650" s="17" t="s">
        <v>67</v>
      </c>
      <c r="B650" s="3" t="s">
        <v>28</v>
      </c>
      <c r="C650" s="3" t="s">
        <v>29</v>
      </c>
      <c r="D650" s="3" t="s">
        <v>21</v>
      </c>
      <c r="E650" s="3" t="s">
        <v>22</v>
      </c>
      <c r="F650" s="3">
        <v>15247.93</v>
      </c>
      <c r="G650" s="3">
        <v>347408</v>
      </c>
      <c r="H650" s="3">
        <v>12463</v>
      </c>
      <c r="I650" s="3">
        <v>245289.78</v>
      </c>
      <c r="J650" s="3">
        <v>54</v>
      </c>
      <c r="K650" s="15">
        <f t="shared" si="110"/>
        <v>3.5874245843503891E-2</v>
      </c>
      <c r="L650" s="16">
        <f t="shared" ref="L650:L713" si="120">F650/H650</f>
        <v>1.2234558292545936</v>
      </c>
      <c r="M650" s="16">
        <f t="shared" si="111"/>
        <v>43.890555197347211</v>
      </c>
      <c r="N650" s="16">
        <f t="shared" si="112"/>
        <v>16.086759317494241</v>
      </c>
      <c r="O650" s="16">
        <f t="shared" si="113"/>
        <v>15.086759317494243</v>
      </c>
      <c r="P650" s="1">
        <v>2024</v>
      </c>
      <c r="Q650" s="1" t="s">
        <v>80</v>
      </c>
      <c r="R650" s="1" t="s">
        <v>33</v>
      </c>
      <c r="S650" s="70">
        <f>DATE(Table2[[#This Row],[Year]],MONTH(DATEVALUE("1-"&amp;Table2[[#This Row],[Month]]&amp;"-2000")),1)</f>
        <v>45474</v>
      </c>
      <c r="T650" s="16">
        <f t="shared" si="114"/>
        <v>19.681439460803979</v>
      </c>
      <c r="U650" s="16">
        <f t="shared" si="115"/>
        <v>0.70605679777092067</v>
      </c>
      <c r="V650" s="16">
        <f t="shared" si="116"/>
        <v>282.36907407407409</v>
      </c>
      <c r="W650" s="16">
        <f t="shared" si="117"/>
        <v>4542.4033333333336</v>
      </c>
      <c r="X650" s="16">
        <f t="shared" si="118"/>
        <v>230.7962962962963</v>
      </c>
      <c r="Y650" s="16">
        <f t="shared" si="119"/>
        <v>6433.4814814814818</v>
      </c>
      <c r="Z650" s="7" t="str" cm="1">
        <f t="array" ref="Z650">_xlfn.IFS(K650&lt;2%,"Low",K650&lt;5%,"Medium",K650&lt;10%,"Good",K650&gt;10%,"Excellent")</f>
        <v>Medium</v>
      </c>
      <c r="AA650" s="16" t="str">
        <f>Data_Validation!N648</f>
        <v>Pass</v>
      </c>
    </row>
    <row r="651" spans="1:27" x14ac:dyDescent="0.35">
      <c r="A651" s="17" t="s">
        <v>68</v>
      </c>
      <c r="B651" s="3" t="s">
        <v>35</v>
      </c>
      <c r="C651" s="3" t="s">
        <v>20</v>
      </c>
      <c r="D651" s="3" t="s">
        <v>37</v>
      </c>
      <c r="E651" s="3" t="s">
        <v>30</v>
      </c>
      <c r="F651" s="3">
        <v>79.489999999999995</v>
      </c>
      <c r="G651" s="3">
        <v>189708</v>
      </c>
      <c r="H651" s="3">
        <v>5518</v>
      </c>
      <c r="I651" s="3">
        <v>127465.31</v>
      </c>
      <c r="J651" s="3">
        <v>36</v>
      </c>
      <c r="K651" s="15">
        <f t="shared" si="110"/>
        <v>2.9086807093006095E-2</v>
      </c>
      <c r="L651" s="16">
        <f t="shared" si="120"/>
        <v>1.4405581732511779E-2</v>
      </c>
      <c r="M651" s="16">
        <f t="shared" si="111"/>
        <v>0.4190123769161026</v>
      </c>
      <c r="N651" s="16">
        <f t="shared" si="112"/>
        <v>1603.5389357151844</v>
      </c>
      <c r="O651" s="16">
        <f t="shared" si="113"/>
        <v>1602.5389357151844</v>
      </c>
      <c r="P651" s="1">
        <v>2024</v>
      </c>
      <c r="Q651" s="1" t="s">
        <v>80</v>
      </c>
      <c r="R651" s="1" t="s">
        <v>33</v>
      </c>
      <c r="S651" s="70">
        <f>DATE(Table2[[#This Row],[Year]],MONTH(DATEVALUE("1-"&amp;Table2[[#This Row],[Month]]&amp;"-2000")),1)</f>
        <v>45474</v>
      </c>
      <c r="T651" s="16">
        <f t="shared" si="114"/>
        <v>23.099911199710039</v>
      </c>
      <c r="U651" s="16">
        <f t="shared" si="115"/>
        <v>0.67190266093153683</v>
      </c>
      <c r="V651" s="16">
        <f t="shared" si="116"/>
        <v>2.2080555555555552</v>
      </c>
      <c r="W651" s="16">
        <f t="shared" si="117"/>
        <v>3540.7030555555557</v>
      </c>
      <c r="X651" s="16">
        <f t="shared" si="118"/>
        <v>153.27777777777777</v>
      </c>
      <c r="Y651" s="16">
        <f t="shared" si="119"/>
        <v>5269.666666666667</v>
      </c>
      <c r="Z651" s="7" t="str" cm="1">
        <f t="array" ref="Z651">_xlfn.IFS(K651&lt;2%,"Low",K651&lt;5%,"Medium",K651&lt;10%,"Good",K651&gt;10%,"Excellent")</f>
        <v>Medium</v>
      </c>
      <c r="AA651" s="16" t="str">
        <f>Data_Validation!N649</f>
        <v>Pass</v>
      </c>
    </row>
    <row r="652" spans="1:27" x14ac:dyDescent="0.35">
      <c r="A652" s="17" t="s">
        <v>84</v>
      </c>
      <c r="B652" s="3" t="s">
        <v>28</v>
      </c>
      <c r="C652" s="3" t="s">
        <v>36</v>
      </c>
      <c r="D652" s="3" t="s">
        <v>63</v>
      </c>
      <c r="E652" s="3" t="s">
        <v>22</v>
      </c>
      <c r="F652" s="3">
        <v>4446.21</v>
      </c>
      <c r="G652" s="3">
        <v>330704</v>
      </c>
      <c r="H652" s="3">
        <v>29827</v>
      </c>
      <c r="I652" s="3">
        <v>74390.31</v>
      </c>
      <c r="J652" s="3">
        <v>52</v>
      </c>
      <c r="K652" s="15">
        <f t="shared" si="110"/>
        <v>9.0192437950553969E-2</v>
      </c>
      <c r="L652" s="16">
        <f t="shared" si="120"/>
        <v>0.14906661749421665</v>
      </c>
      <c r="M652" s="16">
        <f t="shared" si="111"/>
        <v>13.444681648846098</v>
      </c>
      <c r="N652" s="16">
        <f t="shared" si="112"/>
        <v>16.731173291409988</v>
      </c>
      <c r="O652" s="16">
        <f t="shared" si="113"/>
        <v>15.731173291409986</v>
      </c>
      <c r="P652" s="1">
        <v>2024</v>
      </c>
      <c r="Q652" s="1" t="s">
        <v>80</v>
      </c>
      <c r="R652" s="1" t="s">
        <v>33</v>
      </c>
      <c r="S652" s="70">
        <f>DATE(Table2[[#This Row],[Year]],MONTH(DATEVALUE("1-"&amp;Table2[[#This Row],[Month]]&amp;"-2000")),1)</f>
        <v>45474</v>
      </c>
      <c r="T652" s="16">
        <f t="shared" si="114"/>
        <v>2.4940594092600663</v>
      </c>
      <c r="U652" s="16">
        <f t="shared" si="115"/>
        <v>0.22494529851468381</v>
      </c>
      <c r="V652" s="16">
        <f t="shared" si="116"/>
        <v>85.504038461538457</v>
      </c>
      <c r="W652" s="16">
        <f t="shared" si="117"/>
        <v>1430.5828846153845</v>
      </c>
      <c r="X652" s="16">
        <f t="shared" si="118"/>
        <v>573.59615384615381</v>
      </c>
      <c r="Y652" s="16">
        <f t="shared" si="119"/>
        <v>6359.6923076923076</v>
      </c>
      <c r="Z652" s="7" t="str" cm="1">
        <f t="array" ref="Z652">_xlfn.IFS(K652&lt;2%,"Low",K652&lt;5%,"Medium",K652&lt;10%,"Good",K652&gt;10%,"Excellent")</f>
        <v>Good</v>
      </c>
      <c r="AA652" s="16" t="str">
        <f>Data_Validation!N650</f>
        <v>Pass</v>
      </c>
    </row>
    <row r="653" spans="1:27" x14ac:dyDescent="0.35">
      <c r="A653" s="17" t="s">
        <v>47</v>
      </c>
      <c r="B653" s="3" t="s">
        <v>35</v>
      </c>
      <c r="C653" s="3" t="s">
        <v>29</v>
      </c>
      <c r="D653" s="3" t="s">
        <v>43</v>
      </c>
      <c r="E653" s="3" t="s">
        <v>30</v>
      </c>
      <c r="F653" s="3">
        <v>22283.49</v>
      </c>
      <c r="G653" s="3">
        <v>826808</v>
      </c>
      <c r="H653" s="3">
        <v>45351</v>
      </c>
      <c r="I653" s="3">
        <v>11571.98</v>
      </c>
      <c r="J653" s="3">
        <v>44</v>
      </c>
      <c r="K653" s="15">
        <f t="shared" si="110"/>
        <v>5.4850702944335326E-2</v>
      </c>
      <c r="L653" s="16">
        <f t="shared" si="120"/>
        <v>0.49135608917113188</v>
      </c>
      <c r="M653" s="16">
        <f t="shared" si="111"/>
        <v>26.951226887016094</v>
      </c>
      <c r="N653" s="16">
        <f t="shared" si="112"/>
        <v>0.51930734368808473</v>
      </c>
      <c r="O653" s="16">
        <f t="shared" si="113"/>
        <v>-0.48069265631191527</v>
      </c>
      <c r="P653" s="1">
        <v>2024</v>
      </c>
      <c r="Q653" s="1" t="s">
        <v>80</v>
      </c>
      <c r="R653" s="1" t="s">
        <v>33</v>
      </c>
      <c r="S653" s="70">
        <f>DATE(Table2[[#This Row],[Year]],MONTH(DATEVALUE("1-"&amp;Table2[[#This Row],[Month]]&amp;"-2000")),1)</f>
        <v>45474</v>
      </c>
      <c r="T653" s="16">
        <f t="shared" si="114"/>
        <v>0.25516482547242619</v>
      </c>
      <c r="U653" s="16">
        <f t="shared" si="115"/>
        <v>1.3995970043831215E-2</v>
      </c>
      <c r="V653" s="16">
        <f t="shared" si="116"/>
        <v>506.4429545454546</v>
      </c>
      <c r="W653" s="16">
        <f t="shared" si="117"/>
        <v>262.99954545454545</v>
      </c>
      <c r="X653" s="16">
        <f t="shared" si="118"/>
        <v>1030.7045454545455</v>
      </c>
      <c r="Y653" s="16">
        <f t="shared" si="119"/>
        <v>18791.090909090908</v>
      </c>
      <c r="Z653" s="7" t="str" cm="1">
        <f t="array" ref="Z653">_xlfn.IFS(K653&lt;2%,"Low",K653&lt;5%,"Medium",K653&lt;10%,"Good",K653&gt;10%,"Excellent")</f>
        <v>Good</v>
      </c>
      <c r="AA653" s="16" t="str">
        <f>Data_Validation!N651</f>
        <v>Pass</v>
      </c>
    </row>
    <row r="654" spans="1:27" x14ac:dyDescent="0.35">
      <c r="A654" s="17" t="s">
        <v>115</v>
      </c>
      <c r="B654" s="3" t="s">
        <v>48</v>
      </c>
      <c r="C654" s="3" t="s">
        <v>58</v>
      </c>
      <c r="D654" s="3" t="s">
        <v>21</v>
      </c>
      <c r="E654" s="3" t="s">
        <v>30</v>
      </c>
      <c r="F654" s="3">
        <v>921.82</v>
      </c>
      <c r="G654" s="3">
        <v>454579</v>
      </c>
      <c r="H654" s="3">
        <v>44470</v>
      </c>
      <c r="I654" s="3">
        <v>129627.18</v>
      </c>
      <c r="J654" s="3">
        <v>37</v>
      </c>
      <c r="K654" s="15">
        <f t="shared" si="110"/>
        <v>9.7826780383607689E-2</v>
      </c>
      <c r="L654" s="16">
        <f t="shared" si="120"/>
        <v>2.072903080728581E-2</v>
      </c>
      <c r="M654" s="16">
        <f t="shared" si="111"/>
        <v>2.0278543443493873</v>
      </c>
      <c r="N654" s="16">
        <f t="shared" si="112"/>
        <v>140.62092382460781</v>
      </c>
      <c r="O654" s="16">
        <f t="shared" si="113"/>
        <v>139.62092382460781</v>
      </c>
      <c r="P654" s="1">
        <v>2024</v>
      </c>
      <c r="Q654" s="1" t="s">
        <v>80</v>
      </c>
      <c r="R654" s="1" t="s">
        <v>33</v>
      </c>
      <c r="S654" s="70">
        <f>DATE(Table2[[#This Row],[Year]],MONTH(DATEVALUE("1-"&amp;Table2[[#This Row],[Month]]&amp;"-2000")),1)</f>
        <v>45474</v>
      </c>
      <c r="T654" s="16">
        <f t="shared" si="114"/>
        <v>2.9149354621092871</v>
      </c>
      <c r="U654" s="16">
        <f t="shared" si="115"/>
        <v>0.28515875128415519</v>
      </c>
      <c r="V654" s="16">
        <f t="shared" si="116"/>
        <v>24.914054054054056</v>
      </c>
      <c r="W654" s="16">
        <f t="shared" si="117"/>
        <v>3503.4372972972969</v>
      </c>
      <c r="X654" s="16">
        <f t="shared" si="118"/>
        <v>1201.8918918918919</v>
      </c>
      <c r="Y654" s="16">
        <f t="shared" si="119"/>
        <v>12285.918918918918</v>
      </c>
      <c r="Z654" s="7" t="str" cm="1">
        <f t="array" ref="Z654">_xlfn.IFS(K654&lt;2%,"Low",K654&lt;5%,"Medium",K654&lt;10%,"Good",K654&gt;10%,"Excellent")</f>
        <v>Good</v>
      </c>
      <c r="AA654" s="16" t="str">
        <f>Data_Validation!N652</f>
        <v>Pass</v>
      </c>
    </row>
    <row r="655" spans="1:27" x14ac:dyDescent="0.35">
      <c r="A655" s="17" t="s">
        <v>87</v>
      </c>
      <c r="B655" s="3" t="s">
        <v>48</v>
      </c>
      <c r="C655" s="3" t="s">
        <v>58</v>
      </c>
      <c r="D655" s="3" t="s">
        <v>51</v>
      </c>
      <c r="E655" s="3" t="s">
        <v>22</v>
      </c>
      <c r="F655" s="3">
        <v>10488.07</v>
      </c>
      <c r="G655" s="3">
        <v>947758</v>
      </c>
      <c r="H655" s="3">
        <v>37698</v>
      </c>
      <c r="I655" s="3">
        <v>70923.570000000007</v>
      </c>
      <c r="J655" s="3">
        <v>17</v>
      </c>
      <c r="K655" s="15">
        <f t="shared" si="110"/>
        <v>3.9775976567858043E-2</v>
      </c>
      <c r="L655" s="16">
        <f t="shared" si="120"/>
        <v>0.27821290254124886</v>
      </c>
      <c r="M655" s="16">
        <f t="shared" si="111"/>
        <v>11.066189892356489</v>
      </c>
      <c r="N655" s="16">
        <f t="shared" si="112"/>
        <v>6.7623089853519289</v>
      </c>
      <c r="O655" s="16">
        <f t="shared" si="113"/>
        <v>5.7623089853519289</v>
      </c>
      <c r="P655" s="1">
        <v>2024</v>
      </c>
      <c r="Q655" s="1" t="s">
        <v>80</v>
      </c>
      <c r="R655" s="1" t="s">
        <v>33</v>
      </c>
      <c r="S655" s="70">
        <f>DATE(Table2[[#This Row],[Year]],MONTH(DATEVALUE("1-"&amp;Table2[[#This Row],[Month]]&amp;"-2000")),1)</f>
        <v>45474</v>
      </c>
      <c r="T655" s="16">
        <f t="shared" si="114"/>
        <v>1.8813616106955278</v>
      </c>
      <c r="U655" s="16">
        <f t="shared" si="115"/>
        <v>7.4832995342692971E-2</v>
      </c>
      <c r="V655" s="16">
        <f t="shared" si="116"/>
        <v>616.94529411764699</v>
      </c>
      <c r="W655" s="16">
        <f t="shared" si="117"/>
        <v>4171.9747058823532</v>
      </c>
      <c r="X655" s="16">
        <f t="shared" si="118"/>
        <v>2217.5294117647059</v>
      </c>
      <c r="Y655" s="16">
        <f t="shared" si="119"/>
        <v>55750.470588235294</v>
      </c>
      <c r="Z655" s="7" t="str" cm="1">
        <f t="array" ref="Z655">_xlfn.IFS(K655&lt;2%,"Low",K655&lt;5%,"Medium",K655&lt;10%,"Good",K655&gt;10%,"Excellent")</f>
        <v>Medium</v>
      </c>
      <c r="AA655" s="16" t="str">
        <f>Data_Validation!N653</f>
        <v>Pass</v>
      </c>
    </row>
    <row r="656" spans="1:27" x14ac:dyDescent="0.35">
      <c r="A656" s="17" t="s">
        <v>64</v>
      </c>
      <c r="B656" s="3" t="s">
        <v>19</v>
      </c>
      <c r="C656" s="3" t="s">
        <v>20</v>
      </c>
      <c r="D656" s="3" t="s">
        <v>63</v>
      </c>
      <c r="E656" s="3" t="s">
        <v>22</v>
      </c>
      <c r="F656" s="3">
        <v>6291.21</v>
      </c>
      <c r="G656" s="3">
        <v>145073</v>
      </c>
      <c r="H656" s="3">
        <v>37788</v>
      </c>
      <c r="I656" s="3">
        <v>55526.33</v>
      </c>
      <c r="J656" s="3">
        <v>34</v>
      </c>
      <c r="K656" s="15">
        <f t="shared" si="110"/>
        <v>0.26047576047920701</v>
      </c>
      <c r="L656" s="16">
        <f t="shared" si="120"/>
        <v>0.16648697999364878</v>
      </c>
      <c r="M656" s="16">
        <f t="shared" si="111"/>
        <v>43.365822723732194</v>
      </c>
      <c r="N656" s="16">
        <f t="shared" si="112"/>
        <v>8.826017570546842</v>
      </c>
      <c r="O656" s="16">
        <f t="shared" si="113"/>
        <v>7.8260175705468429</v>
      </c>
      <c r="P656" s="1">
        <v>2024</v>
      </c>
      <c r="Q656" s="1" t="s">
        <v>80</v>
      </c>
      <c r="R656" s="1" t="s">
        <v>33</v>
      </c>
      <c r="S656" s="70">
        <f>DATE(Table2[[#This Row],[Year]],MONTH(DATEVALUE("1-"&amp;Table2[[#This Row],[Month]]&amp;"-2000")),1)</f>
        <v>45474</v>
      </c>
      <c r="T656" s="16">
        <f t="shared" si="114"/>
        <v>1.4694170106912248</v>
      </c>
      <c r="U656" s="16">
        <f t="shared" si="115"/>
        <v>0.38274751332087986</v>
      </c>
      <c r="V656" s="16">
        <f t="shared" si="116"/>
        <v>185.03558823529411</v>
      </c>
      <c r="W656" s="16">
        <f t="shared" si="117"/>
        <v>1633.1273529411765</v>
      </c>
      <c r="X656" s="16">
        <f t="shared" si="118"/>
        <v>1111.4117647058824</v>
      </c>
      <c r="Y656" s="16">
        <f t="shared" si="119"/>
        <v>4266.8529411764703</v>
      </c>
      <c r="Z656" s="7" t="str" cm="1">
        <f t="array" ref="Z656">_xlfn.IFS(K656&lt;2%,"Low",K656&lt;5%,"Medium",K656&lt;10%,"Good",K656&gt;10%,"Excellent")</f>
        <v>Excellent</v>
      </c>
      <c r="AA656" s="16" t="str">
        <f>Data_Validation!N654</f>
        <v>Pass</v>
      </c>
    </row>
    <row r="657" spans="1:27" x14ac:dyDescent="0.35">
      <c r="A657" s="17" t="s">
        <v>113</v>
      </c>
      <c r="B657" s="3" t="s">
        <v>35</v>
      </c>
      <c r="C657" s="3" t="s">
        <v>36</v>
      </c>
      <c r="D657" s="3" t="s">
        <v>21</v>
      </c>
      <c r="E657" s="3" t="s">
        <v>22</v>
      </c>
      <c r="F657" s="3">
        <v>4423.67</v>
      </c>
      <c r="G657" s="3">
        <v>339861</v>
      </c>
      <c r="H657" s="3">
        <v>29656</v>
      </c>
      <c r="I657" s="3">
        <v>156755.44</v>
      </c>
      <c r="J657" s="3">
        <v>16</v>
      </c>
      <c r="K657" s="15">
        <f t="shared" si="110"/>
        <v>8.7259203027119911E-2</v>
      </c>
      <c r="L657" s="16">
        <f t="shared" si="120"/>
        <v>0.14916610466684652</v>
      </c>
      <c r="M657" s="16">
        <f t="shared" si="111"/>
        <v>13.016115411888977</v>
      </c>
      <c r="N657" s="16">
        <f t="shared" si="112"/>
        <v>35.435608894876879</v>
      </c>
      <c r="O657" s="16">
        <f t="shared" si="113"/>
        <v>34.435608894876879</v>
      </c>
      <c r="P657" s="1">
        <v>2024</v>
      </c>
      <c r="Q657" s="1" t="s">
        <v>80</v>
      </c>
      <c r="R657" s="1" t="s">
        <v>33</v>
      </c>
      <c r="S657" s="70">
        <f>DATE(Table2[[#This Row],[Year]],MONTH(DATEVALUE("1-"&amp;Table2[[#This Row],[Month]]&amp;"-2000")),1)</f>
        <v>45474</v>
      </c>
      <c r="T657" s="16">
        <f t="shared" si="114"/>
        <v>5.2857917453466419</v>
      </c>
      <c r="U657" s="16">
        <f t="shared" si="115"/>
        <v>0.46123397506627711</v>
      </c>
      <c r="V657" s="16">
        <f t="shared" si="116"/>
        <v>276.479375</v>
      </c>
      <c r="W657" s="16">
        <f t="shared" si="117"/>
        <v>9797.2150000000001</v>
      </c>
      <c r="X657" s="16">
        <f t="shared" si="118"/>
        <v>1853.5</v>
      </c>
      <c r="Y657" s="16">
        <f t="shared" si="119"/>
        <v>21241.3125</v>
      </c>
      <c r="Z657" s="7" t="str" cm="1">
        <f t="array" ref="Z657">_xlfn.IFS(K657&lt;2%,"Low",K657&lt;5%,"Medium",K657&lt;10%,"Good",K657&gt;10%,"Excellent")</f>
        <v>Good</v>
      </c>
      <c r="AA657" s="16" t="str">
        <f>Data_Validation!N655</f>
        <v>Pass</v>
      </c>
    </row>
    <row r="658" spans="1:27" x14ac:dyDescent="0.35">
      <c r="A658" s="17" t="s">
        <v>47</v>
      </c>
      <c r="B658" s="3" t="s">
        <v>48</v>
      </c>
      <c r="C658" s="3" t="s">
        <v>69</v>
      </c>
      <c r="D658" s="3" t="s">
        <v>21</v>
      </c>
      <c r="E658" s="3" t="s">
        <v>22</v>
      </c>
      <c r="F658" s="3">
        <v>52998.23</v>
      </c>
      <c r="G658" s="3">
        <v>72471</v>
      </c>
      <c r="H658" s="3">
        <v>22994</v>
      </c>
      <c r="I658" s="3">
        <v>93410.34</v>
      </c>
      <c r="J658" s="3">
        <v>36</v>
      </c>
      <c r="K658" s="15">
        <f t="shared" si="110"/>
        <v>0.31728553490361661</v>
      </c>
      <c r="L658" s="16">
        <f t="shared" si="120"/>
        <v>2.3048721405584067</v>
      </c>
      <c r="M658" s="16">
        <f t="shared" si="111"/>
        <v>731.30259000151784</v>
      </c>
      <c r="N658" s="16">
        <f t="shared" si="112"/>
        <v>1.7625181067367719</v>
      </c>
      <c r="O658" s="16">
        <f t="shared" si="113"/>
        <v>0.76251810673677201</v>
      </c>
      <c r="P658" s="1">
        <v>2024</v>
      </c>
      <c r="Q658" s="1" t="s">
        <v>80</v>
      </c>
      <c r="R658" s="1" t="s">
        <v>33</v>
      </c>
      <c r="S658" s="70">
        <f>DATE(Table2[[#This Row],[Year]],MONTH(DATEVALUE("1-"&amp;Table2[[#This Row],[Month]]&amp;"-2000")),1)</f>
        <v>45474</v>
      </c>
      <c r="T658" s="16">
        <f t="shared" si="114"/>
        <v>4.0623788814473336</v>
      </c>
      <c r="U658" s="16">
        <f t="shared" si="115"/>
        <v>1.2889340563811731</v>
      </c>
      <c r="V658" s="16">
        <f t="shared" si="116"/>
        <v>1472.1730555555557</v>
      </c>
      <c r="W658" s="16">
        <f t="shared" si="117"/>
        <v>2594.7316666666666</v>
      </c>
      <c r="X658" s="16">
        <f t="shared" si="118"/>
        <v>638.72222222222217</v>
      </c>
      <c r="Y658" s="16">
        <f t="shared" si="119"/>
        <v>2013.0833333333333</v>
      </c>
      <c r="Z658" s="7" t="str" cm="1">
        <f t="array" ref="Z658">_xlfn.IFS(K658&lt;2%,"Low",K658&lt;5%,"Medium",K658&lt;10%,"Good",K658&gt;10%,"Excellent")</f>
        <v>Excellent</v>
      </c>
      <c r="AA658" s="16" t="str">
        <f>Data_Validation!N656</f>
        <v>Pass</v>
      </c>
    </row>
    <row r="659" spans="1:27" x14ac:dyDescent="0.35">
      <c r="A659" s="17" t="s">
        <v>95</v>
      </c>
      <c r="B659" s="3" t="s">
        <v>35</v>
      </c>
      <c r="C659" s="3" t="s">
        <v>58</v>
      </c>
      <c r="D659" s="3" t="s">
        <v>59</v>
      </c>
      <c r="E659" s="3" t="s">
        <v>30</v>
      </c>
      <c r="F659" s="3">
        <v>7308.87</v>
      </c>
      <c r="G659" s="3">
        <v>918211</v>
      </c>
      <c r="H659" s="3">
        <v>24065</v>
      </c>
      <c r="I659" s="3">
        <v>214566.22</v>
      </c>
      <c r="J659" s="3">
        <v>33</v>
      </c>
      <c r="K659" s="15">
        <f t="shared" si="110"/>
        <v>2.620857297505693E-2</v>
      </c>
      <c r="L659" s="16">
        <f t="shared" si="120"/>
        <v>0.30371369208393934</v>
      </c>
      <c r="M659" s="16">
        <f t="shared" si="111"/>
        <v>7.9599024625058945</v>
      </c>
      <c r="N659" s="16">
        <f t="shared" si="112"/>
        <v>29.356962156940813</v>
      </c>
      <c r="O659" s="16">
        <f t="shared" si="113"/>
        <v>28.356962156940813</v>
      </c>
      <c r="P659" s="1">
        <v>2024</v>
      </c>
      <c r="Q659" s="1" t="s">
        <v>80</v>
      </c>
      <c r="R659" s="1" t="s">
        <v>33</v>
      </c>
      <c r="S659" s="70">
        <f>DATE(Table2[[#This Row],[Year]],MONTH(DATEVALUE("1-"&amp;Table2[[#This Row],[Month]]&amp;"-2000")),1)</f>
        <v>45474</v>
      </c>
      <c r="T659" s="16">
        <f t="shared" si="114"/>
        <v>8.9161113650529824</v>
      </c>
      <c r="U659" s="16">
        <f t="shared" si="115"/>
        <v>0.23367855536472554</v>
      </c>
      <c r="V659" s="16">
        <f t="shared" si="116"/>
        <v>221.48090909090908</v>
      </c>
      <c r="W659" s="16">
        <f t="shared" si="117"/>
        <v>6502.0066666666671</v>
      </c>
      <c r="X659" s="16">
        <f t="shared" si="118"/>
        <v>729.24242424242425</v>
      </c>
      <c r="Y659" s="16">
        <f t="shared" si="119"/>
        <v>27824.575757575756</v>
      </c>
      <c r="Z659" s="7" t="str" cm="1">
        <f t="array" ref="Z659">_xlfn.IFS(K659&lt;2%,"Low",K659&lt;5%,"Medium",K659&lt;10%,"Good",K659&gt;10%,"Excellent")</f>
        <v>Medium</v>
      </c>
      <c r="AA659" s="16" t="str">
        <f>Data_Validation!N657</f>
        <v>Pass</v>
      </c>
    </row>
    <row r="660" spans="1:27" x14ac:dyDescent="0.35">
      <c r="A660" s="17" t="s">
        <v>99</v>
      </c>
      <c r="B660" s="3" t="s">
        <v>28</v>
      </c>
      <c r="C660" s="3" t="s">
        <v>58</v>
      </c>
      <c r="D660" s="3" t="s">
        <v>63</v>
      </c>
      <c r="E660" s="3" t="s">
        <v>22</v>
      </c>
      <c r="F660" s="3">
        <v>8194.74</v>
      </c>
      <c r="G660" s="3">
        <v>281212</v>
      </c>
      <c r="H660" s="3">
        <v>26814</v>
      </c>
      <c r="I660" s="3">
        <v>100067.99</v>
      </c>
      <c r="J660" s="3">
        <v>10</v>
      </c>
      <c r="K660" s="15">
        <f t="shared" si="110"/>
        <v>9.5351549720495574E-2</v>
      </c>
      <c r="L660" s="16">
        <f t="shared" si="120"/>
        <v>0.30561423137167149</v>
      </c>
      <c r="M660" s="16">
        <f t="shared" si="111"/>
        <v>29.140790577926975</v>
      </c>
      <c r="N660" s="16">
        <f t="shared" si="112"/>
        <v>12.211246482499751</v>
      </c>
      <c r="O660" s="16">
        <f t="shared" si="113"/>
        <v>11.21124648249975</v>
      </c>
      <c r="P660" s="1">
        <v>2024</v>
      </c>
      <c r="Q660" s="1" t="s">
        <v>80</v>
      </c>
      <c r="R660" s="1" t="s">
        <v>33</v>
      </c>
      <c r="S660" s="70">
        <f>DATE(Table2[[#This Row],[Year]],MONTH(DATEVALUE("1-"&amp;Table2[[#This Row],[Month]]&amp;"-2000")),1)</f>
        <v>45474</v>
      </c>
      <c r="T660" s="16">
        <f t="shared" si="114"/>
        <v>3.7319307078391888</v>
      </c>
      <c r="U660" s="16">
        <f t="shared" si="115"/>
        <v>0.35584537644197262</v>
      </c>
      <c r="V660" s="16">
        <f t="shared" si="116"/>
        <v>819.47399999999993</v>
      </c>
      <c r="W660" s="16">
        <f t="shared" si="117"/>
        <v>10006.799000000001</v>
      </c>
      <c r="X660" s="16">
        <f t="shared" si="118"/>
        <v>2681.4</v>
      </c>
      <c r="Y660" s="16">
        <f t="shared" si="119"/>
        <v>28121.200000000001</v>
      </c>
      <c r="Z660" s="7" t="str" cm="1">
        <f t="array" ref="Z660">_xlfn.IFS(K660&lt;2%,"Low",K660&lt;5%,"Medium",K660&lt;10%,"Good",K660&gt;10%,"Excellent")</f>
        <v>Good</v>
      </c>
      <c r="AA660" s="16" t="str">
        <f>Data_Validation!N658</f>
        <v>Pass</v>
      </c>
    </row>
    <row r="661" spans="1:27" x14ac:dyDescent="0.35">
      <c r="A661" s="17" t="s">
        <v>75</v>
      </c>
      <c r="B661" s="3" t="s">
        <v>48</v>
      </c>
      <c r="C661" s="3" t="s">
        <v>36</v>
      </c>
      <c r="D661" s="3" t="s">
        <v>51</v>
      </c>
      <c r="E661" s="3" t="s">
        <v>22</v>
      </c>
      <c r="F661" s="3">
        <v>29306.65</v>
      </c>
      <c r="G661" s="3">
        <v>615711</v>
      </c>
      <c r="H661" s="3">
        <v>22667</v>
      </c>
      <c r="I661" s="3">
        <v>194677.65</v>
      </c>
      <c r="J661" s="3">
        <v>41</v>
      </c>
      <c r="K661" s="15">
        <f t="shared" si="110"/>
        <v>3.6814349589336555E-2</v>
      </c>
      <c r="L661" s="16">
        <f t="shared" si="120"/>
        <v>1.2929214276260643</v>
      </c>
      <c r="M661" s="16">
        <f t="shared" si="111"/>
        <v>47.598061428170041</v>
      </c>
      <c r="N661" s="16">
        <f t="shared" si="112"/>
        <v>6.6427807340654761</v>
      </c>
      <c r="O661" s="16">
        <f t="shared" si="113"/>
        <v>5.6427807340654761</v>
      </c>
      <c r="P661" s="1">
        <v>2024</v>
      </c>
      <c r="Q661" s="1" t="s">
        <v>80</v>
      </c>
      <c r="R661" s="1" t="s">
        <v>33</v>
      </c>
      <c r="S661" s="70">
        <f>DATE(Table2[[#This Row],[Year]],MONTH(DATEVALUE("1-"&amp;Table2[[#This Row],[Month]]&amp;"-2000")),1)</f>
        <v>45474</v>
      </c>
      <c r="T661" s="16">
        <f t="shared" si="114"/>
        <v>8.5885935500948509</v>
      </c>
      <c r="U661" s="16">
        <f t="shared" si="115"/>
        <v>0.316183485433913</v>
      </c>
      <c r="V661" s="16">
        <f t="shared" si="116"/>
        <v>714.79634146341471</v>
      </c>
      <c r="W661" s="16">
        <f t="shared" si="117"/>
        <v>4748.2353658536585</v>
      </c>
      <c r="X661" s="16">
        <f t="shared" si="118"/>
        <v>552.85365853658539</v>
      </c>
      <c r="Y661" s="16">
        <f t="shared" si="119"/>
        <v>15017.341463414634</v>
      </c>
      <c r="Z661" s="7" t="str" cm="1">
        <f t="array" ref="Z661">_xlfn.IFS(K661&lt;2%,"Low",K661&lt;5%,"Medium",K661&lt;10%,"Good",K661&gt;10%,"Excellent")</f>
        <v>Medium</v>
      </c>
      <c r="AA661" s="16" t="str">
        <f>Data_Validation!N659</f>
        <v>Pass</v>
      </c>
    </row>
    <row r="662" spans="1:27" x14ac:dyDescent="0.35">
      <c r="A662" s="17" t="s">
        <v>81</v>
      </c>
      <c r="B662" s="3" t="s">
        <v>35</v>
      </c>
      <c r="C662" s="3" t="s">
        <v>58</v>
      </c>
      <c r="D662" s="3" t="s">
        <v>21</v>
      </c>
      <c r="E662" s="3" t="s">
        <v>30</v>
      </c>
      <c r="F662" s="3">
        <v>10636.68</v>
      </c>
      <c r="G662" s="3">
        <v>132692</v>
      </c>
      <c r="H662" s="3">
        <v>33738</v>
      </c>
      <c r="I662" s="3">
        <v>239393.79</v>
      </c>
      <c r="J662" s="3">
        <v>10</v>
      </c>
      <c r="K662" s="15">
        <f t="shared" si="110"/>
        <v>0.25425798088807161</v>
      </c>
      <c r="L662" s="16">
        <f t="shared" si="120"/>
        <v>0.31527298595056019</v>
      </c>
      <c r="M662" s="16">
        <f t="shared" si="111"/>
        <v>80.160672836342812</v>
      </c>
      <c r="N662" s="16">
        <f t="shared" si="112"/>
        <v>22.506439039249088</v>
      </c>
      <c r="O662" s="16">
        <f t="shared" si="113"/>
        <v>21.506439039249091</v>
      </c>
      <c r="P662" s="1">
        <v>2024</v>
      </c>
      <c r="Q662" s="1" t="s">
        <v>80</v>
      </c>
      <c r="R662" s="1" t="s">
        <v>33</v>
      </c>
      <c r="S662" s="70">
        <f>DATE(Table2[[#This Row],[Year]],MONTH(DATEVALUE("1-"&amp;Table2[[#This Row],[Month]]&amp;"-2000")),1)</f>
        <v>45474</v>
      </c>
      <c r="T662" s="16">
        <f t="shared" si="114"/>
        <v>7.0956722390183176</v>
      </c>
      <c r="U662" s="16">
        <f t="shared" si="115"/>
        <v>1.8041312965363399</v>
      </c>
      <c r="V662" s="16">
        <f t="shared" si="116"/>
        <v>1063.6680000000001</v>
      </c>
      <c r="W662" s="16">
        <f t="shared" si="117"/>
        <v>23939.379000000001</v>
      </c>
      <c r="X662" s="16">
        <f t="shared" si="118"/>
        <v>3373.8</v>
      </c>
      <c r="Y662" s="16">
        <f t="shared" si="119"/>
        <v>13269.2</v>
      </c>
      <c r="Z662" s="7" t="str" cm="1">
        <f t="array" ref="Z662">_xlfn.IFS(K662&lt;2%,"Low",K662&lt;5%,"Medium",K662&lt;10%,"Good",K662&gt;10%,"Excellent")</f>
        <v>Excellent</v>
      </c>
      <c r="AA662" s="16" t="str">
        <f>Data_Validation!N660</f>
        <v>Pass</v>
      </c>
    </row>
    <row r="663" spans="1:27" x14ac:dyDescent="0.35">
      <c r="A663" s="17" t="s">
        <v>102</v>
      </c>
      <c r="B663" s="3" t="s">
        <v>35</v>
      </c>
      <c r="C663" s="3" t="s">
        <v>69</v>
      </c>
      <c r="D663" s="3" t="s">
        <v>63</v>
      </c>
      <c r="E663" s="3" t="s">
        <v>38</v>
      </c>
      <c r="F663" s="3">
        <v>10424.86</v>
      </c>
      <c r="G663" s="3">
        <v>727659</v>
      </c>
      <c r="H663" s="3">
        <v>7184</v>
      </c>
      <c r="I663" s="3">
        <v>123025.91</v>
      </c>
      <c r="J663" s="3">
        <v>47</v>
      </c>
      <c r="K663" s="15">
        <f t="shared" si="110"/>
        <v>9.8727563322930107E-3</v>
      </c>
      <c r="L663" s="16">
        <f t="shared" si="120"/>
        <v>1.4511219376391984</v>
      </c>
      <c r="M663" s="16">
        <f t="shared" si="111"/>
        <v>14.326573298756699</v>
      </c>
      <c r="N663" s="16">
        <f t="shared" si="112"/>
        <v>11.801205004191903</v>
      </c>
      <c r="O663" s="16">
        <f t="shared" si="113"/>
        <v>10.801205004191903</v>
      </c>
      <c r="P663" s="1">
        <v>2024</v>
      </c>
      <c r="Q663" s="1" t="s">
        <v>80</v>
      </c>
      <c r="R663" s="1" t="s">
        <v>33</v>
      </c>
      <c r="S663" s="70">
        <f>DATE(Table2[[#This Row],[Year]],MONTH(DATEVALUE("1-"&amp;Table2[[#This Row],[Month]]&amp;"-2000")),1)</f>
        <v>45474</v>
      </c>
      <c r="T663" s="16">
        <f t="shared" si="114"/>
        <v>17.124987472160356</v>
      </c>
      <c r="U663" s="16">
        <f t="shared" si="115"/>
        <v>0.16907082850620964</v>
      </c>
      <c r="V663" s="16">
        <f t="shared" si="116"/>
        <v>221.80553191489363</v>
      </c>
      <c r="W663" s="16">
        <f t="shared" si="117"/>
        <v>2617.5725531914895</v>
      </c>
      <c r="X663" s="16">
        <f t="shared" si="118"/>
        <v>152.85106382978722</v>
      </c>
      <c r="Y663" s="16">
        <f t="shared" si="119"/>
        <v>15482.106382978724</v>
      </c>
      <c r="Z663" s="7" t="str" cm="1">
        <f t="array" ref="Z663">_xlfn.IFS(K663&lt;2%,"Low",K663&lt;5%,"Medium",K663&lt;10%,"Good",K663&gt;10%,"Excellent")</f>
        <v>Low</v>
      </c>
      <c r="AA663" s="16" t="str">
        <f>Data_Validation!N661</f>
        <v>Pass</v>
      </c>
    </row>
    <row r="664" spans="1:27" x14ac:dyDescent="0.35">
      <c r="A664" s="17" t="s">
        <v>34</v>
      </c>
      <c r="B664" s="3" t="s">
        <v>19</v>
      </c>
      <c r="C664" s="3" t="s">
        <v>20</v>
      </c>
      <c r="D664" s="3" t="s">
        <v>43</v>
      </c>
      <c r="E664" s="3" t="s">
        <v>22</v>
      </c>
      <c r="F664" s="3">
        <v>4773.32</v>
      </c>
      <c r="G664" s="3">
        <v>211774</v>
      </c>
      <c r="H664" s="3">
        <v>40647</v>
      </c>
      <c r="I664" s="3">
        <v>137749.41</v>
      </c>
      <c r="J664" s="3">
        <v>47</v>
      </c>
      <c r="K664" s="15">
        <f t="shared" si="110"/>
        <v>0.19193574282017623</v>
      </c>
      <c r="L664" s="16">
        <f t="shared" si="120"/>
        <v>0.11743351292838339</v>
      </c>
      <c r="M664" s="16">
        <f t="shared" si="111"/>
        <v>22.539688535892033</v>
      </c>
      <c r="N664" s="16">
        <f t="shared" si="112"/>
        <v>28.858197229601203</v>
      </c>
      <c r="O664" s="16">
        <f t="shared" si="113"/>
        <v>27.858197229601203</v>
      </c>
      <c r="P664" s="1">
        <v>2024</v>
      </c>
      <c r="Q664" s="1" t="s">
        <v>80</v>
      </c>
      <c r="R664" s="1" t="s">
        <v>33</v>
      </c>
      <c r="S664" s="70">
        <f>DATE(Table2[[#This Row],[Year]],MONTH(DATEVALUE("1-"&amp;Table2[[#This Row],[Month]]&amp;"-2000")),1)</f>
        <v>45474</v>
      </c>
      <c r="T664" s="16">
        <f t="shared" si="114"/>
        <v>3.3889194774522107</v>
      </c>
      <c r="U664" s="16">
        <f t="shared" si="115"/>
        <v>0.65045477726255352</v>
      </c>
      <c r="V664" s="16">
        <f t="shared" si="116"/>
        <v>101.55999999999999</v>
      </c>
      <c r="W664" s="16">
        <f t="shared" si="117"/>
        <v>2930.838510638298</v>
      </c>
      <c r="X664" s="16">
        <f t="shared" si="118"/>
        <v>864.82978723404256</v>
      </c>
      <c r="Y664" s="16">
        <f t="shared" si="119"/>
        <v>4505.8297872340427</v>
      </c>
      <c r="Z664" s="7" t="str" cm="1">
        <f t="array" ref="Z664">_xlfn.IFS(K664&lt;2%,"Low",K664&lt;5%,"Medium",K664&lt;10%,"Good",K664&gt;10%,"Excellent")</f>
        <v>Excellent</v>
      </c>
      <c r="AA664" s="16" t="str">
        <f>Data_Validation!N662</f>
        <v>Pass</v>
      </c>
    </row>
    <row r="665" spans="1:27" x14ac:dyDescent="0.35">
      <c r="A665" s="17" t="s">
        <v>91</v>
      </c>
      <c r="B665" s="3" t="s">
        <v>35</v>
      </c>
      <c r="C665" s="3" t="s">
        <v>20</v>
      </c>
      <c r="D665" s="3" t="s">
        <v>63</v>
      </c>
      <c r="E665" s="3" t="s">
        <v>30</v>
      </c>
      <c r="F665" s="3">
        <v>28911.72</v>
      </c>
      <c r="G665" s="3">
        <v>405129</v>
      </c>
      <c r="H665" s="3">
        <v>20662</v>
      </c>
      <c r="I665" s="3">
        <v>239387.95</v>
      </c>
      <c r="J665" s="3">
        <v>26</v>
      </c>
      <c r="K665" s="15">
        <f t="shared" si="110"/>
        <v>5.1001039175176302E-2</v>
      </c>
      <c r="L665" s="16">
        <f t="shared" si="120"/>
        <v>1.3992701577775628</v>
      </c>
      <c r="M665" s="16">
        <f t="shared" si="111"/>
        <v>71.36423213346859</v>
      </c>
      <c r="N665" s="16">
        <f t="shared" si="112"/>
        <v>8.2799622436852598</v>
      </c>
      <c r="O665" s="16">
        <f t="shared" si="113"/>
        <v>7.2799622436852598</v>
      </c>
      <c r="P665" s="1">
        <v>2024</v>
      </c>
      <c r="Q665" s="1" t="s">
        <v>80</v>
      </c>
      <c r="R665" s="1" t="s">
        <v>33</v>
      </c>
      <c r="S665" s="70">
        <f>DATE(Table2[[#This Row],[Year]],MONTH(DATEVALUE("1-"&amp;Table2[[#This Row],[Month]]&amp;"-2000")),1)</f>
        <v>45474</v>
      </c>
      <c r="T665" s="16">
        <f t="shared" si="114"/>
        <v>11.585904075113737</v>
      </c>
      <c r="U665" s="16">
        <f t="shared" si="115"/>
        <v>0.59089314761471046</v>
      </c>
      <c r="V665" s="16">
        <f t="shared" si="116"/>
        <v>1111.9892307692307</v>
      </c>
      <c r="W665" s="16">
        <f t="shared" si="117"/>
        <v>9207.2288461538465</v>
      </c>
      <c r="X665" s="16">
        <f t="shared" si="118"/>
        <v>794.69230769230774</v>
      </c>
      <c r="Y665" s="16">
        <f t="shared" si="119"/>
        <v>15581.884615384615</v>
      </c>
      <c r="Z665" s="7" t="str" cm="1">
        <f t="array" ref="Z665">_xlfn.IFS(K665&lt;2%,"Low",K665&lt;5%,"Medium",K665&lt;10%,"Good",K665&gt;10%,"Excellent")</f>
        <v>Good</v>
      </c>
      <c r="AA665" s="16" t="str">
        <f>Data_Validation!N663</f>
        <v>Pass</v>
      </c>
    </row>
    <row r="666" spans="1:27" x14ac:dyDescent="0.35">
      <c r="A666" s="17" t="s">
        <v>75</v>
      </c>
      <c r="B666" s="3" t="s">
        <v>28</v>
      </c>
      <c r="C666" s="3" t="s">
        <v>20</v>
      </c>
      <c r="D666" s="3" t="s">
        <v>51</v>
      </c>
      <c r="E666" s="3" t="s">
        <v>30</v>
      </c>
      <c r="F666" s="3">
        <v>12641.64</v>
      </c>
      <c r="G666" s="3">
        <v>632234</v>
      </c>
      <c r="H666" s="3">
        <v>16481</v>
      </c>
      <c r="I666" s="3">
        <v>25552.75</v>
      </c>
      <c r="J666" s="3">
        <v>16</v>
      </c>
      <c r="K666" s="15">
        <f t="shared" si="110"/>
        <v>2.6067879930532049E-2</v>
      </c>
      <c r="L666" s="16">
        <f t="shared" si="120"/>
        <v>0.76704326193798922</v>
      </c>
      <c r="M666" s="16">
        <f t="shared" si="111"/>
        <v>19.995191653723147</v>
      </c>
      <c r="N666" s="16">
        <f t="shared" si="112"/>
        <v>2.0213160634221512</v>
      </c>
      <c r="O666" s="16">
        <f t="shared" si="113"/>
        <v>1.021316063422151</v>
      </c>
      <c r="P666" s="1">
        <v>2024</v>
      </c>
      <c r="Q666" s="1" t="s">
        <v>80</v>
      </c>
      <c r="R666" s="1" t="s">
        <v>33</v>
      </c>
      <c r="S666" s="70">
        <f>DATE(Table2[[#This Row],[Year]],MONTH(DATEVALUE("1-"&amp;Table2[[#This Row],[Month]]&amp;"-2000")),1)</f>
        <v>45474</v>
      </c>
      <c r="T666" s="16">
        <f t="shared" si="114"/>
        <v>1.5504368666949822</v>
      </c>
      <c r="U666" s="16">
        <f t="shared" si="115"/>
        <v>4.0416602080875122E-2</v>
      </c>
      <c r="V666" s="16">
        <f t="shared" si="116"/>
        <v>790.10249999999996</v>
      </c>
      <c r="W666" s="16">
        <f t="shared" si="117"/>
        <v>1597.046875</v>
      </c>
      <c r="X666" s="16">
        <f t="shared" si="118"/>
        <v>1030.0625</v>
      </c>
      <c r="Y666" s="16">
        <f t="shared" si="119"/>
        <v>39514.625</v>
      </c>
      <c r="Z666" s="7" t="str" cm="1">
        <f t="array" ref="Z666">_xlfn.IFS(K666&lt;2%,"Low",K666&lt;5%,"Medium",K666&lt;10%,"Good",K666&gt;10%,"Excellent")</f>
        <v>Medium</v>
      </c>
      <c r="AA666" s="16" t="str">
        <f>Data_Validation!N664</f>
        <v>Pass</v>
      </c>
    </row>
    <row r="667" spans="1:27" x14ac:dyDescent="0.35">
      <c r="A667" s="17" t="s">
        <v>119</v>
      </c>
      <c r="B667" s="3" t="s">
        <v>28</v>
      </c>
      <c r="C667" s="3" t="s">
        <v>29</v>
      </c>
      <c r="D667" s="3" t="s">
        <v>37</v>
      </c>
      <c r="E667" s="3" t="s">
        <v>30</v>
      </c>
      <c r="F667" s="3">
        <v>16397.91</v>
      </c>
      <c r="G667" s="3">
        <v>525611</v>
      </c>
      <c r="H667" s="3">
        <v>27338</v>
      </c>
      <c r="I667" s="3">
        <v>178984.88</v>
      </c>
      <c r="J667" s="3">
        <v>38</v>
      </c>
      <c r="K667" s="15">
        <f t="shared" si="110"/>
        <v>5.2011849067085732E-2</v>
      </c>
      <c r="L667" s="16">
        <f t="shared" si="120"/>
        <v>0.59982112810008048</v>
      </c>
      <c r="M667" s="16">
        <f t="shared" si="111"/>
        <v>31.197805981990484</v>
      </c>
      <c r="N667" s="16">
        <f t="shared" si="112"/>
        <v>10.915103205225545</v>
      </c>
      <c r="O667" s="16">
        <f t="shared" si="113"/>
        <v>9.9151032052255434</v>
      </c>
      <c r="P667" s="1">
        <v>2024</v>
      </c>
      <c r="Q667" s="1" t="s">
        <v>80</v>
      </c>
      <c r="R667" s="1" t="s">
        <v>33</v>
      </c>
      <c r="S667" s="70">
        <f>DATE(Table2[[#This Row],[Year]],MONTH(DATEVALUE("1-"&amp;Table2[[#This Row],[Month]]&amp;"-2000")),1)</f>
        <v>45474</v>
      </c>
      <c r="T667" s="16">
        <f t="shared" si="114"/>
        <v>6.5471095178871899</v>
      </c>
      <c r="U667" s="16">
        <f t="shared" si="115"/>
        <v>0.34052727207002897</v>
      </c>
      <c r="V667" s="16">
        <f t="shared" si="116"/>
        <v>431.52394736842103</v>
      </c>
      <c r="W667" s="16">
        <f t="shared" si="117"/>
        <v>4710.1284210526319</v>
      </c>
      <c r="X667" s="16">
        <f t="shared" si="118"/>
        <v>719.42105263157896</v>
      </c>
      <c r="Y667" s="16">
        <f t="shared" si="119"/>
        <v>13831.868421052632</v>
      </c>
      <c r="Z667" s="7" t="str" cm="1">
        <f t="array" ref="Z667">_xlfn.IFS(K667&lt;2%,"Low",K667&lt;5%,"Medium",K667&lt;10%,"Good",K667&gt;10%,"Excellent")</f>
        <v>Good</v>
      </c>
      <c r="AA667" s="16" t="str">
        <f>Data_Validation!N665</f>
        <v>Pass</v>
      </c>
    </row>
    <row r="668" spans="1:27" x14ac:dyDescent="0.35">
      <c r="A668" s="17" t="s">
        <v>112</v>
      </c>
      <c r="B668" s="3" t="s">
        <v>35</v>
      </c>
      <c r="C668" s="3" t="s">
        <v>58</v>
      </c>
      <c r="D668" s="3" t="s">
        <v>43</v>
      </c>
      <c r="E668" s="3" t="s">
        <v>22</v>
      </c>
      <c r="F668" s="3">
        <v>1660.28</v>
      </c>
      <c r="G668" s="3">
        <v>107738</v>
      </c>
      <c r="H668" s="3">
        <v>20324</v>
      </c>
      <c r="I668" s="3">
        <v>7077.29</v>
      </c>
      <c r="J668" s="3">
        <v>56</v>
      </c>
      <c r="K668" s="15">
        <f t="shared" si="110"/>
        <v>0.18864281868978447</v>
      </c>
      <c r="L668" s="16">
        <f t="shared" si="120"/>
        <v>8.1690612084235392E-2</v>
      </c>
      <c r="M668" s="16">
        <f t="shared" si="111"/>
        <v>15.410347324063933</v>
      </c>
      <c r="N668" s="16">
        <f t="shared" si="112"/>
        <v>4.2627086997373933</v>
      </c>
      <c r="O668" s="16">
        <f t="shared" si="113"/>
        <v>3.2627086997373937</v>
      </c>
      <c r="P668" s="1">
        <v>2024</v>
      </c>
      <c r="Q668" s="1" t="s">
        <v>80</v>
      </c>
      <c r="R668" s="1" t="s">
        <v>33</v>
      </c>
      <c r="S668" s="70">
        <f>DATE(Table2[[#This Row],[Year]],MONTH(DATEVALUE("1-"&amp;Table2[[#This Row],[Month]]&amp;"-2000")),1)</f>
        <v>45474</v>
      </c>
      <c r="T668" s="16">
        <f t="shared" si="114"/>
        <v>0.34822328281834286</v>
      </c>
      <c r="U668" s="16">
        <f t="shared" si="115"/>
        <v>6.5689821604262191E-2</v>
      </c>
      <c r="V668" s="16">
        <f t="shared" si="116"/>
        <v>29.647857142857141</v>
      </c>
      <c r="W668" s="16">
        <f t="shared" si="117"/>
        <v>126.38017857142857</v>
      </c>
      <c r="X668" s="16">
        <f t="shared" si="118"/>
        <v>362.92857142857144</v>
      </c>
      <c r="Y668" s="16">
        <f t="shared" si="119"/>
        <v>1923.8928571428571</v>
      </c>
      <c r="Z668" s="7" t="str" cm="1">
        <f t="array" ref="Z668">_xlfn.IFS(K668&lt;2%,"Low",K668&lt;5%,"Medium",K668&lt;10%,"Good",K668&gt;10%,"Excellent")</f>
        <v>Excellent</v>
      </c>
      <c r="AA668" s="16" t="str">
        <f>Data_Validation!N666</f>
        <v>Pass</v>
      </c>
    </row>
    <row r="669" spans="1:27" x14ac:dyDescent="0.35">
      <c r="A669" s="17" t="s">
        <v>102</v>
      </c>
      <c r="B669" s="3" t="s">
        <v>35</v>
      </c>
      <c r="C669" s="3" t="s">
        <v>36</v>
      </c>
      <c r="D669" s="3" t="s">
        <v>59</v>
      </c>
      <c r="E669" s="3" t="s">
        <v>38</v>
      </c>
      <c r="F669" s="3">
        <v>22959.19</v>
      </c>
      <c r="G669" s="3">
        <v>29627</v>
      </c>
      <c r="H669" s="3">
        <v>13748</v>
      </c>
      <c r="I669" s="3">
        <v>146462.42000000001</v>
      </c>
      <c r="J669" s="3">
        <v>52</v>
      </c>
      <c r="K669" s="15">
        <f t="shared" si="110"/>
        <v>0.46403618321126</v>
      </c>
      <c r="L669" s="16">
        <f t="shared" si="120"/>
        <v>1.6700021821355833</v>
      </c>
      <c r="M669" s="16">
        <f t="shared" si="111"/>
        <v>774.94143855267146</v>
      </c>
      <c r="N669" s="16">
        <f t="shared" si="112"/>
        <v>6.3792503132732481</v>
      </c>
      <c r="O669" s="16">
        <f t="shared" si="113"/>
        <v>5.3792503132732481</v>
      </c>
      <c r="P669" s="1">
        <v>2024</v>
      </c>
      <c r="Q669" s="1" t="s">
        <v>32</v>
      </c>
      <c r="R669" s="1" t="s">
        <v>33</v>
      </c>
      <c r="S669" s="70">
        <f>DATE(Table2[[#This Row],[Year]],MONTH(DATEVALUE("1-"&amp;Table2[[#This Row],[Month]]&amp;"-2000")),1)</f>
        <v>45505</v>
      </c>
      <c r="T669" s="16">
        <f t="shared" si="114"/>
        <v>10.653361943555428</v>
      </c>
      <c r="U669" s="16">
        <f t="shared" si="115"/>
        <v>4.9435454146555511</v>
      </c>
      <c r="V669" s="16">
        <f t="shared" si="116"/>
        <v>441.52288461538461</v>
      </c>
      <c r="W669" s="16">
        <f t="shared" si="117"/>
        <v>2816.585</v>
      </c>
      <c r="X669" s="16">
        <f t="shared" si="118"/>
        <v>264.38461538461536</v>
      </c>
      <c r="Y669" s="16">
        <f t="shared" si="119"/>
        <v>569.75</v>
      </c>
      <c r="Z669" s="7" t="str" cm="1">
        <f t="array" ref="Z669">_xlfn.IFS(K669&lt;2%,"Low",K669&lt;5%,"Medium",K669&lt;10%,"Good",K669&gt;10%,"Excellent")</f>
        <v>Excellent</v>
      </c>
      <c r="AA669" s="16" t="str">
        <f>Data_Validation!N667</f>
        <v>Pass</v>
      </c>
    </row>
    <row r="670" spans="1:27" x14ac:dyDescent="0.35">
      <c r="A670" s="17" t="s">
        <v>87</v>
      </c>
      <c r="B670" s="3" t="s">
        <v>48</v>
      </c>
      <c r="C670" s="3" t="s">
        <v>36</v>
      </c>
      <c r="D670" s="3" t="s">
        <v>43</v>
      </c>
      <c r="E670" s="3" t="s">
        <v>30</v>
      </c>
      <c r="F670" s="3">
        <v>34767.32</v>
      </c>
      <c r="G670" s="3">
        <v>576820</v>
      </c>
      <c r="H670" s="3">
        <v>21840</v>
      </c>
      <c r="I670" s="3">
        <v>99042.32</v>
      </c>
      <c r="J670" s="3">
        <v>59</v>
      </c>
      <c r="K670" s="15">
        <f t="shared" si="110"/>
        <v>3.7862764813980099E-2</v>
      </c>
      <c r="L670" s="16">
        <f t="shared" si="120"/>
        <v>1.5919102564102563</v>
      </c>
      <c r="M670" s="16">
        <f t="shared" si="111"/>
        <v>60.274123643424289</v>
      </c>
      <c r="N670" s="16">
        <f t="shared" si="112"/>
        <v>2.8487188543724398</v>
      </c>
      <c r="O670" s="16">
        <f t="shared" si="113"/>
        <v>1.8487188543724395</v>
      </c>
      <c r="P670" s="1">
        <v>2024</v>
      </c>
      <c r="Q670" s="1" t="s">
        <v>32</v>
      </c>
      <c r="R670" s="1" t="s">
        <v>33</v>
      </c>
      <c r="S670" s="70">
        <f>DATE(Table2[[#This Row],[Year]],MONTH(DATEVALUE("1-"&amp;Table2[[#This Row],[Month]]&amp;"-2000")),1)</f>
        <v>45505</v>
      </c>
      <c r="T670" s="16">
        <f t="shared" si="114"/>
        <v>4.5349047619047624</v>
      </c>
      <c r="U670" s="16">
        <f t="shared" si="115"/>
        <v>0.17170403245379842</v>
      </c>
      <c r="V670" s="16">
        <f t="shared" si="116"/>
        <v>589.27661016949151</v>
      </c>
      <c r="W670" s="16">
        <f t="shared" si="117"/>
        <v>1678.6833898305085</v>
      </c>
      <c r="X670" s="16">
        <f t="shared" si="118"/>
        <v>370.16949152542372</v>
      </c>
      <c r="Y670" s="16">
        <f t="shared" si="119"/>
        <v>9776.6101694915251</v>
      </c>
      <c r="Z670" s="7" t="str" cm="1">
        <f t="array" ref="Z670">_xlfn.IFS(K670&lt;2%,"Low",K670&lt;5%,"Medium",K670&lt;10%,"Good",K670&gt;10%,"Excellent")</f>
        <v>Medium</v>
      </c>
      <c r="AA670" s="16" t="str">
        <f>Data_Validation!N668</f>
        <v>Pass</v>
      </c>
    </row>
    <row r="671" spans="1:27" x14ac:dyDescent="0.35">
      <c r="A671" s="17" t="s">
        <v>116</v>
      </c>
      <c r="B671" s="3" t="s">
        <v>28</v>
      </c>
      <c r="C671" s="3" t="s">
        <v>36</v>
      </c>
      <c r="D671" s="3" t="s">
        <v>43</v>
      </c>
      <c r="E671" s="3" t="s">
        <v>38</v>
      </c>
      <c r="F671" s="3">
        <v>44069.54</v>
      </c>
      <c r="G671" s="3">
        <v>611755</v>
      </c>
      <c r="H671" s="3">
        <v>25717</v>
      </c>
      <c r="I671" s="3">
        <v>245142.17</v>
      </c>
      <c r="J671" s="3">
        <v>46</v>
      </c>
      <c r="K671" s="15">
        <f t="shared" si="110"/>
        <v>4.2038070796315517E-2</v>
      </c>
      <c r="L671" s="16">
        <f t="shared" si="120"/>
        <v>1.7136345607963603</v>
      </c>
      <c r="M671" s="16">
        <f t="shared" si="111"/>
        <v>72.037890985770446</v>
      </c>
      <c r="N671" s="16">
        <f t="shared" si="112"/>
        <v>5.5626214841362085</v>
      </c>
      <c r="O671" s="16">
        <f t="shared" si="113"/>
        <v>4.5626214841362085</v>
      </c>
      <c r="P671" s="1">
        <v>2024</v>
      </c>
      <c r="Q671" s="1" t="s">
        <v>32</v>
      </c>
      <c r="R671" s="1" t="s">
        <v>33</v>
      </c>
      <c r="S671" s="70">
        <f>DATE(Table2[[#This Row],[Year]],MONTH(DATEVALUE("1-"&amp;Table2[[#This Row],[Month]]&amp;"-2000")),1)</f>
        <v>45505</v>
      </c>
      <c r="T671" s="16">
        <f t="shared" si="114"/>
        <v>9.5323004238441502</v>
      </c>
      <c r="U671" s="16">
        <f t="shared" si="115"/>
        <v>0.40071952006930883</v>
      </c>
      <c r="V671" s="16">
        <f t="shared" si="116"/>
        <v>958.03347826086963</v>
      </c>
      <c r="W671" s="16">
        <f t="shared" si="117"/>
        <v>5329.1776086956525</v>
      </c>
      <c r="X671" s="16">
        <f t="shared" si="118"/>
        <v>559.06521739130437</v>
      </c>
      <c r="Y671" s="16">
        <f t="shared" si="119"/>
        <v>13299.021739130434</v>
      </c>
      <c r="Z671" s="7" t="str" cm="1">
        <f t="array" ref="Z671">_xlfn.IFS(K671&lt;2%,"Low",K671&lt;5%,"Medium",K671&lt;10%,"Good",K671&gt;10%,"Excellent")</f>
        <v>Medium</v>
      </c>
      <c r="AA671" s="16" t="str">
        <f>Data_Validation!N669</f>
        <v>Pass</v>
      </c>
    </row>
    <row r="672" spans="1:27" x14ac:dyDescent="0.35">
      <c r="A672" s="17" t="s">
        <v>100</v>
      </c>
      <c r="B672" s="3" t="s">
        <v>19</v>
      </c>
      <c r="C672" s="3" t="s">
        <v>20</v>
      </c>
      <c r="D672" s="3" t="s">
        <v>51</v>
      </c>
      <c r="E672" s="3" t="s">
        <v>38</v>
      </c>
      <c r="F672" s="3">
        <v>32212.43</v>
      </c>
      <c r="G672" s="3">
        <v>841420</v>
      </c>
      <c r="H672" s="3">
        <v>31723</v>
      </c>
      <c r="I672" s="3">
        <v>47361.11</v>
      </c>
      <c r="J672" s="3">
        <v>19</v>
      </c>
      <c r="K672" s="15">
        <f t="shared" si="110"/>
        <v>3.770174229279076E-2</v>
      </c>
      <c r="L672" s="16">
        <f t="shared" si="120"/>
        <v>1.0154282381868045</v>
      </c>
      <c r="M672" s="16">
        <f t="shared" si="111"/>
        <v>38.283413752941456</v>
      </c>
      <c r="N672" s="16">
        <f t="shared" si="112"/>
        <v>1.4702743630331521</v>
      </c>
      <c r="O672" s="16">
        <f t="shared" si="113"/>
        <v>0.47027436303315212</v>
      </c>
      <c r="P672" s="1">
        <v>2024</v>
      </c>
      <c r="Q672" s="1" t="s">
        <v>32</v>
      </c>
      <c r="R672" s="1" t="s">
        <v>33</v>
      </c>
      <c r="S672" s="70">
        <f>DATE(Table2[[#This Row],[Year]],MONTH(DATEVALUE("1-"&amp;Table2[[#This Row],[Month]]&amp;"-2000")),1)</f>
        <v>45505</v>
      </c>
      <c r="T672" s="16">
        <f t="shared" si="114"/>
        <v>1.49295810610598</v>
      </c>
      <c r="U672" s="16">
        <f t="shared" si="115"/>
        <v>5.6287121770340613E-2</v>
      </c>
      <c r="V672" s="16">
        <f t="shared" si="116"/>
        <v>1695.391052631579</v>
      </c>
      <c r="W672" s="16">
        <f t="shared" si="117"/>
        <v>2492.69</v>
      </c>
      <c r="X672" s="16">
        <f t="shared" si="118"/>
        <v>1669.6315789473683</v>
      </c>
      <c r="Y672" s="16">
        <f t="shared" si="119"/>
        <v>44285.26315789474</v>
      </c>
      <c r="Z672" s="7" t="str" cm="1">
        <f t="array" ref="Z672">_xlfn.IFS(K672&lt;2%,"Low",K672&lt;5%,"Medium",K672&lt;10%,"Good",K672&gt;10%,"Excellent")</f>
        <v>Medium</v>
      </c>
      <c r="AA672" s="16" t="str">
        <f>Data_Validation!N670</f>
        <v>Pass</v>
      </c>
    </row>
    <row r="673" spans="1:27" x14ac:dyDescent="0.35">
      <c r="A673" s="17" t="s">
        <v>112</v>
      </c>
      <c r="B673" s="3" t="s">
        <v>28</v>
      </c>
      <c r="C673" s="3" t="s">
        <v>58</v>
      </c>
      <c r="D673" s="3" t="s">
        <v>51</v>
      </c>
      <c r="E673" s="3" t="s">
        <v>30</v>
      </c>
      <c r="F673" s="3">
        <v>11797.48</v>
      </c>
      <c r="G673" s="3">
        <v>926622</v>
      </c>
      <c r="H673" s="3">
        <v>30395</v>
      </c>
      <c r="I673" s="3">
        <v>168941.89</v>
      </c>
      <c r="J673" s="3">
        <v>31</v>
      </c>
      <c r="K673" s="15">
        <f t="shared" si="110"/>
        <v>3.2801940812974439E-2</v>
      </c>
      <c r="L673" s="16">
        <f t="shared" si="120"/>
        <v>0.38813883862477377</v>
      </c>
      <c r="M673" s="16">
        <f t="shared" si="111"/>
        <v>12.731707211786468</v>
      </c>
      <c r="N673" s="16">
        <f t="shared" si="112"/>
        <v>14.320167527302443</v>
      </c>
      <c r="O673" s="16">
        <f t="shared" si="113"/>
        <v>13.320167527302441</v>
      </c>
      <c r="P673" s="1">
        <v>2024</v>
      </c>
      <c r="Q673" s="1" t="s">
        <v>32</v>
      </c>
      <c r="R673" s="1" t="s">
        <v>33</v>
      </c>
      <c r="S673" s="70">
        <f>DATE(Table2[[#This Row],[Year]],MONTH(DATEVALUE("1-"&amp;Table2[[#This Row],[Month]]&amp;"-2000")),1)</f>
        <v>45505</v>
      </c>
      <c r="T673" s="16">
        <f t="shared" si="114"/>
        <v>5.5582131929593688</v>
      </c>
      <c r="U673" s="16">
        <f t="shared" si="115"/>
        <v>0.18232018018134688</v>
      </c>
      <c r="V673" s="16">
        <f t="shared" si="116"/>
        <v>380.56387096774193</v>
      </c>
      <c r="W673" s="16">
        <f t="shared" si="117"/>
        <v>5449.7383870967742</v>
      </c>
      <c r="X673" s="16">
        <f t="shared" si="118"/>
        <v>980.48387096774195</v>
      </c>
      <c r="Y673" s="16">
        <f t="shared" si="119"/>
        <v>29891.032258064515</v>
      </c>
      <c r="Z673" s="7" t="str" cm="1">
        <f t="array" ref="Z673">_xlfn.IFS(K673&lt;2%,"Low",K673&lt;5%,"Medium",K673&lt;10%,"Good",K673&gt;10%,"Excellent")</f>
        <v>Medium</v>
      </c>
      <c r="AA673" s="16" t="str">
        <f>Data_Validation!N671</f>
        <v>Pass</v>
      </c>
    </row>
    <row r="674" spans="1:27" x14ac:dyDescent="0.35">
      <c r="A674" s="17" t="s">
        <v>116</v>
      </c>
      <c r="B674" s="3" t="s">
        <v>28</v>
      </c>
      <c r="C674" s="3" t="s">
        <v>36</v>
      </c>
      <c r="D674" s="3" t="s">
        <v>43</v>
      </c>
      <c r="E674" s="3" t="s">
        <v>38</v>
      </c>
      <c r="F674" s="3">
        <v>3341.28</v>
      </c>
      <c r="G674" s="3">
        <v>555617</v>
      </c>
      <c r="H674" s="3">
        <v>29056</v>
      </c>
      <c r="I674" s="3">
        <v>33478.81</v>
      </c>
      <c r="J674" s="3">
        <v>40</v>
      </c>
      <c r="K674" s="15">
        <f t="shared" si="110"/>
        <v>5.2295016171211461E-2</v>
      </c>
      <c r="L674" s="16">
        <f t="shared" si="120"/>
        <v>0.11499449339207049</v>
      </c>
      <c r="M674" s="16">
        <f t="shared" si="111"/>
        <v>6.0136388915385961</v>
      </c>
      <c r="N674" s="16">
        <f t="shared" si="112"/>
        <v>10.019755901929798</v>
      </c>
      <c r="O674" s="16">
        <f t="shared" si="113"/>
        <v>9.0197559019297984</v>
      </c>
      <c r="P674" s="1">
        <v>2024</v>
      </c>
      <c r="Q674" s="1" t="s">
        <v>32</v>
      </c>
      <c r="R674" s="1" t="s">
        <v>33</v>
      </c>
      <c r="S674" s="70">
        <f>DATE(Table2[[#This Row],[Year]],MONTH(DATEVALUE("1-"&amp;Table2[[#This Row],[Month]]&amp;"-2000")),1)</f>
        <v>45505</v>
      </c>
      <c r="T674" s="16">
        <f t="shared" si="114"/>
        <v>1.1522167538546255</v>
      </c>
      <c r="U674" s="16">
        <f t="shared" si="115"/>
        <v>6.0255193775568421E-2</v>
      </c>
      <c r="V674" s="16">
        <f t="shared" si="116"/>
        <v>83.532000000000011</v>
      </c>
      <c r="W674" s="16">
        <f t="shared" si="117"/>
        <v>836.97024999999996</v>
      </c>
      <c r="X674" s="16">
        <f t="shared" si="118"/>
        <v>726.4</v>
      </c>
      <c r="Y674" s="16">
        <f t="shared" si="119"/>
        <v>13890.424999999999</v>
      </c>
      <c r="Z674" s="7" t="str" cm="1">
        <f t="array" ref="Z674">_xlfn.IFS(K674&lt;2%,"Low",K674&lt;5%,"Medium",K674&lt;10%,"Good",K674&gt;10%,"Excellent")</f>
        <v>Good</v>
      </c>
      <c r="AA674" s="16" t="str">
        <f>Data_Validation!N672</f>
        <v>Pass</v>
      </c>
    </row>
    <row r="675" spans="1:27" x14ac:dyDescent="0.35">
      <c r="A675" s="17" t="s">
        <v>106</v>
      </c>
      <c r="B675" s="3" t="s">
        <v>19</v>
      </c>
      <c r="C675" s="3" t="s">
        <v>36</v>
      </c>
      <c r="D675" s="3" t="s">
        <v>21</v>
      </c>
      <c r="E675" s="3" t="s">
        <v>22</v>
      </c>
      <c r="F675" s="3">
        <v>25566.05</v>
      </c>
      <c r="G675" s="3">
        <v>125674</v>
      </c>
      <c r="H675" s="3">
        <v>40293</v>
      </c>
      <c r="I675" s="3">
        <v>154634.09</v>
      </c>
      <c r="J675" s="3">
        <v>16</v>
      </c>
      <c r="K675" s="15">
        <f t="shared" si="110"/>
        <v>0.32061524261183699</v>
      </c>
      <c r="L675" s="16">
        <f t="shared" si="120"/>
        <v>0.63450351177623898</v>
      </c>
      <c r="M675" s="16">
        <f t="shared" si="111"/>
        <v>203.43149736620146</v>
      </c>
      <c r="N675" s="16">
        <f t="shared" si="112"/>
        <v>6.048415378988933</v>
      </c>
      <c r="O675" s="16">
        <f t="shared" si="113"/>
        <v>5.0484153789889321</v>
      </c>
      <c r="P675" s="1">
        <v>2024</v>
      </c>
      <c r="Q675" s="1" t="s">
        <v>32</v>
      </c>
      <c r="R675" s="1" t="s">
        <v>33</v>
      </c>
      <c r="S675" s="70">
        <f>DATE(Table2[[#This Row],[Year]],MONTH(DATEVALUE("1-"&amp;Table2[[#This Row],[Month]]&amp;"-2000")),1)</f>
        <v>45505</v>
      </c>
      <c r="T675" s="16">
        <f t="shared" si="114"/>
        <v>3.8377407986498895</v>
      </c>
      <c r="U675" s="16">
        <f t="shared" si="115"/>
        <v>1.2304381972404792</v>
      </c>
      <c r="V675" s="16">
        <f t="shared" si="116"/>
        <v>1597.878125</v>
      </c>
      <c r="W675" s="16">
        <f t="shared" si="117"/>
        <v>9664.6306249999998</v>
      </c>
      <c r="X675" s="16">
        <f t="shared" si="118"/>
        <v>2518.3125</v>
      </c>
      <c r="Y675" s="16">
        <f t="shared" si="119"/>
        <v>7854.625</v>
      </c>
      <c r="Z675" s="7" t="str" cm="1">
        <f t="array" ref="Z675">_xlfn.IFS(K675&lt;2%,"Low",K675&lt;5%,"Medium",K675&lt;10%,"Good",K675&gt;10%,"Excellent")</f>
        <v>Excellent</v>
      </c>
      <c r="AA675" s="16" t="str">
        <f>Data_Validation!N673</f>
        <v>Pass</v>
      </c>
    </row>
    <row r="676" spans="1:27" x14ac:dyDescent="0.35">
      <c r="A676" s="17" t="s">
        <v>57</v>
      </c>
      <c r="B676" s="3" t="s">
        <v>19</v>
      </c>
      <c r="C676" s="3" t="s">
        <v>29</v>
      </c>
      <c r="D676" s="3" t="s">
        <v>43</v>
      </c>
      <c r="E676" s="3" t="s">
        <v>22</v>
      </c>
      <c r="F676" s="3">
        <v>11844.63</v>
      </c>
      <c r="G676" s="3">
        <v>783199</v>
      </c>
      <c r="H676" s="3">
        <v>41015</v>
      </c>
      <c r="I676" s="3">
        <v>11688.03</v>
      </c>
      <c r="J676" s="3">
        <v>9</v>
      </c>
      <c r="K676" s="15">
        <f t="shared" si="110"/>
        <v>5.2368555118175585E-2</v>
      </c>
      <c r="L676" s="16">
        <f t="shared" si="120"/>
        <v>0.28878776057539923</v>
      </c>
      <c r="M676" s="16">
        <f t="shared" si="111"/>
        <v>15.123397757147288</v>
      </c>
      <c r="N676" s="16">
        <f t="shared" si="112"/>
        <v>0.98677881875584139</v>
      </c>
      <c r="O676" s="16">
        <f t="shared" si="113"/>
        <v>-1.3221181244158624E-2</v>
      </c>
      <c r="P676" s="1">
        <v>2024</v>
      </c>
      <c r="Q676" s="1" t="s">
        <v>32</v>
      </c>
      <c r="R676" s="1" t="s">
        <v>33</v>
      </c>
      <c r="S676" s="70">
        <f>DATE(Table2[[#This Row],[Year]],MONTH(DATEVALUE("1-"&amp;Table2[[#This Row],[Month]]&amp;"-2000")),1)</f>
        <v>45505</v>
      </c>
      <c r="T676" s="16">
        <f t="shared" si="114"/>
        <v>0.28496964525173718</v>
      </c>
      <c r="U676" s="16">
        <f t="shared" si="115"/>
        <v>1.4923448574372541E-2</v>
      </c>
      <c r="V676" s="16">
        <f t="shared" si="116"/>
        <v>1316.07</v>
      </c>
      <c r="W676" s="16">
        <f t="shared" si="117"/>
        <v>1298.67</v>
      </c>
      <c r="X676" s="16">
        <f t="shared" si="118"/>
        <v>4557.2222222222226</v>
      </c>
      <c r="Y676" s="16">
        <f t="shared" si="119"/>
        <v>87022.111111111109</v>
      </c>
      <c r="Z676" s="7" t="str" cm="1">
        <f t="array" ref="Z676">_xlfn.IFS(K676&lt;2%,"Low",K676&lt;5%,"Medium",K676&lt;10%,"Good",K676&gt;10%,"Excellent")</f>
        <v>Good</v>
      </c>
      <c r="AA676" s="16" t="str">
        <f>Data_Validation!N674</f>
        <v>Pass</v>
      </c>
    </row>
    <row r="677" spans="1:27" x14ac:dyDescent="0.35">
      <c r="A677" s="17" t="s">
        <v>47</v>
      </c>
      <c r="B677" s="3" t="s">
        <v>19</v>
      </c>
      <c r="C677" s="3" t="s">
        <v>20</v>
      </c>
      <c r="D677" s="3" t="s">
        <v>59</v>
      </c>
      <c r="E677" s="3" t="s">
        <v>22</v>
      </c>
      <c r="F677" s="3">
        <v>29627.38</v>
      </c>
      <c r="G677" s="3">
        <v>524514</v>
      </c>
      <c r="H677" s="3">
        <v>31435</v>
      </c>
      <c r="I677" s="3">
        <v>111834.13</v>
      </c>
      <c r="J677" s="3">
        <v>6</v>
      </c>
      <c r="K677" s="15">
        <f t="shared" si="110"/>
        <v>5.9931670079349644E-2</v>
      </c>
      <c r="L677" s="16">
        <f t="shared" si="120"/>
        <v>0.94249658024494998</v>
      </c>
      <c r="M677" s="16">
        <f t="shared" si="111"/>
        <v>56.485394098155631</v>
      </c>
      <c r="N677" s="16">
        <f t="shared" si="112"/>
        <v>3.7746884807228991</v>
      </c>
      <c r="O677" s="16">
        <f t="shared" si="113"/>
        <v>2.7746884807228986</v>
      </c>
      <c r="P677" s="1">
        <v>2024</v>
      </c>
      <c r="Q677" s="1" t="s">
        <v>32</v>
      </c>
      <c r="R677" s="1" t="s">
        <v>33</v>
      </c>
      <c r="S677" s="70">
        <f>DATE(Table2[[#This Row],[Year]],MONTH(DATEVALUE("1-"&amp;Table2[[#This Row],[Month]]&amp;"-2000")),1)</f>
        <v>45505</v>
      </c>
      <c r="T677" s="16">
        <f t="shared" si="114"/>
        <v>3.5576309845713379</v>
      </c>
      <c r="U677" s="16">
        <f t="shared" si="115"/>
        <v>0.21321476643140128</v>
      </c>
      <c r="V677" s="16">
        <f t="shared" si="116"/>
        <v>4937.8966666666665</v>
      </c>
      <c r="W677" s="16">
        <f t="shared" si="117"/>
        <v>18639.021666666667</v>
      </c>
      <c r="X677" s="16">
        <f t="shared" si="118"/>
        <v>5239.166666666667</v>
      </c>
      <c r="Y677" s="16">
        <f t="shared" si="119"/>
        <v>87419</v>
      </c>
      <c r="Z677" s="7" t="str" cm="1">
        <f t="array" ref="Z677">_xlfn.IFS(K677&lt;2%,"Low",K677&lt;5%,"Medium",K677&lt;10%,"Good",K677&gt;10%,"Excellent")</f>
        <v>Good</v>
      </c>
      <c r="AA677" s="16" t="str">
        <f>Data_Validation!N675</f>
        <v>Pass</v>
      </c>
    </row>
    <row r="678" spans="1:27" x14ac:dyDescent="0.35">
      <c r="A678" s="17" t="s">
        <v>82</v>
      </c>
      <c r="B678" s="3" t="s">
        <v>28</v>
      </c>
      <c r="C678" s="3" t="s">
        <v>29</v>
      </c>
      <c r="D678" s="3" t="s">
        <v>59</v>
      </c>
      <c r="E678" s="3" t="s">
        <v>22</v>
      </c>
      <c r="F678" s="3">
        <v>31243.279999999999</v>
      </c>
      <c r="G678" s="3">
        <v>856514</v>
      </c>
      <c r="H678" s="3">
        <v>48417</v>
      </c>
      <c r="I678" s="3">
        <v>218477.46</v>
      </c>
      <c r="J678" s="3">
        <v>55</v>
      </c>
      <c r="K678" s="15">
        <f t="shared" si="110"/>
        <v>5.652797268929638E-2</v>
      </c>
      <c r="L678" s="16">
        <f t="shared" si="120"/>
        <v>0.64529566061507315</v>
      </c>
      <c r="M678" s="16">
        <f t="shared" si="111"/>
        <v>36.477255479770321</v>
      </c>
      <c r="N678" s="16">
        <f t="shared" si="112"/>
        <v>6.9927824479376044</v>
      </c>
      <c r="O678" s="16">
        <f t="shared" si="113"/>
        <v>5.9927824479376044</v>
      </c>
      <c r="P678" s="1">
        <v>2024</v>
      </c>
      <c r="Q678" s="1" t="s">
        <v>32</v>
      </c>
      <c r="R678" s="1" t="s">
        <v>33</v>
      </c>
      <c r="S678" s="70">
        <f>DATE(Table2[[#This Row],[Year]],MONTH(DATEVALUE("1-"&amp;Table2[[#This Row],[Month]]&amp;"-2000")),1)</f>
        <v>45505</v>
      </c>
      <c r="T678" s="16">
        <f t="shared" si="114"/>
        <v>4.5124121692793855</v>
      </c>
      <c r="U678" s="16">
        <f t="shared" si="115"/>
        <v>0.2550775118678737</v>
      </c>
      <c r="V678" s="16">
        <f t="shared" si="116"/>
        <v>568.05963636363629</v>
      </c>
      <c r="W678" s="16">
        <f t="shared" si="117"/>
        <v>3972.3174545454544</v>
      </c>
      <c r="X678" s="16">
        <f t="shared" si="118"/>
        <v>880.30909090909086</v>
      </c>
      <c r="Y678" s="16">
        <f t="shared" si="119"/>
        <v>15572.981818181817</v>
      </c>
      <c r="Z678" s="7" t="str" cm="1">
        <f t="array" ref="Z678">_xlfn.IFS(K678&lt;2%,"Low",K678&lt;5%,"Medium",K678&lt;10%,"Good",K678&gt;10%,"Excellent")</f>
        <v>Good</v>
      </c>
      <c r="AA678" s="16" t="str">
        <f>Data_Validation!N676</f>
        <v>Pass</v>
      </c>
    </row>
    <row r="679" spans="1:27" x14ac:dyDescent="0.35">
      <c r="A679" s="17" t="s">
        <v>120</v>
      </c>
      <c r="B679" s="3" t="s">
        <v>48</v>
      </c>
      <c r="C679" s="3" t="s">
        <v>36</v>
      </c>
      <c r="D679" s="3" t="s">
        <v>21</v>
      </c>
      <c r="E679" s="3" t="s">
        <v>38</v>
      </c>
      <c r="F679" s="3">
        <v>29739.74</v>
      </c>
      <c r="G679" s="3">
        <v>953584</v>
      </c>
      <c r="H679" s="3">
        <v>11890</v>
      </c>
      <c r="I679" s="3">
        <v>219719.4</v>
      </c>
      <c r="J679" s="3">
        <v>37</v>
      </c>
      <c r="K679" s="15">
        <f t="shared" si="110"/>
        <v>1.2468749475662344E-2</v>
      </c>
      <c r="L679" s="16">
        <f t="shared" si="120"/>
        <v>2.5012396972245585</v>
      </c>
      <c r="M679" s="16">
        <f t="shared" si="111"/>
        <v>31.187331163274553</v>
      </c>
      <c r="N679" s="16">
        <f t="shared" si="112"/>
        <v>7.3880740046819504</v>
      </c>
      <c r="O679" s="16">
        <f t="shared" si="113"/>
        <v>6.3880740046819504</v>
      </c>
      <c r="P679" s="1">
        <v>2024</v>
      </c>
      <c r="Q679" s="1" t="s">
        <v>32</v>
      </c>
      <c r="R679" s="1" t="s">
        <v>33</v>
      </c>
      <c r="S679" s="70">
        <f>DATE(Table2[[#This Row],[Year]],MONTH(DATEVALUE("1-"&amp;Table2[[#This Row],[Month]]&amp;"-2000")),1)</f>
        <v>45505</v>
      </c>
      <c r="T679" s="16">
        <f t="shared" si="114"/>
        <v>18.479343986543313</v>
      </c>
      <c r="U679" s="16">
        <f t="shared" si="115"/>
        <v>0.23041431064279602</v>
      </c>
      <c r="V679" s="16">
        <f t="shared" si="116"/>
        <v>803.77675675675675</v>
      </c>
      <c r="W679" s="16">
        <f t="shared" si="117"/>
        <v>5938.3621621621623</v>
      </c>
      <c r="X679" s="16">
        <f t="shared" si="118"/>
        <v>321.35135135135135</v>
      </c>
      <c r="Y679" s="16">
        <f t="shared" si="119"/>
        <v>25772.54054054054</v>
      </c>
      <c r="Z679" s="7" t="str" cm="1">
        <f t="array" ref="Z679">_xlfn.IFS(K679&lt;2%,"Low",K679&lt;5%,"Medium",K679&lt;10%,"Good",K679&gt;10%,"Excellent")</f>
        <v>Low</v>
      </c>
      <c r="AA679" s="16" t="str">
        <f>Data_Validation!N677</f>
        <v>Pass</v>
      </c>
    </row>
    <row r="680" spans="1:27" x14ac:dyDescent="0.35">
      <c r="A680" s="17" t="s">
        <v>89</v>
      </c>
      <c r="B680" s="3" t="s">
        <v>28</v>
      </c>
      <c r="C680" s="3" t="s">
        <v>58</v>
      </c>
      <c r="D680" s="3" t="s">
        <v>21</v>
      </c>
      <c r="E680" s="3" t="s">
        <v>22</v>
      </c>
      <c r="F680" s="3">
        <v>8168.38</v>
      </c>
      <c r="G680" s="3">
        <v>298840</v>
      </c>
      <c r="H680" s="3">
        <v>14941</v>
      </c>
      <c r="I680" s="3">
        <v>221237.07</v>
      </c>
      <c r="J680" s="3">
        <v>23</v>
      </c>
      <c r="K680" s="15">
        <f t="shared" si="110"/>
        <v>4.9996653727747288E-2</v>
      </c>
      <c r="L680" s="16">
        <f t="shared" si="120"/>
        <v>0.54670905561876715</v>
      </c>
      <c r="M680" s="16">
        <f t="shared" si="111"/>
        <v>27.333623343595235</v>
      </c>
      <c r="N680" s="16">
        <f t="shared" si="112"/>
        <v>27.084571236891527</v>
      </c>
      <c r="O680" s="16">
        <f t="shared" si="113"/>
        <v>26.084571236891527</v>
      </c>
      <c r="P680" s="1">
        <v>2024</v>
      </c>
      <c r="Q680" s="1" t="s">
        <v>32</v>
      </c>
      <c r="R680" s="1" t="s">
        <v>33</v>
      </c>
      <c r="S680" s="70">
        <f>DATE(Table2[[#This Row],[Year]],MONTH(DATEVALUE("1-"&amp;Table2[[#This Row],[Month]]&amp;"-2000")),1)</f>
        <v>45505</v>
      </c>
      <c r="T680" s="16">
        <f t="shared" si="114"/>
        <v>14.80738036276019</v>
      </c>
      <c r="U680" s="16">
        <f t="shared" si="115"/>
        <v>0.74031946861196629</v>
      </c>
      <c r="V680" s="16">
        <f t="shared" si="116"/>
        <v>355.14695652173913</v>
      </c>
      <c r="W680" s="16">
        <f t="shared" si="117"/>
        <v>9619.003043478262</v>
      </c>
      <c r="X680" s="16">
        <f t="shared" si="118"/>
        <v>649.60869565217388</v>
      </c>
      <c r="Y680" s="16">
        <f t="shared" si="119"/>
        <v>12993.04347826087</v>
      </c>
      <c r="Z680" s="7" t="str" cm="1">
        <f t="array" ref="Z680">_xlfn.IFS(K680&lt;2%,"Low",K680&lt;5%,"Medium",K680&lt;10%,"Good",K680&gt;10%,"Excellent")</f>
        <v>Medium</v>
      </c>
      <c r="AA680" s="16" t="str">
        <f>Data_Validation!N678</f>
        <v>Pass</v>
      </c>
    </row>
    <row r="681" spans="1:27" x14ac:dyDescent="0.35">
      <c r="A681" s="17" t="s">
        <v>47</v>
      </c>
      <c r="B681" s="3" t="s">
        <v>28</v>
      </c>
      <c r="C681" s="3" t="s">
        <v>69</v>
      </c>
      <c r="D681" s="3" t="s">
        <v>21</v>
      </c>
      <c r="E681" s="3" t="s">
        <v>38</v>
      </c>
      <c r="F681" s="3">
        <v>1974.19</v>
      </c>
      <c r="G681" s="3">
        <v>758226</v>
      </c>
      <c r="H681" s="3">
        <v>42644</v>
      </c>
      <c r="I681" s="3">
        <v>191974.86</v>
      </c>
      <c r="J681" s="3">
        <v>11</v>
      </c>
      <c r="K681" s="15">
        <f t="shared" si="110"/>
        <v>5.6241806532616921E-2</v>
      </c>
      <c r="L681" s="16">
        <f t="shared" si="120"/>
        <v>4.6294672169590094E-2</v>
      </c>
      <c r="M681" s="16">
        <f t="shared" si="111"/>
        <v>2.6036959956530112</v>
      </c>
      <c r="N681" s="16">
        <f t="shared" si="112"/>
        <v>97.242342429046843</v>
      </c>
      <c r="O681" s="16">
        <f t="shared" si="113"/>
        <v>96.242342429046843</v>
      </c>
      <c r="P681" s="1">
        <v>2024</v>
      </c>
      <c r="Q681" s="1" t="s">
        <v>32</v>
      </c>
      <c r="R681" s="1" t="s">
        <v>33</v>
      </c>
      <c r="S681" s="70">
        <f>DATE(Table2[[#This Row],[Year]],MONTH(DATEVALUE("1-"&amp;Table2[[#This Row],[Month]]&amp;"-2000")),1)</f>
        <v>45505</v>
      </c>
      <c r="T681" s="16">
        <f t="shared" si="114"/>
        <v>4.5018023637557452</v>
      </c>
      <c r="U681" s="16">
        <f t="shared" si="115"/>
        <v>0.25318949759042819</v>
      </c>
      <c r="V681" s="16">
        <f t="shared" si="116"/>
        <v>179.47181818181818</v>
      </c>
      <c r="W681" s="16">
        <f t="shared" si="117"/>
        <v>17452.259999999998</v>
      </c>
      <c r="X681" s="16">
        <f t="shared" si="118"/>
        <v>3876.7272727272725</v>
      </c>
      <c r="Y681" s="16">
        <f t="shared" si="119"/>
        <v>68929.636363636368</v>
      </c>
      <c r="Z681" s="7" t="str" cm="1">
        <f t="array" ref="Z681">_xlfn.IFS(K681&lt;2%,"Low",K681&lt;5%,"Medium",K681&lt;10%,"Good",K681&gt;10%,"Excellent")</f>
        <v>Good</v>
      </c>
      <c r="AA681" s="16" t="str">
        <f>Data_Validation!N679</f>
        <v>Pass</v>
      </c>
    </row>
    <row r="682" spans="1:27" x14ac:dyDescent="0.35">
      <c r="A682" s="17" t="s">
        <v>99</v>
      </c>
      <c r="B682" s="3" t="s">
        <v>28</v>
      </c>
      <c r="C682" s="3" t="s">
        <v>20</v>
      </c>
      <c r="D682" s="3" t="s">
        <v>51</v>
      </c>
      <c r="E682" s="3" t="s">
        <v>30</v>
      </c>
      <c r="F682" s="3">
        <v>13205.92</v>
      </c>
      <c r="G682" s="3">
        <v>788261</v>
      </c>
      <c r="H682" s="3">
        <v>30724</v>
      </c>
      <c r="I682" s="3">
        <v>70644.31</v>
      </c>
      <c r="J682" s="3">
        <v>37</v>
      </c>
      <c r="K682" s="15">
        <f t="shared" si="110"/>
        <v>3.8976937841653972E-2</v>
      </c>
      <c r="L682" s="16">
        <f t="shared" si="120"/>
        <v>0.42982424163520377</v>
      </c>
      <c r="M682" s="16">
        <f t="shared" si="111"/>
        <v>16.753232749051392</v>
      </c>
      <c r="N682" s="16">
        <f t="shared" si="112"/>
        <v>5.3494425227473741</v>
      </c>
      <c r="O682" s="16">
        <f t="shared" si="113"/>
        <v>4.3494425227473741</v>
      </c>
      <c r="P682" s="1">
        <v>2024</v>
      </c>
      <c r="Q682" s="1" t="s">
        <v>32</v>
      </c>
      <c r="R682" s="1" t="s">
        <v>33</v>
      </c>
      <c r="S682" s="70">
        <f>DATE(Table2[[#This Row],[Year]],MONTH(DATEVALUE("1-"&amp;Table2[[#This Row],[Month]]&amp;"-2000")),1)</f>
        <v>45505</v>
      </c>
      <c r="T682" s="16">
        <f t="shared" si="114"/>
        <v>2.2993200755110013</v>
      </c>
      <c r="U682" s="16">
        <f t="shared" si="115"/>
        <v>8.9620455661259396E-2</v>
      </c>
      <c r="V682" s="16">
        <f t="shared" si="116"/>
        <v>356.91675675675674</v>
      </c>
      <c r="W682" s="16">
        <f t="shared" si="117"/>
        <v>1909.3056756756755</v>
      </c>
      <c r="X682" s="16">
        <f t="shared" si="118"/>
        <v>830.37837837837833</v>
      </c>
      <c r="Y682" s="16">
        <f t="shared" si="119"/>
        <v>21304.35135135135</v>
      </c>
      <c r="Z682" s="7" t="str" cm="1">
        <f t="array" ref="Z682">_xlfn.IFS(K682&lt;2%,"Low",K682&lt;5%,"Medium",K682&lt;10%,"Good",K682&gt;10%,"Excellent")</f>
        <v>Medium</v>
      </c>
      <c r="AA682" s="16" t="str">
        <f>Data_Validation!N680</f>
        <v>Pass</v>
      </c>
    </row>
    <row r="683" spans="1:27" x14ac:dyDescent="0.35">
      <c r="A683" s="17" t="s">
        <v>111</v>
      </c>
      <c r="B683" s="3" t="s">
        <v>28</v>
      </c>
      <c r="C683" s="3" t="s">
        <v>58</v>
      </c>
      <c r="D683" s="3" t="s">
        <v>59</v>
      </c>
      <c r="E683" s="3" t="s">
        <v>38</v>
      </c>
      <c r="F683" s="3">
        <v>12090.11</v>
      </c>
      <c r="G683" s="3">
        <v>914318</v>
      </c>
      <c r="H683" s="3">
        <v>31634</v>
      </c>
      <c r="I683" s="3">
        <v>24603.91</v>
      </c>
      <c r="J683" s="3">
        <v>34</v>
      </c>
      <c r="K683" s="15">
        <f t="shared" si="110"/>
        <v>3.4598465741678498E-2</v>
      </c>
      <c r="L683" s="16">
        <f t="shared" si="120"/>
        <v>0.38218720364165143</v>
      </c>
      <c r="M683" s="16">
        <f t="shared" si="111"/>
        <v>13.22309087210358</v>
      </c>
      <c r="N683" s="16">
        <f t="shared" si="112"/>
        <v>2.0350443461639305</v>
      </c>
      <c r="O683" s="16">
        <f t="shared" si="113"/>
        <v>1.0350443461639305</v>
      </c>
      <c r="P683" s="1">
        <v>2024</v>
      </c>
      <c r="Q683" s="1" t="s">
        <v>32</v>
      </c>
      <c r="R683" s="1" t="s">
        <v>33</v>
      </c>
      <c r="S683" s="70">
        <f>DATE(Table2[[#This Row],[Year]],MONTH(DATEVALUE("1-"&amp;Table2[[#This Row],[Month]]&amp;"-2000")),1)</f>
        <v>45505</v>
      </c>
      <c r="T683" s="16">
        <f t="shared" si="114"/>
        <v>0.77776790794714545</v>
      </c>
      <c r="U683" s="16">
        <f t="shared" si="115"/>
        <v>2.6909576318086267E-2</v>
      </c>
      <c r="V683" s="16">
        <f t="shared" si="116"/>
        <v>355.59147058823532</v>
      </c>
      <c r="W683" s="16">
        <f t="shared" si="117"/>
        <v>723.64441176470586</v>
      </c>
      <c r="X683" s="16">
        <f t="shared" si="118"/>
        <v>930.41176470588232</v>
      </c>
      <c r="Y683" s="16">
        <f t="shared" si="119"/>
        <v>26891.705882352941</v>
      </c>
      <c r="Z683" s="7" t="str" cm="1">
        <f t="array" ref="Z683">_xlfn.IFS(K683&lt;2%,"Low",K683&lt;5%,"Medium",K683&lt;10%,"Good",K683&gt;10%,"Excellent")</f>
        <v>Medium</v>
      </c>
      <c r="AA683" s="16" t="str">
        <f>Data_Validation!N681</f>
        <v>Pass</v>
      </c>
    </row>
    <row r="684" spans="1:27" x14ac:dyDescent="0.35">
      <c r="A684" s="17" t="s">
        <v>103</v>
      </c>
      <c r="B684" s="3" t="s">
        <v>28</v>
      </c>
      <c r="C684" s="3" t="s">
        <v>69</v>
      </c>
      <c r="D684" s="3" t="s">
        <v>59</v>
      </c>
      <c r="E684" s="3" t="s">
        <v>38</v>
      </c>
      <c r="F684" s="3">
        <v>11614.24</v>
      </c>
      <c r="G684" s="3">
        <v>907689</v>
      </c>
      <c r="H684" s="3">
        <v>37832</v>
      </c>
      <c r="I684" s="3">
        <v>247048.92</v>
      </c>
      <c r="J684" s="3">
        <v>7</v>
      </c>
      <c r="K684" s="15">
        <f t="shared" si="110"/>
        <v>4.1679473916726988E-2</v>
      </c>
      <c r="L684" s="16">
        <f t="shared" si="120"/>
        <v>0.306995136392472</v>
      </c>
      <c r="M684" s="16">
        <f t="shared" si="111"/>
        <v>12.795395779832079</v>
      </c>
      <c r="N684" s="16">
        <f t="shared" si="112"/>
        <v>21.271208447560927</v>
      </c>
      <c r="O684" s="16">
        <f t="shared" si="113"/>
        <v>20.271208447560927</v>
      </c>
      <c r="P684" s="1">
        <v>2024</v>
      </c>
      <c r="Q684" s="1" t="s">
        <v>32</v>
      </c>
      <c r="R684" s="1" t="s">
        <v>33</v>
      </c>
      <c r="S684" s="70">
        <f>DATE(Table2[[#This Row],[Year]],MONTH(DATEVALUE("1-"&amp;Table2[[#This Row],[Month]]&amp;"-2000")),1)</f>
        <v>45505</v>
      </c>
      <c r="T684" s="16">
        <f t="shared" si="114"/>
        <v>6.530157538591669</v>
      </c>
      <c r="U684" s="16">
        <f t="shared" si="115"/>
        <v>0.27217353080184953</v>
      </c>
      <c r="V684" s="16">
        <f t="shared" si="116"/>
        <v>1659.1771428571428</v>
      </c>
      <c r="W684" s="16">
        <f t="shared" si="117"/>
        <v>35292.70285714286</v>
      </c>
      <c r="X684" s="16">
        <f t="shared" si="118"/>
        <v>5404.5714285714284</v>
      </c>
      <c r="Y684" s="16">
        <f t="shared" si="119"/>
        <v>129669.85714285714</v>
      </c>
      <c r="Z684" s="7" t="str" cm="1">
        <f t="array" ref="Z684">_xlfn.IFS(K684&lt;2%,"Low",K684&lt;5%,"Medium",K684&lt;10%,"Good",K684&gt;10%,"Excellent")</f>
        <v>Medium</v>
      </c>
      <c r="AA684" s="16" t="str">
        <f>Data_Validation!N682</f>
        <v>Pass</v>
      </c>
    </row>
    <row r="685" spans="1:27" x14ac:dyDescent="0.35">
      <c r="A685" s="17" t="s">
        <v>116</v>
      </c>
      <c r="B685" s="3" t="s">
        <v>28</v>
      </c>
      <c r="C685" s="3" t="s">
        <v>58</v>
      </c>
      <c r="D685" s="3" t="s">
        <v>63</v>
      </c>
      <c r="E685" s="3" t="s">
        <v>22</v>
      </c>
      <c r="F685" s="3">
        <v>4842.87</v>
      </c>
      <c r="G685" s="3">
        <v>908602</v>
      </c>
      <c r="H685" s="3">
        <v>34294</v>
      </c>
      <c r="I685" s="3">
        <v>124857.28</v>
      </c>
      <c r="J685" s="3">
        <v>41</v>
      </c>
      <c r="K685" s="15">
        <f t="shared" si="110"/>
        <v>3.7743698561086149E-2</v>
      </c>
      <c r="L685" s="16">
        <f t="shared" si="120"/>
        <v>0.14121624774012947</v>
      </c>
      <c r="M685" s="16">
        <f t="shared" si="111"/>
        <v>5.3300234866311103</v>
      </c>
      <c r="N685" s="16">
        <f t="shared" si="112"/>
        <v>25.781670786124756</v>
      </c>
      <c r="O685" s="16">
        <f t="shared" si="113"/>
        <v>24.781670786124756</v>
      </c>
      <c r="P685" s="1">
        <v>2024</v>
      </c>
      <c r="Q685" s="1" t="s">
        <v>32</v>
      </c>
      <c r="R685" s="1" t="s">
        <v>33</v>
      </c>
      <c r="S685" s="70">
        <f>DATE(Table2[[#This Row],[Year]],MONTH(DATEVALUE("1-"&amp;Table2[[#This Row],[Month]]&amp;"-2000")),1)</f>
        <v>45505</v>
      </c>
      <c r="T685" s="16">
        <f t="shared" si="114"/>
        <v>3.6407908088878522</v>
      </c>
      <c r="U685" s="16">
        <f t="shared" si="115"/>
        <v>0.13741691081463611</v>
      </c>
      <c r="V685" s="16">
        <f t="shared" si="116"/>
        <v>118.11878048780487</v>
      </c>
      <c r="W685" s="16">
        <f t="shared" si="117"/>
        <v>3045.2995121951221</v>
      </c>
      <c r="X685" s="16">
        <f t="shared" si="118"/>
        <v>836.43902439024396</v>
      </c>
      <c r="Y685" s="16">
        <f t="shared" si="119"/>
        <v>22161.024390243903</v>
      </c>
      <c r="Z685" s="7" t="str" cm="1">
        <f t="array" ref="Z685">_xlfn.IFS(K685&lt;2%,"Low",K685&lt;5%,"Medium",K685&lt;10%,"Good",K685&gt;10%,"Excellent")</f>
        <v>Medium</v>
      </c>
      <c r="AA685" s="16" t="str">
        <f>Data_Validation!N683</f>
        <v>Pass</v>
      </c>
    </row>
    <row r="686" spans="1:27" x14ac:dyDescent="0.35">
      <c r="A686" s="17" t="s">
        <v>47</v>
      </c>
      <c r="B686" s="3" t="s">
        <v>48</v>
      </c>
      <c r="C686" s="3" t="s">
        <v>36</v>
      </c>
      <c r="D686" s="3" t="s">
        <v>21</v>
      </c>
      <c r="E686" s="3" t="s">
        <v>38</v>
      </c>
      <c r="F686" s="3">
        <v>2291.3000000000002</v>
      </c>
      <c r="G686" s="3">
        <v>248968</v>
      </c>
      <c r="H686" s="3">
        <v>19065</v>
      </c>
      <c r="I686" s="3">
        <v>246379.27</v>
      </c>
      <c r="J686" s="3">
        <v>18</v>
      </c>
      <c r="K686" s="15">
        <f t="shared" si="110"/>
        <v>7.6576106166254293E-2</v>
      </c>
      <c r="L686" s="16">
        <f t="shared" si="120"/>
        <v>0.12018358248098611</v>
      </c>
      <c r="M686" s="16">
        <f t="shared" si="111"/>
        <v>9.203190771504774</v>
      </c>
      <c r="N686" s="16">
        <f t="shared" si="112"/>
        <v>107.52815868720812</v>
      </c>
      <c r="O686" s="16">
        <f t="shared" si="113"/>
        <v>106.52815868720813</v>
      </c>
      <c r="P686" s="1">
        <v>2024</v>
      </c>
      <c r="Q686" s="1" t="s">
        <v>32</v>
      </c>
      <c r="R686" s="1" t="s">
        <v>33</v>
      </c>
      <c r="S686" s="70">
        <f>DATE(Table2[[#This Row],[Year]],MONTH(DATEVALUE("1-"&amp;Table2[[#This Row],[Month]]&amp;"-2000")),1)</f>
        <v>45505</v>
      </c>
      <c r="T686" s="16">
        <f t="shared" si="114"/>
        <v>12.923119328612641</v>
      </c>
      <c r="U686" s="16">
        <f t="shared" si="115"/>
        <v>0.98960215770701454</v>
      </c>
      <c r="V686" s="16">
        <f t="shared" si="116"/>
        <v>127.29444444444445</v>
      </c>
      <c r="W686" s="16">
        <f t="shared" si="117"/>
        <v>13687.737222222222</v>
      </c>
      <c r="X686" s="16">
        <f t="shared" si="118"/>
        <v>1059.1666666666667</v>
      </c>
      <c r="Y686" s="16">
        <f t="shared" si="119"/>
        <v>13831.555555555555</v>
      </c>
      <c r="Z686" s="7" t="str" cm="1">
        <f t="array" ref="Z686">_xlfn.IFS(K686&lt;2%,"Low",K686&lt;5%,"Medium",K686&lt;10%,"Good",K686&gt;10%,"Excellent")</f>
        <v>Good</v>
      </c>
      <c r="AA686" s="16" t="str">
        <f>Data_Validation!N684</f>
        <v>Pass</v>
      </c>
    </row>
    <row r="687" spans="1:27" x14ac:dyDescent="0.35">
      <c r="A687" s="17" t="s">
        <v>78</v>
      </c>
      <c r="B687" s="3" t="s">
        <v>48</v>
      </c>
      <c r="C687" s="3" t="s">
        <v>69</v>
      </c>
      <c r="D687" s="3" t="s">
        <v>37</v>
      </c>
      <c r="E687" s="3" t="s">
        <v>22</v>
      </c>
      <c r="F687" s="3">
        <v>15119.3</v>
      </c>
      <c r="G687" s="3">
        <v>737186</v>
      </c>
      <c r="H687" s="3">
        <v>49139</v>
      </c>
      <c r="I687" s="3">
        <v>58736.83</v>
      </c>
      <c r="J687" s="3">
        <v>51</v>
      </c>
      <c r="K687" s="15">
        <f t="shared" si="110"/>
        <v>6.6657532834318606E-2</v>
      </c>
      <c r="L687" s="16">
        <f t="shared" si="120"/>
        <v>0.30768432406031865</v>
      </c>
      <c r="M687" s="16">
        <f t="shared" si="111"/>
        <v>20.50947793365582</v>
      </c>
      <c r="N687" s="16">
        <f t="shared" si="112"/>
        <v>3.8848908348931501</v>
      </c>
      <c r="O687" s="16">
        <f t="shared" si="113"/>
        <v>2.8848908348931497</v>
      </c>
      <c r="P687" s="1">
        <v>2024</v>
      </c>
      <c r="Q687" s="1" t="s">
        <v>32</v>
      </c>
      <c r="R687" s="1" t="s">
        <v>33</v>
      </c>
      <c r="S687" s="70">
        <f>DATE(Table2[[#This Row],[Year]],MONTH(DATEVALUE("1-"&amp;Table2[[#This Row],[Month]]&amp;"-2000")),1)</f>
        <v>45505</v>
      </c>
      <c r="T687" s="16">
        <f t="shared" si="114"/>
        <v>1.1953200105822259</v>
      </c>
      <c r="U687" s="16">
        <f t="shared" si="115"/>
        <v>7.96770828529028E-2</v>
      </c>
      <c r="V687" s="16">
        <f t="shared" si="116"/>
        <v>296.45686274509802</v>
      </c>
      <c r="W687" s="16">
        <f t="shared" si="117"/>
        <v>1151.7025490196079</v>
      </c>
      <c r="X687" s="16">
        <f t="shared" si="118"/>
        <v>963.50980392156862</v>
      </c>
      <c r="Y687" s="16">
        <f t="shared" si="119"/>
        <v>14454.627450980392</v>
      </c>
      <c r="Z687" s="7" t="str" cm="1">
        <f t="array" ref="Z687">_xlfn.IFS(K687&lt;2%,"Low",K687&lt;5%,"Medium",K687&lt;10%,"Good",K687&gt;10%,"Excellent")</f>
        <v>Good</v>
      </c>
      <c r="AA687" s="16" t="str">
        <f>Data_Validation!N685</f>
        <v>Pass</v>
      </c>
    </row>
    <row r="688" spans="1:27" x14ac:dyDescent="0.35">
      <c r="A688" s="17" t="s">
        <v>96</v>
      </c>
      <c r="B688" s="3" t="s">
        <v>35</v>
      </c>
      <c r="C688" s="3" t="s">
        <v>29</v>
      </c>
      <c r="D688" s="3" t="s">
        <v>63</v>
      </c>
      <c r="E688" s="3" t="s">
        <v>22</v>
      </c>
      <c r="F688" s="3">
        <v>55451.63</v>
      </c>
      <c r="G688" s="3">
        <v>694963</v>
      </c>
      <c r="H688" s="3">
        <v>2064</v>
      </c>
      <c r="I688" s="3">
        <v>12907.31</v>
      </c>
      <c r="J688" s="3">
        <v>36</v>
      </c>
      <c r="K688" s="15">
        <f t="shared" si="110"/>
        <v>2.9699422846971709E-3</v>
      </c>
      <c r="L688" s="16">
        <f t="shared" si="120"/>
        <v>26.86609980620155</v>
      </c>
      <c r="M688" s="16">
        <f t="shared" si="111"/>
        <v>79.790765839332451</v>
      </c>
      <c r="N688" s="16">
        <f t="shared" si="112"/>
        <v>0.23276700793105631</v>
      </c>
      <c r="O688" s="16">
        <f t="shared" si="113"/>
        <v>-0.76723299206894369</v>
      </c>
      <c r="P688" s="1">
        <v>2024</v>
      </c>
      <c r="Q688" s="1" t="s">
        <v>32</v>
      </c>
      <c r="R688" s="1" t="s">
        <v>33</v>
      </c>
      <c r="S688" s="70">
        <f>DATE(Table2[[#This Row],[Year]],MONTH(DATEVALUE("1-"&amp;Table2[[#This Row],[Month]]&amp;"-2000")),1)</f>
        <v>45505</v>
      </c>
      <c r="T688" s="16">
        <f t="shared" si="114"/>
        <v>6.2535416666666661</v>
      </c>
      <c r="U688" s="16">
        <f t="shared" si="115"/>
        <v>1.8572657824948952E-2</v>
      </c>
      <c r="V688" s="16">
        <f t="shared" si="116"/>
        <v>1540.3230555555556</v>
      </c>
      <c r="W688" s="16">
        <f t="shared" si="117"/>
        <v>358.53638888888889</v>
      </c>
      <c r="X688" s="16">
        <f t="shared" si="118"/>
        <v>57.333333333333336</v>
      </c>
      <c r="Y688" s="16">
        <f t="shared" si="119"/>
        <v>19304.527777777777</v>
      </c>
      <c r="Z688" s="7" t="str" cm="1">
        <f t="array" ref="Z688">_xlfn.IFS(K688&lt;2%,"Low",K688&lt;5%,"Medium",K688&lt;10%,"Good",K688&gt;10%,"Excellent")</f>
        <v>Low</v>
      </c>
      <c r="AA688" s="16" t="str">
        <f>Data_Validation!N686</f>
        <v>Pass</v>
      </c>
    </row>
    <row r="689" spans="1:27" x14ac:dyDescent="0.35">
      <c r="A689" s="17" t="s">
        <v>27</v>
      </c>
      <c r="B689" s="3" t="s">
        <v>28</v>
      </c>
      <c r="C689" s="3" t="s">
        <v>36</v>
      </c>
      <c r="D689" s="3" t="s">
        <v>43</v>
      </c>
      <c r="E689" s="3" t="s">
        <v>38</v>
      </c>
      <c r="F689" s="3">
        <v>13351.67</v>
      </c>
      <c r="G689" s="3">
        <v>301427</v>
      </c>
      <c r="H689" s="3">
        <v>12926</v>
      </c>
      <c r="I689" s="3">
        <v>10524.42</v>
      </c>
      <c r="J689" s="3">
        <v>39</v>
      </c>
      <c r="K689" s="15">
        <f t="shared" si="110"/>
        <v>4.2882688014013341E-2</v>
      </c>
      <c r="L689" s="16">
        <f t="shared" si="120"/>
        <v>1.0329313012532879</v>
      </c>
      <c r="M689" s="16">
        <f t="shared" si="111"/>
        <v>44.294870731553573</v>
      </c>
      <c r="N689" s="16">
        <f t="shared" si="112"/>
        <v>0.78824746267695356</v>
      </c>
      <c r="O689" s="16">
        <f t="shared" si="113"/>
        <v>-0.21175253732304647</v>
      </c>
      <c r="P689" s="1">
        <v>2024</v>
      </c>
      <c r="Q689" s="1" t="s">
        <v>32</v>
      </c>
      <c r="R689" s="1" t="s">
        <v>33</v>
      </c>
      <c r="S689" s="70">
        <f>DATE(Table2[[#This Row],[Year]],MONTH(DATEVALUE("1-"&amp;Table2[[#This Row],[Month]]&amp;"-2000")),1)</f>
        <v>45505</v>
      </c>
      <c r="T689" s="16">
        <f t="shared" si="114"/>
        <v>0.81420547733250814</v>
      </c>
      <c r="U689" s="16">
        <f t="shared" si="115"/>
        <v>3.491531946375076E-2</v>
      </c>
      <c r="V689" s="16">
        <f t="shared" si="116"/>
        <v>342.35051282051285</v>
      </c>
      <c r="W689" s="16">
        <f t="shared" si="117"/>
        <v>269.85692307692307</v>
      </c>
      <c r="X689" s="16">
        <f t="shared" si="118"/>
        <v>331.43589743589746</v>
      </c>
      <c r="Y689" s="16">
        <f t="shared" si="119"/>
        <v>7728.8974358974356</v>
      </c>
      <c r="Z689" s="7" t="str" cm="1">
        <f t="array" ref="Z689">_xlfn.IFS(K689&lt;2%,"Low",K689&lt;5%,"Medium",K689&lt;10%,"Good",K689&gt;10%,"Excellent")</f>
        <v>Medium</v>
      </c>
      <c r="AA689" s="16" t="str">
        <f>Data_Validation!N687</f>
        <v>Pass</v>
      </c>
    </row>
    <row r="690" spans="1:27" x14ac:dyDescent="0.35">
      <c r="A690" s="17" t="s">
        <v>94</v>
      </c>
      <c r="B690" s="3" t="s">
        <v>19</v>
      </c>
      <c r="C690" s="3" t="s">
        <v>58</v>
      </c>
      <c r="D690" s="3" t="s">
        <v>51</v>
      </c>
      <c r="E690" s="3" t="s">
        <v>38</v>
      </c>
      <c r="F690" s="3">
        <v>3766.46</v>
      </c>
      <c r="G690" s="3">
        <v>40955</v>
      </c>
      <c r="H690" s="3">
        <v>48129</v>
      </c>
      <c r="I690" s="3">
        <v>43999.02</v>
      </c>
      <c r="J690" s="3">
        <v>45</v>
      </c>
      <c r="K690" s="15">
        <f t="shared" si="110"/>
        <v>1.1751678671712855</v>
      </c>
      <c r="L690" s="16">
        <f t="shared" si="120"/>
        <v>7.8257599368364184E-2</v>
      </c>
      <c r="M690" s="16">
        <f t="shared" si="111"/>
        <v>91.965816139665492</v>
      </c>
      <c r="N690" s="16">
        <f t="shared" si="112"/>
        <v>11.681796700349929</v>
      </c>
      <c r="O690" s="16">
        <f t="shared" si="113"/>
        <v>10.681796700349929</v>
      </c>
      <c r="P690" s="1">
        <v>2024</v>
      </c>
      <c r="Q690" s="1" t="s">
        <v>32</v>
      </c>
      <c r="R690" s="1" t="s">
        <v>33</v>
      </c>
      <c r="S690" s="70">
        <f>DATE(Table2[[#This Row],[Year]],MONTH(DATEVALUE("1-"&amp;Table2[[#This Row],[Month]]&amp;"-2000")),1)</f>
        <v>45505</v>
      </c>
      <c r="T690" s="16">
        <f t="shared" si="114"/>
        <v>0.91418936607866352</v>
      </c>
      <c r="U690" s="16">
        <f t="shared" si="115"/>
        <v>1.0743259675253327</v>
      </c>
      <c r="V690" s="16">
        <f t="shared" si="116"/>
        <v>83.699111111111108</v>
      </c>
      <c r="W690" s="16">
        <f t="shared" si="117"/>
        <v>977.75599999999997</v>
      </c>
      <c r="X690" s="16">
        <f t="shared" si="118"/>
        <v>1069.5333333333333</v>
      </c>
      <c r="Y690" s="16">
        <f t="shared" si="119"/>
        <v>910.11111111111109</v>
      </c>
      <c r="Z690" s="7" t="str" cm="1">
        <f t="array" ref="Z690">_xlfn.IFS(K690&lt;2%,"Low",K690&lt;5%,"Medium",K690&lt;10%,"Good",K690&gt;10%,"Excellent")</f>
        <v>Excellent</v>
      </c>
      <c r="AA690" s="16" t="str">
        <f>Data_Validation!N688</f>
        <v>Fail</v>
      </c>
    </row>
    <row r="691" spans="1:27" x14ac:dyDescent="0.35">
      <c r="A691" s="17" t="s">
        <v>96</v>
      </c>
      <c r="B691" s="3" t="s">
        <v>48</v>
      </c>
      <c r="C691" s="3" t="s">
        <v>29</v>
      </c>
      <c r="D691" s="3" t="s">
        <v>43</v>
      </c>
      <c r="E691" s="3" t="s">
        <v>22</v>
      </c>
      <c r="F691" s="3">
        <v>38488.74</v>
      </c>
      <c r="G691" s="3">
        <v>732487</v>
      </c>
      <c r="H691" s="3">
        <v>32182</v>
      </c>
      <c r="I691" s="3">
        <v>184270.66</v>
      </c>
      <c r="J691" s="3">
        <v>37</v>
      </c>
      <c r="K691" s="15">
        <f t="shared" si="110"/>
        <v>4.3935250727999267E-2</v>
      </c>
      <c r="L691" s="16">
        <f t="shared" si="120"/>
        <v>1.1959710397116401</v>
      </c>
      <c r="M691" s="16">
        <f t="shared" si="111"/>
        <v>52.54528749315687</v>
      </c>
      <c r="N691" s="16">
        <f t="shared" si="112"/>
        <v>4.7876511416066103</v>
      </c>
      <c r="O691" s="16">
        <f t="shared" si="113"/>
        <v>3.7876511416066108</v>
      </c>
      <c r="P691" s="1">
        <v>2024</v>
      </c>
      <c r="Q691" s="1" t="s">
        <v>32</v>
      </c>
      <c r="R691" s="1" t="s">
        <v>33</v>
      </c>
      <c r="S691" s="70">
        <f>DATE(Table2[[#This Row],[Year]],MONTH(DATEVALUE("1-"&amp;Table2[[#This Row],[Month]]&amp;"-2000")),1)</f>
        <v>45505</v>
      </c>
      <c r="T691" s="16">
        <f t="shared" si="114"/>
        <v>5.7258921136038783</v>
      </c>
      <c r="U691" s="16">
        <f t="shared" si="115"/>
        <v>0.25156850565266003</v>
      </c>
      <c r="V691" s="16">
        <f t="shared" si="116"/>
        <v>1040.2362162162162</v>
      </c>
      <c r="W691" s="16">
        <f t="shared" si="117"/>
        <v>4980.2881081081086</v>
      </c>
      <c r="X691" s="16">
        <f t="shared" si="118"/>
        <v>869.78378378378375</v>
      </c>
      <c r="Y691" s="16">
        <f t="shared" si="119"/>
        <v>19796.945945945947</v>
      </c>
      <c r="Z691" s="7" t="str" cm="1">
        <f t="array" ref="Z691">_xlfn.IFS(K691&lt;2%,"Low",K691&lt;5%,"Medium",K691&lt;10%,"Good",K691&gt;10%,"Excellent")</f>
        <v>Medium</v>
      </c>
      <c r="AA691" s="16" t="str">
        <f>Data_Validation!N689</f>
        <v>Pass</v>
      </c>
    </row>
    <row r="692" spans="1:27" x14ac:dyDescent="0.35">
      <c r="A692" s="17" t="s">
        <v>107</v>
      </c>
      <c r="B692" s="3" t="s">
        <v>28</v>
      </c>
      <c r="C692" s="3" t="s">
        <v>69</v>
      </c>
      <c r="D692" s="3" t="s">
        <v>37</v>
      </c>
      <c r="E692" s="3" t="s">
        <v>30</v>
      </c>
      <c r="F692" s="3">
        <v>38931.33</v>
      </c>
      <c r="G692" s="3">
        <v>696735</v>
      </c>
      <c r="H692" s="3">
        <v>6589</v>
      </c>
      <c r="I692" s="3">
        <v>209254.81</v>
      </c>
      <c r="J692" s="3">
        <v>53</v>
      </c>
      <c r="K692" s="15">
        <f t="shared" si="110"/>
        <v>9.4569671395867867E-3</v>
      </c>
      <c r="L692" s="16">
        <f t="shared" si="120"/>
        <v>5.9085339201699805</v>
      </c>
      <c r="M692" s="16">
        <f t="shared" si="111"/>
        <v>55.876811126181401</v>
      </c>
      <c r="N692" s="16">
        <f t="shared" si="112"/>
        <v>5.3749720340918223</v>
      </c>
      <c r="O692" s="16">
        <f t="shared" si="113"/>
        <v>4.3749720340918223</v>
      </c>
      <c r="P692" s="1">
        <v>2024</v>
      </c>
      <c r="Q692" s="1" t="s">
        <v>32</v>
      </c>
      <c r="R692" s="1" t="s">
        <v>33</v>
      </c>
      <c r="S692" s="70">
        <f>DATE(Table2[[#This Row],[Year]],MONTH(DATEVALUE("1-"&amp;Table2[[#This Row],[Month]]&amp;"-2000")),1)</f>
        <v>45505</v>
      </c>
      <c r="T692" s="16">
        <f t="shared" si="114"/>
        <v>31.758204583396569</v>
      </c>
      <c r="U692" s="16">
        <f t="shared" si="115"/>
        <v>0.30033629715745586</v>
      </c>
      <c r="V692" s="16">
        <f t="shared" si="116"/>
        <v>734.55339622641509</v>
      </c>
      <c r="W692" s="16">
        <f t="shared" si="117"/>
        <v>3948.203962264151</v>
      </c>
      <c r="X692" s="16">
        <f t="shared" si="118"/>
        <v>124.32075471698113</v>
      </c>
      <c r="Y692" s="16">
        <f t="shared" si="119"/>
        <v>13145.943396226416</v>
      </c>
      <c r="Z692" s="7" t="str" cm="1">
        <f t="array" ref="Z692">_xlfn.IFS(K692&lt;2%,"Low",K692&lt;5%,"Medium",K692&lt;10%,"Good",K692&gt;10%,"Excellent")</f>
        <v>Low</v>
      </c>
      <c r="AA692" s="16" t="str">
        <f>Data_Validation!N690</f>
        <v>Pass</v>
      </c>
    </row>
    <row r="693" spans="1:27" x14ac:dyDescent="0.35">
      <c r="A693" s="17" t="s">
        <v>97</v>
      </c>
      <c r="B693" s="3" t="s">
        <v>35</v>
      </c>
      <c r="C693" s="3" t="s">
        <v>20</v>
      </c>
      <c r="D693" s="3" t="s">
        <v>37</v>
      </c>
      <c r="E693" s="3" t="s">
        <v>22</v>
      </c>
      <c r="F693" s="3">
        <v>5013.95</v>
      </c>
      <c r="G693" s="3">
        <v>375848</v>
      </c>
      <c r="H693" s="3">
        <v>46005</v>
      </c>
      <c r="I693" s="3">
        <v>145178.73000000001</v>
      </c>
      <c r="J693" s="3">
        <v>58</v>
      </c>
      <c r="K693" s="15">
        <f t="shared" si="110"/>
        <v>0.12240320555118027</v>
      </c>
      <c r="L693" s="16">
        <f t="shared" si="120"/>
        <v>0.10898706662319313</v>
      </c>
      <c r="M693" s="16">
        <f t="shared" si="111"/>
        <v>13.340366318298887</v>
      </c>
      <c r="N693" s="16">
        <f t="shared" si="112"/>
        <v>28.954961656977037</v>
      </c>
      <c r="O693" s="16">
        <f t="shared" si="113"/>
        <v>27.954961656977034</v>
      </c>
      <c r="P693" s="1">
        <v>2024</v>
      </c>
      <c r="Q693" s="1" t="s">
        <v>32</v>
      </c>
      <c r="R693" s="1" t="s">
        <v>33</v>
      </c>
      <c r="S693" s="70">
        <f>DATE(Table2[[#This Row],[Year]],MONTH(DATEVALUE("1-"&amp;Table2[[#This Row],[Month]]&amp;"-2000")),1)</f>
        <v>45505</v>
      </c>
      <c r="T693" s="16">
        <f t="shared" si="114"/>
        <v>3.155716335180959</v>
      </c>
      <c r="U693" s="16">
        <f t="shared" si="115"/>
        <v>0.38626979523637217</v>
      </c>
      <c r="V693" s="16">
        <f t="shared" si="116"/>
        <v>86.447413793103451</v>
      </c>
      <c r="W693" s="16">
        <f t="shared" si="117"/>
        <v>2503.0815517241381</v>
      </c>
      <c r="X693" s="16">
        <f t="shared" si="118"/>
        <v>793.18965517241384</v>
      </c>
      <c r="Y693" s="16">
        <f t="shared" si="119"/>
        <v>6480.1379310344828</v>
      </c>
      <c r="Z693" s="7" t="str" cm="1">
        <f t="array" ref="Z693">_xlfn.IFS(K693&lt;2%,"Low",K693&lt;5%,"Medium",K693&lt;10%,"Good",K693&gt;10%,"Excellent")</f>
        <v>Excellent</v>
      </c>
      <c r="AA693" s="16" t="str">
        <f>Data_Validation!N691</f>
        <v>Pass</v>
      </c>
    </row>
    <row r="694" spans="1:27" x14ac:dyDescent="0.35">
      <c r="A694" s="17" t="s">
        <v>91</v>
      </c>
      <c r="B694" s="3" t="s">
        <v>28</v>
      </c>
      <c r="C694" s="3" t="s">
        <v>58</v>
      </c>
      <c r="D694" s="3" t="s">
        <v>59</v>
      </c>
      <c r="E694" s="3" t="s">
        <v>22</v>
      </c>
      <c r="F694" s="3">
        <v>6412.38</v>
      </c>
      <c r="G694" s="3">
        <v>414562</v>
      </c>
      <c r="H694" s="3">
        <v>45821</v>
      </c>
      <c r="I694" s="3">
        <v>200964.52</v>
      </c>
      <c r="J694" s="3">
        <v>37</v>
      </c>
      <c r="K694" s="15">
        <f t="shared" si="110"/>
        <v>0.11052870258248465</v>
      </c>
      <c r="L694" s="16">
        <f t="shared" si="120"/>
        <v>0.13994413042054954</v>
      </c>
      <c r="M694" s="16">
        <f t="shared" si="111"/>
        <v>15.46784316941736</v>
      </c>
      <c r="N694" s="16">
        <f t="shared" si="112"/>
        <v>31.340082777377507</v>
      </c>
      <c r="O694" s="16">
        <f t="shared" si="113"/>
        <v>30.340082777377507</v>
      </c>
      <c r="P694" s="1">
        <v>2024</v>
      </c>
      <c r="Q694" s="1" t="s">
        <v>32</v>
      </c>
      <c r="R694" s="1" t="s">
        <v>33</v>
      </c>
      <c r="S694" s="70">
        <f>DATE(Table2[[#This Row],[Year]],MONTH(DATEVALUE("1-"&amp;Table2[[#This Row],[Month]]&amp;"-2000")),1)</f>
        <v>45505</v>
      </c>
      <c r="T694" s="16">
        <f t="shared" si="114"/>
        <v>4.3858606315881365</v>
      </c>
      <c r="U694" s="16">
        <f t="shared" si="115"/>
        <v>0.48476348531703339</v>
      </c>
      <c r="V694" s="16">
        <f t="shared" si="116"/>
        <v>173.30756756756756</v>
      </c>
      <c r="W694" s="16">
        <f t="shared" si="117"/>
        <v>5431.4735135135134</v>
      </c>
      <c r="X694" s="16">
        <f t="shared" si="118"/>
        <v>1238.4054054054054</v>
      </c>
      <c r="Y694" s="16">
        <f t="shared" si="119"/>
        <v>11204.378378378378</v>
      </c>
      <c r="Z694" s="7" t="str" cm="1">
        <f t="array" ref="Z694">_xlfn.IFS(K694&lt;2%,"Low",K694&lt;5%,"Medium",K694&lt;10%,"Good",K694&gt;10%,"Excellent")</f>
        <v>Excellent</v>
      </c>
      <c r="AA694" s="16" t="str">
        <f>Data_Validation!N692</f>
        <v>Pass</v>
      </c>
    </row>
    <row r="695" spans="1:27" x14ac:dyDescent="0.35">
      <c r="A695" s="17" t="s">
        <v>70</v>
      </c>
      <c r="B695" s="3" t="s">
        <v>35</v>
      </c>
      <c r="C695" s="3" t="s">
        <v>36</v>
      </c>
      <c r="D695" s="3" t="s">
        <v>43</v>
      </c>
      <c r="E695" s="3" t="s">
        <v>22</v>
      </c>
      <c r="F695" s="3">
        <v>1152.6099999999999</v>
      </c>
      <c r="G695" s="3">
        <v>71733</v>
      </c>
      <c r="H695" s="3">
        <v>15103</v>
      </c>
      <c r="I695" s="3">
        <v>21513.08</v>
      </c>
      <c r="J695" s="3">
        <v>20</v>
      </c>
      <c r="K695" s="15">
        <f t="shared" si="110"/>
        <v>0.21054465866477073</v>
      </c>
      <c r="L695" s="16">
        <f t="shared" si="120"/>
        <v>7.6316625835926633E-2</v>
      </c>
      <c r="M695" s="16">
        <f t="shared" si="111"/>
        <v>16.068057937072197</v>
      </c>
      <c r="N695" s="16">
        <f t="shared" si="112"/>
        <v>18.664665411544238</v>
      </c>
      <c r="O695" s="16">
        <f t="shared" si="113"/>
        <v>17.664665411544238</v>
      </c>
      <c r="P695" s="1">
        <v>2024</v>
      </c>
      <c r="Q695" s="1" t="s">
        <v>32</v>
      </c>
      <c r="R695" s="1" t="s">
        <v>33</v>
      </c>
      <c r="S695" s="70">
        <f>DATE(Table2[[#This Row],[Year]],MONTH(DATEVALUE("1-"&amp;Table2[[#This Row],[Month]]&amp;"-2000")),1)</f>
        <v>45505</v>
      </c>
      <c r="T695" s="16">
        <f t="shared" si="114"/>
        <v>1.4244242865655832</v>
      </c>
      <c r="U695" s="16">
        <f t="shared" si="115"/>
        <v>0.29990492520876028</v>
      </c>
      <c r="V695" s="16">
        <f t="shared" si="116"/>
        <v>57.630499999999998</v>
      </c>
      <c r="W695" s="16">
        <f t="shared" si="117"/>
        <v>1075.654</v>
      </c>
      <c r="X695" s="16">
        <f t="shared" si="118"/>
        <v>755.15</v>
      </c>
      <c r="Y695" s="16">
        <f t="shared" si="119"/>
        <v>3586.65</v>
      </c>
      <c r="Z695" s="7" t="str" cm="1">
        <f t="array" ref="Z695">_xlfn.IFS(K695&lt;2%,"Low",K695&lt;5%,"Medium",K695&lt;10%,"Good",K695&gt;10%,"Excellent")</f>
        <v>Excellent</v>
      </c>
      <c r="AA695" s="16" t="str">
        <f>Data_Validation!N693</f>
        <v>Pass</v>
      </c>
    </row>
    <row r="696" spans="1:27" x14ac:dyDescent="0.35">
      <c r="A696" s="17" t="s">
        <v>86</v>
      </c>
      <c r="B696" s="3" t="s">
        <v>35</v>
      </c>
      <c r="C696" s="3" t="s">
        <v>58</v>
      </c>
      <c r="D696" s="3" t="s">
        <v>63</v>
      </c>
      <c r="E696" s="3" t="s">
        <v>22</v>
      </c>
      <c r="F696" s="3">
        <v>28124.65</v>
      </c>
      <c r="G696" s="3">
        <v>366470</v>
      </c>
      <c r="H696" s="3">
        <v>28740</v>
      </c>
      <c r="I696" s="3">
        <v>49224.46</v>
      </c>
      <c r="J696" s="3">
        <v>8</v>
      </c>
      <c r="K696" s="15">
        <f t="shared" si="110"/>
        <v>7.8423881900291981E-2</v>
      </c>
      <c r="L696" s="16">
        <f t="shared" si="120"/>
        <v>0.978589074460682</v>
      </c>
      <c r="M696" s="16">
        <f t="shared" si="111"/>
        <v>76.744754004420557</v>
      </c>
      <c r="N696" s="16">
        <f t="shared" si="112"/>
        <v>1.7502248027975458</v>
      </c>
      <c r="O696" s="16">
        <f t="shared" si="113"/>
        <v>0.75022480279754578</v>
      </c>
      <c r="P696" s="1">
        <v>2024</v>
      </c>
      <c r="Q696" s="1" t="s">
        <v>32</v>
      </c>
      <c r="R696" s="1" t="s">
        <v>33</v>
      </c>
      <c r="S696" s="70">
        <f>DATE(Table2[[#This Row],[Year]],MONTH(DATEVALUE("1-"&amp;Table2[[#This Row],[Month]]&amp;"-2000")),1)</f>
        <v>45505</v>
      </c>
      <c r="T696" s="16">
        <f t="shared" si="114"/>
        <v>1.71275086986778</v>
      </c>
      <c r="U696" s="16">
        <f t="shared" si="115"/>
        <v>0.13432057194313313</v>
      </c>
      <c r="V696" s="16">
        <f t="shared" si="116"/>
        <v>3515.5812500000002</v>
      </c>
      <c r="W696" s="16">
        <f t="shared" si="117"/>
        <v>6153.0574999999999</v>
      </c>
      <c r="X696" s="16">
        <f t="shared" si="118"/>
        <v>3592.5</v>
      </c>
      <c r="Y696" s="16">
        <f t="shared" si="119"/>
        <v>45808.75</v>
      </c>
      <c r="Z696" s="7" t="str" cm="1">
        <f t="array" ref="Z696">_xlfn.IFS(K696&lt;2%,"Low",K696&lt;5%,"Medium",K696&lt;10%,"Good",K696&gt;10%,"Excellent")</f>
        <v>Good</v>
      </c>
      <c r="AA696" s="16" t="str">
        <f>Data_Validation!N694</f>
        <v>Pass</v>
      </c>
    </row>
    <row r="697" spans="1:27" x14ac:dyDescent="0.35">
      <c r="A697" s="17" t="s">
        <v>42</v>
      </c>
      <c r="B697" s="3" t="s">
        <v>19</v>
      </c>
      <c r="C697" s="3" t="s">
        <v>36</v>
      </c>
      <c r="D697" s="3" t="s">
        <v>37</v>
      </c>
      <c r="E697" s="3" t="s">
        <v>22</v>
      </c>
      <c r="F697" s="3">
        <v>6792.23</v>
      </c>
      <c r="G697" s="3">
        <v>765638</v>
      </c>
      <c r="H697" s="3">
        <v>39758</v>
      </c>
      <c r="I697" s="3">
        <v>87716.800000000003</v>
      </c>
      <c r="J697" s="3">
        <v>43</v>
      </c>
      <c r="K697" s="15">
        <f t="shared" si="110"/>
        <v>5.1927934611395984E-2</v>
      </c>
      <c r="L697" s="16">
        <f t="shared" si="120"/>
        <v>0.1708393279340007</v>
      </c>
      <c r="M697" s="16">
        <f t="shared" si="111"/>
        <v>8.8713334500116243</v>
      </c>
      <c r="N697" s="16">
        <f t="shared" si="112"/>
        <v>12.914285882545204</v>
      </c>
      <c r="O697" s="16">
        <f t="shared" si="113"/>
        <v>11.914285882545204</v>
      </c>
      <c r="P697" s="1">
        <v>2024</v>
      </c>
      <c r="Q697" s="1" t="s">
        <v>32</v>
      </c>
      <c r="R697" s="1" t="s">
        <v>33</v>
      </c>
      <c r="S697" s="70">
        <f>DATE(Table2[[#This Row],[Year]],MONTH(DATEVALUE("1-"&amp;Table2[[#This Row],[Month]]&amp;"-2000")),1)</f>
        <v>45505</v>
      </c>
      <c r="T697" s="16">
        <f t="shared" si="114"/>
        <v>2.2062679209215754</v>
      </c>
      <c r="U697" s="16">
        <f t="shared" si="115"/>
        <v>0.11456693633283614</v>
      </c>
      <c r="V697" s="16">
        <f t="shared" si="116"/>
        <v>157.95883720930232</v>
      </c>
      <c r="W697" s="16">
        <f t="shared" si="117"/>
        <v>2039.9255813953489</v>
      </c>
      <c r="X697" s="16">
        <f t="shared" si="118"/>
        <v>924.60465116279067</v>
      </c>
      <c r="Y697" s="16">
        <f t="shared" si="119"/>
        <v>17805.534883720931</v>
      </c>
      <c r="Z697" s="7" t="str" cm="1">
        <f t="array" ref="Z697">_xlfn.IFS(K697&lt;2%,"Low",K697&lt;5%,"Medium",K697&lt;10%,"Good",K697&gt;10%,"Excellent")</f>
        <v>Good</v>
      </c>
      <c r="AA697" s="16" t="str">
        <f>Data_Validation!N695</f>
        <v>Pass</v>
      </c>
    </row>
    <row r="698" spans="1:27" x14ac:dyDescent="0.35">
      <c r="A698" s="17" t="s">
        <v>72</v>
      </c>
      <c r="B698" s="3" t="s">
        <v>48</v>
      </c>
      <c r="C698" s="3" t="s">
        <v>36</v>
      </c>
      <c r="D698" s="3" t="s">
        <v>59</v>
      </c>
      <c r="E698" s="3" t="s">
        <v>22</v>
      </c>
      <c r="F698" s="3">
        <v>16099.08</v>
      </c>
      <c r="G698" s="3">
        <v>464626</v>
      </c>
      <c r="H698" s="3">
        <v>7255</v>
      </c>
      <c r="I698" s="3">
        <v>171884.33</v>
      </c>
      <c r="J698" s="3">
        <v>23</v>
      </c>
      <c r="K698" s="15">
        <f t="shared" si="110"/>
        <v>1.5614709465247317E-2</v>
      </c>
      <c r="L698" s="16">
        <f t="shared" si="120"/>
        <v>2.2190323914541694</v>
      </c>
      <c r="M698" s="16">
        <f t="shared" si="111"/>
        <v>34.649546086529817</v>
      </c>
      <c r="N698" s="16">
        <f t="shared" si="112"/>
        <v>10.676655436211261</v>
      </c>
      <c r="O698" s="16">
        <f t="shared" si="113"/>
        <v>9.6766554362112611</v>
      </c>
      <c r="P698" s="1">
        <v>2024</v>
      </c>
      <c r="Q698" s="1" t="s">
        <v>32</v>
      </c>
      <c r="R698" s="1" t="s">
        <v>33</v>
      </c>
      <c r="S698" s="70">
        <f>DATE(Table2[[#This Row],[Year]],MONTH(DATEVALUE("1-"&amp;Table2[[#This Row],[Month]]&amp;"-2000")),1)</f>
        <v>45505</v>
      </c>
      <c r="T698" s="16">
        <f t="shared" si="114"/>
        <v>23.691844245348033</v>
      </c>
      <c r="U698" s="16">
        <f t="shared" si="115"/>
        <v>0.36994126458700111</v>
      </c>
      <c r="V698" s="16">
        <f t="shared" si="116"/>
        <v>699.96</v>
      </c>
      <c r="W698" s="16">
        <f t="shared" si="117"/>
        <v>7473.2317391304341</v>
      </c>
      <c r="X698" s="16">
        <f t="shared" si="118"/>
        <v>315.43478260869563</v>
      </c>
      <c r="Y698" s="16">
        <f t="shared" si="119"/>
        <v>20201.130434782608</v>
      </c>
      <c r="Z698" s="7" t="str" cm="1">
        <f t="array" ref="Z698">_xlfn.IFS(K698&lt;2%,"Low",K698&lt;5%,"Medium",K698&lt;10%,"Good",K698&gt;10%,"Excellent")</f>
        <v>Low</v>
      </c>
      <c r="AA698" s="16" t="str">
        <f>Data_Validation!N696</f>
        <v>Pass</v>
      </c>
    </row>
    <row r="699" spans="1:27" x14ac:dyDescent="0.35">
      <c r="A699" s="17" t="s">
        <v>96</v>
      </c>
      <c r="B699" s="3" t="s">
        <v>28</v>
      </c>
      <c r="C699" s="3" t="s">
        <v>58</v>
      </c>
      <c r="D699" s="3" t="s">
        <v>37</v>
      </c>
      <c r="E699" s="3" t="s">
        <v>30</v>
      </c>
      <c r="F699" s="3">
        <v>26337.95</v>
      </c>
      <c r="G699" s="3">
        <v>30700</v>
      </c>
      <c r="H699" s="3">
        <v>3261</v>
      </c>
      <c r="I699" s="3">
        <v>173988.69</v>
      </c>
      <c r="J699" s="3">
        <v>9</v>
      </c>
      <c r="K699" s="15">
        <f t="shared" si="110"/>
        <v>0.1062214983713355</v>
      </c>
      <c r="L699" s="16">
        <f t="shared" si="120"/>
        <v>8.0766482674026374</v>
      </c>
      <c r="M699" s="16">
        <f t="shared" si="111"/>
        <v>857.91368078175901</v>
      </c>
      <c r="N699" s="16">
        <f t="shared" si="112"/>
        <v>6.6060073012516156</v>
      </c>
      <c r="O699" s="16">
        <f t="shared" si="113"/>
        <v>5.6060073012516156</v>
      </c>
      <c r="P699" s="1">
        <v>2024</v>
      </c>
      <c r="Q699" s="1" t="s">
        <v>32</v>
      </c>
      <c r="R699" s="1" t="s">
        <v>33</v>
      </c>
      <c r="S699" s="70">
        <f>DATE(Table2[[#This Row],[Year]],MONTH(DATEVALUE("1-"&amp;Table2[[#This Row],[Month]]&amp;"-2000")),1)</f>
        <v>45505</v>
      </c>
      <c r="T699" s="16">
        <f t="shared" si="114"/>
        <v>53.354397424103034</v>
      </c>
      <c r="U699" s="16">
        <f t="shared" si="115"/>
        <v>5.6673840390879482</v>
      </c>
      <c r="V699" s="16">
        <f t="shared" si="116"/>
        <v>2926.4388888888889</v>
      </c>
      <c r="W699" s="16">
        <f t="shared" si="117"/>
        <v>19332.076666666668</v>
      </c>
      <c r="X699" s="16">
        <f t="shared" si="118"/>
        <v>362.33333333333331</v>
      </c>
      <c r="Y699" s="16">
        <f t="shared" si="119"/>
        <v>3411.1111111111113</v>
      </c>
      <c r="Z699" s="7" t="str" cm="1">
        <f t="array" ref="Z699">_xlfn.IFS(K699&lt;2%,"Low",K699&lt;5%,"Medium",K699&lt;10%,"Good",K699&gt;10%,"Excellent")</f>
        <v>Excellent</v>
      </c>
      <c r="AA699" s="16" t="str">
        <f>Data_Validation!N697</f>
        <v>Pass</v>
      </c>
    </row>
    <row r="700" spans="1:27" x14ac:dyDescent="0.35">
      <c r="A700" s="17" t="s">
        <v>95</v>
      </c>
      <c r="B700" s="3" t="s">
        <v>19</v>
      </c>
      <c r="C700" s="3" t="s">
        <v>20</v>
      </c>
      <c r="D700" s="3" t="s">
        <v>59</v>
      </c>
      <c r="E700" s="3" t="s">
        <v>30</v>
      </c>
      <c r="F700" s="3">
        <v>40928.239999999998</v>
      </c>
      <c r="G700" s="3">
        <v>22940</v>
      </c>
      <c r="H700" s="3">
        <v>19226</v>
      </c>
      <c r="I700" s="3">
        <v>106383.47</v>
      </c>
      <c r="J700" s="3">
        <v>44</v>
      </c>
      <c r="K700" s="15">
        <f t="shared" si="110"/>
        <v>0.83809938971229292</v>
      </c>
      <c r="L700" s="16">
        <f t="shared" si="120"/>
        <v>2.128796421512535</v>
      </c>
      <c r="M700" s="16">
        <f t="shared" si="111"/>
        <v>1784.1429816913687</v>
      </c>
      <c r="N700" s="16">
        <f t="shared" si="112"/>
        <v>2.5992681336895993</v>
      </c>
      <c r="O700" s="16">
        <f t="shared" si="113"/>
        <v>1.5992681336895993</v>
      </c>
      <c r="P700" s="1">
        <v>2024</v>
      </c>
      <c r="Q700" s="1" t="s">
        <v>74</v>
      </c>
      <c r="R700" s="1" t="s">
        <v>33</v>
      </c>
      <c r="S700" s="70">
        <f>DATE(Table2[[#This Row],[Year]],MONTH(DATEVALUE("1-"&amp;Table2[[#This Row],[Month]]&amp;"-2000")),1)</f>
        <v>45536</v>
      </c>
      <c r="T700" s="16">
        <f t="shared" si="114"/>
        <v>5.5333127015499848</v>
      </c>
      <c r="U700" s="16">
        <f t="shared" si="115"/>
        <v>4.6374659982563209</v>
      </c>
      <c r="V700" s="16">
        <f t="shared" si="116"/>
        <v>930.18727272727267</v>
      </c>
      <c r="W700" s="16">
        <f t="shared" si="117"/>
        <v>2417.8061363636366</v>
      </c>
      <c r="X700" s="16">
        <f t="shared" si="118"/>
        <v>436.95454545454544</v>
      </c>
      <c r="Y700" s="16">
        <f t="shared" si="119"/>
        <v>521.36363636363637</v>
      </c>
      <c r="Z700" s="7" t="str" cm="1">
        <f t="array" ref="Z700">_xlfn.IFS(K700&lt;2%,"Low",K700&lt;5%,"Medium",K700&lt;10%,"Good",K700&gt;10%,"Excellent")</f>
        <v>Excellent</v>
      </c>
      <c r="AA700" s="16" t="str">
        <f>Data_Validation!N698</f>
        <v>Pass</v>
      </c>
    </row>
    <row r="701" spans="1:27" x14ac:dyDescent="0.35">
      <c r="A701" s="17" t="s">
        <v>106</v>
      </c>
      <c r="B701" s="3" t="s">
        <v>48</v>
      </c>
      <c r="C701" s="3" t="s">
        <v>69</v>
      </c>
      <c r="D701" s="3" t="s">
        <v>59</v>
      </c>
      <c r="E701" s="3" t="s">
        <v>38</v>
      </c>
      <c r="F701" s="3">
        <v>5017.37</v>
      </c>
      <c r="G701" s="3">
        <v>928481</v>
      </c>
      <c r="H701" s="3">
        <v>21234</v>
      </c>
      <c r="I701" s="3">
        <v>202073.16</v>
      </c>
      <c r="J701" s="3">
        <v>25</v>
      </c>
      <c r="K701" s="15">
        <f t="shared" si="110"/>
        <v>2.2869611763730223E-2</v>
      </c>
      <c r="L701" s="16">
        <f t="shared" si="120"/>
        <v>0.23628944146180653</v>
      </c>
      <c r="M701" s="16">
        <f t="shared" si="111"/>
        <v>5.4038477901001745</v>
      </c>
      <c r="N701" s="16">
        <f t="shared" si="112"/>
        <v>40.274717630950079</v>
      </c>
      <c r="O701" s="16">
        <f t="shared" si="113"/>
        <v>39.274717630950079</v>
      </c>
      <c r="P701" s="1">
        <v>2024</v>
      </c>
      <c r="Q701" s="1" t="s">
        <v>74</v>
      </c>
      <c r="R701" s="1" t="s">
        <v>33</v>
      </c>
      <c r="S701" s="70">
        <f>DATE(Table2[[#This Row],[Year]],MONTH(DATEVALUE("1-"&amp;Table2[[#This Row],[Month]]&amp;"-2000")),1)</f>
        <v>45536</v>
      </c>
      <c r="T701" s="16">
        <f t="shared" si="114"/>
        <v>9.5164905340491668</v>
      </c>
      <c r="U701" s="16">
        <f t="shared" si="115"/>
        <v>0.21763844386691811</v>
      </c>
      <c r="V701" s="16">
        <f t="shared" si="116"/>
        <v>200.69479999999999</v>
      </c>
      <c r="W701" s="16">
        <f t="shared" si="117"/>
        <v>8082.9264000000003</v>
      </c>
      <c r="X701" s="16">
        <f t="shared" si="118"/>
        <v>849.36</v>
      </c>
      <c r="Y701" s="16">
        <f t="shared" si="119"/>
        <v>37139.24</v>
      </c>
      <c r="Z701" s="7" t="str" cm="1">
        <f t="array" ref="Z701">_xlfn.IFS(K701&lt;2%,"Low",K701&lt;5%,"Medium",K701&lt;10%,"Good",K701&gt;10%,"Excellent")</f>
        <v>Medium</v>
      </c>
      <c r="AA701" s="16" t="str">
        <f>Data_Validation!N699</f>
        <v>Pass</v>
      </c>
    </row>
    <row r="702" spans="1:27" x14ac:dyDescent="0.35">
      <c r="A702" s="17" t="s">
        <v>117</v>
      </c>
      <c r="B702" s="3" t="s">
        <v>19</v>
      </c>
      <c r="C702" s="3" t="s">
        <v>69</v>
      </c>
      <c r="D702" s="3" t="s">
        <v>43</v>
      </c>
      <c r="E702" s="3" t="s">
        <v>30</v>
      </c>
      <c r="F702" s="3">
        <v>10894.91</v>
      </c>
      <c r="G702" s="3">
        <v>467250</v>
      </c>
      <c r="H702" s="3">
        <v>17002</v>
      </c>
      <c r="I702" s="3">
        <v>158859.03</v>
      </c>
      <c r="J702" s="3">
        <v>53</v>
      </c>
      <c r="K702" s="15">
        <f t="shared" si="110"/>
        <v>3.6387372926698767E-2</v>
      </c>
      <c r="L702" s="16">
        <f t="shared" si="120"/>
        <v>0.64080167039171865</v>
      </c>
      <c r="M702" s="16">
        <f t="shared" si="111"/>
        <v>23.317089352594969</v>
      </c>
      <c r="N702" s="16">
        <f t="shared" si="112"/>
        <v>14.58103187635327</v>
      </c>
      <c r="O702" s="16">
        <f t="shared" si="113"/>
        <v>13.581031876353268</v>
      </c>
      <c r="P702" s="1">
        <v>2024</v>
      </c>
      <c r="Q702" s="1" t="s">
        <v>74</v>
      </c>
      <c r="R702" s="1" t="s">
        <v>33</v>
      </c>
      <c r="S702" s="70">
        <f>DATE(Table2[[#This Row],[Year]],MONTH(DATEVALUE("1-"&amp;Table2[[#This Row],[Month]]&amp;"-2000")),1)</f>
        <v>45536</v>
      </c>
      <c r="T702" s="16">
        <f t="shared" si="114"/>
        <v>9.3435495824020709</v>
      </c>
      <c r="U702" s="16">
        <f t="shared" si="115"/>
        <v>0.33998722311396468</v>
      </c>
      <c r="V702" s="16">
        <f t="shared" si="116"/>
        <v>205.56433962264151</v>
      </c>
      <c r="W702" s="16">
        <f t="shared" si="117"/>
        <v>2997.3401886792453</v>
      </c>
      <c r="X702" s="16">
        <f t="shared" si="118"/>
        <v>320.79245283018867</v>
      </c>
      <c r="Y702" s="16">
        <f t="shared" si="119"/>
        <v>8816.0377358490568</v>
      </c>
      <c r="Z702" s="7" t="str" cm="1">
        <f t="array" ref="Z702">_xlfn.IFS(K702&lt;2%,"Low",K702&lt;5%,"Medium",K702&lt;10%,"Good",K702&gt;10%,"Excellent")</f>
        <v>Medium</v>
      </c>
      <c r="AA702" s="16" t="str">
        <f>Data_Validation!N700</f>
        <v>Pass</v>
      </c>
    </row>
    <row r="703" spans="1:27" x14ac:dyDescent="0.35">
      <c r="A703" s="17" t="s">
        <v>109</v>
      </c>
      <c r="B703" s="3" t="s">
        <v>28</v>
      </c>
      <c r="C703" s="3" t="s">
        <v>58</v>
      </c>
      <c r="D703" s="3" t="s">
        <v>51</v>
      </c>
      <c r="E703" s="3" t="s">
        <v>38</v>
      </c>
      <c r="F703" s="3">
        <v>9561.14</v>
      </c>
      <c r="G703" s="3">
        <v>188386</v>
      </c>
      <c r="H703" s="3">
        <v>37274</v>
      </c>
      <c r="I703" s="3">
        <v>33750.879999999997</v>
      </c>
      <c r="J703" s="3">
        <v>22</v>
      </c>
      <c r="K703" s="15">
        <f t="shared" si="110"/>
        <v>0.19785971356682555</v>
      </c>
      <c r="L703" s="16">
        <f t="shared" si="120"/>
        <v>0.25650963137844074</v>
      </c>
      <c r="M703" s="16">
        <f t="shared" si="111"/>
        <v>50.752922191670287</v>
      </c>
      <c r="N703" s="16">
        <f t="shared" si="112"/>
        <v>3.5300058361241442</v>
      </c>
      <c r="O703" s="16">
        <f t="shared" si="113"/>
        <v>2.5300058361241442</v>
      </c>
      <c r="P703" s="1">
        <v>2024</v>
      </c>
      <c r="Q703" s="1" t="s">
        <v>74</v>
      </c>
      <c r="R703" s="1" t="s">
        <v>33</v>
      </c>
      <c r="S703" s="70">
        <f>DATE(Table2[[#This Row],[Year]],MONTH(DATEVALUE("1-"&amp;Table2[[#This Row],[Month]]&amp;"-2000")),1)</f>
        <v>45536</v>
      </c>
      <c r="T703" s="16">
        <f t="shared" si="114"/>
        <v>0.90548049578794865</v>
      </c>
      <c r="U703" s="16">
        <f t="shared" si="115"/>
        <v>0.17915811153695071</v>
      </c>
      <c r="V703" s="16">
        <f t="shared" si="116"/>
        <v>434.5972727272727</v>
      </c>
      <c r="W703" s="16">
        <f t="shared" si="117"/>
        <v>1534.130909090909</v>
      </c>
      <c r="X703" s="16">
        <f t="shared" si="118"/>
        <v>1694.2727272727273</v>
      </c>
      <c r="Y703" s="16">
        <f t="shared" si="119"/>
        <v>8563</v>
      </c>
      <c r="Z703" s="7" t="str" cm="1">
        <f t="array" ref="Z703">_xlfn.IFS(K703&lt;2%,"Low",K703&lt;5%,"Medium",K703&lt;10%,"Good",K703&gt;10%,"Excellent")</f>
        <v>Excellent</v>
      </c>
      <c r="AA703" s="16" t="str">
        <f>Data_Validation!N701</f>
        <v>Pass</v>
      </c>
    </row>
    <row r="704" spans="1:27" x14ac:dyDescent="0.35">
      <c r="A704" s="17" t="s">
        <v>67</v>
      </c>
      <c r="B704" s="3" t="s">
        <v>48</v>
      </c>
      <c r="C704" s="3" t="s">
        <v>69</v>
      </c>
      <c r="D704" s="3" t="s">
        <v>43</v>
      </c>
      <c r="E704" s="3" t="s">
        <v>38</v>
      </c>
      <c r="F704" s="3">
        <v>1853.58</v>
      </c>
      <c r="G704" s="3">
        <v>475371</v>
      </c>
      <c r="H704" s="3">
        <v>7517</v>
      </c>
      <c r="I704" s="3">
        <v>130203.7</v>
      </c>
      <c r="J704" s="3">
        <v>21</v>
      </c>
      <c r="K704" s="15">
        <f t="shared" si="110"/>
        <v>1.581291244101975E-2</v>
      </c>
      <c r="L704" s="16">
        <f t="shared" si="120"/>
        <v>0.246585073832646</v>
      </c>
      <c r="M704" s="16">
        <f t="shared" si="111"/>
        <v>3.8992281817780219</v>
      </c>
      <c r="N704" s="16">
        <f t="shared" si="112"/>
        <v>70.244445883101889</v>
      </c>
      <c r="O704" s="16">
        <f t="shared" si="113"/>
        <v>69.244445883101889</v>
      </c>
      <c r="P704" s="1">
        <v>2024</v>
      </c>
      <c r="Q704" s="1" t="s">
        <v>74</v>
      </c>
      <c r="R704" s="1" t="s">
        <v>33</v>
      </c>
      <c r="S704" s="70">
        <f>DATE(Table2[[#This Row],[Year]],MONTH(DATEVALUE("1-"&amp;Table2[[#This Row],[Month]]&amp;"-2000")),1)</f>
        <v>45536</v>
      </c>
      <c r="T704" s="16">
        <f t="shared" si="114"/>
        <v>17.321231874417986</v>
      </c>
      <c r="U704" s="16">
        <f t="shared" si="115"/>
        <v>0.27389912300077202</v>
      </c>
      <c r="V704" s="16">
        <f t="shared" si="116"/>
        <v>88.265714285714282</v>
      </c>
      <c r="W704" s="16">
        <f t="shared" si="117"/>
        <v>6200.1761904761906</v>
      </c>
      <c r="X704" s="16">
        <f t="shared" si="118"/>
        <v>357.95238095238096</v>
      </c>
      <c r="Y704" s="16">
        <f t="shared" si="119"/>
        <v>22636.714285714286</v>
      </c>
      <c r="Z704" s="7" t="str" cm="1">
        <f t="array" ref="Z704">_xlfn.IFS(K704&lt;2%,"Low",K704&lt;5%,"Medium",K704&lt;10%,"Good",K704&gt;10%,"Excellent")</f>
        <v>Low</v>
      </c>
      <c r="AA704" s="16" t="str">
        <f>Data_Validation!N702</f>
        <v>Pass</v>
      </c>
    </row>
    <row r="705" spans="1:27" x14ac:dyDescent="0.35">
      <c r="A705" s="17" t="s">
        <v>72</v>
      </c>
      <c r="B705" s="3" t="s">
        <v>19</v>
      </c>
      <c r="C705" s="3" t="s">
        <v>29</v>
      </c>
      <c r="D705" s="3" t="s">
        <v>59</v>
      </c>
      <c r="E705" s="3" t="s">
        <v>22</v>
      </c>
      <c r="F705" s="3">
        <v>677.2</v>
      </c>
      <c r="G705" s="3">
        <v>876713</v>
      </c>
      <c r="H705" s="3">
        <v>988</v>
      </c>
      <c r="I705" s="3">
        <v>192044.21</v>
      </c>
      <c r="J705" s="3">
        <v>12</v>
      </c>
      <c r="K705" s="15">
        <f t="shared" si="110"/>
        <v>1.1269366371891372E-3</v>
      </c>
      <c r="L705" s="16">
        <f t="shared" si="120"/>
        <v>0.68542510121457489</v>
      </c>
      <c r="M705" s="16">
        <f t="shared" si="111"/>
        <v>0.77243065860777704</v>
      </c>
      <c r="N705" s="16">
        <f t="shared" si="112"/>
        <v>283.58566154754868</v>
      </c>
      <c r="O705" s="16">
        <f t="shared" si="113"/>
        <v>282.58566154754868</v>
      </c>
      <c r="P705" s="1">
        <v>2024</v>
      </c>
      <c r="Q705" s="1" t="s">
        <v>74</v>
      </c>
      <c r="R705" s="1" t="s">
        <v>33</v>
      </c>
      <c r="S705" s="70">
        <f>DATE(Table2[[#This Row],[Year]],MONTH(DATEVALUE("1-"&amp;Table2[[#This Row],[Month]]&amp;"-2000")),1)</f>
        <v>45536</v>
      </c>
      <c r="T705" s="16">
        <f t="shared" si="114"/>
        <v>194.37673076923076</v>
      </c>
      <c r="U705" s="16">
        <f t="shared" si="115"/>
        <v>0.2190502593208952</v>
      </c>
      <c r="V705" s="16">
        <f t="shared" si="116"/>
        <v>56.433333333333337</v>
      </c>
      <c r="W705" s="16">
        <f t="shared" si="117"/>
        <v>16003.684166666666</v>
      </c>
      <c r="X705" s="16">
        <f t="shared" si="118"/>
        <v>82.333333333333329</v>
      </c>
      <c r="Y705" s="16">
        <f t="shared" si="119"/>
        <v>73059.416666666672</v>
      </c>
      <c r="Z705" s="7" t="str" cm="1">
        <f t="array" ref="Z705">_xlfn.IFS(K705&lt;2%,"Low",K705&lt;5%,"Medium",K705&lt;10%,"Good",K705&gt;10%,"Excellent")</f>
        <v>Low</v>
      </c>
      <c r="AA705" s="16" t="str">
        <f>Data_Validation!N703</f>
        <v>Pass</v>
      </c>
    </row>
    <row r="706" spans="1:27" x14ac:dyDescent="0.35">
      <c r="A706" s="17" t="s">
        <v>55</v>
      </c>
      <c r="B706" s="3" t="s">
        <v>28</v>
      </c>
      <c r="C706" s="3" t="s">
        <v>20</v>
      </c>
      <c r="D706" s="3" t="s">
        <v>21</v>
      </c>
      <c r="E706" s="3" t="s">
        <v>38</v>
      </c>
      <c r="F706" s="3">
        <v>2384.62</v>
      </c>
      <c r="G706" s="3">
        <v>674555</v>
      </c>
      <c r="H706" s="3">
        <v>18301</v>
      </c>
      <c r="I706" s="3">
        <v>179280.18</v>
      </c>
      <c r="J706" s="3">
        <v>59</v>
      </c>
      <c r="K706" s="15">
        <f t="shared" si="110"/>
        <v>2.7130478611825572E-2</v>
      </c>
      <c r="L706" s="16">
        <f t="shared" si="120"/>
        <v>0.13029998360745315</v>
      </c>
      <c r="M706" s="16">
        <f t="shared" si="111"/>
        <v>3.5351009183832303</v>
      </c>
      <c r="N706" s="16">
        <f t="shared" si="112"/>
        <v>75.181865454453956</v>
      </c>
      <c r="O706" s="16">
        <f t="shared" si="113"/>
        <v>74.181865454453956</v>
      </c>
      <c r="P706" s="1">
        <v>2024</v>
      </c>
      <c r="Q706" s="1" t="s">
        <v>74</v>
      </c>
      <c r="R706" s="1" t="s">
        <v>33</v>
      </c>
      <c r="S706" s="70">
        <f>DATE(Table2[[#This Row],[Year]],MONTH(DATEVALUE("1-"&amp;Table2[[#This Row],[Month]]&amp;"-2000")),1)</f>
        <v>45536</v>
      </c>
      <c r="T706" s="16">
        <f t="shared" si="114"/>
        <v>9.7961958362930979</v>
      </c>
      <c r="U706" s="16">
        <f t="shared" si="115"/>
        <v>0.26577548161380465</v>
      </c>
      <c r="V706" s="16">
        <f t="shared" si="116"/>
        <v>40.417288135593218</v>
      </c>
      <c r="W706" s="16">
        <f t="shared" si="117"/>
        <v>3038.6471186440676</v>
      </c>
      <c r="X706" s="16">
        <f t="shared" si="118"/>
        <v>310.18644067796612</v>
      </c>
      <c r="Y706" s="16">
        <f t="shared" si="119"/>
        <v>11433.135593220339</v>
      </c>
      <c r="Z706" s="7" t="str" cm="1">
        <f t="array" ref="Z706">_xlfn.IFS(K706&lt;2%,"Low",K706&lt;5%,"Medium",K706&lt;10%,"Good",K706&gt;10%,"Excellent")</f>
        <v>Medium</v>
      </c>
      <c r="AA706" s="16" t="str">
        <f>Data_Validation!N704</f>
        <v>Pass</v>
      </c>
    </row>
    <row r="707" spans="1:27" x14ac:dyDescent="0.35">
      <c r="A707" s="17" t="s">
        <v>55</v>
      </c>
      <c r="B707" s="3" t="s">
        <v>35</v>
      </c>
      <c r="C707" s="3" t="s">
        <v>36</v>
      </c>
      <c r="D707" s="3" t="s">
        <v>43</v>
      </c>
      <c r="E707" s="3" t="s">
        <v>30</v>
      </c>
      <c r="F707" s="3">
        <v>29394.38</v>
      </c>
      <c r="G707" s="3">
        <v>482407</v>
      </c>
      <c r="H707" s="3">
        <v>6883</v>
      </c>
      <c r="I707" s="3">
        <v>203686.87</v>
      </c>
      <c r="J707" s="3">
        <v>36</v>
      </c>
      <c r="K707" s="15">
        <f t="shared" si="110"/>
        <v>1.4268035082409666E-2</v>
      </c>
      <c r="L707" s="16">
        <f t="shared" si="120"/>
        <v>4.2705767833793402</v>
      </c>
      <c r="M707" s="16">
        <f t="shared" si="111"/>
        <v>60.932739367380663</v>
      </c>
      <c r="N707" s="16">
        <f t="shared" si="112"/>
        <v>6.9294494389743884</v>
      </c>
      <c r="O707" s="16">
        <f t="shared" si="113"/>
        <v>5.9294494389743884</v>
      </c>
      <c r="P707" s="1">
        <v>2024</v>
      </c>
      <c r="Q707" s="1" t="s">
        <v>74</v>
      </c>
      <c r="R707" s="1" t="s">
        <v>33</v>
      </c>
      <c r="S707" s="70">
        <f>DATE(Table2[[#This Row],[Year]],MONTH(DATEVALUE("1-"&amp;Table2[[#This Row],[Month]]&amp;"-2000")),1)</f>
        <v>45536</v>
      </c>
      <c r="T707" s="16">
        <f t="shared" si="114"/>
        <v>29.59274589568502</v>
      </c>
      <c r="U707" s="16">
        <f t="shared" si="115"/>
        <v>0.42223033662446852</v>
      </c>
      <c r="V707" s="16">
        <f t="shared" si="116"/>
        <v>816.51055555555558</v>
      </c>
      <c r="W707" s="16">
        <f t="shared" si="117"/>
        <v>5657.9686111111114</v>
      </c>
      <c r="X707" s="16">
        <f t="shared" si="118"/>
        <v>191.19444444444446</v>
      </c>
      <c r="Y707" s="16">
        <f t="shared" si="119"/>
        <v>13400.194444444445</v>
      </c>
      <c r="Z707" s="7" t="str" cm="1">
        <f t="array" ref="Z707">_xlfn.IFS(K707&lt;2%,"Low",K707&lt;5%,"Medium",K707&lt;10%,"Good",K707&gt;10%,"Excellent")</f>
        <v>Low</v>
      </c>
      <c r="AA707" s="16" t="str">
        <f>Data_Validation!N705</f>
        <v>Pass</v>
      </c>
    </row>
    <row r="708" spans="1:27" x14ac:dyDescent="0.35">
      <c r="A708" s="17" t="s">
        <v>94</v>
      </c>
      <c r="B708" s="3" t="s">
        <v>19</v>
      </c>
      <c r="C708" s="3" t="s">
        <v>69</v>
      </c>
      <c r="D708" s="3" t="s">
        <v>43</v>
      </c>
      <c r="E708" s="3" t="s">
        <v>30</v>
      </c>
      <c r="F708" s="3">
        <v>41703.25</v>
      </c>
      <c r="G708" s="3">
        <v>825573</v>
      </c>
      <c r="H708" s="3">
        <v>10832</v>
      </c>
      <c r="I708" s="3">
        <v>241356.59</v>
      </c>
      <c r="J708" s="3">
        <v>44</v>
      </c>
      <c r="K708" s="15">
        <f t="shared" si="110"/>
        <v>1.3120584127630144E-2</v>
      </c>
      <c r="L708" s="16">
        <f t="shared" si="120"/>
        <v>3.8500046159527326</v>
      </c>
      <c r="M708" s="16">
        <f t="shared" si="111"/>
        <v>50.514309455372207</v>
      </c>
      <c r="N708" s="16">
        <f t="shared" si="112"/>
        <v>5.7874767554087514</v>
      </c>
      <c r="O708" s="16">
        <f t="shared" si="113"/>
        <v>4.7874767554087514</v>
      </c>
      <c r="P708" s="1">
        <v>2024</v>
      </c>
      <c r="Q708" s="1" t="s">
        <v>74</v>
      </c>
      <c r="R708" s="1" t="s">
        <v>33</v>
      </c>
      <c r="S708" s="70">
        <f>DATE(Table2[[#This Row],[Year]],MONTH(DATEVALUE("1-"&amp;Table2[[#This Row],[Month]]&amp;"-2000")),1)</f>
        <v>45536</v>
      </c>
      <c r="T708" s="16">
        <f t="shared" si="114"/>
        <v>22.281812223042834</v>
      </c>
      <c r="U708" s="16">
        <f t="shared" si="115"/>
        <v>0.29235039178849115</v>
      </c>
      <c r="V708" s="16">
        <f t="shared" si="116"/>
        <v>947.80113636363637</v>
      </c>
      <c r="W708" s="16">
        <f t="shared" si="117"/>
        <v>5485.3770454545456</v>
      </c>
      <c r="X708" s="16">
        <f t="shared" si="118"/>
        <v>246.18181818181819</v>
      </c>
      <c r="Y708" s="16">
        <f t="shared" si="119"/>
        <v>18763.022727272728</v>
      </c>
      <c r="Z708" s="7" t="str" cm="1">
        <f t="array" ref="Z708">_xlfn.IFS(K708&lt;2%,"Low",K708&lt;5%,"Medium",K708&lt;10%,"Good",K708&gt;10%,"Excellent")</f>
        <v>Low</v>
      </c>
      <c r="AA708" s="16" t="str">
        <f>Data_Validation!N706</f>
        <v>Pass</v>
      </c>
    </row>
    <row r="709" spans="1:27" x14ac:dyDescent="0.35">
      <c r="A709" s="17" t="s">
        <v>93</v>
      </c>
      <c r="B709" s="3" t="s">
        <v>35</v>
      </c>
      <c r="C709" s="3" t="s">
        <v>20</v>
      </c>
      <c r="D709" s="3" t="s">
        <v>21</v>
      </c>
      <c r="E709" s="3" t="s">
        <v>30</v>
      </c>
      <c r="F709" s="3">
        <v>5675.12</v>
      </c>
      <c r="G709" s="3">
        <v>547234</v>
      </c>
      <c r="H709" s="3">
        <v>7559</v>
      </c>
      <c r="I709" s="3">
        <v>89567.35</v>
      </c>
      <c r="J709" s="3">
        <v>34</v>
      </c>
      <c r="K709" s="15">
        <f t="shared" si="110"/>
        <v>1.381310371797074E-2</v>
      </c>
      <c r="L709" s="16">
        <f t="shared" si="120"/>
        <v>0.7507765577457336</v>
      </c>
      <c r="M709" s="16">
        <f t="shared" si="111"/>
        <v>10.370554461162865</v>
      </c>
      <c r="N709" s="16">
        <f t="shared" si="112"/>
        <v>15.782459225531797</v>
      </c>
      <c r="O709" s="16">
        <f t="shared" si="113"/>
        <v>14.782459225531797</v>
      </c>
      <c r="P709" s="1">
        <v>2024</v>
      </c>
      <c r="Q709" s="1" t="s">
        <v>74</v>
      </c>
      <c r="R709" s="1" t="s">
        <v>33</v>
      </c>
      <c r="S709" s="70">
        <f>DATE(Table2[[#This Row],[Year]],MONTH(DATEVALUE("1-"&amp;Table2[[#This Row],[Month]]&amp;"-2000")),1)</f>
        <v>45536</v>
      </c>
      <c r="T709" s="16">
        <f t="shared" si="114"/>
        <v>11.849100410107157</v>
      </c>
      <c r="U709" s="16">
        <f t="shared" si="115"/>
        <v>0.16367285292945979</v>
      </c>
      <c r="V709" s="16">
        <f t="shared" si="116"/>
        <v>166.91529411764705</v>
      </c>
      <c r="W709" s="16">
        <f t="shared" si="117"/>
        <v>2634.3338235294118</v>
      </c>
      <c r="X709" s="16">
        <f t="shared" si="118"/>
        <v>222.3235294117647</v>
      </c>
      <c r="Y709" s="16">
        <f t="shared" si="119"/>
        <v>16095.117647058823</v>
      </c>
      <c r="Z709" s="7" t="str" cm="1">
        <f t="array" ref="Z709">_xlfn.IFS(K709&lt;2%,"Low",K709&lt;5%,"Medium",K709&lt;10%,"Good",K709&gt;10%,"Excellent")</f>
        <v>Low</v>
      </c>
      <c r="AA709" s="16" t="str">
        <f>Data_Validation!N707</f>
        <v>Pass</v>
      </c>
    </row>
    <row r="710" spans="1:27" x14ac:dyDescent="0.35">
      <c r="A710" s="17" t="s">
        <v>110</v>
      </c>
      <c r="B710" s="3" t="s">
        <v>19</v>
      </c>
      <c r="C710" s="3" t="s">
        <v>69</v>
      </c>
      <c r="D710" s="3" t="s">
        <v>59</v>
      </c>
      <c r="E710" s="3" t="s">
        <v>30</v>
      </c>
      <c r="F710" s="3">
        <v>39227.18</v>
      </c>
      <c r="G710" s="3">
        <v>934771</v>
      </c>
      <c r="H710" s="3">
        <v>34409</v>
      </c>
      <c r="I710" s="3">
        <v>226430.66</v>
      </c>
      <c r="J710" s="3">
        <v>34</v>
      </c>
      <c r="K710" s="15">
        <f t="shared" si="110"/>
        <v>3.6810085036869993E-2</v>
      </c>
      <c r="L710" s="16">
        <f t="shared" si="120"/>
        <v>1.1400267371908512</v>
      </c>
      <c r="M710" s="16">
        <f t="shared" si="111"/>
        <v>41.96448114030067</v>
      </c>
      <c r="N710" s="16">
        <f t="shared" si="112"/>
        <v>5.7722900295152497</v>
      </c>
      <c r="O710" s="16">
        <f t="shared" si="113"/>
        <v>4.7722900295152497</v>
      </c>
      <c r="P710" s="1">
        <v>2024</v>
      </c>
      <c r="Q710" s="1" t="s">
        <v>74</v>
      </c>
      <c r="R710" s="1" t="s">
        <v>33</v>
      </c>
      <c r="S710" s="70">
        <f>DATE(Table2[[#This Row],[Year]],MONTH(DATEVALUE("1-"&amp;Table2[[#This Row],[Month]]&amp;"-2000")),1)</f>
        <v>45536</v>
      </c>
      <c r="T710" s="16">
        <f t="shared" si="114"/>
        <v>6.5805649684675522</v>
      </c>
      <c r="U710" s="16">
        <f t="shared" si="115"/>
        <v>0.24223115607993831</v>
      </c>
      <c r="V710" s="16">
        <f t="shared" si="116"/>
        <v>1153.7405882352941</v>
      </c>
      <c r="W710" s="16">
        <f t="shared" si="117"/>
        <v>6659.7252941176475</v>
      </c>
      <c r="X710" s="16">
        <f t="shared" si="118"/>
        <v>1012.0294117647059</v>
      </c>
      <c r="Y710" s="16">
        <f t="shared" si="119"/>
        <v>27493.264705882353</v>
      </c>
      <c r="Z710" s="7" t="str" cm="1">
        <f t="array" ref="Z710">_xlfn.IFS(K710&lt;2%,"Low",K710&lt;5%,"Medium",K710&lt;10%,"Good",K710&gt;10%,"Excellent")</f>
        <v>Medium</v>
      </c>
      <c r="AA710" s="16" t="str">
        <f>Data_Validation!N708</f>
        <v>Pass</v>
      </c>
    </row>
    <row r="711" spans="1:27" x14ac:dyDescent="0.35">
      <c r="A711" s="17" t="s">
        <v>86</v>
      </c>
      <c r="B711" s="3" t="s">
        <v>28</v>
      </c>
      <c r="C711" s="3" t="s">
        <v>29</v>
      </c>
      <c r="D711" s="3" t="s">
        <v>43</v>
      </c>
      <c r="E711" s="3" t="s">
        <v>22</v>
      </c>
      <c r="F711" s="3">
        <v>16463.150000000001</v>
      </c>
      <c r="G711" s="3">
        <v>409941</v>
      </c>
      <c r="H711" s="3">
        <v>25994</v>
      </c>
      <c r="I711" s="3">
        <v>206419.98</v>
      </c>
      <c r="J711" s="3">
        <v>11</v>
      </c>
      <c r="K711" s="15">
        <f t="shared" si="110"/>
        <v>6.3409124727704713E-2</v>
      </c>
      <c r="L711" s="16">
        <f t="shared" si="120"/>
        <v>0.63334423328460421</v>
      </c>
      <c r="M711" s="16">
        <f t="shared" si="111"/>
        <v>40.159803483915987</v>
      </c>
      <c r="N711" s="16">
        <f t="shared" si="112"/>
        <v>12.538304030516638</v>
      </c>
      <c r="O711" s="16">
        <f t="shared" si="113"/>
        <v>11.538304030516638</v>
      </c>
      <c r="P711" s="1">
        <v>2024</v>
      </c>
      <c r="Q711" s="1" t="s">
        <v>74</v>
      </c>
      <c r="R711" s="1" t="s">
        <v>33</v>
      </c>
      <c r="S711" s="70">
        <f>DATE(Table2[[#This Row],[Year]],MONTH(DATEVALUE("1-"&amp;Table2[[#This Row],[Month]]&amp;"-2000")),1)</f>
        <v>45536</v>
      </c>
      <c r="T711" s="16">
        <f t="shared" si="114"/>
        <v>7.9410625528968231</v>
      </c>
      <c r="U711" s="16">
        <f t="shared" si="115"/>
        <v>0.50353582588713985</v>
      </c>
      <c r="V711" s="16">
        <f t="shared" si="116"/>
        <v>1496.65</v>
      </c>
      <c r="W711" s="16">
        <f t="shared" si="117"/>
        <v>18765.452727272728</v>
      </c>
      <c r="X711" s="16">
        <f t="shared" si="118"/>
        <v>2363.090909090909</v>
      </c>
      <c r="Y711" s="16">
        <f t="shared" si="119"/>
        <v>37267.36363636364</v>
      </c>
      <c r="Z711" s="7" t="str" cm="1">
        <f t="array" ref="Z711">_xlfn.IFS(K711&lt;2%,"Low",K711&lt;5%,"Medium",K711&lt;10%,"Good",K711&gt;10%,"Excellent")</f>
        <v>Good</v>
      </c>
      <c r="AA711" s="16" t="str">
        <f>Data_Validation!N709</f>
        <v>Pass</v>
      </c>
    </row>
    <row r="712" spans="1:27" x14ac:dyDescent="0.35">
      <c r="A712" s="17" t="s">
        <v>79</v>
      </c>
      <c r="B712" s="3" t="s">
        <v>35</v>
      </c>
      <c r="C712" s="3" t="s">
        <v>69</v>
      </c>
      <c r="D712" s="3" t="s">
        <v>37</v>
      </c>
      <c r="E712" s="3" t="s">
        <v>22</v>
      </c>
      <c r="F712" s="3">
        <v>13671.59</v>
      </c>
      <c r="G712" s="3">
        <v>199179</v>
      </c>
      <c r="H712" s="3">
        <v>18009</v>
      </c>
      <c r="I712" s="3">
        <v>177161.2</v>
      </c>
      <c r="J712" s="3">
        <v>48</v>
      </c>
      <c r="K712" s="15">
        <f t="shared" si="110"/>
        <v>9.0416158329944415E-2</v>
      </c>
      <c r="L712" s="16">
        <f t="shared" si="120"/>
        <v>0.75915320117718921</v>
      </c>
      <c r="M712" s="16">
        <f t="shared" si="111"/>
        <v>68.639716034320884</v>
      </c>
      <c r="N712" s="16">
        <f t="shared" si="112"/>
        <v>12.958346468845248</v>
      </c>
      <c r="O712" s="16">
        <f t="shared" si="113"/>
        <v>11.958346468845249</v>
      </c>
      <c r="P712" s="1">
        <v>2024</v>
      </c>
      <c r="Q712" s="1" t="s">
        <v>74</v>
      </c>
      <c r="R712" s="1" t="s">
        <v>33</v>
      </c>
      <c r="S712" s="70">
        <f>DATE(Table2[[#This Row],[Year]],MONTH(DATEVALUE("1-"&amp;Table2[[#This Row],[Month]]&amp;"-2000")),1)</f>
        <v>45536</v>
      </c>
      <c r="T712" s="16">
        <f t="shared" si="114"/>
        <v>9.8373702037869961</v>
      </c>
      <c r="U712" s="16">
        <f t="shared" si="115"/>
        <v>0.88945722189588261</v>
      </c>
      <c r="V712" s="16">
        <f t="shared" si="116"/>
        <v>284.82479166666667</v>
      </c>
      <c r="W712" s="16">
        <f t="shared" si="117"/>
        <v>3690.8583333333336</v>
      </c>
      <c r="X712" s="16">
        <f t="shared" si="118"/>
        <v>375.1875</v>
      </c>
      <c r="Y712" s="16">
        <f t="shared" si="119"/>
        <v>4149.5625</v>
      </c>
      <c r="Z712" s="7" t="str" cm="1">
        <f t="array" ref="Z712">_xlfn.IFS(K712&lt;2%,"Low",K712&lt;5%,"Medium",K712&lt;10%,"Good",K712&gt;10%,"Excellent")</f>
        <v>Good</v>
      </c>
      <c r="AA712" s="16" t="str">
        <f>Data_Validation!N710</f>
        <v>Pass</v>
      </c>
    </row>
    <row r="713" spans="1:27" x14ac:dyDescent="0.35">
      <c r="A713" s="17" t="s">
        <v>83</v>
      </c>
      <c r="B713" s="3" t="s">
        <v>35</v>
      </c>
      <c r="C713" s="3" t="s">
        <v>58</v>
      </c>
      <c r="D713" s="3" t="s">
        <v>21</v>
      </c>
      <c r="E713" s="3" t="s">
        <v>38</v>
      </c>
      <c r="F713" s="3">
        <v>7566</v>
      </c>
      <c r="G713" s="3">
        <v>812903</v>
      </c>
      <c r="H713" s="3">
        <v>36160</v>
      </c>
      <c r="I713" s="3">
        <v>231906</v>
      </c>
      <c r="J713" s="3">
        <v>21</v>
      </c>
      <c r="K713" s="15">
        <f t="shared" ref="K713:K776" si="121">H713/G713</f>
        <v>4.4482552038804135E-2</v>
      </c>
      <c r="L713" s="16">
        <f t="shared" si="120"/>
        <v>0.20923672566371682</v>
      </c>
      <c r="M713" s="16">
        <f t="shared" ref="M713:M776" si="122">F713/G713*1000</f>
        <v>9.3073835377652685</v>
      </c>
      <c r="N713" s="16">
        <f t="shared" ref="N713:N776" si="123">I713/F713</f>
        <v>30.651070578905632</v>
      </c>
      <c r="O713" s="16">
        <f t="shared" ref="O713:O776" si="124">(I713-F713)/F713</f>
        <v>29.651070578905632</v>
      </c>
      <c r="P713" s="1">
        <v>2024</v>
      </c>
      <c r="Q713" s="1" t="s">
        <v>74</v>
      </c>
      <c r="R713" s="1" t="s">
        <v>33</v>
      </c>
      <c r="S713" s="70">
        <f>DATE(Table2[[#This Row],[Year]],MONTH(DATEVALUE("1-"&amp;Table2[[#This Row],[Month]]&amp;"-2000")),1)</f>
        <v>45536</v>
      </c>
      <c r="T713" s="16">
        <f t="shared" ref="T713:T776" si="125">I713/H713</f>
        <v>6.4133296460176989</v>
      </c>
      <c r="U713" s="16">
        <f t="shared" ref="U713:U776" si="126">I713/G713</f>
        <v>0.28528126972098761</v>
      </c>
      <c r="V713" s="16">
        <f t="shared" ref="V713:V776" si="127">F713/J713</f>
        <v>360.28571428571428</v>
      </c>
      <c r="W713" s="16">
        <f t="shared" ref="W713:W776" si="128">I713/J713</f>
        <v>11043.142857142857</v>
      </c>
      <c r="X713" s="16">
        <f t="shared" ref="X713:X776" si="129">H713/J713</f>
        <v>1721.9047619047619</v>
      </c>
      <c r="Y713" s="16">
        <f t="shared" ref="Y713:Y776" si="130">G713/J713</f>
        <v>38709.666666666664</v>
      </c>
      <c r="Z713" s="7" t="str" cm="1">
        <f t="array" ref="Z713">_xlfn.IFS(K713&lt;2%,"Low",K713&lt;5%,"Medium",K713&lt;10%,"Good",K713&gt;10%,"Excellent")</f>
        <v>Medium</v>
      </c>
      <c r="AA713" s="16" t="str">
        <f>Data_Validation!N711</f>
        <v>Pass</v>
      </c>
    </row>
    <row r="714" spans="1:27" x14ac:dyDescent="0.35">
      <c r="A714" s="17" t="s">
        <v>90</v>
      </c>
      <c r="B714" s="3" t="s">
        <v>28</v>
      </c>
      <c r="C714" s="3" t="s">
        <v>58</v>
      </c>
      <c r="D714" s="3" t="s">
        <v>51</v>
      </c>
      <c r="E714" s="3" t="s">
        <v>30</v>
      </c>
      <c r="F714" s="3">
        <v>17594.080000000002</v>
      </c>
      <c r="G714" s="3">
        <v>290061</v>
      </c>
      <c r="H714" s="3">
        <v>6540</v>
      </c>
      <c r="I714" s="3">
        <v>67559.259999999995</v>
      </c>
      <c r="J714" s="3">
        <v>47</v>
      </c>
      <c r="K714" s="15">
        <f t="shared" si="121"/>
        <v>2.2546981496995459E-2</v>
      </c>
      <c r="L714" s="16">
        <f t="shared" ref="L714:L777" si="131">F714/H714</f>
        <v>2.6902262996941899</v>
      </c>
      <c r="M714" s="16">
        <f t="shared" si="122"/>
        <v>60.656482601935465</v>
      </c>
      <c r="N714" s="16">
        <f t="shared" si="123"/>
        <v>3.8398859161718026</v>
      </c>
      <c r="O714" s="16">
        <f t="shared" si="124"/>
        <v>2.8398859161718026</v>
      </c>
      <c r="P714" s="1">
        <v>2024</v>
      </c>
      <c r="Q714" s="1" t="s">
        <v>74</v>
      </c>
      <c r="R714" s="1" t="s">
        <v>33</v>
      </c>
      <c r="S714" s="70">
        <f>DATE(Table2[[#This Row],[Year]],MONTH(DATEVALUE("1-"&amp;Table2[[#This Row],[Month]]&amp;"-2000")),1)</f>
        <v>45536</v>
      </c>
      <c r="T714" s="16">
        <f t="shared" si="125"/>
        <v>10.330162079510703</v>
      </c>
      <c r="U714" s="16">
        <f t="shared" si="126"/>
        <v>0.23291397326769195</v>
      </c>
      <c r="V714" s="16">
        <f t="shared" si="127"/>
        <v>374.34212765957449</v>
      </c>
      <c r="W714" s="16">
        <f t="shared" si="128"/>
        <v>1437.431063829787</v>
      </c>
      <c r="X714" s="16">
        <f t="shared" si="129"/>
        <v>139.14893617021278</v>
      </c>
      <c r="Y714" s="16">
        <f t="shared" si="130"/>
        <v>6171.510638297872</v>
      </c>
      <c r="Z714" s="7" t="str" cm="1">
        <f t="array" ref="Z714">_xlfn.IFS(K714&lt;2%,"Low",K714&lt;5%,"Medium",K714&lt;10%,"Good",K714&gt;10%,"Excellent")</f>
        <v>Medium</v>
      </c>
      <c r="AA714" s="16" t="str">
        <f>Data_Validation!N712</f>
        <v>Pass</v>
      </c>
    </row>
    <row r="715" spans="1:27" x14ac:dyDescent="0.35">
      <c r="A715" s="17" t="s">
        <v>113</v>
      </c>
      <c r="B715" s="3" t="s">
        <v>28</v>
      </c>
      <c r="C715" s="3" t="s">
        <v>29</v>
      </c>
      <c r="D715" s="3" t="s">
        <v>37</v>
      </c>
      <c r="E715" s="3" t="s">
        <v>30</v>
      </c>
      <c r="F715" s="3">
        <v>51180.66</v>
      </c>
      <c r="G715" s="3">
        <v>855435</v>
      </c>
      <c r="H715" s="3">
        <v>6665</v>
      </c>
      <c r="I715" s="3">
        <v>5755.74</v>
      </c>
      <c r="J715" s="3">
        <v>9</v>
      </c>
      <c r="K715" s="15">
        <f t="shared" si="121"/>
        <v>7.7913576133779886E-3</v>
      </c>
      <c r="L715" s="16">
        <f t="shared" si="131"/>
        <v>7.6790187546886726</v>
      </c>
      <c r="M715" s="16">
        <f t="shared" si="122"/>
        <v>59.829981237615954</v>
      </c>
      <c r="N715" s="16">
        <f t="shared" si="123"/>
        <v>0.11245927660956305</v>
      </c>
      <c r="O715" s="16">
        <f t="shared" si="124"/>
        <v>-0.88754072339043699</v>
      </c>
      <c r="P715" s="1">
        <v>2024</v>
      </c>
      <c r="Q715" s="1" t="s">
        <v>74</v>
      </c>
      <c r="R715" s="1" t="s">
        <v>33</v>
      </c>
      <c r="S715" s="70">
        <f>DATE(Table2[[#This Row],[Year]],MONTH(DATEVALUE("1-"&amp;Table2[[#This Row],[Month]]&amp;"-2000")),1)</f>
        <v>45536</v>
      </c>
      <c r="T715" s="16">
        <f t="shared" si="125"/>
        <v>0.86357689422355588</v>
      </c>
      <c r="U715" s="16">
        <f t="shared" si="126"/>
        <v>6.7284364095460203E-3</v>
      </c>
      <c r="V715" s="16">
        <f t="shared" si="127"/>
        <v>5686.7400000000007</v>
      </c>
      <c r="W715" s="16">
        <f t="shared" si="128"/>
        <v>639.52666666666664</v>
      </c>
      <c r="X715" s="16">
        <f t="shared" si="129"/>
        <v>740.55555555555554</v>
      </c>
      <c r="Y715" s="16">
        <f t="shared" si="130"/>
        <v>95048.333333333328</v>
      </c>
      <c r="Z715" s="7" t="str" cm="1">
        <f t="array" ref="Z715">_xlfn.IFS(K715&lt;2%,"Low",K715&lt;5%,"Medium",K715&lt;10%,"Good",K715&gt;10%,"Excellent")</f>
        <v>Low</v>
      </c>
      <c r="AA715" s="16" t="str">
        <f>Data_Validation!N713</f>
        <v>Pass</v>
      </c>
    </row>
    <row r="716" spans="1:27" x14ac:dyDescent="0.35">
      <c r="A716" s="17" t="s">
        <v>82</v>
      </c>
      <c r="B716" s="3" t="s">
        <v>19</v>
      </c>
      <c r="C716" s="3" t="s">
        <v>29</v>
      </c>
      <c r="D716" s="3" t="s">
        <v>63</v>
      </c>
      <c r="E716" s="3" t="s">
        <v>22</v>
      </c>
      <c r="F716" s="3">
        <v>637.77</v>
      </c>
      <c r="G716" s="3">
        <v>866795</v>
      </c>
      <c r="H716" s="3">
        <v>36446</v>
      </c>
      <c r="I716" s="3">
        <v>78347.789999999994</v>
      </c>
      <c r="J716" s="3">
        <v>57</v>
      </c>
      <c r="K716" s="15">
        <f t="shared" si="121"/>
        <v>4.204685075479208E-2</v>
      </c>
      <c r="L716" s="16">
        <f t="shared" si="131"/>
        <v>1.7499039675135816E-2</v>
      </c>
      <c r="M716" s="16">
        <f t="shared" si="122"/>
        <v>0.73577950957262095</v>
      </c>
      <c r="N716" s="16">
        <f t="shared" si="123"/>
        <v>122.84646502657698</v>
      </c>
      <c r="O716" s="16">
        <f t="shared" si="124"/>
        <v>121.84646502657696</v>
      </c>
      <c r="P716" s="1">
        <v>2024</v>
      </c>
      <c r="Q716" s="1" t="s">
        <v>74</v>
      </c>
      <c r="R716" s="1" t="s">
        <v>33</v>
      </c>
      <c r="S716" s="70">
        <f>DATE(Table2[[#This Row],[Year]],MONTH(DATEVALUE("1-"&amp;Table2[[#This Row],[Month]]&amp;"-2000")),1)</f>
        <v>45536</v>
      </c>
      <c r="T716" s="16">
        <f t="shared" si="125"/>
        <v>2.1496951654502552</v>
      </c>
      <c r="U716" s="16">
        <f t="shared" si="126"/>
        <v>9.038791178998494E-2</v>
      </c>
      <c r="V716" s="16">
        <f t="shared" si="127"/>
        <v>11.188947368421053</v>
      </c>
      <c r="W716" s="16">
        <f t="shared" si="128"/>
        <v>1374.5226315789473</v>
      </c>
      <c r="X716" s="16">
        <f t="shared" si="129"/>
        <v>639.40350877192986</v>
      </c>
      <c r="Y716" s="16">
        <f t="shared" si="130"/>
        <v>15206.929824561403</v>
      </c>
      <c r="Z716" s="7" t="str" cm="1">
        <f t="array" ref="Z716">_xlfn.IFS(K716&lt;2%,"Low",K716&lt;5%,"Medium",K716&lt;10%,"Good",K716&gt;10%,"Excellent")</f>
        <v>Medium</v>
      </c>
      <c r="AA716" s="16" t="str">
        <f>Data_Validation!N714</f>
        <v>Pass</v>
      </c>
    </row>
    <row r="717" spans="1:27" x14ac:dyDescent="0.35">
      <c r="A717" s="17" t="s">
        <v>84</v>
      </c>
      <c r="B717" s="3" t="s">
        <v>19</v>
      </c>
      <c r="C717" s="3" t="s">
        <v>36</v>
      </c>
      <c r="D717" s="3" t="s">
        <v>51</v>
      </c>
      <c r="E717" s="3" t="s">
        <v>30</v>
      </c>
      <c r="F717" s="3">
        <v>3366.36</v>
      </c>
      <c r="G717" s="3">
        <v>318474</v>
      </c>
      <c r="H717" s="3">
        <v>4190</v>
      </c>
      <c r="I717" s="3">
        <v>95459.61</v>
      </c>
      <c r="J717" s="3">
        <v>38</v>
      </c>
      <c r="K717" s="15">
        <f t="shared" si="121"/>
        <v>1.3156490011743502E-2</v>
      </c>
      <c r="L717" s="16">
        <f t="shared" si="131"/>
        <v>0.80342720763723152</v>
      </c>
      <c r="M717" s="16">
        <f t="shared" si="122"/>
        <v>10.57028203244221</v>
      </c>
      <c r="N717" s="16">
        <f t="shared" si="123"/>
        <v>28.356922610772465</v>
      </c>
      <c r="O717" s="16">
        <f t="shared" si="124"/>
        <v>27.356922610772465</v>
      </c>
      <c r="P717" s="1">
        <v>2024</v>
      </c>
      <c r="Q717" s="1" t="s">
        <v>74</v>
      </c>
      <c r="R717" s="1" t="s">
        <v>33</v>
      </c>
      <c r="S717" s="70">
        <f>DATE(Table2[[#This Row],[Year]],MONTH(DATEVALUE("1-"&amp;Table2[[#This Row],[Month]]&amp;"-2000")),1)</f>
        <v>45536</v>
      </c>
      <c r="T717" s="16">
        <f t="shared" si="125"/>
        <v>22.782723150357995</v>
      </c>
      <c r="U717" s="16">
        <f t="shared" si="126"/>
        <v>0.29974066956800244</v>
      </c>
      <c r="V717" s="16">
        <f t="shared" si="127"/>
        <v>88.588421052631588</v>
      </c>
      <c r="W717" s="16">
        <f t="shared" si="128"/>
        <v>2512.0949999999998</v>
      </c>
      <c r="X717" s="16">
        <f t="shared" si="129"/>
        <v>110.26315789473684</v>
      </c>
      <c r="Y717" s="16">
        <f t="shared" si="130"/>
        <v>8380.894736842105</v>
      </c>
      <c r="Z717" s="7" t="str" cm="1">
        <f t="array" ref="Z717">_xlfn.IFS(K717&lt;2%,"Low",K717&lt;5%,"Medium",K717&lt;10%,"Good",K717&gt;10%,"Excellent")</f>
        <v>Low</v>
      </c>
      <c r="AA717" s="16" t="str">
        <f>Data_Validation!N715</f>
        <v>Pass</v>
      </c>
    </row>
    <row r="718" spans="1:27" x14ac:dyDescent="0.35">
      <c r="A718" s="17" t="s">
        <v>108</v>
      </c>
      <c r="B718" s="3" t="s">
        <v>28</v>
      </c>
      <c r="C718" s="3" t="s">
        <v>20</v>
      </c>
      <c r="D718" s="3" t="s">
        <v>51</v>
      </c>
      <c r="E718" s="3" t="s">
        <v>38</v>
      </c>
      <c r="F718" s="3">
        <v>29279.78</v>
      </c>
      <c r="G718" s="3">
        <v>21307</v>
      </c>
      <c r="H718" s="3">
        <v>30827</v>
      </c>
      <c r="I718" s="3">
        <v>116238.52</v>
      </c>
      <c r="J718" s="3">
        <v>9</v>
      </c>
      <c r="K718" s="15">
        <f t="shared" si="121"/>
        <v>1.4468015206270239</v>
      </c>
      <c r="L718" s="16">
        <f t="shared" si="131"/>
        <v>0.94980958250883962</v>
      </c>
      <c r="M718" s="16">
        <f t="shared" si="122"/>
        <v>1374.185948279908</v>
      </c>
      <c r="N718" s="16">
        <f t="shared" si="123"/>
        <v>3.9699246374118933</v>
      </c>
      <c r="O718" s="16">
        <f t="shared" si="124"/>
        <v>2.9699246374118933</v>
      </c>
      <c r="P718" s="1">
        <v>2024</v>
      </c>
      <c r="Q718" s="1" t="s">
        <v>74</v>
      </c>
      <c r="R718" s="1" t="s">
        <v>33</v>
      </c>
      <c r="S718" s="70">
        <f>DATE(Table2[[#This Row],[Year]],MONTH(DATEVALUE("1-"&amp;Table2[[#This Row],[Month]]&amp;"-2000")),1)</f>
        <v>45536</v>
      </c>
      <c r="T718" s="16">
        <f t="shared" si="125"/>
        <v>3.7706724624517469</v>
      </c>
      <c r="U718" s="16">
        <f t="shared" si="126"/>
        <v>5.4554146524616325</v>
      </c>
      <c r="V718" s="16">
        <f t="shared" si="127"/>
        <v>3253.3088888888888</v>
      </c>
      <c r="W718" s="16">
        <f t="shared" si="128"/>
        <v>12915.391111111112</v>
      </c>
      <c r="X718" s="16">
        <f t="shared" si="129"/>
        <v>3425.2222222222222</v>
      </c>
      <c r="Y718" s="16">
        <f t="shared" si="130"/>
        <v>2367.4444444444443</v>
      </c>
      <c r="Z718" s="7" t="str" cm="1">
        <f t="array" ref="Z718">_xlfn.IFS(K718&lt;2%,"Low",K718&lt;5%,"Medium",K718&lt;10%,"Good",K718&gt;10%,"Excellent")</f>
        <v>Excellent</v>
      </c>
      <c r="AA718" s="16" t="str">
        <f>Data_Validation!N716</f>
        <v>Fail</v>
      </c>
    </row>
    <row r="719" spans="1:27" x14ac:dyDescent="0.35">
      <c r="A719" s="17" t="s">
        <v>100</v>
      </c>
      <c r="B719" s="3" t="s">
        <v>48</v>
      </c>
      <c r="C719" s="3" t="s">
        <v>58</v>
      </c>
      <c r="D719" s="3" t="s">
        <v>21</v>
      </c>
      <c r="E719" s="3" t="s">
        <v>22</v>
      </c>
      <c r="F719" s="3">
        <v>22730.28</v>
      </c>
      <c r="G719" s="3">
        <v>636495</v>
      </c>
      <c r="H719" s="3">
        <v>3865</v>
      </c>
      <c r="I719" s="3">
        <v>236700.39</v>
      </c>
      <c r="J719" s="3">
        <v>47</v>
      </c>
      <c r="K719" s="15">
        <f t="shared" si="121"/>
        <v>6.0723179286561561E-3</v>
      </c>
      <c r="L719" s="16">
        <f t="shared" si="131"/>
        <v>5.8810556274256145</v>
      </c>
      <c r="M719" s="16">
        <f t="shared" si="122"/>
        <v>35.711639525840738</v>
      </c>
      <c r="N719" s="16">
        <f t="shared" si="123"/>
        <v>10.413439253717948</v>
      </c>
      <c r="O719" s="16">
        <f t="shared" si="124"/>
        <v>9.4134392537179483</v>
      </c>
      <c r="P719" s="1">
        <v>2024</v>
      </c>
      <c r="Q719" s="1" t="s">
        <v>74</v>
      </c>
      <c r="R719" s="1" t="s">
        <v>33</v>
      </c>
      <c r="S719" s="70">
        <f>DATE(Table2[[#This Row],[Year]],MONTH(DATEVALUE("1-"&amp;Table2[[#This Row],[Month]]&amp;"-2000")),1)</f>
        <v>45536</v>
      </c>
      <c r="T719" s="16">
        <f t="shared" si="125"/>
        <v>61.242015523932736</v>
      </c>
      <c r="U719" s="16">
        <f t="shared" si="126"/>
        <v>0.37188098885301535</v>
      </c>
      <c r="V719" s="16">
        <f t="shared" si="127"/>
        <v>483.62297872340423</v>
      </c>
      <c r="W719" s="16">
        <f t="shared" si="128"/>
        <v>5036.1785106382986</v>
      </c>
      <c r="X719" s="16">
        <f t="shared" si="129"/>
        <v>82.234042553191486</v>
      </c>
      <c r="Y719" s="16">
        <f t="shared" si="130"/>
        <v>13542.446808510638</v>
      </c>
      <c r="Z719" s="7" t="str" cm="1">
        <f t="array" ref="Z719">_xlfn.IFS(K719&lt;2%,"Low",K719&lt;5%,"Medium",K719&lt;10%,"Good",K719&gt;10%,"Excellent")</f>
        <v>Low</v>
      </c>
      <c r="AA719" s="16" t="str">
        <f>Data_Validation!N717</f>
        <v>Pass</v>
      </c>
    </row>
    <row r="720" spans="1:27" x14ac:dyDescent="0.35">
      <c r="A720" s="17" t="s">
        <v>75</v>
      </c>
      <c r="B720" s="3" t="s">
        <v>35</v>
      </c>
      <c r="C720" s="3" t="s">
        <v>20</v>
      </c>
      <c r="D720" s="3" t="s">
        <v>51</v>
      </c>
      <c r="E720" s="3" t="s">
        <v>30</v>
      </c>
      <c r="F720" s="3">
        <v>16999.87</v>
      </c>
      <c r="G720" s="3">
        <v>70144</v>
      </c>
      <c r="H720" s="3">
        <v>5017</v>
      </c>
      <c r="I720" s="3">
        <v>169440.05</v>
      </c>
      <c r="J720" s="3">
        <v>33</v>
      </c>
      <c r="K720" s="15">
        <f t="shared" si="121"/>
        <v>7.1524292883211674E-2</v>
      </c>
      <c r="L720" s="16">
        <f t="shared" si="131"/>
        <v>3.388453258919673</v>
      </c>
      <c r="M720" s="16">
        <f t="shared" si="122"/>
        <v>242.35672331204378</v>
      </c>
      <c r="N720" s="16">
        <f t="shared" si="123"/>
        <v>9.9671379839963485</v>
      </c>
      <c r="O720" s="16">
        <f t="shared" si="124"/>
        <v>8.9671379839963485</v>
      </c>
      <c r="P720" s="1">
        <v>2024</v>
      </c>
      <c r="Q720" s="1" t="s">
        <v>74</v>
      </c>
      <c r="R720" s="1" t="s">
        <v>33</v>
      </c>
      <c r="S720" s="70">
        <f>DATE(Table2[[#This Row],[Year]],MONTH(DATEVALUE("1-"&amp;Table2[[#This Row],[Month]]&amp;"-2000")),1)</f>
        <v>45536</v>
      </c>
      <c r="T720" s="16">
        <f t="shared" si="125"/>
        <v>33.773181183974486</v>
      </c>
      <c r="U720" s="16">
        <f t="shared" si="126"/>
        <v>2.4156029026003649</v>
      </c>
      <c r="V720" s="16">
        <f t="shared" si="127"/>
        <v>515.14757575757574</v>
      </c>
      <c r="W720" s="16">
        <f t="shared" si="128"/>
        <v>5134.5469696969694</v>
      </c>
      <c r="X720" s="16">
        <f t="shared" si="129"/>
        <v>152.03030303030303</v>
      </c>
      <c r="Y720" s="16">
        <f t="shared" si="130"/>
        <v>2125.5757575757575</v>
      </c>
      <c r="Z720" s="7" t="str" cm="1">
        <f t="array" ref="Z720">_xlfn.IFS(K720&lt;2%,"Low",K720&lt;5%,"Medium",K720&lt;10%,"Good",K720&gt;10%,"Excellent")</f>
        <v>Good</v>
      </c>
      <c r="AA720" s="16" t="str">
        <f>Data_Validation!N718</f>
        <v>Pass</v>
      </c>
    </row>
    <row r="721" spans="1:27" x14ac:dyDescent="0.35">
      <c r="A721" s="17" t="s">
        <v>72</v>
      </c>
      <c r="B721" s="3" t="s">
        <v>19</v>
      </c>
      <c r="C721" s="3" t="s">
        <v>36</v>
      </c>
      <c r="D721" s="3" t="s">
        <v>21</v>
      </c>
      <c r="E721" s="3" t="s">
        <v>38</v>
      </c>
      <c r="F721" s="3">
        <v>39983.339999999997</v>
      </c>
      <c r="G721" s="3">
        <v>700909</v>
      </c>
      <c r="H721" s="3">
        <v>34273</v>
      </c>
      <c r="I721" s="3">
        <v>78899.429999999993</v>
      </c>
      <c r="J721" s="3">
        <v>8</v>
      </c>
      <c r="K721" s="15">
        <f t="shared" si="121"/>
        <v>4.889793111516616E-2</v>
      </c>
      <c r="L721" s="16">
        <f t="shared" si="131"/>
        <v>1.1666133691243836</v>
      </c>
      <c r="M721" s="16">
        <f t="shared" si="122"/>
        <v>57.044980161476019</v>
      </c>
      <c r="N721" s="16">
        <f t="shared" si="123"/>
        <v>1.97330763262899</v>
      </c>
      <c r="O721" s="16">
        <f t="shared" si="124"/>
        <v>0.97330763262899</v>
      </c>
      <c r="P721" s="1">
        <v>2024</v>
      </c>
      <c r="Q721" s="1" t="s">
        <v>74</v>
      </c>
      <c r="R721" s="1" t="s">
        <v>33</v>
      </c>
      <c r="S721" s="70">
        <f>DATE(Table2[[#This Row],[Year]],MONTH(DATEVALUE("1-"&amp;Table2[[#This Row],[Month]]&amp;"-2000")),1)</f>
        <v>45536</v>
      </c>
      <c r="T721" s="16">
        <f t="shared" si="125"/>
        <v>2.3020870656201673</v>
      </c>
      <c r="U721" s="16">
        <f t="shared" si="126"/>
        <v>0.11256729475580994</v>
      </c>
      <c r="V721" s="16">
        <f t="shared" si="127"/>
        <v>4997.9174999999996</v>
      </c>
      <c r="W721" s="16">
        <f t="shared" si="128"/>
        <v>9862.4287499999991</v>
      </c>
      <c r="X721" s="16">
        <f t="shared" si="129"/>
        <v>4284.125</v>
      </c>
      <c r="Y721" s="16">
        <f t="shared" si="130"/>
        <v>87613.625</v>
      </c>
      <c r="Z721" s="7" t="str" cm="1">
        <f t="array" ref="Z721">_xlfn.IFS(K721&lt;2%,"Low",K721&lt;5%,"Medium",K721&lt;10%,"Good",K721&gt;10%,"Excellent")</f>
        <v>Medium</v>
      </c>
      <c r="AA721" s="16" t="str">
        <f>Data_Validation!N719</f>
        <v>Pass</v>
      </c>
    </row>
    <row r="722" spans="1:27" x14ac:dyDescent="0.35">
      <c r="A722" s="17" t="s">
        <v>71</v>
      </c>
      <c r="B722" s="3" t="s">
        <v>35</v>
      </c>
      <c r="C722" s="3" t="s">
        <v>58</v>
      </c>
      <c r="D722" s="3" t="s">
        <v>51</v>
      </c>
      <c r="E722" s="3" t="s">
        <v>38</v>
      </c>
      <c r="F722" s="3">
        <v>5835.39</v>
      </c>
      <c r="G722" s="3">
        <v>930047</v>
      </c>
      <c r="H722" s="3">
        <v>20848</v>
      </c>
      <c r="I722" s="3">
        <v>78435.16</v>
      </c>
      <c r="J722" s="3">
        <v>42</v>
      </c>
      <c r="K722" s="15">
        <f t="shared" si="121"/>
        <v>2.241607144585166E-2</v>
      </c>
      <c r="L722" s="16">
        <f t="shared" si="131"/>
        <v>0.2799016692248657</v>
      </c>
      <c r="M722" s="16">
        <f t="shared" si="122"/>
        <v>6.2742958151577284</v>
      </c>
      <c r="N722" s="16">
        <f t="shared" si="123"/>
        <v>13.441288414313354</v>
      </c>
      <c r="O722" s="16">
        <f t="shared" si="124"/>
        <v>12.441288414313354</v>
      </c>
      <c r="P722" s="1">
        <v>2024</v>
      </c>
      <c r="Q722" s="1" t="s">
        <v>74</v>
      </c>
      <c r="R722" s="1" t="s">
        <v>33</v>
      </c>
      <c r="S722" s="70">
        <f>DATE(Table2[[#This Row],[Year]],MONTH(DATEVALUE("1-"&amp;Table2[[#This Row],[Month]]&amp;"-2000")),1)</f>
        <v>45536</v>
      </c>
      <c r="T722" s="16">
        <f t="shared" si="125"/>
        <v>3.7622390636991558</v>
      </c>
      <c r="U722" s="16">
        <f t="shared" si="126"/>
        <v>8.4334619648254339E-2</v>
      </c>
      <c r="V722" s="16">
        <f t="shared" si="127"/>
        <v>138.93785714285715</v>
      </c>
      <c r="W722" s="16">
        <f t="shared" si="128"/>
        <v>1867.5038095238097</v>
      </c>
      <c r="X722" s="16">
        <f t="shared" si="129"/>
        <v>496.38095238095241</v>
      </c>
      <c r="Y722" s="16">
        <f t="shared" si="130"/>
        <v>22143.976190476191</v>
      </c>
      <c r="Z722" s="7" t="str" cm="1">
        <f t="array" ref="Z722">_xlfn.IFS(K722&lt;2%,"Low",K722&lt;5%,"Medium",K722&lt;10%,"Good",K722&gt;10%,"Excellent")</f>
        <v>Medium</v>
      </c>
      <c r="AA722" s="16" t="str">
        <f>Data_Validation!N720</f>
        <v>Pass</v>
      </c>
    </row>
    <row r="723" spans="1:27" x14ac:dyDescent="0.35">
      <c r="A723" s="17" t="s">
        <v>109</v>
      </c>
      <c r="B723" s="3" t="s">
        <v>35</v>
      </c>
      <c r="C723" s="3" t="s">
        <v>58</v>
      </c>
      <c r="D723" s="3" t="s">
        <v>37</v>
      </c>
      <c r="E723" s="3" t="s">
        <v>38</v>
      </c>
      <c r="F723" s="3">
        <v>30298.99</v>
      </c>
      <c r="G723" s="3">
        <v>541958</v>
      </c>
      <c r="H723" s="3">
        <v>33504</v>
      </c>
      <c r="I723" s="3">
        <v>135423.26</v>
      </c>
      <c r="J723" s="3">
        <v>53</v>
      </c>
      <c r="K723" s="15">
        <f t="shared" si="121"/>
        <v>6.1820288657054606E-2</v>
      </c>
      <c r="L723" s="16">
        <f t="shared" si="131"/>
        <v>0.90433948185291313</v>
      </c>
      <c r="M723" s="16">
        <f t="shared" si="122"/>
        <v>55.906527812118284</v>
      </c>
      <c r="N723" s="16">
        <f t="shared" si="123"/>
        <v>4.4695635069023751</v>
      </c>
      <c r="O723" s="16">
        <f t="shared" si="124"/>
        <v>3.4695635069023751</v>
      </c>
      <c r="P723" s="1">
        <v>2024</v>
      </c>
      <c r="Q723" s="1" t="s">
        <v>74</v>
      </c>
      <c r="R723" s="1" t="s">
        <v>33</v>
      </c>
      <c r="S723" s="70">
        <f>DATE(Table2[[#This Row],[Year]],MONTH(DATEVALUE("1-"&amp;Table2[[#This Row],[Month]]&amp;"-2000")),1)</f>
        <v>45536</v>
      </c>
      <c r="T723" s="16">
        <f t="shared" si="125"/>
        <v>4.0420027459407839</v>
      </c>
      <c r="U723" s="16">
        <f t="shared" si="126"/>
        <v>0.24987777650666659</v>
      </c>
      <c r="V723" s="16">
        <f t="shared" si="127"/>
        <v>571.67905660377357</v>
      </c>
      <c r="W723" s="16">
        <f t="shared" si="128"/>
        <v>2555.155849056604</v>
      </c>
      <c r="X723" s="16">
        <f t="shared" si="129"/>
        <v>632.15094339622647</v>
      </c>
      <c r="Y723" s="16">
        <f t="shared" si="130"/>
        <v>10225.622641509433</v>
      </c>
      <c r="Z723" s="7" t="str" cm="1">
        <f t="array" ref="Z723">_xlfn.IFS(K723&lt;2%,"Low",K723&lt;5%,"Medium",K723&lt;10%,"Good",K723&gt;10%,"Excellent")</f>
        <v>Good</v>
      </c>
      <c r="AA723" s="16" t="str">
        <f>Data_Validation!N721</f>
        <v>Pass</v>
      </c>
    </row>
    <row r="724" spans="1:27" x14ac:dyDescent="0.35">
      <c r="A724" s="17" t="s">
        <v>27</v>
      </c>
      <c r="B724" s="3" t="s">
        <v>19</v>
      </c>
      <c r="C724" s="3" t="s">
        <v>58</v>
      </c>
      <c r="D724" s="3" t="s">
        <v>43</v>
      </c>
      <c r="E724" s="3" t="s">
        <v>22</v>
      </c>
      <c r="F724" s="3">
        <v>16029.07</v>
      </c>
      <c r="G724" s="3">
        <v>757528</v>
      </c>
      <c r="H724" s="3">
        <v>49802</v>
      </c>
      <c r="I724" s="3">
        <v>169363.22</v>
      </c>
      <c r="J724" s="3">
        <v>28</v>
      </c>
      <c r="K724" s="15">
        <f t="shared" si="121"/>
        <v>6.5742784425130166E-2</v>
      </c>
      <c r="L724" s="16">
        <f t="shared" si="131"/>
        <v>0.32185594956025859</v>
      </c>
      <c r="M724" s="16">
        <f t="shared" si="122"/>
        <v>21.159706307885649</v>
      </c>
      <c r="N724" s="16">
        <f t="shared" si="123"/>
        <v>10.56600414122591</v>
      </c>
      <c r="O724" s="16">
        <f t="shared" si="124"/>
        <v>9.5660041412259105</v>
      </c>
      <c r="P724" s="1">
        <v>2024</v>
      </c>
      <c r="Q724" s="1" t="s">
        <v>74</v>
      </c>
      <c r="R724" s="1" t="s">
        <v>33</v>
      </c>
      <c r="S724" s="70">
        <f>DATE(Table2[[#This Row],[Year]],MONTH(DATEVALUE("1-"&amp;Table2[[#This Row],[Month]]&amp;"-2000")),1)</f>
        <v>45536</v>
      </c>
      <c r="T724" s="16">
        <f t="shared" si="125"/>
        <v>3.4007312959318905</v>
      </c>
      <c r="U724" s="16">
        <f t="shared" si="126"/>
        <v>0.22357354447624378</v>
      </c>
      <c r="V724" s="16">
        <f t="shared" si="127"/>
        <v>572.46678571428572</v>
      </c>
      <c r="W724" s="16">
        <f t="shared" si="128"/>
        <v>6048.6864285714282</v>
      </c>
      <c r="X724" s="16">
        <f t="shared" si="129"/>
        <v>1778.6428571428571</v>
      </c>
      <c r="Y724" s="16">
        <f t="shared" si="130"/>
        <v>27054.571428571428</v>
      </c>
      <c r="Z724" s="7" t="str" cm="1">
        <f t="array" ref="Z724">_xlfn.IFS(K724&lt;2%,"Low",K724&lt;5%,"Medium",K724&lt;10%,"Good",K724&gt;10%,"Excellent")</f>
        <v>Good</v>
      </c>
      <c r="AA724" s="16" t="str">
        <f>Data_Validation!N722</f>
        <v>Pass</v>
      </c>
    </row>
    <row r="725" spans="1:27" x14ac:dyDescent="0.35">
      <c r="A725" s="17" t="s">
        <v>18</v>
      </c>
      <c r="B725" s="3" t="s">
        <v>48</v>
      </c>
      <c r="C725" s="3" t="s">
        <v>69</v>
      </c>
      <c r="D725" s="3" t="s">
        <v>37</v>
      </c>
      <c r="E725" s="3" t="s">
        <v>22</v>
      </c>
      <c r="F725" s="3">
        <v>34746.28</v>
      </c>
      <c r="G725" s="3">
        <v>321893</v>
      </c>
      <c r="H725" s="3">
        <v>40370</v>
      </c>
      <c r="I725" s="3">
        <v>149591.25</v>
      </c>
      <c r="J725" s="3">
        <v>17</v>
      </c>
      <c r="K725" s="15">
        <f t="shared" si="121"/>
        <v>0.12541434576085841</v>
      </c>
      <c r="L725" s="16">
        <f t="shared" si="131"/>
        <v>0.86069556601436703</v>
      </c>
      <c r="M725" s="16">
        <f t="shared" si="122"/>
        <v>107.94357131096358</v>
      </c>
      <c r="N725" s="16">
        <f t="shared" si="123"/>
        <v>4.3052450506931965</v>
      </c>
      <c r="O725" s="16">
        <f t="shared" si="124"/>
        <v>3.3052450506931965</v>
      </c>
      <c r="P725" s="1">
        <v>2024</v>
      </c>
      <c r="Q725" s="1" t="s">
        <v>74</v>
      </c>
      <c r="R725" s="1" t="s">
        <v>33</v>
      </c>
      <c r="S725" s="70">
        <f>DATE(Table2[[#This Row],[Year]],MONTH(DATEVALUE("1-"&amp;Table2[[#This Row],[Month]]&amp;"-2000")),1)</f>
        <v>45536</v>
      </c>
      <c r="T725" s="16">
        <f t="shared" si="125"/>
        <v>3.7055053257369335</v>
      </c>
      <c r="U725" s="16">
        <f t="shared" si="126"/>
        <v>0.46472352614067408</v>
      </c>
      <c r="V725" s="16">
        <f t="shared" si="127"/>
        <v>2043.8988235294116</v>
      </c>
      <c r="W725" s="16">
        <f t="shared" si="128"/>
        <v>8799.4852941176468</v>
      </c>
      <c r="X725" s="16">
        <f t="shared" si="129"/>
        <v>2374.705882352941</v>
      </c>
      <c r="Y725" s="16">
        <f t="shared" si="130"/>
        <v>18934.882352941175</v>
      </c>
      <c r="Z725" s="7" t="str" cm="1">
        <f t="array" ref="Z725">_xlfn.IFS(K725&lt;2%,"Low",K725&lt;5%,"Medium",K725&lt;10%,"Good",K725&gt;10%,"Excellent")</f>
        <v>Excellent</v>
      </c>
      <c r="AA725" s="16" t="str">
        <f>Data_Validation!N723</f>
        <v>Pass</v>
      </c>
    </row>
    <row r="726" spans="1:27" x14ac:dyDescent="0.35">
      <c r="A726" s="17" t="s">
        <v>113</v>
      </c>
      <c r="B726" s="3" t="s">
        <v>19</v>
      </c>
      <c r="C726" s="3" t="s">
        <v>20</v>
      </c>
      <c r="D726" s="3" t="s">
        <v>37</v>
      </c>
      <c r="E726" s="3" t="s">
        <v>22</v>
      </c>
      <c r="F726" s="3">
        <v>41271.94</v>
      </c>
      <c r="G726" s="3">
        <v>470197</v>
      </c>
      <c r="H726" s="3">
        <v>28117</v>
      </c>
      <c r="I726" s="3">
        <v>158240.32000000001</v>
      </c>
      <c r="J726" s="3">
        <v>41</v>
      </c>
      <c r="K726" s="15">
        <f t="shared" si="121"/>
        <v>5.979833984478846E-2</v>
      </c>
      <c r="L726" s="16">
        <f t="shared" si="131"/>
        <v>1.4678642813955971</v>
      </c>
      <c r="M726" s="16">
        <f t="shared" si="122"/>
        <v>87.775847144920107</v>
      </c>
      <c r="N726" s="16">
        <f t="shared" si="123"/>
        <v>3.8340896987153985</v>
      </c>
      <c r="O726" s="16">
        <f t="shared" si="124"/>
        <v>2.8340896987153985</v>
      </c>
      <c r="P726" s="1">
        <v>2024</v>
      </c>
      <c r="Q726" s="1" t="s">
        <v>74</v>
      </c>
      <c r="R726" s="1" t="s">
        <v>33</v>
      </c>
      <c r="S726" s="70">
        <f>DATE(Table2[[#This Row],[Year]],MONTH(DATEVALUE("1-"&amp;Table2[[#This Row],[Month]]&amp;"-2000")),1)</f>
        <v>45536</v>
      </c>
      <c r="T726" s="16">
        <f t="shared" si="125"/>
        <v>5.6279233204111394</v>
      </c>
      <c r="U726" s="16">
        <f t="shared" si="126"/>
        <v>0.33654047133435561</v>
      </c>
      <c r="V726" s="16">
        <f t="shared" si="127"/>
        <v>1006.6326829268294</v>
      </c>
      <c r="W726" s="16">
        <f t="shared" si="128"/>
        <v>3859.52</v>
      </c>
      <c r="X726" s="16">
        <f t="shared" si="129"/>
        <v>685.78048780487802</v>
      </c>
      <c r="Y726" s="16">
        <f t="shared" si="130"/>
        <v>11468.219512195123</v>
      </c>
      <c r="Z726" s="7" t="str" cm="1">
        <f t="array" ref="Z726">_xlfn.IFS(K726&lt;2%,"Low",K726&lt;5%,"Medium",K726&lt;10%,"Good",K726&gt;10%,"Excellent")</f>
        <v>Good</v>
      </c>
      <c r="AA726" s="16" t="str">
        <f>Data_Validation!N724</f>
        <v>Pass</v>
      </c>
    </row>
    <row r="727" spans="1:27" x14ac:dyDescent="0.35">
      <c r="A727" s="17" t="s">
        <v>81</v>
      </c>
      <c r="B727" s="3" t="s">
        <v>28</v>
      </c>
      <c r="C727" s="3" t="s">
        <v>36</v>
      </c>
      <c r="D727" s="3" t="s">
        <v>37</v>
      </c>
      <c r="E727" s="3" t="s">
        <v>38</v>
      </c>
      <c r="F727" s="3">
        <v>45621.65</v>
      </c>
      <c r="G727" s="3">
        <v>858083</v>
      </c>
      <c r="H727" s="3">
        <v>4400</v>
      </c>
      <c r="I727" s="3">
        <v>51146.63</v>
      </c>
      <c r="J727" s="3">
        <v>29</v>
      </c>
      <c r="K727" s="15">
        <f t="shared" si="121"/>
        <v>5.1277090910786024E-3</v>
      </c>
      <c r="L727" s="16">
        <f t="shared" si="131"/>
        <v>10.368556818181819</v>
      </c>
      <c r="M727" s="16">
        <f t="shared" si="122"/>
        <v>53.166943057955933</v>
      </c>
      <c r="N727" s="16">
        <f t="shared" si="123"/>
        <v>1.1211043440997859</v>
      </c>
      <c r="O727" s="16">
        <f t="shared" si="124"/>
        <v>0.12110434409978586</v>
      </c>
      <c r="P727" s="1">
        <v>2024</v>
      </c>
      <c r="Q727" s="1" t="s">
        <v>74</v>
      </c>
      <c r="R727" s="1" t="s">
        <v>33</v>
      </c>
      <c r="S727" s="70">
        <f>DATE(Table2[[#This Row],[Year]],MONTH(DATEVALUE("1-"&amp;Table2[[#This Row],[Month]]&amp;"-2000")),1)</f>
        <v>45536</v>
      </c>
      <c r="T727" s="16">
        <f t="shared" si="125"/>
        <v>11.62423409090909</v>
      </c>
      <c r="U727" s="16">
        <f t="shared" si="126"/>
        <v>5.9605690824780351E-2</v>
      </c>
      <c r="V727" s="16">
        <f t="shared" si="127"/>
        <v>1573.1603448275862</v>
      </c>
      <c r="W727" s="16">
        <f t="shared" si="128"/>
        <v>1763.676896551724</v>
      </c>
      <c r="X727" s="16">
        <f t="shared" si="129"/>
        <v>151.72413793103448</v>
      </c>
      <c r="Y727" s="16">
        <f t="shared" si="130"/>
        <v>29589.068965517243</v>
      </c>
      <c r="Z727" s="7" t="str" cm="1">
        <f t="array" ref="Z727">_xlfn.IFS(K727&lt;2%,"Low",K727&lt;5%,"Medium",K727&lt;10%,"Good",K727&gt;10%,"Excellent")</f>
        <v>Low</v>
      </c>
      <c r="AA727" s="16" t="str">
        <f>Data_Validation!N725</f>
        <v>Pass</v>
      </c>
    </row>
    <row r="728" spans="1:27" x14ac:dyDescent="0.35">
      <c r="A728" s="17" t="s">
        <v>78</v>
      </c>
      <c r="B728" s="3" t="s">
        <v>35</v>
      </c>
      <c r="C728" s="3" t="s">
        <v>36</v>
      </c>
      <c r="D728" s="3" t="s">
        <v>21</v>
      </c>
      <c r="E728" s="3" t="s">
        <v>30</v>
      </c>
      <c r="F728" s="3">
        <v>16232.43</v>
      </c>
      <c r="G728" s="3">
        <v>923671</v>
      </c>
      <c r="H728" s="3">
        <v>12367</v>
      </c>
      <c r="I728" s="3">
        <v>56711.75</v>
      </c>
      <c r="J728" s="3">
        <v>57</v>
      </c>
      <c r="K728" s="15">
        <f t="shared" si="121"/>
        <v>1.3388966417696345E-2</v>
      </c>
      <c r="L728" s="16">
        <f t="shared" si="131"/>
        <v>1.3125600388129701</v>
      </c>
      <c r="M728" s="16">
        <f t="shared" si="122"/>
        <v>17.573822280877067</v>
      </c>
      <c r="N728" s="16">
        <f t="shared" si="123"/>
        <v>3.4937313760170228</v>
      </c>
      <c r="O728" s="16">
        <f t="shared" si="124"/>
        <v>2.4937313760170228</v>
      </c>
      <c r="P728" s="1">
        <v>2024</v>
      </c>
      <c r="Q728" s="1" t="s">
        <v>74</v>
      </c>
      <c r="R728" s="1" t="s">
        <v>33</v>
      </c>
      <c r="S728" s="70">
        <f>DATE(Table2[[#This Row],[Year]],MONTH(DATEVALUE("1-"&amp;Table2[[#This Row],[Month]]&amp;"-2000")),1)</f>
        <v>45536</v>
      </c>
      <c r="T728" s="16">
        <f t="shared" si="125"/>
        <v>4.5857321905069943</v>
      </c>
      <c r="U728" s="16">
        <f t="shared" si="126"/>
        <v>6.1398214299247245E-2</v>
      </c>
      <c r="V728" s="16">
        <f t="shared" si="127"/>
        <v>284.77947368421053</v>
      </c>
      <c r="W728" s="16">
        <f t="shared" si="128"/>
        <v>994.94298245614038</v>
      </c>
      <c r="X728" s="16">
        <f t="shared" si="129"/>
        <v>216.96491228070175</v>
      </c>
      <c r="Y728" s="16">
        <f t="shared" si="130"/>
        <v>16204.754385964912</v>
      </c>
      <c r="Z728" s="7" t="str" cm="1">
        <f t="array" ref="Z728">_xlfn.IFS(K728&lt;2%,"Low",K728&lt;5%,"Medium",K728&lt;10%,"Good",K728&gt;10%,"Excellent")</f>
        <v>Low</v>
      </c>
      <c r="AA728" s="16" t="str">
        <f>Data_Validation!N726</f>
        <v>Pass</v>
      </c>
    </row>
    <row r="729" spans="1:27" x14ac:dyDescent="0.35">
      <c r="A729" s="17" t="s">
        <v>72</v>
      </c>
      <c r="B729" s="3" t="s">
        <v>48</v>
      </c>
      <c r="C729" s="3" t="s">
        <v>20</v>
      </c>
      <c r="D729" s="3" t="s">
        <v>43</v>
      </c>
      <c r="E729" s="3" t="s">
        <v>30</v>
      </c>
      <c r="F729" s="3">
        <v>6413.84</v>
      </c>
      <c r="G729" s="3">
        <v>715034</v>
      </c>
      <c r="H729" s="3">
        <v>8794</v>
      </c>
      <c r="I729" s="3">
        <v>245427.20000000001</v>
      </c>
      <c r="J729" s="3">
        <v>51</v>
      </c>
      <c r="K729" s="15">
        <f t="shared" si="121"/>
        <v>1.2298715865259553E-2</v>
      </c>
      <c r="L729" s="16">
        <f t="shared" si="131"/>
        <v>0.72934273368205593</v>
      </c>
      <c r="M729" s="16">
        <f t="shared" si="122"/>
        <v>8.9699790499472751</v>
      </c>
      <c r="N729" s="16">
        <f t="shared" si="123"/>
        <v>38.26525139386078</v>
      </c>
      <c r="O729" s="16">
        <f t="shared" si="124"/>
        <v>37.26525139386078</v>
      </c>
      <c r="P729" s="1">
        <v>2024</v>
      </c>
      <c r="Q729" s="1" t="s">
        <v>24</v>
      </c>
      <c r="R729" s="1" t="s">
        <v>25</v>
      </c>
      <c r="S729" s="70">
        <f>DATE(Table2[[#This Row],[Year]],MONTH(DATEVALUE("1-"&amp;Table2[[#This Row],[Month]]&amp;"-2000")),1)</f>
        <v>45566</v>
      </c>
      <c r="T729" s="16">
        <f t="shared" si="125"/>
        <v>27.908483056629521</v>
      </c>
      <c r="U729" s="16">
        <f t="shared" si="126"/>
        <v>0.34323850334389694</v>
      </c>
      <c r="V729" s="16">
        <f t="shared" si="127"/>
        <v>125.76156862745098</v>
      </c>
      <c r="W729" s="16">
        <f t="shared" si="128"/>
        <v>4812.2980392156869</v>
      </c>
      <c r="X729" s="16">
        <f t="shared" si="129"/>
        <v>172.43137254901961</v>
      </c>
      <c r="Y729" s="16">
        <f t="shared" si="130"/>
        <v>14020.274509803921</v>
      </c>
      <c r="Z729" s="7" t="str" cm="1">
        <f t="array" ref="Z729">_xlfn.IFS(K729&lt;2%,"Low",K729&lt;5%,"Medium",K729&lt;10%,"Good",K729&gt;10%,"Excellent")</f>
        <v>Low</v>
      </c>
      <c r="AA729" s="16" t="str">
        <f>Data_Validation!N727</f>
        <v>Pass</v>
      </c>
    </row>
    <row r="730" spans="1:27" x14ac:dyDescent="0.35">
      <c r="A730" s="17" t="s">
        <v>50</v>
      </c>
      <c r="B730" s="3" t="s">
        <v>28</v>
      </c>
      <c r="C730" s="3" t="s">
        <v>58</v>
      </c>
      <c r="D730" s="3" t="s">
        <v>59</v>
      </c>
      <c r="E730" s="3" t="s">
        <v>38</v>
      </c>
      <c r="F730" s="3">
        <v>48090.31</v>
      </c>
      <c r="G730" s="3">
        <v>915115</v>
      </c>
      <c r="H730" s="3">
        <v>47156</v>
      </c>
      <c r="I730" s="3">
        <v>232255.84</v>
      </c>
      <c r="J730" s="3">
        <v>9</v>
      </c>
      <c r="K730" s="15">
        <f t="shared" si="121"/>
        <v>5.153013555673331E-2</v>
      </c>
      <c r="L730" s="16">
        <f t="shared" si="131"/>
        <v>1.0198131732971414</v>
      </c>
      <c r="M730" s="16">
        <f t="shared" si="122"/>
        <v>52.551111062544052</v>
      </c>
      <c r="N730" s="16">
        <f t="shared" si="123"/>
        <v>4.8295766860309284</v>
      </c>
      <c r="O730" s="16">
        <f t="shared" si="124"/>
        <v>3.8295766860309284</v>
      </c>
      <c r="P730" s="1">
        <v>2024</v>
      </c>
      <c r="Q730" s="1" t="s">
        <v>24</v>
      </c>
      <c r="R730" s="1" t="s">
        <v>25</v>
      </c>
      <c r="S730" s="70">
        <f>DATE(Table2[[#This Row],[Year]],MONTH(DATEVALUE("1-"&amp;Table2[[#This Row],[Month]]&amp;"-2000")),1)</f>
        <v>45566</v>
      </c>
      <c r="T730" s="16">
        <f t="shared" si="125"/>
        <v>4.9252659258630924</v>
      </c>
      <c r="U730" s="16">
        <f t="shared" si="126"/>
        <v>0.25379962081268476</v>
      </c>
      <c r="V730" s="16">
        <f t="shared" si="127"/>
        <v>5343.3677777777775</v>
      </c>
      <c r="W730" s="16">
        <f t="shared" si="128"/>
        <v>25806.204444444444</v>
      </c>
      <c r="X730" s="16">
        <f t="shared" si="129"/>
        <v>5239.5555555555557</v>
      </c>
      <c r="Y730" s="16">
        <f t="shared" si="130"/>
        <v>101679.44444444444</v>
      </c>
      <c r="Z730" s="7" t="str" cm="1">
        <f t="array" ref="Z730">_xlfn.IFS(K730&lt;2%,"Low",K730&lt;5%,"Medium",K730&lt;10%,"Good",K730&gt;10%,"Excellent")</f>
        <v>Good</v>
      </c>
      <c r="AA730" s="16" t="str">
        <f>Data_Validation!N728</f>
        <v>Pass</v>
      </c>
    </row>
    <row r="731" spans="1:27" x14ac:dyDescent="0.35">
      <c r="A731" s="17" t="s">
        <v>99</v>
      </c>
      <c r="B731" s="3" t="s">
        <v>35</v>
      </c>
      <c r="C731" s="3" t="s">
        <v>69</v>
      </c>
      <c r="D731" s="3" t="s">
        <v>59</v>
      </c>
      <c r="E731" s="3" t="s">
        <v>22</v>
      </c>
      <c r="F731" s="3">
        <v>3335.84</v>
      </c>
      <c r="G731" s="3">
        <v>857311</v>
      </c>
      <c r="H731" s="3">
        <v>1674</v>
      </c>
      <c r="I731" s="3">
        <v>150170.04</v>
      </c>
      <c r="J731" s="3">
        <v>46</v>
      </c>
      <c r="K731" s="15">
        <f t="shared" si="121"/>
        <v>1.9526169616393583E-3</v>
      </c>
      <c r="L731" s="16">
        <f t="shared" si="131"/>
        <v>1.9927359617682199</v>
      </c>
      <c r="M731" s="16">
        <f t="shared" si="122"/>
        <v>3.8910500390173461</v>
      </c>
      <c r="N731" s="16">
        <f t="shared" si="123"/>
        <v>45.017159096359535</v>
      </c>
      <c r="O731" s="16">
        <f t="shared" si="124"/>
        <v>44.017159096359542</v>
      </c>
      <c r="P731" s="1">
        <v>2024</v>
      </c>
      <c r="Q731" s="1" t="s">
        <v>24</v>
      </c>
      <c r="R731" s="1" t="s">
        <v>25</v>
      </c>
      <c r="S731" s="70">
        <f>DATE(Table2[[#This Row],[Year]],MONTH(DATEVALUE("1-"&amp;Table2[[#This Row],[Month]]&amp;"-2000")),1)</f>
        <v>45566</v>
      </c>
      <c r="T731" s="16">
        <f t="shared" si="125"/>
        <v>89.707311827957</v>
      </c>
      <c r="U731" s="16">
        <f t="shared" si="126"/>
        <v>0.17516401865833986</v>
      </c>
      <c r="V731" s="16">
        <f t="shared" si="127"/>
        <v>72.518260869565225</v>
      </c>
      <c r="W731" s="16">
        <f t="shared" si="128"/>
        <v>3264.5660869565218</v>
      </c>
      <c r="X731" s="16">
        <f t="shared" si="129"/>
        <v>36.391304347826086</v>
      </c>
      <c r="Y731" s="16">
        <f t="shared" si="130"/>
        <v>18637.195652173912</v>
      </c>
      <c r="Z731" s="7" t="str" cm="1">
        <f t="array" ref="Z731">_xlfn.IFS(K731&lt;2%,"Low",K731&lt;5%,"Medium",K731&lt;10%,"Good",K731&gt;10%,"Excellent")</f>
        <v>Low</v>
      </c>
      <c r="AA731" s="16" t="str">
        <f>Data_Validation!N729</f>
        <v>Pass</v>
      </c>
    </row>
    <row r="732" spans="1:27" x14ac:dyDescent="0.35">
      <c r="A732" s="17" t="s">
        <v>100</v>
      </c>
      <c r="B732" s="3" t="s">
        <v>35</v>
      </c>
      <c r="C732" s="3" t="s">
        <v>36</v>
      </c>
      <c r="D732" s="3" t="s">
        <v>59</v>
      </c>
      <c r="E732" s="3" t="s">
        <v>22</v>
      </c>
      <c r="F732" s="3">
        <v>1927.17</v>
      </c>
      <c r="G732" s="3">
        <v>840116</v>
      </c>
      <c r="H732" s="3">
        <v>7069</v>
      </c>
      <c r="I732" s="3">
        <v>137880.69</v>
      </c>
      <c r="J732" s="3">
        <v>44</v>
      </c>
      <c r="K732" s="15">
        <f t="shared" si="121"/>
        <v>8.4143142137514341E-3</v>
      </c>
      <c r="L732" s="16">
        <f t="shared" si="131"/>
        <v>0.27262271891356626</v>
      </c>
      <c r="M732" s="16">
        <f t="shared" si="122"/>
        <v>2.2939332187459827</v>
      </c>
      <c r="N732" s="16">
        <f t="shared" si="123"/>
        <v>71.545680972617873</v>
      </c>
      <c r="O732" s="16">
        <f t="shared" si="124"/>
        <v>70.545680972617873</v>
      </c>
      <c r="P732" s="1">
        <v>2024</v>
      </c>
      <c r="Q732" s="1" t="s">
        <v>24</v>
      </c>
      <c r="R732" s="1" t="s">
        <v>25</v>
      </c>
      <c r="S732" s="70">
        <f>DATE(Table2[[#This Row],[Year]],MONTH(DATEVALUE("1-"&amp;Table2[[#This Row],[Month]]&amp;"-2000")),1)</f>
        <v>45566</v>
      </c>
      <c r="T732" s="16">
        <f t="shared" si="125"/>
        <v>19.504978073277691</v>
      </c>
      <c r="U732" s="16">
        <f t="shared" si="126"/>
        <v>0.16412101424089054</v>
      </c>
      <c r="V732" s="16">
        <f t="shared" si="127"/>
        <v>43.799318181818187</v>
      </c>
      <c r="W732" s="16">
        <f t="shared" si="128"/>
        <v>3133.6520454545457</v>
      </c>
      <c r="X732" s="16">
        <f t="shared" si="129"/>
        <v>160.65909090909091</v>
      </c>
      <c r="Y732" s="16">
        <f t="shared" si="130"/>
        <v>19093.545454545456</v>
      </c>
      <c r="Z732" s="7" t="str" cm="1">
        <f t="array" ref="Z732">_xlfn.IFS(K732&lt;2%,"Low",K732&lt;5%,"Medium",K732&lt;10%,"Good",K732&gt;10%,"Excellent")</f>
        <v>Low</v>
      </c>
      <c r="AA732" s="16" t="str">
        <f>Data_Validation!N730</f>
        <v>Pass</v>
      </c>
    </row>
    <row r="733" spans="1:27" x14ac:dyDescent="0.35">
      <c r="A733" s="17" t="s">
        <v>79</v>
      </c>
      <c r="B733" s="3" t="s">
        <v>35</v>
      </c>
      <c r="C733" s="3" t="s">
        <v>20</v>
      </c>
      <c r="D733" s="3" t="s">
        <v>21</v>
      </c>
      <c r="E733" s="3" t="s">
        <v>38</v>
      </c>
      <c r="F733" s="3">
        <v>15649.78</v>
      </c>
      <c r="G733" s="3">
        <v>870623</v>
      </c>
      <c r="H733" s="3">
        <v>28029</v>
      </c>
      <c r="I733" s="3">
        <v>148194.75</v>
      </c>
      <c r="J733" s="3">
        <v>6</v>
      </c>
      <c r="K733" s="15">
        <f t="shared" si="121"/>
        <v>3.2194187380760672E-2</v>
      </c>
      <c r="L733" s="16">
        <f t="shared" si="131"/>
        <v>0.55834243105355175</v>
      </c>
      <c r="M733" s="16">
        <f t="shared" si="122"/>
        <v>17.975380847967489</v>
      </c>
      <c r="N733" s="16">
        <f t="shared" si="123"/>
        <v>9.4694462158573476</v>
      </c>
      <c r="O733" s="16">
        <f t="shared" si="124"/>
        <v>8.4694462158573476</v>
      </c>
      <c r="P733" s="1">
        <v>2024</v>
      </c>
      <c r="Q733" s="1" t="s">
        <v>24</v>
      </c>
      <c r="R733" s="1" t="s">
        <v>25</v>
      </c>
      <c r="S733" s="70">
        <f>DATE(Table2[[#This Row],[Year]],MONTH(DATEVALUE("1-"&amp;Table2[[#This Row],[Month]]&amp;"-2000")),1)</f>
        <v>45566</v>
      </c>
      <c r="T733" s="16">
        <f t="shared" si="125"/>
        <v>5.2871936208926469</v>
      </c>
      <c r="U733" s="16">
        <f t="shared" si="126"/>
        <v>0.17021690214938037</v>
      </c>
      <c r="V733" s="16">
        <f t="shared" si="127"/>
        <v>2608.2966666666666</v>
      </c>
      <c r="W733" s="16">
        <f t="shared" si="128"/>
        <v>24699.125</v>
      </c>
      <c r="X733" s="16">
        <f t="shared" si="129"/>
        <v>4671.5</v>
      </c>
      <c r="Y733" s="16">
        <f t="shared" si="130"/>
        <v>145103.83333333334</v>
      </c>
      <c r="Z733" s="7" t="str" cm="1">
        <f t="array" ref="Z733">_xlfn.IFS(K733&lt;2%,"Low",K733&lt;5%,"Medium",K733&lt;10%,"Good",K733&gt;10%,"Excellent")</f>
        <v>Medium</v>
      </c>
      <c r="AA733" s="16" t="str">
        <f>Data_Validation!N731</f>
        <v>Pass</v>
      </c>
    </row>
    <row r="734" spans="1:27" x14ac:dyDescent="0.35">
      <c r="A734" s="17" t="s">
        <v>119</v>
      </c>
      <c r="B734" s="3" t="s">
        <v>28</v>
      </c>
      <c r="C734" s="3" t="s">
        <v>36</v>
      </c>
      <c r="D734" s="3" t="s">
        <v>59</v>
      </c>
      <c r="E734" s="3" t="s">
        <v>30</v>
      </c>
      <c r="F734" s="3">
        <v>47782.19</v>
      </c>
      <c r="G734" s="3">
        <v>174660</v>
      </c>
      <c r="H734" s="3">
        <v>47833</v>
      </c>
      <c r="I734" s="3">
        <v>76570.13</v>
      </c>
      <c r="J734" s="3">
        <v>13</v>
      </c>
      <c r="K734" s="15">
        <f t="shared" si="121"/>
        <v>0.27386350624069622</v>
      </c>
      <c r="L734" s="16">
        <f t="shared" si="131"/>
        <v>0.99893776263249223</v>
      </c>
      <c r="M734" s="16">
        <f t="shared" si="122"/>
        <v>273.57259819077069</v>
      </c>
      <c r="N734" s="16">
        <f t="shared" si="123"/>
        <v>1.6024826404984787</v>
      </c>
      <c r="O734" s="16">
        <f t="shared" si="124"/>
        <v>0.60248264049847866</v>
      </c>
      <c r="P734" s="1">
        <v>2024</v>
      </c>
      <c r="Q734" s="1" t="s">
        <v>24</v>
      </c>
      <c r="R734" s="1" t="s">
        <v>25</v>
      </c>
      <c r="S734" s="70">
        <f>DATE(Table2[[#This Row],[Year]],MONTH(DATEVALUE("1-"&amp;Table2[[#This Row],[Month]]&amp;"-2000")),1)</f>
        <v>45566</v>
      </c>
      <c r="T734" s="16">
        <f t="shared" si="125"/>
        <v>1.6007804235569587</v>
      </c>
      <c r="U734" s="16">
        <f t="shared" si="126"/>
        <v>0.43839533951677545</v>
      </c>
      <c r="V734" s="16">
        <f t="shared" si="127"/>
        <v>3675.5530769230772</v>
      </c>
      <c r="W734" s="16">
        <f t="shared" si="128"/>
        <v>5890.01</v>
      </c>
      <c r="X734" s="16">
        <f t="shared" si="129"/>
        <v>3679.4615384615386</v>
      </c>
      <c r="Y734" s="16">
        <f t="shared" si="130"/>
        <v>13435.384615384615</v>
      </c>
      <c r="Z734" s="7" t="str" cm="1">
        <f t="array" ref="Z734">_xlfn.IFS(K734&lt;2%,"Low",K734&lt;5%,"Medium",K734&lt;10%,"Good",K734&gt;10%,"Excellent")</f>
        <v>Excellent</v>
      </c>
      <c r="AA734" s="16" t="str">
        <f>Data_Validation!N732</f>
        <v>Pass</v>
      </c>
    </row>
    <row r="735" spans="1:27" x14ac:dyDescent="0.35">
      <c r="A735" s="17" t="s">
        <v>94</v>
      </c>
      <c r="B735" s="3" t="s">
        <v>19</v>
      </c>
      <c r="C735" s="3" t="s">
        <v>58</v>
      </c>
      <c r="D735" s="3" t="s">
        <v>59</v>
      </c>
      <c r="E735" s="3" t="s">
        <v>30</v>
      </c>
      <c r="F735" s="3">
        <v>55207.65</v>
      </c>
      <c r="G735" s="3">
        <v>793041</v>
      </c>
      <c r="H735" s="3">
        <v>6023</v>
      </c>
      <c r="I735" s="3">
        <v>111323.01</v>
      </c>
      <c r="J735" s="3">
        <v>49</v>
      </c>
      <c r="K735" s="15">
        <f t="shared" si="121"/>
        <v>7.5948154004647928E-3</v>
      </c>
      <c r="L735" s="16">
        <f t="shared" si="131"/>
        <v>9.16613813714096</v>
      </c>
      <c r="M735" s="16">
        <f t="shared" si="122"/>
        <v>69.615127086745829</v>
      </c>
      <c r="N735" s="16">
        <f t="shared" si="123"/>
        <v>2.0164417431279902</v>
      </c>
      <c r="O735" s="16">
        <f t="shared" si="124"/>
        <v>1.0164417431279902</v>
      </c>
      <c r="P735" s="1">
        <v>2024</v>
      </c>
      <c r="Q735" s="1" t="s">
        <v>24</v>
      </c>
      <c r="R735" s="1" t="s">
        <v>25</v>
      </c>
      <c r="S735" s="70">
        <f>DATE(Table2[[#This Row],[Year]],MONTH(DATEVALUE("1-"&amp;Table2[[#This Row],[Month]]&amp;"-2000")),1)</f>
        <v>45566</v>
      </c>
      <c r="T735" s="16">
        <f t="shared" si="125"/>
        <v>18.482983563008467</v>
      </c>
      <c r="U735" s="16">
        <f t="shared" si="126"/>
        <v>0.14037484821087434</v>
      </c>
      <c r="V735" s="16">
        <f t="shared" si="127"/>
        <v>1126.6867346938775</v>
      </c>
      <c r="W735" s="16">
        <f t="shared" si="128"/>
        <v>2271.8981632653058</v>
      </c>
      <c r="X735" s="16">
        <f t="shared" si="129"/>
        <v>122.91836734693878</v>
      </c>
      <c r="Y735" s="16">
        <f t="shared" si="130"/>
        <v>16184.510204081633</v>
      </c>
      <c r="Z735" s="7" t="str" cm="1">
        <f t="array" ref="Z735">_xlfn.IFS(K735&lt;2%,"Low",K735&lt;5%,"Medium",K735&lt;10%,"Good",K735&gt;10%,"Excellent")</f>
        <v>Low</v>
      </c>
      <c r="AA735" s="16" t="str">
        <f>Data_Validation!N733</f>
        <v>Pass</v>
      </c>
    </row>
    <row r="736" spans="1:27" x14ac:dyDescent="0.35">
      <c r="A736" s="17" t="s">
        <v>72</v>
      </c>
      <c r="B736" s="3" t="s">
        <v>48</v>
      </c>
      <c r="C736" s="3" t="s">
        <v>36</v>
      </c>
      <c r="D736" s="3" t="s">
        <v>43</v>
      </c>
      <c r="E736" s="3" t="s">
        <v>30</v>
      </c>
      <c r="F736" s="3">
        <v>542.9</v>
      </c>
      <c r="G736" s="3">
        <v>132292</v>
      </c>
      <c r="H736" s="3">
        <v>5515</v>
      </c>
      <c r="I736" s="3">
        <v>34902.629999999997</v>
      </c>
      <c r="J736" s="3">
        <v>47</v>
      </c>
      <c r="K736" s="15">
        <f t="shared" si="121"/>
        <v>4.1688083935536538E-2</v>
      </c>
      <c r="L736" s="16">
        <f t="shared" si="131"/>
        <v>9.8440616500453298E-2</v>
      </c>
      <c r="M736" s="16">
        <f t="shared" si="122"/>
        <v>4.1038006833368605</v>
      </c>
      <c r="N736" s="16">
        <f t="shared" si="123"/>
        <v>64.289242954503592</v>
      </c>
      <c r="O736" s="16">
        <f t="shared" si="124"/>
        <v>63.289242954503585</v>
      </c>
      <c r="P736" s="1">
        <v>2024</v>
      </c>
      <c r="Q736" s="1" t="s">
        <v>24</v>
      </c>
      <c r="R736" s="1" t="s">
        <v>25</v>
      </c>
      <c r="S736" s="70">
        <f>DATE(Table2[[#This Row],[Year]],MONTH(DATEVALUE("1-"&amp;Table2[[#This Row],[Month]]&amp;"-2000")),1)</f>
        <v>45566</v>
      </c>
      <c r="T736" s="16">
        <f t="shared" si="125"/>
        <v>6.3286727107887577</v>
      </c>
      <c r="U736" s="16">
        <f t="shared" si="126"/>
        <v>0.26383023916790127</v>
      </c>
      <c r="V736" s="16">
        <f t="shared" si="127"/>
        <v>11.551063829787234</v>
      </c>
      <c r="W736" s="16">
        <f t="shared" si="128"/>
        <v>742.60914893617019</v>
      </c>
      <c r="X736" s="16">
        <f t="shared" si="129"/>
        <v>117.34042553191489</v>
      </c>
      <c r="Y736" s="16">
        <f t="shared" si="130"/>
        <v>2814.7234042553191</v>
      </c>
      <c r="Z736" s="7" t="str" cm="1">
        <f t="array" ref="Z736">_xlfn.IFS(K736&lt;2%,"Low",K736&lt;5%,"Medium",K736&lt;10%,"Good",K736&gt;10%,"Excellent")</f>
        <v>Medium</v>
      </c>
      <c r="AA736" s="16" t="str">
        <f>Data_Validation!N734</f>
        <v>Pass</v>
      </c>
    </row>
    <row r="737" spans="1:27" x14ac:dyDescent="0.35">
      <c r="A737" s="17" t="s">
        <v>112</v>
      </c>
      <c r="B737" s="3" t="s">
        <v>48</v>
      </c>
      <c r="C737" s="3" t="s">
        <v>20</v>
      </c>
      <c r="D737" s="3" t="s">
        <v>21</v>
      </c>
      <c r="E737" s="3" t="s">
        <v>22</v>
      </c>
      <c r="F737" s="3">
        <v>25241.31</v>
      </c>
      <c r="G737" s="3">
        <v>315420</v>
      </c>
      <c r="H737" s="3">
        <v>28230</v>
      </c>
      <c r="I737" s="3">
        <v>5383.26</v>
      </c>
      <c r="J737" s="3">
        <v>38</v>
      </c>
      <c r="K737" s="15">
        <f t="shared" si="121"/>
        <v>8.9499714666159413E-2</v>
      </c>
      <c r="L737" s="16">
        <f t="shared" si="131"/>
        <v>0.89413071200850169</v>
      </c>
      <c r="M737" s="16">
        <f t="shared" si="122"/>
        <v>80.024443599010837</v>
      </c>
      <c r="N737" s="16">
        <f t="shared" si="123"/>
        <v>0.21327181513162352</v>
      </c>
      <c r="O737" s="16">
        <f t="shared" si="124"/>
        <v>-0.78672818486837659</v>
      </c>
      <c r="P737" s="1">
        <v>2024</v>
      </c>
      <c r="Q737" s="1" t="s">
        <v>24</v>
      </c>
      <c r="R737" s="1" t="s">
        <v>25</v>
      </c>
      <c r="S737" s="70">
        <f>DATE(Table2[[#This Row],[Year]],MONTH(DATEVALUE("1-"&amp;Table2[[#This Row],[Month]]&amp;"-2000")),1)</f>
        <v>45566</v>
      </c>
      <c r="T737" s="16">
        <f t="shared" si="125"/>
        <v>0.19069287991498407</v>
      </c>
      <c r="U737" s="16">
        <f t="shared" si="126"/>
        <v>1.7066958341259274E-2</v>
      </c>
      <c r="V737" s="16">
        <f t="shared" si="127"/>
        <v>664.245</v>
      </c>
      <c r="W737" s="16">
        <f t="shared" si="128"/>
        <v>141.66473684210527</v>
      </c>
      <c r="X737" s="16">
        <f t="shared" si="129"/>
        <v>742.89473684210532</v>
      </c>
      <c r="Y737" s="16">
        <f t="shared" si="130"/>
        <v>8300.5263157894733</v>
      </c>
      <c r="Z737" s="7" t="str" cm="1">
        <f t="array" ref="Z737">_xlfn.IFS(K737&lt;2%,"Low",K737&lt;5%,"Medium",K737&lt;10%,"Good",K737&gt;10%,"Excellent")</f>
        <v>Good</v>
      </c>
      <c r="AA737" s="16" t="str">
        <f>Data_Validation!N735</f>
        <v>Pass</v>
      </c>
    </row>
    <row r="738" spans="1:27" x14ac:dyDescent="0.35">
      <c r="A738" s="17" t="s">
        <v>62</v>
      </c>
      <c r="B738" s="3" t="s">
        <v>28</v>
      </c>
      <c r="C738" s="3" t="s">
        <v>58</v>
      </c>
      <c r="D738" s="3" t="s">
        <v>51</v>
      </c>
      <c r="E738" s="3" t="s">
        <v>30</v>
      </c>
      <c r="F738" s="3">
        <v>50972.45</v>
      </c>
      <c r="G738" s="3">
        <v>781555</v>
      </c>
      <c r="H738" s="3">
        <v>21433</v>
      </c>
      <c r="I738" s="3">
        <v>171092.71</v>
      </c>
      <c r="J738" s="3">
        <v>29</v>
      </c>
      <c r="K738" s="15">
        <f t="shared" si="121"/>
        <v>2.7423533852384028E-2</v>
      </c>
      <c r="L738" s="16">
        <f t="shared" si="131"/>
        <v>2.3782228339476505</v>
      </c>
      <c r="M738" s="16">
        <f t="shared" si="122"/>
        <v>65.219274395276088</v>
      </c>
      <c r="N738" s="16">
        <f t="shared" si="123"/>
        <v>3.3565722267617115</v>
      </c>
      <c r="O738" s="16">
        <f t="shared" si="124"/>
        <v>2.3565722267617115</v>
      </c>
      <c r="P738" s="1">
        <v>2024</v>
      </c>
      <c r="Q738" s="1" t="s">
        <v>24</v>
      </c>
      <c r="R738" s="1" t="s">
        <v>25</v>
      </c>
      <c r="S738" s="70">
        <f>DATE(Table2[[#This Row],[Year]],MONTH(DATEVALUE("1-"&amp;Table2[[#This Row],[Month]]&amp;"-2000")),1)</f>
        <v>45566</v>
      </c>
      <c r="T738" s="16">
        <f t="shared" si="125"/>
        <v>7.982676713479214</v>
      </c>
      <c r="U738" s="16">
        <f t="shared" si="126"/>
        <v>0.21891320508473491</v>
      </c>
      <c r="V738" s="16">
        <f t="shared" si="127"/>
        <v>1757.6706896551723</v>
      </c>
      <c r="W738" s="16">
        <f t="shared" si="128"/>
        <v>5899.7486206896547</v>
      </c>
      <c r="X738" s="16">
        <f t="shared" si="129"/>
        <v>739.06896551724139</v>
      </c>
      <c r="Y738" s="16">
        <f t="shared" si="130"/>
        <v>26950.172413793105</v>
      </c>
      <c r="Z738" s="7" t="str" cm="1">
        <f t="array" ref="Z738">_xlfn.IFS(K738&lt;2%,"Low",K738&lt;5%,"Medium",K738&lt;10%,"Good",K738&gt;10%,"Excellent")</f>
        <v>Medium</v>
      </c>
      <c r="AA738" s="16" t="str">
        <f>Data_Validation!N736</f>
        <v>Pass</v>
      </c>
    </row>
    <row r="739" spans="1:27" x14ac:dyDescent="0.35">
      <c r="A739" s="17" t="s">
        <v>101</v>
      </c>
      <c r="B739" s="3" t="s">
        <v>48</v>
      </c>
      <c r="C739" s="3" t="s">
        <v>69</v>
      </c>
      <c r="D739" s="3" t="s">
        <v>43</v>
      </c>
      <c r="E739" s="3" t="s">
        <v>30</v>
      </c>
      <c r="F739" s="3">
        <v>2379.13</v>
      </c>
      <c r="G739" s="3">
        <v>559855</v>
      </c>
      <c r="H739" s="3">
        <v>2798</v>
      </c>
      <c r="I739" s="3">
        <v>83232.55</v>
      </c>
      <c r="J739" s="3">
        <v>55</v>
      </c>
      <c r="K739" s="15">
        <f t="shared" si="121"/>
        <v>4.9977226246081573E-3</v>
      </c>
      <c r="L739" s="16">
        <f t="shared" si="131"/>
        <v>0.85029664045746967</v>
      </c>
      <c r="M739" s="16">
        <f t="shared" si="122"/>
        <v>4.2495467576426043</v>
      </c>
      <c r="N739" s="16">
        <f t="shared" si="123"/>
        <v>34.984448096573118</v>
      </c>
      <c r="O739" s="16">
        <f t="shared" si="124"/>
        <v>33.984448096573118</v>
      </c>
      <c r="P739" s="1">
        <v>2024</v>
      </c>
      <c r="Q739" s="1" t="s">
        <v>24</v>
      </c>
      <c r="R739" s="1" t="s">
        <v>25</v>
      </c>
      <c r="S739" s="70">
        <f>DATE(Table2[[#This Row],[Year]],MONTH(DATEVALUE("1-"&amp;Table2[[#This Row],[Month]]&amp;"-2000")),1)</f>
        <v>45566</v>
      </c>
      <c r="T739" s="16">
        <f t="shared" si="125"/>
        <v>29.747158684774842</v>
      </c>
      <c r="U739" s="16">
        <f t="shared" si="126"/>
        <v>0.14866804797670827</v>
      </c>
      <c r="V739" s="16">
        <f t="shared" si="127"/>
        <v>43.25690909090909</v>
      </c>
      <c r="W739" s="16">
        <f t="shared" si="128"/>
        <v>1513.3190909090911</v>
      </c>
      <c r="X739" s="16">
        <f t="shared" si="129"/>
        <v>50.872727272727275</v>
      </c>
      <c r="Y739" s="16">
        <f t="shared" si="130"/>
        <v>10179.181818181818</v>
      </c>
      <c r="Z739" s="7" t="str" cm="1">
        <f t="array" ref="Z739">_xlfn.IFS(K739&lt;2%,"Low",K739&lt;5%,"Medium",K739&lt;10%,"Good",K739&gt;10%,"Excellent")</f>
        <v>Low</v>
      </c>
      <c r="AA739" s="16" t="str">
        <f>Data_Validation!N737</f>
        <v>Pass</v>
      </c>
    </row>
    <row r="740" spans="1:27" x14ac:dyDescent="0.35">
      <c r="A740" s="17" t="s">
        <v>27</v>
      </c>
      <c r="B740" s="3" t="s">
        <v>48</v>
      </c>
      <c r="C740" s="3" t="s">
        <v>58</v>
      </c>
      <c r="D740" s="3" t="s">
        <v>63</v>
      </c>
      <c r="E740" s="3" t="s">
        <v>30</v>
      </c>
      <c r="F740" s="3">
        <v>9071.64</v>
      </c>
      <c r="G740" s="3">
        <v>694219</v>
      </c>
      <c r="H740" s="3">
        <v>14632</v>
      </c>
      <c r="I740" s="3">
        <v>77746.009999999995</v>
      </c>
      <c r="J740" s="3">
        <v>46</v>
      </c>
      <c r="K740" s="15">
        <f t="shared" si="121"/>
        <v>2.1076922412091862E-2</v>
      </c>
      <c r="L740" s="16">
        <f t="shared" si="131"/>
        <v>0.61998633132859482</v>
      </c>
      <c r="M740" s="16">
        <f t="shared" si="122"/>
        <v>13.067403801970272</v>
      </c>
      <c r="N740" s="16">
        <f t="shared" si="123"/>
        <v>8.5702265522000438</v>
      </c>
      <c r="O740" s="16">
        <f t="shared" si="124"/>
        <v>7.5702265522000429</v>
      </c>
      <c r="P740" s="1">
        <v>2024</v>
      </c>
      <c r="Q740" s="1" t="s">
        <v>24</v>
      </c>
      <c r="R740" s="1" t="s">
        <v>25</v>
      </c>
      <c r="S740" s="70">
        <f>DATE(Table2[[#This Row],[Year]],MONTH(DATEVALUE("1-"&amp;Table2[[#This Row],[Month]]&amp;"-2000")),1)</f>
        <v>45566</v>
      </c>
      <c r="T740" s="16">
        <f t="shared" si="125"/>
        <v>5.3134233187534168</v>
      </c>
      <c r="U740" s="16">
        <f t="shared" si="126"/>
        <v>0.11199061103196541</v>
      </c>
      <c r="V740" s="16">
        <f t="shared" si="127"/>
        <v>197.20956521739129</v>
      </c>
      <c r="W740" s="16">
        <f t="shared" si="128"/>
        <v>1690.1306521739129</v>
      </c>
      <c r="X740" s="16">
        <f t="shared" si="129"/>
        <v>318.08695652173913</v>
      </c>
      <c r="Y740" s="16">
        <f t="shared" si="130"/>
        <v>15091.717391304348</v>
      </c>
      <c r="Z740" s="7" t="str" cm="1">
        <f t="array" ref="Z740">_xlfn.IFS(K740&lt;2%,"Low",K740&lt;5%,"Medium",K740&lt;10%,"Good",K740&gt;10%,"Excellent")</f>
        <v>Medium</v>
      </c>
      <c r="AA740" s="16" t="str">
        <f>Data_Validation!N738</f>
        <v>Pass</v>
      </c>
    </row>
    <row r="741" spans="1:27" x14ac:dyDescent="0.35">
      <c r="A741" s="17" t="s">
        <v>68</v>
      </c>
      <c r="B741" s="3" t="s">
        <v>48</v>
      </c>
      <c r="C741" s="3" t="s">
        <v>58</v>
      </c>
      <c r="D741" s="3" t="s">
        <v>63</v>
      </c>
      <c r="E741" s="3" t="s">
        <v>38</v>
      </c>
      <c r="F741" s="3">
        <v>35926.769999999997</v>
      </c>
      <c r="G741" s="3">
        <v>844328</v>
      </c>
      <c r="H741" s="3">
        <v>35124</v>
      </c>
      <c r="I741" s="3">
        <v>102440.39</v>
      </c>
      <c r="J741" s="3">
        <v>48</v>
      </c>
      <c r="K741" s="15">
        <f t="shared" si="121"/>
        <v>4.1599946940051737E-2</v>
      </c>
      <c r="L741" s="16">
        <f t="shared" si="131"/>
        <v>1.0228553126067645</v>
      </c>
      <c r="M741" s="16">
        <f t="shared" si="122"/>
        <v>42.550726731791428</v>
      </c>
      <c r="N741" s="16">
        <f t="shared" si="123"/>
        <v>2.8513665436664639</v>
      </c>
      <c r="O741" s="16">
        <f t="shared" si="124"/>
        <v>1.8513665436664637</v>
      </c>
      <c r="P741" s="1">
        <v>2024</v>
      </c>
      <c r="Q741" s="1" t="s">
        <v>24</v>
      </c>
      <c r="R741" s="1" t="s">
        <v>25</v>
      </c>
      <c r="S741" s="70">
        <f>DATE(Table2[[#This Row],[Year]],MONTH(DATEVALUE("1-"&amp;Table2[[#This Row],[Month]]&amp;"-2000")),1)</f>
        <v>45566</v>
      </c>
      <c r="T741" s="16">
        <f t="shared" si="125"/>
        <v>2.9165354173784306</v>
      </c>
      <c r="U741" s="16">
        <f t="shared" si="126"/>
        <v>0.12132771861172435</v>
      </c>
      <c r="V741" s="16">
        <f t="shared" si="127"/>
        <v>748.4743749999999</v>
      </c>
      <c r="W741" s="16">
        <f t="shared" si="128"/>
        <v>2134.1747916666668</v>
      </c>
      <c r="X741" s="16">
        <f t="shared" si="129"/>
        <v>731.75</v>
      </c>
      <c r="Y741" s="16">
        <f t="shared" si="130"/>
        <v>17590.166666666668</v>
      </c>
      <c r="Z741" s="7" t="str" cm="1">
        <f t="array" ref="Z741">_xlfn.IFS(K741&lt;2%,"Low",K741&lt;5%,"Medium",K741&lt;10%,"Good",K741&gt;10%,"Excellent")</f>
        <v>Medium</v>
      </c>
      <c r="AA741" s="16" t="str">
        <f>Data_Validation!N739</f>
        <v>Pass</v>
      </c>
    </row>
    <row r="742" spans="1:27" x14ac:dyDescent="0.35">
      <c r="A742" s="17" t="s">
        <v>95</v>
      </c>
      <c r="B742" s="3" t="s">
        <v>48</v>
      </c>
      <c r="C742" s="3" t="s">
        <v>36</v>
      </c>
      <c r="D742" s="3" t="s">
        <v>43</v>
      </c>
      <c r="E742" s="3" t="s">
        <v>22</v>
      </c>
      <c r="F742" s="3">
        <v>1209.51</v>
      </c>
      <c r="G742" s="3">
        <v>679983</v>
      </c>
      <c r="H742" s="3">
        <v>5134</v>
      </c>
      <c r="I742" s="3">
        <v>130897.29</v>
      </c>
      <c r="J742" s="3">
        <v>28</v>
      </c>
      <c r="K742" s="15">
        <f t="shared" si="121"/>
        <v>7.5501887547188683E-3</v>
      </c>
      <c r="L742" s="16">
        <f t="shared" si="131"/>
        <v>0.23558823529411765</v>
      </c>
      <c r="M742" s="16">
        <f t="shared" si="122"/>
        <v>1.7787356448617098</v>
      </c>
      <c r="N742" s="16">
        <f t="shared" si="123"/>
        <v>108.22340451918545</v>
      </c>
      <c r="O742" s="16">
        <f t="shared" si="124"/>
        <v>107.22340451918545</v>
      </c>
      <c r="P742" s="1">
        <v>2024</v>
      </c>
      <c r="Q742" s="1" t="s">
        <v>24</v>
      </c>
      <c r="R742" s="1" t="s">
        <v>25</v>
      </c>
      <c r="S742" s="70">
        <f>DATE(Table2[[#This Row],[Year]],MONTH(DATEVALUE("1-"&amp;Table2[[#This Row],[Month]]&amp;"-2000")),1)</f>
        <v>45566</v>
      </c>
      <c r="T742" s="16">
        <f t="shared" si="125"/>
        <v>25.496160888196336</v>
      </c>
      <c r="U742" s="16">
        <f t="shared" si="126"/>
        <v>0.192500827226563</v>
      </c>
      <c r="V742" s="16">
        <f t="shared" si="127"/>
        <v>43.196785714285717</v>
      </c>
      <c r="W742" s="16">
        <f t="shared" si="128"/>
        <v>4674.9032142857141</v>
      </c>
      <c r="X742" s="16">
        <f t="shared" si="129"/>
        <v>183.35714285714286</v>
      </c>
      <c r="Y742" s="16">
        <f t="shared" si="130"/>
        <v>24285.107142857141</v>
      </c>
      <c r="Z742" s="7" t="str" cm="1">
        <f t="array" ref="Z742">_xlfn.IFS(K742&lt;2%,"Low",K742&lt;5%,"Medium",K742&lt;10%,"Good",K742&gt;10%,"Excellent")</f>
        <v>Low</v>
      </c>
      <c r="AA742" s="16" t="str">
        <f>Data_Validation!N740</f>
        <v>Pass</v>
      </c>
    </row>
    <row r="743" spans="1:27" x14ac:dyDescent="0.35">
      <c r="A743" s="17" t="s">
        <v>106</v>
      </c>
      <c r="B743" s="3" t="s">
        <v>19</v>
      </c>
      <c r="C743" s="3" t="s">
        <v>36</v>
      </c>
      <c r="D743" s="3" t="s">
        <v>63</v>
      </c>
      <c r="E743" s="3" t="s">
        <v>38</v>
      </c>
      <c r="F743" s="3">
        <v>25657.43</v>
      </c>
      <c r="G743" s="3">
        <v>765948</v>
      </c>
      <c r="H743" s="3">
        <v>43300</v>
      </c>
      <c r="I743" s="3">
        <v>171809.5</v>
      </c>
      <c r="J743" s="3">
        <v>18</v>
      </c>
      <c r="K743" s="15">
        <f t="shared" si="121"/>
        <v>5.653125277433977E-2</v>
      </c>
      <c r="L743" s="16">
        <f t="shared" si="131"/>
        <v>0.59255034642032334</v>
      </c>
      <c r="M743" s="16">
        <f t="shared" si="122"/>
        <v>33.497613415009894</v>
      </c>
      <c r="N743" s="16">
        <f t="shared" si="123"/>
        <v>6.696286416839099</v>
      </c>
      <c r="O743" s="16">
        <f t="shared" si="124"/>
        <v>5.696286416839099</v>
      </c>
      <c r="P743" s="1">
        <v>2024</v>
      </c>
      <c r="Q743" s="1" t="s">
        <v>24</v>
      </c>
      <c r="R743" s="1" t="s">
        <v>25</v>
      </c>
      <c r="S743" s="70">
        <f>DATE(Table2[[#This Row],[Year]],MONTH(DATEVALUE("1-"&amp;Table2[[#This Row],[Month]]&amp;"-2000")),1)</f>
        <v>45566</v>
      </c>
      <c r="T743" s="16">
        <f t="shared" si="125"/>
        <v>3.9678868360277137</v>
      </c>
      <c r="U743" s="16">
        <f t="shared" si="126"/>
        <v>0.22430961370745794</v>
      </c>
      <c r="V743" s="16">
        <f t="shared" si="127"/>
        <v>1425.4127777777778</v>
      </c>
      <c r="W743" s="16">
        <f t="shared" si="128"/>
        <v>9544.9722222222226</v>
      </c>
      <c r="X743" s="16">
        <f t="shared" si="129"/>
        <v>2405.5555555555557</v>
      </c>
      <c r="Y743" s="16">
        <f t="shared" si="130"/>
        <v>42552.666666666664</v>
      </c>
      <c r="Z743" s="7" t="str" cm="1">
        <f t="array" ref="Z743">_xlfn.IFS(K743&lt;2%,"Low",K743&lt;5%,"Medium",K743&lt;10%,"Good",K743&gt;10%,"Excellent")</f>
        <v>Good</v>
      </c>
      <c r="AA743" s="16" t="str">
        <f>Data_Validation!N741</f>
        <v>Pass</v>
      </c>
    </row>
    <row r="744" spans="1:27" x14ac:dyDescent="0.35">
      <c r="A744" s="17" t="s">
        <v>107</v>
      </c>
      <c r="B744" s="3" t="s">
        <v>35</v>
      </c>
      <c r="C744" s="3" t="s">
        <v>36</v>
      </c>
      <c r="D744" s="3" t="s">
        <v>21</v>
      </c>
      <c r="E744" s="3" t="s">
        <v>22</v>
      </c>
      <c r="F744" s="3">
        <v>14029.46</v>
      </c>
      <c r="G744" s="3">
        <v>617723</v>
      </c>
      <c r="H744" s="3">
        <v>5313</v>
      </c>
      <c r="I744" s="3">
        <v>72729.19</v>
      </c>
      <c r="J744" s="3">
        <v>60</v>
      </c>
      <c r="K744" s="15">
        <f t="shared" si="121"/>
        <v>8.6009424936419714E-3</v>
      </c>
      <c r="L744" s="16">
        <f t="shared" si="131"/>
        <v>2.6405910031996989</v>
      </c>
      <c r="M744" s="16">
        <f t="shared" si="122"/>
        <v>22.711571367748974</v>
      </c>
      <c r="N744" s="16">
        <f t="shared" si="123"/>
        <v>5.1840334553147454</v>
      </c>
      <c r="O744" s="16">
        <f t="shared" si="124"/>
        <v>4.1840334553147454</v>
      </c>
      <c r="P744" s="1">
        <v>2024</v>
      </c>
      <c r="Q744" s="1" t="s">
        <v>24</v>
      </c>
      <c r="R744" s="1" t="s">
        <v>25</v>
      </c>
      <c r="S744" s="70">
        <f>DATE(Table2[[#This Row],[Year]],MONTH(DATEVALUE("1-"&amp;Table2[[#This Row],[Month]]&amp;"-2000")),1)</f>
        <v>45566</v>
      </c>
      <c r="T744" s="16">
        <f t="shared" si="125"/>
        <v>13.688912102390363</v>
      </c>
      <c r="U744" s="16">
        <f t="shared" si="126"/>
        <v>0.11773754579317915</v>
      </c>
      <c r="V744" s="16">
        <f t="shared" si="127"/>
        <v>233.82433333333333</v>
      </c>
      <c r="W744" s="16">
        <f t="shared" si="128"/>
        <v>1212.1531666666667</v>
      </c>
      <c r="X744" s="16">
        <f t="shared" si="129"/>
        <v>88.55</v>
      </c>
      <c r="Y744" s="16">
        <f t="shared" si="130"/>
        <v>10295.383333333333</v>
      </c>
      <c r="Z744" s="7" t="str" cm="1">
        <f t="array" ref="Z744">_xlfn.IFS(K744&lt;2%,"Low",K744&lt;5%,"Medium",K744&lt;10%,"Good",K744&gt;10%,"Excellent")</f>
        <v>Low</v>
      </c>
      <c r="AA744" s="16" t="str">
        <f>Data_Validation!N742</f>
        <v>Pass</v>
      </c>
    </row>
    <row r="745" spans="1:27" x14ac:dyDescent="0.35">
      <c r="A745" s="17" t="s">
        <v>81</v>
      </c>
      <c r="B745" s="3" t="s">
        <v>35</v>
      </c>
      <c r="C745" s="3" t="s">
        <v>58</v>
      </c>
      <c r="D745" s="3" t="s">
        <v>21</v>
      </c>
      <c r="E745" s="3" t="s">
        <v>30</v>
      </c>
      <c r="F745" s="3">
        <v>19579.169999999998</v>
      </c>
      <c r="G745" s="3">
        <v>198811</v>
      </c>
      <c r="H745" s="3">
        <v>19767</v>
      </c>
      <c r="I745" s="3">
        <v>210969.5</v>
      </c>
      <c r="J745" s="3">
        <v>28</v>
      </c>
      <c r="K745" s="15">
        <f t="shared" si="121"/>
        <v>9.9426088093717155E-2</v>
      </c>
      <c r="L745" s="16">
        <f t="shared" si="131"/>
        <v>0.99049779936257387</v>
      </c>
      <c r="M745" s="16">
        <f t="shared" si="122"/>
        <v>98.48132145605625</v>
      </c>
      <c r="N745" s="16">
        <f t="shared" si="123"/>
        <v>10.775201400263649</v>
      </c>
      <c r="O745" s="16">
        <f t="shared" si="124"/>
        <v>9.7752014002636489</v>
      </c>
      <c r="P745" s="1">
        <v>2024</v>
      </c>
      <c r="Q745" s="1" t="s">
        <v>24</v>
      </c>
      <c r="R745" s="1" t="s">
        <v>25</v>
      </c>
      <c r="S745" s="70">
        <f>DATE(Table2[[#This Row],[Year]],MONTH(DATEVALUE("1-"&amp;Table2[[#This Row],[Month]]&amp;"-2000")),1)</f>
        <v>45566</v>
      </c>
      <c r="T745" s="16">
        <f t="shared" si="125"/>
        <v>10.672813274649668</v>
      </c>
      <c r="U745" s="16">
        <f t="shared" si="126"/>
        <v>1.0611560728531118</v>
      </c>
      <c r="V745" s="16">
        <f t="shared" si="127"/>
        <v>699.25607142857132</v>
      </c>
      <c r="W745" s="16">
        <f t="shared" si="128"/>
        <v>7534.625</v>
      </c>
      <c r="X745" s="16">
        <f t="shared" si="129"/>
        <v>705.96428571428567</v>
      </c>
      <c r="Y745" s="16">
        <f t="shared" si="130"/>
        <v>7100.3928571428569</v>
      </c>
      <c r="Z745" s="7" t="str" cm="1">
        <f t="array" ref="Z745">_xlfn.IFS(K745&lt;2%,"Low",K745&lt;5%,"Medium",K745&lt;10%,"Good",K745&gt;10%,"Excellent")</f>
        <v>Good</v>
      </c>
      <c r="AA745" s="16" t="str">
        <f>Data_Validation!N743</f>
        <v>Pass</v>
      </c>
    </row>
    <row r="746" spans="1:27" x14ac:dyDescent="0.35">
      <c r="A746" s="17" t="s">
        <v>114</v>
      </c>
      <c r="B746" s="3" t="s">
        <v>28</v>
      </c>
      <c r="C746" s="3" t="s">
        <v>36</v>
      </c>
      <c r="D746" s="3" t="s">
        <v>37</v>
      </c>
      <c r="E746" s="3" t="s">
        <v>38</v>
      </c>
      <c r="F746" s="3">
        <v>19088.84</v>
      </c>
      <c r="G746" s="3">
        <v>370351</v>
      </c>
      <c r="H746" s="3">
        <v>48987</v>
      </c>
      <c r="I746" s="3">
        <v>102838.75</v>
      </c>
      <c r="J746" s="3">
        <v>50</v>
      </c>
      <c r="K746" s="15">
        <f t="shared" si="121"/>
        <v>0.13227181781607178</v>
      </c>
      <c r="L746" s="16">
        <f t="shared" si="131"/>
        <v>0.38967154551207461</v>
      </c>
      <c r="M746" s="16">
        <f t="shared" si="122"/>
        <v>51.542563676080263</v>
      </c>
      <c r="N746" s="16">
        <f t="shared" si="123"/>
        <v>5.3873755555602125</v>
      </c>
      <c r="O746" s="16">
        <f t="shared" si="124"/>
        <v>4.3873755555602125</v>
      </c>
      <c r="P746" s="1">
        <v>2024</v>
      </c>
      <c r="Q746" s="1" t="s">
        <v>24</v>
      </c>
      <c r="R746" s="1" t="s">
        <v>25</v>
      </c>
      <c r="S746" s="70">
        <f>DATE(Table2[[#This Row],[Year]],MONTH(DATEVALUE("1-"&amp;Table2[[#This Row],[Month]]&amp;"-2000")),1)</f>
        <v>45566</v>
      </c>
      <c r="T746" s="16">
        <f t="shared" si="125"/>
        <v>2.0993069589891196</v>
      </c>
      <c r="U746" s="16">
        <f t="shared" si="126"/>
        <v>0.27767914761942047</v>
      </c>
      <c r="V746" s="16">
        <f t="shared" si="127"/>
        <v>381.77679999999998</v>
      </c>
      <c r="W746" s="16">
        <f t="shared" si="128"/>
        <v>2056.7750000000001</v>
      </c>
      <c r="X746" s="16">
        <f t="shared" si="129"/>
        <v>979.74</v>
      </c>
      <c r="Y746" s="16">
        <f t="shared" si="130"/>
        <v>7407.02</v>
      </c>
      <c r="Z746" s="7" t="str" cm="1">
        <f t="array" ref="Z746">_xlfn.IFS(K746&lt;2%,"Low",K746&lt;5%,"Medium",K746&lt;10%,"Good",K746&gt;10%,"Excellent")</f>
        <v>Excellent</v>
      </c>
      <c r="AA746" s="16" t="str">
        <f>Data_Validation!N744</f>
        <v>Pass</v>
      </c>
    </row>
    <row r="747" spans="1:27" x14ac:dyDescent="0.35">
      <c r="A747" s="17" t="s">
        <v>18</v>
      </c>
      <c r="B747" s="3" t="s">
        <v>19</v>
      </c>
      <c r="C747" s="3" t="s">
        <v>20</v>
      </c>
      <c r="D747" s="3" t="s">
        <v>21</v>
      </c>
      <c r="E747" s="3" t="s">
        <v>22</v>
      </c>
      <c r="F747" s="3">
        <v>750.67</v>
      </c>
      <c r="G747" s="3">
        <v>244053</v>
      </c>
      <c r="H747" s="3">
        <v>9244</v>
      </c>
      <c r="I747" s="3">
        <v>185435.45</v>
      </c>
      <c r="J747" s="3">
        <v>13</v>
      </c>
      <c r="K747" s="15">
        <f t="shared" si="121"/>
        <v>3.7877018516469782E-2</v>
      </c>
      <c r="L747" s="16">
        <f t="shared" si="131"/>
        <v>8.1206187797490254E-2</v>
      </c>
      <c r="M747" s="16">
        <f t="shared" si="122"/>
        <v>3.0758482788574608</v>
      </c>
      <c r="N747" s="16">
        <f t="shared" si="123"/>
        <v>247.02658957997525</v>
      </c>
      <c r="O747" s="16">
        <f t="shared" si="124"/>
        <v>246.02658957997522</v>
      </c>
      <c r="P747" s="1">
        <v>2024</v>
      </c>
      <c r="Q747" s="1" t="s">
        <v>24</v>
      </c>
      <c r="R747" s="1" t="s">
        <v>25</v>
      </c>
      <c r="S747" s="70">
        <f>DATE(Table2[[#This Row],[Year]],MONTH(DATEVALUE("1-"&amp;Table2[[#This Row],[Month]]&amp;"-2000")),1)</f>
        <v>45566</v>
      </c>
      <c r="T747" s="16">
        <f t="shared" si="125"/>
        <v>20.060087624405021</v>
      </c>
      <c r="U747" s="16">
        <f t="shared" si="126"/>
        <v>0.75981631039159536</v>
      </c>
      <c r="V747" s="16">
        <f t="shared" si="127"/>
        <v>57.74384615384615</v>
      </c>
      <c r="W747" s="16">
        <f t="shared" si="128"/>
        <v>14264.265384615386</v>
      </c>
      <c r="X747" s="16">
        <f t="shared" si="129"/>
        <v>711.07692307692309</v>
      </c>
      <c r="Y747" s="16">
        <f t="shared" si="130"/>
        <v>18773.307692307691</v>
      </c>
      <c r="Z747" s="7" t="str" cm="1">
        <f t="array" ref="Z747">_xlfn.IFS(K747&lt;2%,"Low",K747&lt;5%,"Medium",K747&lt;10%,"Good",K747&gt;10%,"Excellent")</f>
        <v>Medium</v>
      </c>
      <c r="AA747" s="16" t="str">
        <f>Data_Validation!N745</f>
        <v>Pass</v>
      </c>
    </row>
    <row r="748" spans="1:27" x14ac:dyDescent="0.35">
      <c r="A748" s="17" t="s">
        <v>57</v>
      </c>
      <c r="B748" s="3" t="s">
        <v>48</v>
      </c>
      <c r="C748" s="3" t="s">
        <v>36</v>
      </c>
      <c r="D748" s="3" t="s">
        <v>37</v>
      </c>
      <c r="E748" s="3" t="s">
        <v>38</v>
      </c>
      <c r="F748" s="3">
        <v>5079.82</v>
      </c>
      <c r="G748" s="3">
        <v>708260</v>
      </c>
      <c r="H748" s="3">
        <v>18953</v>
      </c>
      <c r="I748" s="3">
        <v>107203.41</v>
      </c>
      <c r="J748" s="3">
        <v>59</v>
      </c>
      <c r="K748" s="15">
        <f t="shared" si="121"/>
        <v>2.6759946912150907E-2</v>
      </c>
      <c r="L748" s="16">
        <f t="shared" si="131"/>
        <v>0.26802194903181553</v>
      </c>
      <c r="M748" s="16">
        <f t="shared" si="122"/>
        <v>7.1722531273825991</v>
      </c>
      <c r="N748" s="16">
        <f t="shared" si="123"/>
        <v>21.103781236343021</v>
      </c>
      <c r="O748" s="16">
        <f t="shared" si="124"/>
        <v>20.103781236343021</v>
      </c>
      <c r="P748" s="1">
        <v>2024</v>
      </c>
      <c r="Q748" s="1" t="s">
        <v>24</v>
      </c>
      <c r="R748" s="1" t="s">
        <v>25</v>
      </c>
      <c r="S748" s="70">
        <f>DATE(Table2[[#This Row],[Year]],MONTH(DATEVALUE("1-"&amp;Table2[[#This Row],[Month]]&amp;"-2000")),1)</f>
        <v>45566</v>
      </c>
      <c r="T748" s="16">
        <f t="shared" si="125"/>
        <v>5.6562765789057146</v>
      </c>
      <c r="U748" s="16">
        <f t="shared" si="126"/>
        <v>0.15136166097195947</v>
      </c>
      <c r="V748" s="16">
        <f t="shared" si="127"/>
        <v>86.098644067796599</v>
      </c>
      <c r="W748" s="16">
        <f t="shared" si="128"/>
        <v>1817.0069491525423</v>
      </c>
      <c r="X748" s="16">
        <f t="shared" si="129"/>
        <v>321.23728813559325</v>
      </c>
      <c r="Y748" s="16">
        <f t="shared" si="130"/>
        <v>12004.406779661016</v>
      </c>
      <c r="Z748" s="7" t="str" cm="1">
        <f t="array" ref="Z748">_xlfn.IFS(K748&lt;2%,"Low",K748&lt;5%,"Medium",K748&lt;10%,"Good",K748&gt;10%,"Excellent")</f>
        <v>Medium</v>
      </c>
      <c r="AA748" s="16" t="str">
        <f>Data_Validation!N746</f>
        <v>Pass</v>
      </c>
    </row>
    <row r="749" spans="1:27" x14ac:dyDescent="0.35">
      <c r="A749" s="17" t="s">
        <v>103</v>
      </c>
      <c r="B749" s="3" t="s">
        <v>19</v>
      </c>
      <c r="C749" s="3" t="s">
        <v>36</v>
      </c>
      <c r="D749" s="3" t="s">
        <v>59</v>
      </c>
      <c r="E749" s="3" t="s">
        <v>38</v>
      </c>
      <c r="F749" s="3">
        <v>23807.88</v>
      </c>
      <c r="G749" s="3">
        <v>652053</v>
      </c>
      <c r="H749" s="3">
        <v>37562</v>
      </c>
      <c r="I749" s="3">
        <v>104169.32</v>
      </c>
      <c r="J749" s="3">
        <v>57</v>
      </c>
      <c r="K749" s="15">
        <f t="shared" si="121"/>
        <v>5.7605746772118216E-2</v>
      </c>
      <c r="L749" s="16">
        <f t="shared" si="131"/>
        <v>0.63382886960225759</v>
      </c>
      <c r="M749" s="16">
        <f t="shared" si="122"/>
        <v>36.512185359165592</v>
      </c>
      <c r="N749" s="16">
        <f t="shared" si="123"/>
        <v>4.3754135185493208</v>
      </c>
      <c r="O749" s="16">
        <f t="shared" si="124"/>
        <v>3.3754135185493208</v>
      </c>
      <c r="P749" s="1">
        <v>2024</v>
      </c>
      <c r="Q749" s="1" t="s">
        <v>24</v>
      </c>
      <c r="R749" s="1" t="s">
        <v>25</v>
      </c>
      <c r="S749" s="70">
        <f>DATE(Table2[[#This Row],[Year]],MONTH(DATEVALUE("1-"&amp;Table2[[#This Row],[Month]]&amp;"-2000")),1)</f>
        <v>45566</v>
      </c>
      <c r="T749" s="16">
        <f t="shared" si="125"/>
        <v>2.7732634045045526</v>
      </c>
      <c r="U749" s="16">
        <f t="shared" si="126"/>
        <v>0.15975590941227172</v>
      </c>
      <c r="V749" s="16">
        <f t="shared" si="127"/>
        <v>417.68210526315789</v>
      </c>
      <c r="W749" s="16">
        <f t="shared" si="128"/>
        <v>1827.5319298245615</v>
      </c>
      <c r="X749" s="16">
        <f t="shared" si="129"/>
        <v>658.98245614035091</v>
      </c>
      <c r="Y749" s="16">
        <f t="shared" si="130"/>
        <v>11439.526315789473</v>
      </c>
      <c r="Z749" s="7" t="str" cm="1">
        <f t="array" ref="Z749">_xlfn.IFS(K749&lt;2%,"Low",K749&lt;5%,"Medium",K749&lt;10%,"Good",K749&gt;10%,"Excellent")</f>
        <v>Good</v>
      </c>
      <c r="AA749" s="16" t="str">
        <f>Data_Validation!N747</f>
        <v>Pass</v>
      </c>
    </row>
    <row r="750" spans="1:27" x14ac:dyDescent="0.35">
      <c r="A750" s="17" t="s">
        <v>102</v>
      </c>
      <c r="B750" s="3" t="s">
        <v>28</v>
      </c>
      <c r="C750" s="3" t="s">
        <v>69</v>
      </c>
      <c r="D750" s="3" t="s">
        <v>21</v>
      </c>
      <c r="E750" s="3" t="s">
        <v>38</v>
      </c>
      <c r="F750" s="3">
        <v>7918.2</v>
      </c>
      <c r="G750" s="3">
        <v>352402</v>
      </c>
      <c r="H750" s="3">
        <v>39878</v>
      </c>
      <c r="I750" s="3">
        <v>198100.29</v>
      </c>
      <c r="J750" s="3">
        <v>33</v>
      </c>
      <c r="K750" s="15">
        <f t="shared" si="121"/>
        <v>0.11316053824893162</v>
      </c>
      <c r="L750" s="16">
        <f t="shared" si="131"/>
        <v>0.19856060986007321</v>
      </c>
      <c r="M750" s="16">
        <f t="shared" si="122"/>
        <v>22.469225486802003</v>
      </c>
      <c r="N750" s="16">
        <f t="shared" si="123"/>
        <v>25.018348867166782</v>
      </c>
      <c r="O750" s="16">
        <f t="shared" si="124"/>
        <v>24.018348867166779</v>
      </c>
      <c r="P750" s="1">
        <v>2024</v>
      </c>
      <c r="Q750" s="1" t="s">
        <v>24</v>
      </c>
      <c r="R750" s="1" t="s">
        <v>25</v>
      </c>
      <c r="S750" s="70">
        <f>DATE(Table2[[#This Row],[Year]],MONTH(DATEVALUE("1-"&amp;Table2[[#This Row],[Month]]&amp;"-2000")),1)</f>
        <v>45566</v>
      </c>
      <c r="T750" s="16">
        <f t="shared" si="125"/>
        <v>4.9676586087567083</v>
      </c>
      <c r="U750" s="16">
        <f t="shared" si="126"/>
        <v>0.56214292200384786</v>
      </c>
      <c r="V750" s="16">
        <f t="shared" si="127"/>
        <v>239.94545454545454</v>
      </c>
      <c r="W750" s="16">
        <f t="shared" si="128"/>
        <v>6003.0390909090911</v>
      </c>
      <c r="X750" s="16">
        <f t="shared" si="129"/>
        <v>1208.4242424242425</v>
      </c>
      <c r="Y750" s="16">
        <f t="shared" si="130"/>
        <v>10678.848484848484</v>
      </c>
      <c r="Z750" s="7" t="str" cm="1">
        <f t="array" ref="Z750">_xlfn.IFS(K750&lt;2%,"Low",K750&lt;5%,"Medium",K750&lt;10%,"Good",K750&gt;10%,"Excellent")</f>
        <v>Excellent</v>
      </c>
      <c r="AA750" s="16" t="str">
        <f>Data_Validation!N748</f>
        <v>Pass</v>
      </c>
    </row>
    <row r="751" spans="1:27" x14ac:dyDescent="0.35">
      <c r="A751" s="17" t="s">
        <v>108</v>
      </c>
      <c r="B751" s="3" t="s">
        <v>19</v>
      </c>
      <c r="C751" s="3" t="s">
        <v>69</v>
      </c>
      <c r="D751" s="3" t="s">
        <v>43</v>
      </c>
      <c r="E751" s="3" t="s">
        <v>38</v>
      </c>
      <c r="F751" s="3">
        <v>2669.45</v>
      </c>
      <c r="G751" s="3">
        <v>830231</v>
      </c>
      <c r="H751" s="3">
        <v>1404</v>
      </c>
      <c r="I751" s="3">
        <v>18555.18</v>
      </c>
      <c r="J751" s="3">
        <v>60</v>
      </c>
      <c r="K751" s="15">
        <f t="shared" si="121"/>
        <v>1.6910956107396616E-3</v>
      </c>
      <c r="L751" s="16">
        <f t="shared" si="131"/>
        <v>1.9013176638176637</v>
      </c>
      <c r="M751" s="16">
        <f t="shared" si="122"/>
        <v>3.2153099559038387</v>
      </c>
      <c r="N751" s="16">
        <f t="shared" si="123"/>
        <v>6.9509374590271413</v>
      </c>
      <c r="O751" s="16">
        <f t="shared" si="124"/>
        <v>5.9509374590271404</v>
      </c>
      <c r="P751" s="1">
        <v>2024</v>
      </c>
      <c r="Q751" s="1" t="s">
        <v>24</v>
      </c>
      <c r="R751" s="1" t="s">
        <v>25</v>
      </c>
      <c r="S751" s="70">
        <f>DATE(Table2[[#This Row],[Year]],MONTH(DATEVALUE("1-"&amp;Table2[[#This Row],[Month]]&amp;"-2000")),1)</f>
        <v>45566</v>
      </c>
      <c r="T751" s="16">
        <f t="shared" si="125"/>
        <v>13.21594017094017</v>
      </c>
      <c r="U751" s="16">
        <f t="shared" si="126"/>
        <v>2.2349418414874898E-2</v>
      </c>
      <c r="V751" s="16">
        <f t="shared" si="127"/>
        <v>44.490833333333327</v>
      </c>
      <c r="W751" s="16">
        <f t="shared" si="128"/>
        <v>309.25299999999999</v>
      </c>
      <c r="X751" s="16">
        <f t="shared" si="129"/>
        <v>23.4</v>
      </c>
      <c r="Y751" s="16">
        <f t="shared" si="130"/>
        <v>13837.183333333332</v>
      </c>
      <c r="Z751" s="7" t="str" cm="1">
        <f t="array" ref="Z751">_xlfn.IFS(K751&lt;2%,"Low",K751&lt;5%,"Medium",K751&lt;10%,"Good",K751&gt;10%,"Excellent")</f>
        <v>Low</v>
      </c>
      <c r="AA751" s="16" t="str">
        <f>Data_Validation!N749</f>
        <v>Pass</v>
      </c>
    </row>
    <row r="752" spans="1:27" x14ac:dyDescent="0.35">
      <c r="A752" s="17" t="s">
        <v>72</v>
      </c>
      <c r="B752" s="3" t="s">
        <v>28</v>
      </c>
      <c r="C752" s="3" t="s">
        <v>29</v>
      </c>
      <c r="D752" s="3" t="s">
        <v>59</v>
      </c>
      <c r="E752" s="3" t="s">
        <v>38</v>
      </c>
      <c r="F752" s="3">
        <v>16821.22</v>
      </c>
      <c r="G752" s="3">
        <v>781754</v>
      </c>
      <c r="H752" s="3">
        <v>47615</v>
      </c>
      <c r="I752" s="3">
        <v>98504.37</v>
      </c>
      <c r="J752" s="3">
        <v>27</v>
      </c>
      <c r="K752" s="15">
        <f t="shared" si="121"/>
        <v>6.0907907090977466E-2</v>
      </c>
      <c r="L752" s="16">
        <f t="shared" si="131"/>
        <v>0.35327564843011661</v>
      </c>
      <c r="M752" s="16">
        <f t="shared" si="122"/>
        <v>21.517280372086361</v>
      </c>
      <c r="N752" s="16">
        <f t="shared" si="123"/>
        <v>5.8559587235646395</v>
      </c>
      <c r="O752" s="16">
        <f t="shared" si="124"/>
        <v>4.8559587235646395</v>
      </c>
      <c r="P752" s="1">
        <v>2024</v>
      </c>
      <c r="Q752" s="1" t="s">
        <v>24</v>
      </c>
      <c r="R752" s="1" t="s">
        <v>25</v>
      </c>
      <c r="S752" s="70">
        <f>DATE(Table2[[#This Row],[Year]],MONTH(DATEVALUE("1-"&amp;Table2[[#This Row],[Month]]&amp;"-2000")),1)</f>
        <v>45566</v>
      </c>
      <c r="T752" s="16">
        <f t="shared" si="125"/>
        <v>2.068767615247296</v>
      </c>
      <c r="U752" s="16">
        <f t="shared" si="126"/>
        <v>0.12600430570230534</v>
      </c>
      <c r="V752" s="16">
        <f t="shared" si="127"/>
        <v>623.00814814814817</v>
      </c>
      <c r="W752" s="16">
        <f t="shared" si="128"/>
        <v>3648.31</v>
      </c>
      <c r="X752" s="16">
        <f t="shared" si="129"/>
        <v>1763.5185185185185</v>
      </c>
      <c r="Y752" s="16">
        <f t="shared" si="130"/>
        <v>28953.85185185185</v>
      </c>
      <c r="Z752" s="7" t="str" cm="1">
        <f t="array" ref="Z752">_xlfn.IFS(K752&lt;2%,"Low",K752&lt;5%,"Medium",K752&lt;10%,"Good",K752&gt;10%,"Excellent")</f>
        <v>Good</v>
      </c>
      <c r="AA752" s="16" t="str">
        <f>Data_Validation!N750</f>
        <v>Pass</v>
      </c>
    </row>
    <row r="753" spans="1:27" x14ac:dyDescent="0.35">
      <c r="A753" s="17" t="s">
        <v>102</v>
      </c>
      <c r="B753" s="3" t="s">
        <v>19</v>
      </c>
      <c r="C753" s="3" t="s">
        <v>36</v>
      </c>
      <c r="D753" s="3" t="s">
        <v>37</v>
      </c>
      <c r="E753" s="3" t="s">
        <v>22</v>
      </c>
      <c r="F753" s="3">
        <v>42286.559999999998</v>
      </c>
      <c r="G753" s="3">
        <v>171223</v>
      </c>
      <c r="H753" s="3">
        <v>1656</v>
      </c>
      <c r="I753" s="3">
        <v>117510.18</v>
      </c>
      <c r="J753" s="3">
        <v>58</v>
      </c>
      <c r="K753" s="15">
        <f t="shared" si="121"/>
        <v>9.6715978577644364E-3</v>
      </c>
      <c r="L753" s="16">
        <f t="shared" si="131"/>
        <v>25.53536231884058</v>
      </c>
      <c r="M753" s="16">
        <f t="shared" si="122"/>
        <v>246.96775550013723</v>
      </c>
      <c r="N753" s="16">
        <f t="shared" si="123"/>
        <v>2.7789013814318309</v>
      </c>
      <c r="O753" s="16">
        <f t="shared" si="124"/>
        <v>1.7789013814318309</v>
      </c>
      <c r="P753" s="1">
        <v>2024</v>
      </c>
      <c r="Q753" s="1" t="s">
        <v>24</v>
      </c>
      <c r="R753" s="1" t="s">
        <v>25</v>
      </c>
      <c r="S753" s="70">
        <f>DATE(Table2[[#This Row],[Year]],MONTH(DATEVALUE("1-"&amp;Table2[[#This Row],[Month]]&amp;"-2000")),1)</f>
        <v>45566</v>
      </c>
      <c r="T753" s="16">
        <f t="shared" si="125"/>
        <v>70.960253623188407</v>
      </c>
      <c r="U753" s="16">
        <f t="shared" si="126"/>
        <v>0.68629903692844996</v>
      </c>
      <c r="V753" s="16">
        <f t="shared" si="127"/>
        <v>729.07862068965517</v>
      </c>
      <c r="W753" s="16">
        <f t="shared" si="128"/>
        <v>2026.0375862068963</v>
      </c>
      <c r="X753" s="16">
        <f t="shared" si="129"/>
        <v>28.551724137931036</v>
      </c>
      <c r="Y753" s="16">
        <f t="shared" si="130"/>
        <v>2952.1206896551726</v>
      </c>
      <c r="Z753" s="7" t="str" cm="1">
        <f t="array" ref="Z753">_xlfn.IFS(K753&lt;2%,"Low",K753&lt;5%,"Medium",K753&lt;10%,"Good",K753&gt;10%,"Excellent")</f>
        <v>Low</v>
      </c>
      <c r="AA753" s="16" t="str">
        <f>Data_Validation!N751</f>
        <v>Pass</v>
      </c>
    </row>
    <row r="754" spans="1:27" x14ac:dyDescent="0.35">
      <c r="A754" s="17" t="s">
        <v>34</v>
      </c>
      <c r="B754" s="3" t="s">
        <v>35</v>
      </c>
      <c r="C754" s="3" t="s">
        <v>58</v>
      </c>
      <c r="D754" s="3" t="s">
        <v>37</v>
      </c>
      <c r="E754" s="3" t="s">
        <v>22</v>
      </c>
      <c r="F754" s="3">
        <v>3742.82</v>
      </c>
      <c r="G754" s="3">
        <v>720380</v>
      </c>
      <c r="H754" s="3">
        <v>42484</v>
      </c>
      <c r="I754" s="3">
        <v>102906.35</v>
      </c>
      <c r="J754" s="3">
        <v>45</v>
      </c>
      <c r="K754" s="15">
        <f t="shared" si="121"/>
        <v>5.8974430161859021E-2</v>
      </c>
      <c r="L754" s="16">
        <f t="shared" si="131"/>
        <v>8.8099519819226063E-2</v>
      </c>
      <c r="M754" s="16">
        <f t="shared" si="122"/>
        <v>5.195618978872262</v>
      </c>
      <c r="N754" s="16">
        <f t="shared" si="123"/>
        <v>27.494335821653191</v>
      </c>
      <c r="O754" s="16">
        <f t="shared" si="124"/>
        <v>26.494335821653191</v>
      </c>
      <c r="P754" s="1">
        <v>2024</v>
      </c>
      <c r="Q754" s="1" t="s">
        <v>24</v>
      </c>
      <c r="R754" s="1" t="s">
        <v>25</v>
      </c>
      <c r="S754" s="70">
        <f>DATE(Table2[[#This Row],[Year]],MONTH(DATEVALUE("1-"&amp;Table2[[#This Row],[Month]]&amp;"-2000")),1)</f>
        <v>45566</v>
      </c>
      <c r="T754" s="16">
        <f t="shared" si="125"/>
        <v>2.4222377836361928</v>
      </c>
      <c r="U754" s="16">
        <f t="shared" si="126"/>
        <v>0.14285009300646881</v>
      </c>
      <c r="V754" s="16">
        <f t="shared" si="127"/>
        <v>83.173777777777786</v>
      </c>
      <c r="W754" s="16">
        <f t="shared" si="128"/>
        <v>2286.807777777778</v>
      </c>
      <c r="X754" s="16">
        <f t="shared" si="129"/>
        <v>944.08888888888885</v>
      </c>
      <c r="Y754" s="16">
        <f t="shared" si="130"/>
        <v>16008.444444444445</v>
      </c>
      <c r="Z754" s="7" t="str" cm="1">
        <f t="array" ref="Z754">_xlfn.IFS(K754&lt;2%,"Low",K754&lt;5%,"Medium",K754&lt;10%,"Good",K754&gt;10%,"Excellent")</f>
        <v>Good</v>
      </c>
      <c r="AA754" s="16" t="str">
        <f>Data_Validation!N752</f>
        <v>Pass</v>
      </c>
    </row>
    <row r="755" spans="1:27" x14ac:dyDescent="0.35">
      <c r="A755" s="17" t="s">
        <v>84</v>
      </c>
      <c r="B755" s="3" t="s">
        <v>48</v>
      </c>
      <c r="C755" s="3" t="s">
        <v>69</v>
      </c>
      <c r="D755" s="3" t="s">
        <v>43</v>
      </c>
      <c r="E755" s="3" t="s">
        <v>38</v>
      </c>
      <c r="F755" s="3">
        <v>7027.37</v>
      </c>
      <c r="G755" s="3">
        <v>786459</v>
      </c>
      <c r="H755" s="3">
        <v>16085</v>
      </c>
      <c r="I755" s="3">
        <v>131418.51</v>
      </c>
      <c r="J755" s="3">
        <v>12</v>
      </c>
      <c r="K755" s="15">
        <f t="shared" si="121"/>
        <v>2.0452432993964084E-2</v>
      </c>
      <c r="L755" s="16">
        <f t="shared" si="131"/>
        <v>0.43688964874106312</v>
      </c>
      <c r="M755" s="16">
        <f t="shared" si="122"/>
        <v>8.9354562666330981</v>
      </c>
      <c r="N755" s="16">
        <f t="shared" si="123"/>
        <v>18.700952134297754</v>
      </c>
      <c r="O755" s="16">
        <f t="shared" si="124"/>
        <v>17.700952134297754</v>
      </c>
      <c r="P755" s="1">
        <v>2024</v>
      </c>
      <c r="Q755" s="1" t="s">
        <v>24</v>
      </c>
      <c r="R755" s="1" t="s">
        <v>25</v>
      </c>
      <c r="S755" s="70">
        <f>DATE(Table2[[#This Row],[Year]],MONTH(DATEVALUE("1-"&amp;Table2[[#This Row],[Month]]&amp;"-2000")),1)</f>
        <v>45566</v>
      </c>
      <c r="T755" s="16">
        <f t="shared" si="125"/>
        <v>8.170252409076781</v>
      </c>
      <c r="U755" s="16">
        <f t="shared" si="126"/>
        <v>0.16710153994041649</v>
      </c>
      <c r="V755" s="16">
        <f t="shared" si="127"/>
        <v>585.61416666666662</v>
      </c>
      <c r="W755" s="16">
        <f t="shared" si="128"/>
        <v>10951.542500000001</v>
      </c>
      <c r="X755" s="16">
        <f t="shared" si="129"/>
        <v>1340.4166666666667</v>
      </c>
      <c r="Y755" s="16">
        <f t="shared" si="130"/>
        <v>65538.25</v>
      </c>
      <c r="Z755" s="7" t="str" cm="1">
        <f t="array" ref="Z755">_xlfn.IFS(K755&lt;2%,"Low",K755&lt;5%,"Medium",K755&lt;10%,"Good",K755&gt;10%,"Excellent")</f>
        <v>Medium</v>
      </c>
      <c r="AA755" s="16" t="str">
        <f>Data_Validation!N753</f>
        <v>Pass</v>
      </c>
    </row>
    <row r="756" spans="1:27" x14ac:dyDescent="0.35">
      <c r="A756" s="17" t="s">
        <v>88</v>
      </c>
      <c r="B756" s="3" t="s">
        <v>28</v>
      </c>
      <c r="C756" s="3" t="s">
        <v>20</v>
      </c>
      <c r="D756" s="3" t="s">
        <v>37</v>
      </c>
      <c r="E756" s="3" t="s">
        <v>30</v>
      </c>
      <c r="F756" s="3">
        <v>43775</v>
      </c>
      <c r="G756" s="3">
        <v>911085</v>
      </c>
      <c r="H756" s="3">
        <v>35071</v>
      </c>
      <c r="I756" s="3">
        <v>98102.3</v>
      </c>
      <c r="J756" s="3">
        <v>11</v>
      </c>
      <c r="K756" s="15">
        <f t="shared" si="121"/>
        <v>3.8493664147692036E-2</v>
      </c>
      <c r="L756" s="16">
        <f t="shared" si="131"/>
        <v>1.2481822588463403</v>
      </c>
      <c r="M756" s="16">
        <f t="shared" si="122"/>
        <v>48.047108667138637</v>
      </c>
      <c r="N756" s="16">
        <f t="shared" si="123"/>
        <v>2.2410576813249574</v>
      </c>
      <c r="O756" s="16">
        <f t="shared" si="124"/>
        <v>1.2410576813249572</v>
      </c>
      <c r="P756" s="1">
        <v>2024</v>
      </c>
      <c r="Q756" s="1" t="s">
        <v>24</v>
      </c>
      <c r="R756" s="1" t="s">
        <v>25</v>
      </c>
      <c r="S756" s="70">
        <f>DATE(Table2[[#This Row],[Year]],MONTH(DATEVALUE("1-"&amp;Table2[[#This Row],[Month]]&amp;"-2000")),1)</f>
        <v>45566</v>
      </c>
      <c r="T756" s="16">
        <f t="shared" si="125"/>
        <v>2.7972484388811267</v>
      </c>
      <c r="U756" s="16">
        <f t="shared" si="126"/>
        <v>0.10767634194394596</v>
      </c>
      <c r="V756" s="16">
        <f t="shared" si="127"/>
        <v>3979.5454545454545</v>
      </c>
      <c r="W756" s="16">
        <f t="shared" si="128"/>
        <v>8918.3909090909092</v>
      </c>
      <c r="X756" s="16">
        <f t="shared" si="129"/>
        <v>3188.2727272727275</v>
      </c>
      <c r="Y756" s="16">
        <f t="shared" si="130"/>
        <v>82825.909090909088</v>
      </c>
      <c r="Z756" s="7" t="str" cm="1">
        <f t="array" ref="Z756">_xlfn.IFS(K756&lt;2%,"Low",K756&lt;5%,"Medium",K756&lt;10%,"Good",K756&gt;10%,"Excellent")</f>
        <v>Medium</v>
      </c>
      <c r="AA756" s="16" t="str">
        <f>Data_Validation!N754</f>
        <v>Pass</v>
      </c>
    </row>
    <row r="757" spans="1:27" x14ac:dyDescent="0.35">
      <c r="A757" s="17" t="s">
        <v>99</v>
      </c>
      <c r="B757" s="3" t="s">
        <v>35</v>
      </c>
      <c r="C757" s="3" t="s">
        <v>69</v>
      </c>
      <c r="D757" s="3" t="s">
        <v>21</v>
      </c>
      <c r="E757" s="3" t="s">
        <v>22</v>
      </c>
      <c r="F757" s="3">
        <v>19510.41</v>
      </c>
      <c r="G757" s="3">
        <v>680030</v>
      </c>
      <c r="H757" s="3">
        <v>2084</v>
      </c>
      <c r="I757" s="3">
        <v>127019.32</v>
      </c>
      <c r="J757" s="3">
        <v>19</v>
      </c>
      <c r="K757" s="15">
        <f t="shared" si="121"/>
        <v>3.064570680705263E-3</v>
      </c>
      <c r="L757" s="16">
        <f t="shared" si="131"/>
        <v>9.3620009596928977</v>
      </c>
      <c r="M757" s="16">
        <f t="shared" si="122"/>
        <v>28.69051365380939</v>
      </c>
      <c r="N757" s="16">
        <f t="shared" si="123"/>
        <v>6.5103357643432407</v>
      </c>
      <c r="O757" s="16">
        <f t="shared" si="124"/>
        <v>5.5103357643432407</v>
      </c>
      <c r="P757" s="1">
        <v>2024</v>
      </c>
      <c r="Q757" s="1" t="s">
        <v>24</v>
      </c>
      <c r="R757" s="1" t="s">
        <v>25</v>
      </c>
      <c r="S757" s="70">
        <f>DATE(Table2[[#This Row],[Year]],MONTH(DATEVALUE("1-"&amp;Table2[[#This Row],[Month]]&amp;"-2000")),1)</f>
        <v>45566</v>
      </c>
      <c r="T757" s="16">
        <f t="shared" si="125"/>
        <v>60.949769673704417</v>
      </c>
      <c r="U757" s="16">
        <f t="shared" si="126"/>
        <v>0.18678487713777334</v>
      </c>
      <c r="V757" s="16">
        <f t="shared" si="127"/>
        <v>1026.8636842105263</v>
      </c>
      <c r="W757" s="16">
        <f t="shared" si="128"/>
        <v>6685.2273684210531</v>
      </c>
      <c r="X757" s="16">
        <f t="shared" si="129"/>
        <v>109.68421052631579</v>
      </c>
      <c r="Y757" s="16">
        <f t="shared" si="130"/>
        <v>35791.052631578947</v>
      </c>
      <c r="Z757" s="7" t="str" cm="1">
        <f t="array" ref="Z757">_xlfn.IFS(K757&lt;2%,"Low",K757&lt;5%,"Medium",K757&lt;10%,"Good",K757&gt;10%,"Excellent")</f>
        <v>Low</v>
      </c>
      <c r="AA757" s="16" t="str">
        <f>Data_Validation!N755</f>
        <v>Pass</v>
      </c>
    </row>
    <row r="758" spans="1:27" x14ac:dyDescent="0.35">
      <c r="A758" s="17" t="s">
        <v>110</v>
      </c>
      <c r="B758" s="3" t="s">
        <v>28</v>
      </c>
      <c r="C758" s="3" t="s">
        <v>29</v>
      </c>
      <c r="D758" s="3" t="s">
        <v>37</v>
      </c>
      <c r="E758" s="3" t="s">
        <v>38</v>
      </c>
      <c r="F758" s="3">
        <v>11004.74</v>
      </c>
      <c r="G758" s="3">
        <v>901638</v>
      </c>
      <c r="H758" s="3">
        <v>2544</v>
      </c>
      <c r="I758" s="3">
        <v>228741.28</v>
      </c>
      <c r="J758" s="3">
        <v>42</v>
      </c>
      <c r="K758" s="15">
        <f t="shared" si="121"/>
        <v>2.8215314793742056E-3</v>
      </c>
      <c r="L758" s="16">
        <f t="shared" si="131"/>
        <v>4.3257625786163523</v>
      </c>
      <c r="M758" s="16">
        <f t="shared" si="122"/>
        <v>12.205275287864975</v>
      </c>
      <c r="N758" s="16">
        <f t="shared" si="123"/>
        <v>20.785705068906672</v>
      </c>
      <c r="O758" s="16">
        <f t="shared" si="124"/>
        <v>19.785705068906672</v>
      </c>
      <c r="P758" s="1">
        <v>2024</v>
      </c>
      <c r="Q758" s="1" t="s">
        <v>24</v>
      </c>
      <c r="R758" s="1" t="s">
        <v>25</v>
      </c>
      <c r="S758" s="70">
        <f>DATE(Table2[[#This Row],[Year]],MONTH(DATEVALUE("1-"&amp;Table2[[#This Row],[Month]]&amp;"-2000")),1)</f>
        <v>45566</v>
      </c>
      <c r="T758" s="16">
        <f t="shared" si="125"/>
        <v>89.9140251572327</v>
      </c>
      <c r="U758" s="16">
        <f t="shared" si="126"/>
        <v>0.25369525241837632</v>
      </c>
      <c r="V758" s="16">
        <f t="shared" si="127"/>
        <v>262.01761904761906</v>
      </c>
      <c r="W758" s="16">
        <f t="shared" si="128"/>
        <v>5446.2209523809524</v>
      </c>
      <c r="X758" s="16">
        <f t="shared" si="129"/>
        <v>60.571428571428569</v>
      </c>
      <c r="Y758" s="16">
        <f t="shared" si="130"/>
        <v>21467.571428571428</v>
      </c>
      <c r="Z758" s="7" t="str" cm="1">
        <f t="array" ref="Z758">_xlfn.IFS(K758&lt;2%,"Low",K758&lt;5%,"Medium",K758&lt;10%,"Good",K758&gt;10%,"Excellent")</f>
        <v>Low</v>
      </c>
      <c r="AA758" s="16" t="str">
        <f>Data_Validation!N756</f>
        <v>Pass</v>
      </c>
    </row>
    <row r="759" spans="1:27" x14ac:dyDescent="0.35">
      <c r="A759" s="17" t="s">
        <v>34</v>
      </c>
      <c r="B759" s="3" t="s">
        <v>35</v>
      </c>
      <c r="C759" s="3" t="s">
        <v>58</v>
      </c>
      <c r="D759" s="3" t="s">
        <v>37</v>
      </c>
      <c r="E759" s="3" t="s">
        <v>30</v>
      </c>
      <c r="F759" s="3">
        <v>15921.27</v>
      </c>
      <c r="G759" s="3">
        <v>910374</v>
      </c>
      <c r="H759" s="3">
        <v>9277</v>
      </c>
      <c r="I759" s="3">
        <v>73193.34</v>
      </c>
      <c r="J759" s="3">
        <v>52</v>
      </c>
      <c r="K759" s="15">
        <f t="shared" si="121"/>
        <v>1.0190317386041342E-2</v>
      </c>
      <c r="L759" s="16">
        <f t="shared" si="131"/>
        <v>1.7162089037404333</v>
      </c>
      <c r="M759" s="16">
        <f t="shared" si="122"/>
        <v>17.488713429865086</v>
      </c>
      <c r="N759" s="16">
        <f t="shared" si="123"/>
        <v>4.5972048712194438</v>
      </c>
      <c r="O759" s="16">
        <f t="shared" si="124"/>
        <v>3.5972048712194438</v>
      </c>
      <c r="P759" s="1">
        <v>2024</v>
      </c>
      <c r="Q759" s="1" t="s">
        <v>65</v>
      </c>
      <c r="R759" s="1" t="s">
        <v>25</v>
      </c>
      <c r="S759" s="70">
        <f>DATE(Table2[[#This Row],[Year]],MONTH(DATEVALUE("1-"&amp;Table2[[#This Row],[Month]]&amp;"-2000")),1)</f>
        <v>45597</v>
      </c>
      <c r="T759" s="16">
        <f t="shared" si="125"/>
        <v>7.8897639323057023</v>
      </c>
      <c r="U759" s="16">
        <f t="shared" si="126"/>
        <v>8.0399198571136699E-2</v>
      </c>
      <c r="V759" s="16">
        <f t="shared" si="127"/>
        <v>306.17826923076922</v>
      </c>
      <c r="W759" s="16">
        <f t="shared" si="128"/>
        <v>1407.5642307692308</v>
      </c>
      <c r="X759" s="16">
        <f t="shared" si="129"/>
        <v>178.40384615384616</v>
      </c>
      <c r="Y759" s="16">
        <f t="shared" si="130"/>
        <v>17507.192307692309</v>
      </c>
      <c r="Z759" s="7" t="str" cm="1">
        <f t="array" ref="Z759">_xlfn.IFS(K759&lt;2%,"Low",K759&lt;5%,"Medium",K759&lt;10%,"Good",K759&gt;10%,"Excellent")</f>
        <v>Low</v>
      </c>
      <c r="AA759" s="16" t="str">
        <f>Data_Validation!N757</f>
        <v>Pass</v>
      </c>
    </row>
    <row r="760" spans="1:27" x14ac:dyDescent="0.35">
      <c r="A760" s="17" t="s">
        <v>84</v>
      </c>
      <c r="B760" s="3" t="s">
        <v>28</v>
      </c>
      <c r="C760" s="3" t="s">
        <v>58</v>
      </c>
      <c r="D760" s="3" t="s">
        <v>63</v>
      </c>
      <c r="E760" s="3" t="s">
        <v>30</v>
      </c>
      <c r="F760" s="3">
        <v>23277.759999999998</v>
      </c>
      <c r="G760" s="3">
        <v>708199</v>
      </c>
      <c r="H760" s="3">
        <v>45769</v>
      </c>
      <c r="I760" s="3">
        <v>134890.73000000001</v>
      </c>
      <c r="J760" s="3">
        <v>47</v>
      </c>
      <c r="K760" s="15">
        <f t="shared" si="121"/>
        <v>6.4627315203777472E-2</v>
      </c>
      <c r="L760" s="16">
        <f t="shared" si="131"/>
        <v>0.50859227861653078</v>
      </c>
      <c r="M760" s="16">
        <f t="shared" si="122"/>
        <v>32.868953500357946</v>
      </c>
      <c r="N760" s="16">
        <f t="shared" si="123"/>
        <v>5.7948329220681032</v>
      </c>
      <c r="O760" s="16">
        <f t="shared" si="124"/>
        <v>4.7948329220681041</v>
      </c>
      <c r="P760" s="1">
        <v>2024</v>
      </c>
      <c r="Q760" s="1" t="s">
        <v>65</v>
      </c>
      <c r="R760" s="1" t="s">
        <v>25</v>
      </c>
      <c r="S760" s="70">
        <f>DATE(Table2[[#This Row],[Year]],MONTH(DATEVALUE("1-"&amp;Table2[[#This Row],[Month]]&amp;"-2000")),1)</f>
        <v>45597</v>
      </c>
      <c r="T760" s="16">
        <f t="shared" si="125"/>
        <v>2.9472072800367064</v>
      </c>
      <c r="U760" s="16">
        <f t="shared" si="126"/>
        <v>0.19047009385779987</v>
      </c>
      <c r="V760" s="16">
        <f t="shared" si="127"/>
        <v>495.27148936170209</v>
      </c>
      <c r="W760" s="16">
        <f t="shared" si="128"/>
        <v>2870.0155319148939</v>
      </c>
      <c r="X760" s="16">
        <f t="shared" si="129"/>
        <v>973.80851063829789</v>
      </c>
      <c r="Y760" s="16">
        <f t="shared" si="130"/>
        <v>15068.063829787234</v>
      </c>
      <c r="Z760" s="7" t="str" cm="1">
        <f t="array" ref="Z760">_xlfn.IFS(K760&lt;2%,"Low",K760&lt;5%,"Medium",K760&lt;10%,"Good",K760&gt;10%,"Excellent")</f>
        <v>Good</v>
      </c>
      <c r="AA760" s="16" t="str">
        <f>Data_Validation!N758</f>
        <v>Pass</v>
      </c>
    </row>
    <row r="761" spans="1:27" x14ac:dyDescent="0.35">
      <c r="A761" s="17" t="s">
        <v>77</v>
      </c>
      <c r="B761" s="3" t="s">
        <v>28</v>
      </c>
      <c r="C761" s="3" t="s">
        <v>36</v>
      </c>
      <c r="D761" s="3" t="s">
        <v>37</v>
      </c>
      <c r="E761" s="3" t="s">
        <v>30</v>
      </c>
      <c r="F761" s="3">
        <v>6620.25</v>
      </c>
      <c r="G761" s="3">
        <v>293114</v>
      </c>
      <c r="H761" s="3">
        <v>5665</v>
      </c>
      <c r="I761" s="3">
        <v>23749.14</v>
      </c>
      <c r="J761" s="3">
        <v>31</v>
      </c>
      <c r="K761" s="15">
        <f t="shared" si="121"/>
        <v>1.932695128857714E-2</v>
      </c>
      <c r="L761" s="16">
        <f t="shared" si="131"/>
        <v>1.1686231244483671</v>
      </c>
      <c r="M761" s="16">
        <f t="shared" si="122"/>
        <v>22.585922200918414</v>
      </c>
      <c r="N761" s="16">
        <f t="shared" si="123"/>
        <v>3.5873479098221366</v>
      </c>
      <c r="O761" s="16">
        <f t="shared" si="124"/>
        <v>2.5873479098221366</v>
      </c>
      <c r="P761" s="1">
        <v>2024</v>
      </c>
      <c r="Q761" s="1" t="s">
        <v>65</v>
      </c>
      <c r="R761" s="1" t="s">
        <v>25</v>
      </c>
      <c r="S761" s="70">
        <f>DATE(Table2[[#This Row],[Year]],MONTH(DATEVALUE("1-"&amp;Table2[[#This Row],[Month]]&amp;"-2000")),1)</f>
        <v>45597</v>
      </c>
      <c r="T761" s="16">
        <f t="shared" si="125"/>
        <v>4.1922577228596642</v>
      </c>
      <c r="U761" s="16">
        <f t="shared" si="126"/>
        <v>8.1023560798870062E-2</v>
      </c>
      <c r="V761" s="16">
        <f t="shared" si="127"/>
        <v>213.55645161290323</v>
      </c>
      <c r="W761" s="16">
        <f t="shared" si="128"/>
        <v>766.10129032258067</v>
      </c>
      <c r="X761" s="16">
        <f t="shared" si="129"/>
        <v>182.74193548387098</v>
      </c>
      <c r="Y761" s="16">
        <f t="shared" si="130"/>
        <v>9455.2903225806458</v>
      </c>
      <c r="Z761" s="7" t="str" cm="1">
        <f t="array" ref="Z761">_xlfn.IFS(K761&lt;2%,"Low",K761&lt;5%,"Medium",K761&lt;10%,"Good",K761&gt;10%,"Excellent")</f>
        <v>Low</v>
      </c>
      <c r="AA761" s="16" t="str">
        <f>Data_Validation!N759</f>
        <v>Pass</v>
      </c>
    </row>
    <row r="762" spans="1:27" x14ac:dyDescent="0.35">
      <c r="A762" s="17" t="s">
        <v>34</v>
      </c>
      <c r="B762" s="3" t="s">
        <v>28</v>
      </c>
      <c r="C762" s="3" t="s">
        <v>58</v>
      </c>
      <c r="D762" s="3" t="s">
        <v>37</v>
      </c>
      <c r="E762" s="3" t="s">
        <v>22</v>
      </c>
      <c r="F762" s="3">
        <v>13843.2</v>
      </c>
      <c r="G762" s="3">
        <v>206694</v>
      </c>
      <c r="H762" s="3">
        <v>34076</v>
      </c>
      <c r="I762" s="3">
        <v>93635.94</v>
      </c>
      <c r="J762" s="3">
        <v>61</v>
      </c>
      <c r="K762" s="15">
        <f t="shared" si="121"/>
        <v>0.16486206662989733</v>
      </c>
      <c r="L762" s="16">
        <f t="shared" si="131"/>
        <v>0.40624486442070668</v>
      </c>
      <c r="M762" s="16">
        <f t="shared" si="122"/>
        <v>66.974367906180149</v>
      </c>
      <c r="N762" s="16">
        <f t="shared" si="123"/>
        <v>6.7640386615811368</v>
      </c>
      <c r="O762" s="16">
        <f t="shared" si="124"/>
        <v>5.7640386615811376</v>
      </c>
      <c r="P762" s="1">
        <v>2024</v>
      </c>
      <c r="Q762" s="1" t="s">
        <v>65</v>
      </c>
      <c r="R762" s="1" t="s">
        <v>25</v>
      </c>
      <c r="S762" s="70">
        <f>DATE(Table2[[#This Row],[Year]],MONTH(DATEVALUE("1-"&amp;Table2[[#This Row],[Month]]&amp;"-2000")),1)</f>
        <v>45597</v>
      </c>
      <c r="T762" s="16">
        <f t="shared" si="125"/>
        <v>2.7478559690104474</v>
      </c>
      <c r="U762" s="16">
        <f t="shared" si="126"/>
        <v>0.45301721385236149</v>
      </c>
      <c r="V762" s="16">
        <f t="shared" si="127"/>
        <v>226.93770491803281</v>
      </c>
      <c r="W762" s="16">
        <f t="shared" si="128"/>
        <v>1535.0154098360656</v>
      </c>
      <c r="X762" s="16">
        <f t="shared" si="129"/>
        <v>558.62295081967216</v>
      </c>
      <c r="Y762" s="16">
        <f t="shared" si="130"/>
        <v>3388.4262295081967</v>
      </c>
      <c r="Z762" s="7" t="str" cm="1">
        <f t="array" ref="Z762">_xlfn.IFS(K762&lt;2%,"Low",K762&lt;5%,"Medium",K762&lt;10%,"Good",K762&gt;10%,"Excellent")</f>
        <v>Excellent</v>
      </c>
      <c r="AA762" s="16" t="str">
        <f>Data_Validation!N760</f>
        <v>Pass</v>
      </c>
    </row>
    <row r="763" spans="1:27" x14ac:dyDescent="0.35">
      <c r="A763" s="17" t="s">
        <v>84</v>
      </c>
      <c r="B763" s="3" t="s">
        <v>35</v>
      </c>
      <c r="C763" s="3" t="s">
        <v>69</v>
      </c>
      <c r="D763" s="3" t="s">
        <v>21</v>
      </c>
      <c r="E763" s="3" t="s">
        <v>30</v>
      </c>
      <c r="F763" s="3">
        <v>19661.93</v>
      </c>
      <c r="G763" s="3">
        <v>988866</v>
      </c>
      <c r="H763" s="3">
        <v>23189</v>
      </c>
      <c r="I763" s="3">
        <v>226108.82</v>
      </c>
      <c r="J763" s="3">
        <v>16</v>
      </c>
      <c r="K763" s="15">
        <f t="shared" si="121"/>
        <v>2.3450093339239086E-2</v>
      </c>
      <c r="L763" s="16">
        <f t="shared" si="131"/>
        <v>0.84789900383802663</v>
      </c>
      <c r="M763" s="16">
        <f t="shared" si="122"/>
        <v>19.88331078224957</v>
      </c>
      <c r="N763" s="16">
        <f t="shared" si="123"/>
        <v>11.499828348488679</v>
      </c>
      <c r="O763" s="16">
        <f t="shared" si="124"/>
        <v>10.499828348488679</v>
      </c>
      <c r="P763" s="1">
        <v>2024</v>
      </c>
      <c r="Q763" s="1" t="s">
        <v>65</v>
      </c>
      <c r="R763" s="1" t="s">
        <v>25</v>
      </c>
      <c r="S763" s="70">
        <f>DATE(Table2[[#This Row],[Year]],MONTH(DATEVALUE("1-"&amp;Table2[[#This Row],[Month]]&amp;"-2000")),1)</f>
        <v>45597</v>
      </c>
      <c r="T763" s="16">
        <f t="shared" si="125"/>
        <v>9.7506930009918502</v>
      </c>
      <c r="U763" s="16">
        <f t="shared" si="126"/>
        <v>0.22865466099552417</v>
      </c>
      <c r="V763" s="16">
        <f t="shared" si="127"/>
        <v>1228.870625</v>
      </c>
      <c r="W763" s="16">
        <f t="shared" si="128"/>
        <v>14131.80125</v>
      </c>
      <c r="X763" s="16">
        <f t="shared" si="129"/>
        <v>1449.3125</v>
      </c>
      <c r="Y763" s="16">
        <f t="shared" si="130"/>
        <v>61804.125</v>
      </c>
      <c r="Z763" s="7" t="str" cm="1">
        <f t="array" ref="Z763">_xlfn.IFS(K763&lt;2%,"Low",K763&lt;5%,"Medium",K763&lt;10%,"Good",K763&gt;10%,"Excellent")</f>
        <v>Medium</v>
      </c>
      <c r="AA763" s="16" t="str">
        <f>Data_Validation!N761</f>
        <v>Pass</v>
      </c>
    </row>
    <row r="764" spans="1:27" x14ac:dyDescent="0.35">
      <c r="A764" s="17" t="s">
        <v>109</v>
      </c>
      <c r="B764" s="3" t="s">
        <v>35</v>
      </c>
      <c r="C764" s="3" t="s">
        <v>29</v>
      </c>
      <c r="D764" s="3" t="s">
        <v>21</v>
      </c>
      <c r="E764" s="3" t="s">
        <v>30</v>
      </c>
      <c r="F764" s="3">
        <v>3347.15</v>
      </c>
      <c r="G764" s="3">
        <v>993952</v>
      </c>
      <c r="H764" s="3">
        <v>35728</v>
      </c>
      <c r="I764" s="3">
        <v>55435.94</v>
      </c>
      <c r="J764" s="3">
        <v>13</v>
      </c>
      <c r="K764" s="15">
        <f t="shared" si="121"/>
        <v>3.5945397765686872E-2</v>
      </c>
      <c r="L764" s="16">
        <f t="shared" si="131"/>
        <v>9.3684225257501128E-2</v>
      </c>
      <c r="M764" s="16">
        <f t="shared" si="122"/>
        <v>3.3675167412510865</v>
      </c>
      <c r="N764" s="16">
        <f t="shared" si="123"/>
        <v>16.562131963013311</v>
      </c>
      <c r="O764" s="16">
        <f t="shared" si="124"/>
        <v>15.562131963013309</v>
      </c>
      <c r="P764" s="1">
        <v>2024</v>
      </c>
      <c r="Q764" s="1" t="s">
        <v>65</v>
      </c>
      <c r="R764" s="1" t="s">
        <v>25</v>
      </c>
      <c r="S764" s="70">
        <f>DATE(Table2[[#This Row],[Year]],MONTH(DATEVALUE("1-"&amp;Table2[[#This Row],[Month]]&amp;"-2000")),1)</f>
        <v>45597</v>
      </c>
      <c r="T764" s="16">
        <f t="shared" si="125"/>
        <v>1.5516105015673982</v>
      </c>
      <c r="U764" s="16">
        <f t="shared" si="126"/>
        <v>5.5773256656257042E-2</v>
      </c>
      <c r="V764" s="16">
        <f t="shared" si="127"/>
        <v>257.47307692307692</v>
      </c>
      <c r="W764" s="16">
        <f t="shared" si="128"/>
        <v>4264.3030769230772</v>
      </c>
      <c r="X764" s="16">
        <f t="shared" si="129"/>
        <v>2748.3076923076924</v>
      </c>
      <c r="Y764" s="16">
        <f t="shared" si="130"/>
        <v>76457.846153846156</v>
      </c>
      <c r="Z764" s="7" t="str" cm="1">
        <f t="array" ref="Z764">_xlfn.IFS(K764&lt;2%,"Low",K764&lt;5%,"Medium",K764&lt;10%,"Good",K764&gt;10%,"Excellent")</f>
        <v>Medium</v>
      </c>
      <c r="AA764" s="16" t="str">
        <f>Data_Validation!N762</f>
        <v>Pass</v>
      </c>
    </row>
    <row r="765" spans="1:27" x14ac:dyDescent="0.35">
      <c r="A765" s="17" t="s">
        <v>115</v>
      </c>
      <c r="B765" s="3" t="s">
        <v>35</v>
      </c>
      <c r="C765" s="3" t="s">
        <v>20</v>
      </c>
      <c r="D765" s="3" t="s">
        <v>63</v>
      </c>
      <c r="E765" s="3" t="s">
        <v>22</v>
      </c>
      <c r="F765" s="3">
        <v>1139.19</v>
      </c>
      <c r="G765" s="3">
        <v>441319</v>
      </c>
      <c r="H765" s="3">
        <v>876</v>
      </c>
      <c r="I765" s="3">
        <v>9097.91</v>
      </c>
      <c r="J765" s="3">
        <v>37</v>
      </c>
      <c r="K765" s="15">
        <f t="shared" si="121"/>
        <v>1.9849587260009202E-3</v>
      </c>
      <c r="L765" s="16">
        <f t="shared" si="131"/>
        <v>1.3004452054794522</v>
      </c>
      <c r="M765" s="16">
        <f t="shared" si="122"/>
        <v>2.5813300583024978</v>
      </c>
      <c r="N765" s="16">
        <f t="shared" si="123"/>
        <v>7.986297281401697</v>
      </c>
      <c r="O765" s="16">
        <f t="shared" si="124"/>
        <v>6.986297281401697</v>
      </c>
      <c r="P765" s="1">
        <v>2024</v>
      </c>
      <c r="Q765" s="1" t="s">
        <v>65</v>
      </c>
      <c r="R765" s="1" t="s">
        <v>25</v>
      </c>
      <c r="S765" s="70">
        <f>DATE(Table2[[#This Row],[Year]],MONTH(DATEVALUE("1-"&amp;Table2[[#This Row],[Month]]&amp;"-2000")),1)</f>
        <v>45597</v>
      </c>
      <c r="T765" s="16">
        <f t="shared" si="125"/>
        <v>10.38574200913242</v>
      </c>
      <c r="U765" s="16">
        <f t="shared" si="126"/>
        <v>2.0615269227021723E-2</v>
      </c>
      <c r="V765" s="16">
        <f t="shared" si="127"/>
        <v>30.78891891891892</v>
      </c>
      <c r="W765" s="16">
        <f t="shared" si="128"/>
        <v>245.88945945945946</v>
      </c>
      <c r="X765" s="16">
        <f t="shared" si="129"/>
        <v>23.675675675675677</v>
      </c>
      <c r="Y765" s="16">
        <f t="shared" si="130"/>
        <v>11927.54054054054</v>
      </c>
      <c r="Z765" s="7" t="str" cm="1">
        <f t="array" ref="Z765">_xlfn.IFS(K765&lt;2%,"Low",K765&lt;5%,"Medium",K765&lt;10%,"Good",K765&gt;10%,"Excellent")</f>
        <v>Low</v>
      </c>
      <c r="AA765" s="16" t="str">
        <f>Data_Validation!N763</f>
        <v>Pass</v>
      </c>
    </row>
    <row r="766" spans="1:27" x14ac:dyDescent="0.35">
      <c r="A766" s="17" t="s">
        <v>34</v>
      </c>
      <c r="B766" s="3" t="s">
        <v>35</v>
      </c>
      <c r="C766" s="3" t="s">
        <v>69</v>
      </c>
      <c r="D766" s="3" t="s">
        <v>43</v>
      </c>
      <c r="E766" s="3" t="s">
        <v>22</v>
      </c>
      <c r="F766" s="3">
        <v>2326.21</v>
      </c>
      <c r="G766" s="3">
        <v>992750</v>
      </c>
      <c r="H766" s="3">
        <v>1803</v>
      </c>
      <c r="I766" s="3">
        <v>227963.23</v>
      </c>
      <c r="J766" s="3">
        <v>25</v>
      </c>
      <c r="K766" s="15">
        <f t="shared" si="121"/>
        <v>1.8161672122890958E-3</v>
      </c>
      <c r="L766" s="16">
        <f t="shared" si="131"/>
        <v>1.2901885745978925</v>
      </c>
      <c r="M766" s="16">
        <f t="shared" si="122"/>
        <v>2.3431981868546967</v>
      </c>
      <c r="N766" s="16">
        <f t="shared" si="123"/>
        <v>97.997700121657118</v>
      </c>
      <c r="O766" s="16">
        <f t="shared" si="124"/>
        <v>96.997700121657118</v>
      </c>
      <c r="P766" s="1">
        <v>2024</v>
      </c>
      <c r="Q766" s="1" t="s">
        <v>65</v>
      </c>
      <c r="R766" s="1" t="s">
        <v>25</v>
      </c>
      <c r="S766" s="70">
        <f>DATE(Table2[[#This Row],[Year]],MONTH(DATEVALUE("1-"&amp;Table2[[#This Row],[Month]]&amp;"-2000")),1)</f>
        <v>45597</v>
      </c>
      <c r="T766" s="16">
        <f t="shared" si="125"/>
        <v>126.43551303383251</v>
      </c>
      <c r="U766" s="16">
        <f t="shared" si="126"/>
        <v>0.22962803324099723</v>
      </c>
      <c r="V766" s="16">
        <f t="shared" si="127"/>
        <v>93.048400000000001</v>
      </c>
      <c r="W766" s="16">
        <f t="shared" si="128"/>
        <v>9118.5292000000009</v>
      </c>
      <c r="X766" s="16">
        <f t="shared" si="129"/>
        <v>72.12</v>
      </c>
      <c r="Y766" s="16">
        <f t="shared" si="130"/>
        <v>39710</v>
      </c>
      <c r="Z766" s="7" t="str" cm="1">
        <f t="array" ref="Z766">_xlfn.IFS(K766&lt;2%,"Low",K766&lt;5%,"Medium",K766&lt;10%,"Good",K766&gt;10%,"Excellent")</f>
        <v>Low</v>
      </c>
      <c r="AA766" s="16" t="str">
        <f>Data_Validation!N764</f>
        <v>Pass</v>
      </c>
    </row>
    <row r="767" spans="1:27" x14ac:dyDescent="0.35">
      <c r="A767" s="17" t="s">
        <v>110</v>
      </c>
      <c r="B767" s="3" t="s">
        <v>48</v>
      </c>
      <c r="C767" s="3" t="s">
        <v>58</v>
      </c>
      <c r="D767" s="3" t="s">
        <v>37</v>
      </c>
      <c r="E767" s="3" t="s">
        <v>38</v>
      </c>
      <c r="F767" s="3">
        <v>32759.69</v>
      </c>
      <c r="G767" s="3">
        <v>636258</v>
      </c>
      <c r="H767" s="3">
        <v>24788</v>
      </c>
      <c r="I767" s="3">
        <v>42791.93</v>
      </c>
      <c r="J767" s="3">
        <v>27</v>
      </c>
      <c r="K767" s="15">
        <f t="shared" si="121"/>
        <v>3.8959038628983839E-2</v>
      </c>
      <c r="L767" s="16">
        <f t="shared" si="131"/>
        <v>1.3215947232531871</v>
      </c>
      <c r="M767" s="16">
        <f t="shared" si="122"/>
        <v>51.488059875082122</v>
      </c>
      <c r="N767" s="16">
        <f t="shared" si="123"/>
        <v>1.3062373300846255</v>
      </c>
      <c r="O767" s="16">
        <f t="shared" si="124"/>
        <v>0.30623733008462539</v>
      </c>
      <c r="P767" s="1">
        <v>2024</v>
      </c>
      <c r="Q767" s="1" t="s">
        <v>65</v>
      </c>
      <c r="R767" s="1" t="s">
        <v>25</v>
      </c>
      <c r="S767" s="70">
        <f>DATE(Table2[[#This Row],[Year]],MONTH(DATEVALUE("1-"&amp;Table2[[#This Row],[Month]]&amp;"-2000")),1)</f>
        <v>45597</v>
      </c>
      <c r="T767" s="16">
        <f t="shared" si="125"/>
        <v>1.7263163627561724</v>
      </c>
      <c r="U767" s="16">
        <f t="shared" si="126"/>
        <v>6.7255625862464599E-2</v>
      </c>
      <c r="V767" s="16">
        <f t="shared" si="127"/>
        <v>1213.3218518518518</v>
      </c>
      <c r="W767" s="16">
        <f t="shared" si="128"/>
        <v>1584.8862962962962</v>
      </c>
      <c r="X767" s="16">
        <f t="shared" si="129"/>
        <v>918.07407407407402</v>
      </c>
      <c r="Y767" s="16">
        <f t="shared" si="130"/>
        <v>23565.111111111109</v>
      </c>
      <c r="Z767" s="7" t="str" cm="1">
        <f t="array" ref="Z767">_xlfn.IFS(K767&lt;2%,"Low",K767&lt;5%,"Medium",K767&lt;10%,"Good",K767&gt;10%,"Excellent")</f>
        <v>Medium</v>
      </c>
      <c r="AA767" s="16" t="str">
        <f>Data_Validation!N765</f>
        <v>Pass</v>
      </c>
    </row>
    <row r="768" spans="1:27" x14ac:dyDescent="0.35">
      <c r="A768" s="17" t="s">
        <v>98</v>
      </c>
      <c r="B768" s="3" t="s">
        <v>35</v>
      </c>
      <c r="C768" s="3" t="s">
        <v>36</v>
      </c>
      <c r="D768" s="3" t="s">
        <v>63</v>
      </c>
      <c r="E768" s="3" t="s">
        <v>22</v>
      </c>
      <c r="F768" s="3">
        <v>10259.56</v>
      </c>
      <c r="G768" s="3">
        <v>631314</v>
      </c>
      <c r="H768" s="3">
        <v>5666</v>
      </c>
      <c r="I768" s="3">
        <v>228045.31</v>
      </c>
      <c r="J768" s="3">
        <v>21</v>
      </c>
      <c r="K768" s="15">
        <f t="shared" si="121"/>
        <v>8.9749316504940495E-3</v>
      </c>
      <c r="L768" s="16">
        <f t="shared" si="131"/>
        <v>1.8107236145428873</v>
      </c>
      <c r="M768" s="16">
        <f t="shared" si="122"/>
        <v>16.251120678457948</v>
      </c>
      <c r="N768" s="16">
        <f t="shared" si="123"/>
        <v>22.227591631609933</v>
      </c>
      <c r="O768" s="16">
        <f t="shared" si="124"/>
        <v>21.227591631609933</v>
      </c>
      <c r="P768" s="1">
        <v>2024</v>
      </c>
      <c r="Q768" s="1" t="s">
        <v>65</v>
      </c>
      <c r="R768" s="1" t="s">
        <v>25</v>
      </c>
      <c r="S768" s="70">
        <f>DATE(Table2[[#This Row],[Year]],MONTH(DATEVALUE("1-"&amp;Table2[[#This Row],[Month]]&amp;"-2000")),1)</f>
        <v>45597</v>
      </c>
      <c r="T768" s="16">
        <f t="shared" si="125"/>
        <v>40.248025061771976</v>
      </c>
      <c r="U768" s="16">
        <f t="shared" si="126"/>
        <v>0.36122327399677495</v>
      </c>
      <c r="V768" s="16">
        <f t="shared" si="127"/>
        <v>488.55047619047616</v>
      </c>
      <c r="W768" s="16">
        <f t="shared" si="128"/>
        <v>10859.300476190476</v>
      </c>
      <c r="X768" s="16">
        <f t="shared" si="129"/>
        <v>269.8095238095238</v>
      </c>
      <c r="Y768" s="16">
        <f t="shared" si="130"/>
        <v>30062.571428571428</v>
      </c>
      <c r="Z768" s="7" t="str" cm="1">
        <f t="array" ref="Z768">_xlfn.IFS(K768&lt;2%,"Low",K768&lt;5%,"Medium",K768&lt;10%,"Good",K768&gt;10%,"Excellent")</f>
        <v>Low</v>
      </c>
      <c r="AA768" s="16" t="str">
        <f>Data_Validation!N766</f>
        <v>Pass</v>
      </c>
    </row>
    <row r="769" spans="1:27" x14ac:dyDescent="0.35">
      <c r="A769" s="17" t="s">
        <v>66</v>
      </c>
      <c r="B769" s="3" t="s">
        <v>35</v>
      </c>
      <c r="C769" s="3" t="s">
        <v>29</v>
      </c>
      <c r="D769" s="3" t="s">
        <v>59</v>
      </c>
      <c r="E769" s="3" t="s">
        <v>22</v>
      </c>
      <c r="F769" s="3">
        <v>5678.88</v>
      </c>
      <c r="G769" s="3">
        <v>413277</v>
      </c>
      <c r="H769" s="3">
        <v>23711</v>
      </c>
      <c r="I769" s="3">
        <v>210790.86</v>
      </c>
      <c r="J769" s="3">
        <v>17</v>
      </c>
      <c r="K769" s="15">
        <f t="shared" si="121"/>
        <v>5.737314198467372E-2</v>
      </c>
      <c r="L769" s="16">
        <f t="shared" si="131"/>
        <v>0.2395040276664839</v>
      </c>
      <c r="M769" s="16">
        <f t="shared" si="122"/>
        <v>13.741098585210406</v>
      </c>
      <c r="N769" s="16">
        <f t="shared" si="123"/>
        <v>37.118386019778548</v>
      </c>
      <c r="O769" s="16">
        <f t="shared" si="124"/>
        <v>36.118386019778541</v>
      </c>
      <c r="P769" s="1">
        <v>2024</v>
      </c>
      <c r="Q769" s="1" t="s">
        <v>65</v>
      </c>
      <c r="R769" s="1" t="s">
        <v>25</v>
      </c>
      <c r="S769" s="70">
        <f>DATE(Table2[[#This Row],[Year]],MONTH(DATEVALUE("1-"&amp;Table2[[#This Row],[Month]]&amp;"-2000")),1)</f>
        <v>45597</v>
      </c>
      <c r="T769" s="16">
        <f t="shared" si="125"/>
        <v>8.8900029522162711</v>
      </c>
      <c r="U769" s="16">
        <f t="shared" si="126"/>
        <v>0.51004740162167261</v>
      </c>
      <c r="V769" s="16">
        <f t="shared" si="127"/>
        <v>334.05176470588236</v>
      </c>
      <c r="W769" s="16">
        <f t="shared" si="128"/>
        <v>12399.462352941177</v>
      </c>
      <c r="X769" s="16">
        <f t="shared" si="129"/>
        <v>1394.7647058823529</v>
      </c>
      <c r="Y769" s="16">
        <f t="shared" si="130"/>
        <v>24310.411764705881</v>
      </c>
      <c r="Z769" s="7" t="str" cm="1">
        <f t="array" ref="Z769">_xlfn.IFS(K769&lt;2%,"Low",K769&lt;5%,"Medium",K769&lt;10%,"Good",K769&gt;10%,"Excellent")</f>
        <v>Good</v>
      </c>
      <c r="AA769" s="16" t="str">
        <f>Data_Validation!N767</f>
        <v>Pass</v>
      </c>
    </row>
    <row r="770" spans="1:27" x14ac:dyDescent="0.35">
      <c r="A770" s="17" t="s">
        <v>88</v>
      </c>
      <c r="B770" s="3" t="s">
        <v>28</v>
      </c>
      <c r="C770" s="3" t="s">
        <v>69</v>
      </c>
      <c r="D770" s="3" t="s">
        <v>43</v>
      </c>
      <c r="E770" s="3" t="s">
        <v>22</v>
      </c>
      <c r="F770" s="3">
        <v>7682.99</v>
      </c>
      <c r="G770" s="3">
        <v>541756</v>
      </c>
      <c r="H770" s="3">
        <v>20369</v>
      </c>
      <c r="I770" s="3">
        <v>168388.76</v>
      </c>
      <c r="J770" s="3">
        <v>60</v>
      </c>
      <c r="K770" s="15">
        <f t="shared" si="121"/>
        <v>3.7598106896831782E-2</v>
      </c>
      <c r="L770" s="16">
        <f t="shared" si="131"/>
        <v>0.37719033825911924</v>
      </c>
      <c r="M770" s="16">
        <f t="shared" si="122"/>
        <v>14.181642658318506</v>
      </c>
      <c r="N770" s="16">
        <f t="shared" si="123"/>
        <v>21.917086967443666</v>
      </c>
      <c r="O770" s="16">
        <f t="shared" si="124"/>
        <v>20.917086967443666</v>
      </c>
      <c r="P770" s="1">
        <v>2024</v>
      </c>
      <c r="Q770" s="1" t="s">
        <v>65</v>
      </c>
      <c r="R770" s="1" t="s">
        <v>25</v>
      </c>
      <c r="S770" s="70">
        <f>DATE(Table2[[#This Row],[Year]],MONTH(DATEVALUE("1-"&amp;Table2[[#This Row],[Month]]&amp;"-2000")),1)</f>
        <v>45597</v>
      </c>
      <c r="T770" s="16">
        <f t="shared" si="125"/>
        <v>8.2669134469046099</v>
      </c>
      <c r="U770" s="16">
        <f t="shared" si="126"/>
        <v>0.31082029548357565</v>
      </c>
      <c r="V770" s="16">
        <f t="shared" si="127"/>
        <v>128.04983333333334</v>
      </c>
      <c r="W770" s="16">
        <f t="shared" si="128"/>
        <v>2806.4793333333337</v>
      </c>
      <c r="X770" s="16">
        <f t="shared" si="129"/>
        <v>339.48333333333335</v>
      </c>
      <c r="Y770" s="16">
        <f t="shared" si="130"/>
        <v>9029.2666666666664</v>
      </c>
      <c r="Z770" s="7" t="str" cm="1">
        <f t="array" ref="Z770">_xlfn.IFS(K770&lt;2%,"Low",K770&lt;5%,"Medium",K770&lt;10%,"Good",K770&gt;10%,"Excellent")</f>
        <v>Medium</v>
      </c>
      <c r="AA770" s="16" t="str">
        <f>Data_Validation!N768</f>
        <v>Pass</v>
      </c>
    </row>
    <row r="771" spans="1:27" x14ac:dyDescent="0.35">
      <c r="A771" s="17" t="s">
        <v>84</v>
      </c>
      <c r="B771" s="3" t="s">
        <v>19</v>
      </c>
      <c r="C771" s="3" t="s">
        <v>69</v>
      </c>
      <c r="D771" s="3" t="s">
        <v>63</v>
      </c>
      <c r="E771" s="3" t="s">
        <v>22</v>
      </c>
      <c r="F771" s="3">
        <v>37070.68</v>
      </c>
      <c r="G771" s="3">
        <v>655414</v>
      </c>
      <c r="H771" s="3">
        <v>37396</v>
      </c>
      <c r="I771" s="3">
        <v>78732.72</v>
      </c>
      <c r="J771" s="3">
        <v>30</v>
      </c>
      <c r="K771" s="15">
        <f t="shared" si="121"/>
        <v>5.7057066220739867E-2</v>
      </c>
      <c r="L771" s="16">
        <f t="shared" si="131"/>
        <v>0.991300673868863</v>
      </c>
      <c r="M771" s="16">
        <f t="shared" si="122"/>
        <v>56.560708193599773</v>
      </c>
      <c r="N771" s="16">
        <f t="shared" si="123"/>
        <v>2.1238542157845499</v>
      </c>
      <c r="O771" s="16">
        <f t="shared" si="124"/>
        <v>1.1238542157845499</v>
      </c>
      <c r="P771" s="1">
        <v>2024</v>
      </c>
      <c r="Q771" s="1" t="s">
        <v>65</v>
      </c>
      <c r="R771" s="1" t="s">
        <v>25</v>
      </c>
      <c r="S771" s="70">
        <f>DATE(Table2[[#This Row],[Year]],MONTH(DATEVALUE("1-"&amp;Table2[[#This Row],[Month]]&amp;"-2000")),1)</f>
        <v>45597</v>
      </c>
      <c r="T771" s="16">
        <f t="shared" si="125"/>
        <v>2.1053781153064501</v>
      </c>
      <c r="U771" s="16">
        <f t="shared" si="126"/>
        <v>0.12012669854473661</v>
      </c>
      <c r="V771" s="16">
        <f t="shared" si="127"/>
        <v>1235.6893333333333</v>
      </c>
      <c r="W771" s="16">
        <f t="shared" si="128"/>
        <v>2624.424</v>
      </c>
      <c r="X771" s="16">
        <f t="shared" si="129"/>
        <v>1246.5333333333333</v>
      </c>
      <c r="Y771" s="16">
        <f t="shared" si="130"/>
        <v>21847.133333333335</v>
      </c>
      <c r="Z771" s="7" t="str" cm="1">
        <f t="array" ref="Z771">_xlfn.IFS(K771&lt;2%,"Low",K771&lt;5%,"Medium",K771&lt;10%,"Good",K771&gt;10%,"Excellent")</f>
        <v>Good</v>
      </c>
      <c r="AA771" s="16" t="str">
        <f>Data_Validation!N769</f>
        <v>Pass</v>
      </c>
    </row>
    <row r="772" spans="1:27" x14ac:dyDescent="0.35">
      <c r="A772" s="17" t="s">
        <v>77</v>
      </c>
      <c r="B772" s="3" t="s">
        <v>48</v>
      </c>
      <c r="C772" s="3" t="s">
        <v>29</v>
      </c>
      <c r="D772" s="3" t="s">
        <v>43</v>
      </c>
      <c r="E772" s="3" t="s">
        <v>30</v>
      </c>
      <c r="F772" s="3">
        <v>12642.32</v>
      </c>
      <c r="G772" s="3">
        <v>830738</v>
      </c>
      <c r="H772" s="3">
        <v>6854</v>
      </c>
      <c r="I772" s="3">
        <v>176780.51</v>
      </c>
      <c r="J772" s="3">
        <v>58</v>
      </c>
      <c r="K772" s="15">
        <f t="shared" si="121"/>
        <v>8.2504953426952906E-3</v>
      </c>
      <c r="L772" s="16">
        <f t="shared" si="131"/>
        <v>1.8445170703238984</v>
      </c>
      <c r="M772" s="16">
        <f t="shared" si="122"/>
        <v>15.218179498229285</v>
      </c>
      <c r="N772" s="16">
        <f t="shared" si="123"/>
        <v>13.983233298951459</v>
      </c>
      <c r="O772" s="16">
        <f t="shared" si="124"/>
        <v>12.983233298951459</v>
      </c>
      <c r="P772" s="1">
        <v>2024</v>
      </c>
      <c r="Q772" s="1" t="s">
        <v>65</v>
      </c>
      <c r="R772" s="1" t="s">
        <v>25</v>
      </c>
      <c r="S772" s="70">
        <f>DATE(Table2[[#This Row],[Year]],MONTH(DATEVALUE("1-"&amp;Table2[[#This Row],[Month]]&amp;"-2000")),1)</f>
        <v>45597</v>
      </c>
      <c r="T772" s="16">
        <f t="shared" si="125"/>
        <v>25.792312518237527</v>
      </c>
      <c r="U772" s="16">
        <f t="shared" si="126"/>
        <v>0.21279935430906013</v>
      </c>
      <c r="V772" s="16">
        <f t="shared" si="127"/>
        <v>217.97103448275863</v>
      </c>
      <c r="W772" s="16">
        <f t="shared" si="128"/>
        <v>3047.9398275862072</v>
      </c>
      <c r="X772" s="16">
        <f t="shared" si="129"/>
        <v>118.17241379310344</v>
      </c>
      <c r="Y772" s="16">
        <f t="shared" si="130"/>
        <v>14323.068965517241</v>
      </c>
      <c r="Z772" s="7" t="str" cm="1">
        <f t="array" ref="Z772">_xlfn.IFS(K772&lt;2%,"Low",K772&lt;5%,"Medium",K772&lt;10%,"Good",K772&gt;10%,"Excellent")</f>
        <v>Low</v>
      </c>
      <c r="AA772" s="16" t="str">
        <f>Data_Validation!N770</f>
        <v>Pass</v>
      </c>
    </row>
    <row r="773" spans="1:27" x14ac:dyDescent="0.35">
      <c r="A773" s="17" t="s">
        <v>86</v>
      </c>
      <c r="B773" s="3" t="s">
        <v>19</v>
      </c>
      <c r="C773" s="3" t="s">
        <v>20</v>
      </c>
      <c r="D773" s="3" t="s">
        <v>43</v>
      </c>
      <c r="E773" s="3" t="s">
        <v>22</v>
      </c>
      <c r="F773" s="3">
        <v>2025.53</v>
      </c>
      <c r="G773" s="3">
        <v>889535</v>
      </c>
      <c r="H773" s="3">
        <v>33438</v>
      </c>
      <c r="I773" s="3">
        <v>189941.86</v>
      </c>
      <c r="J773" s="3">
        <v>23</v>
      </c>
      <c r="K773" s="15">
        <f t="shared" si="121"/>
        <v>3.7590426458767784E-2</v>
      </c>
      <c r="L773" s="16">
        <f t="shared" si="131"/>
        <v>6.057569232609606E-2</v>
      </c>
      <c r="M773" s="16">
        <f t="shared" si="122"/>
        <v>2.2770661075730581</v>
      </c>
      <c r="N773" s="16">
        <f t="shared" si="123"/>
        <v>93.773906088776755</v>
      </c>
      <c r="O773" s="16">
        <f t="shared" si="124"/>
        <v>92.773906088776755</v>
      </c>
      <c r="P773" s="1">
        <v>2024</v>
      </c>
      <c r="Q773" s="1" t="s">
        <v>65</v>
      </c>
      <c r="R773" s="1" t="s">
        <v>25</v>
      </c>
      <c r="S773" s="70">
        <f>DATE(Table2[[#This Row],[Year]],MONTH(DATEVALUE("1-"&amp;Table2[[#This Row],[Month]]&amp;"-2000")),1)</f>
        <v>45597</v>
      </c>
      <c r="T773" s="16">
        <f t="shared" si="125"/>
        <v>5.6804192834499663</v>
      </c>
      <c r="U773" s="16">
        <f t="shared" si="126"/>
        <v>0.21352938332949237</v>
      </c>
      <c r="V773" s="16">
        <f t="shared" si="127"/>
        <v>88.066521739130437</v>
      </c>
      <c r="W773" s="16">
        <f t="shared" si="128"/>
        <v>8258.3417391304338</v>
      </c>
      <c r="X773" s="16">
        <f t="shared" si="129"/>
        <v>1453.8260869565217</v>
      </c>
      <c r="Y773" s="16">
        <f t="shared" si="130"/>
        <v>38675.434782608696</v>
      </c>
      <c r="Z773" s="7" t="str" cm="1">
        <f t="array" ref="Z773">_xlfn.IFS(K773&lt;2%,"Low",K773&lt;5%,"Medium",K773&lt;10%,"Good",K773&gt;10%,"Excellent")</f>
        <v>Medium</v>
      </c>
      <c r="AA773" s="16" t="str">
        <f>Data_Validation!N771</f>
        <v>Pass</v>
      </c>
    </row>
    <row r="774" spans="1:27" x14ac:dyDescent="0.35">
      <c r="A774" s="17" t="s">
        <v>84</v>
      </c>
      <c r="B774" s="3" t="s">
        <v>28</v>
      </c>
      <c r="C774" s="3" t="s">
        <v>29</v>
      </c>
      <c r="D774" s="3" t="s">
        <v>63</v>
      </c>
      <c r="E774" s="3" t="s">
        <v>38</v>
      </c>
      <c r="F774" s="3">
        <v>54685.919999999998</v>
      </c>
      <c r="G774" s="3">
        <v>288711</v>
      </c>
      <c r="H774" s="3">
        <v>7885</v>
      </c>
      <c r="I774" s="3">
        <v>108168.35</v>
      </c>
      <c r="J774" s="3">
        <v>18</v>
      </c>
      <c r="K774" s="15">
        <f t="shared" si="121"/>
        <v>2.7311048072293748E-2</v>
      </c>
      <c r="L774" s="16">
        <f t="shared" si="131"/>
        <v>6.9354369055168039</v>
      </c>
      <c r="M774" s="16">
        <f t="shared" si="122"/>
        <v>189.41405072892962</v>
      </c>
      <c r="N774" s="16">
        <f t="shared" si="123"/>
        <v>1.9779926898916578</v>
      </c>
      <c r="O774" s="16">
        <f t="shared" si="124"/>
        <v>0.97799268989165788</v>
      </c>
      <c r="P774" s="1">
        <v>2024</v>
      </c>
      <c r="Q774" s="1" t="s">
        <v>65</v>
      </c>
      <c r="R774" s="1" t="s">
        <v>25</v>
      </c>
      <c r="S774" s="70">
        <f>DATE(Table2[[#This Row],[Year]],MONTH(DATEVALUE("1-"&amp;Table2[[#This Row],[Month]]&amp;"-2000")),1)</f>
        <v>45597</v>
      </c>
      <c r="T774" s="16">
        <f t="shared" si="125"/>
        <v>13.718243500317058</v>
      </c>
      <c r="U774" s="16">
        <f t="shared" si="126"/>
        <v>0.37465960770459045</v>
      </c>
      <c r="V774" s="16">
        <f t="shared" si="127"/>
        <v>3038.1066666666666</v>
      </c>
      <c r="W774" s="16">
        <f t="shared" si="128"/>
        <v>6009.3527777777781</v>
      </c>
      <c r="X774" s="16">
        <f t="shared" si="129"/>
        <v>438.05555555555554</v>
      </c>
      <c r="Y774" s="16">
        <f t="shared" si="130"/>
        <v>16039.5</v>
      </c>
      <c r="Z774" s="7" t="str" cm="1">
        <f t="array" ref="Z774">_xlfn.IFS(K774&lt;2%,"Low",K774&lt;5%,"Medium",K774&lt;10%,"Good",K774&gt;10%,"Excellent")</f>
        <v>Medium</v>
      </c>
      <c r="AA774" s="16" t="str">
        <f>Data_Validation!N772</f>
        <v>Pass</v>
      </c>
    </row>
    <row r="775" spans="1:27" x14ac:dyDescent="0.35">
      <c r="A775" s="17" t="s">
        <v>98</v>
      </c>
      <c r="B775" s="3" t="s">
        <v>28</v>
      </c>
      <c r="C775" s="3" t="s">
        <v>69</v>
      </c>
      <c r="D775" s="3" t="s">
        <v>43</v>
      </c>
      <c r="E775" s="3" t="s">
        <v>38</v>
      </c>
      <c r="F775" s="3">
        <v>25392.720000000001</v>
      </c>
      <c r="G775" s="3">
        <v>311603</v>
      </c>
      <c r="H775" s="3">
        <v>44507</v>
      </c>
      <c r="I775" s="3">
        <v>138916.54</v>
      </c>
      <c r="J775" s="3">
        <v>6</v>
      </c>
      <c r="K775" s="15">
        <f t="shared" si="121"/>
        <v>0.14283238608100693</v>
      </c>
      <c r="L775" s="16">
        <f t="shared" si="131"/>
        <v>0.5705331745568113</v>
      </c>
      <c r="M775" s="16">
        <f t="shared" si="122"/>
        <v>81.490614660321</v>
      </c>
      <c r="N775" s="16">
        <f t="shared" si="123"/>
        <v>5.4707231048899052</v>
      </c>
      <c r="O775" s="16">
        <f t="shared" si="124"/>
        <v>4.4707231048899052</v>
      </c>
      <c r="P775" s="1">
        <v>2024</v>
      </c>
      <c r="Q775" s="1" t="s">
        <v>65</v>
      </c>
      <c r="R775" s="1" t="s">
        <v>25</v>
      </c>
      <c r="S775" s="70">
        <f>DATE(Table2[[#This Row],[Year]],MONTH(DATEVALUE("1-"&amp;Table2[[#This Row],[Month]]&amp;"-2000")),1)</f>
        <v>45597</v>
      </c>
      <c r="T775" s="16">
        <f t="shared" si="125"/>
        <v>3.1212290201541331</v>
      </c>
      <c r="U775" s="16">
        <f t="shared" si="126"/>
        <v>0.4458125884538981</v>
      </c>
      <c r="V775" s="16">
        <f t="shared" si="127"/>
        <v>4232.12</v>
      </c>
      <c r="W775" s="16">
        <f t="shared" si="128"/>
        <v>23152.756666666668</v>
      </c>
      <c r="X775" s="16">
        <f t="shared" si="129"/>
        <v>7417.833333333333</v>
      </c>
      <c r="Y775" s="16">
        <f t="shared" si="130"/>
        <v>51933.833333333336</v>
      </c>
      <c r="Z775" s="7" t="str" cm="1">
        <f t="array" ref="Z775">_xlfn.IFS(K775&lt;2%,"Low",K775&lt;5%,"Medium",K775&lt;10%,"Good",K775&gt;10%,"Excellent")</f>
        <v>Excellent</v>
      </c>
      <c r="AA775" s="16" t="str">
        <f>Data_Validation!N773</f>
        <v>Pass</v>
      </c>
    </row>
    <row r="776" spans="1:27" x14ac:dyDescent="0.35">
      <c r="A776" s="17" t="s">
        <v>96</v>
      </c>
      <c r="B776" s="3" t="s">
        <v>28</v>
      </c>
      <c r="C776" s="3" t="s">
        <v>69</v>
      </c>
      <c r="D776" s="3" t="s">
        <v>59</v>
      </c>
      <c r="E776" s="3" t="s">
        <v>22</v>
      </c>
      <c r="F776" s="3">
        <v>1812.39</v>
      </c>
      <c r="G776" s="3">
        <v>645173</v>
      </c>
      <c r="H776" s="3">
        <v>32355</v>
      </c>
      <c r="I776" s="3">
        <v>29721.41</v>
      </c>
      <c r="J776" s="3">
        <v>36</v>
      </c>
      <c r="K776" s="15">
        <f t="shared" si="121"/>
        <v>5.0149339789482821E-2</v>
      </c>
      <c r="L776" s="16">
        <f t="shared" si="131"/>
        <v>5.6015762633286975E-2</v>
      </c>
      <c r="M776" s="16">
        <f t="shared" si="122"/>
        <v>2.8091535138637238</v>
      </c>
      <c r="N776" s="16">
        <f t="shared" si="123"/>
        <v>16.399014560883693</v>
      </c>
      <c r="O776" s="16">
        <f t="shared" si="124"/>
        <v>15.399014560883694</v>
      </c>
      <c r="P776" s="1">
        <v>2024</v>
      </c>
      <c r="Q776" s="1" t="s">
        <v>65</v>
      </c>
      <c r="R776" s="1" t="s">
        <v>25</v>
      </c>
      <c r="S776" s="70">
        <f>DATE(Table2[[#This Row],[Year]],MONTH(DATEVALUE("1-"&amp;Table2[[#This Row],[Month]]&amp;"-2000")),1)</f>
        <v>45597</v>
      </c>
      <c r="T776" s="16">
        <f t="shared" si="125"/>
        <v>0.91860330706227789</v>
      </c>
      <c r="U776" s="16">
        <f t="shared" si="126"/>
        <v>4.6067349377608799E-2</v>
      </c>
      <c r="V776" s="16">
        <f t="shared" si="127"/>
        <v>50.344166666666666</v>
      </c>
      <c r="W776" s="16">
        <f t="shared" si="128"/>
        <v>825.59472222222223</v>
      </c>
      <c r="X776" s="16">
        <f t="shared" si="129"/>
        <v>898.75</v>
      </c>
      <c r="Y776" s="16">
        <f t="shared" si="130"/>
        <v>17921.472222222223</v>
      </c>
      <c r="Z776" s="7" t="str" cm="1">
        <f t="array" ref="Z776">_xlfn.IFS(K776&lt;2%,"Low",K776&lt;5%,"Medium",K776&lt;10%,"Good",K776&gt;10%,"Excellent")</f>
        <v>Good</v>
      </c>
      <c r="AA776" s="16" t="str">
        <f>Data_Validation!N774</f>
        <v>Pass</v>
      </c>
    </row>
    <row r="777" spans="1:27" x14ac:dyDescent="0.35">
      <c r="A777" s="17" t="s">
        <v>105</v>
      </c>
      <c r="B777" s="3" t="s">
        <v>48</v>
      </c>
      <c r="C777" s="3" t="s">
        <v>58</v>
      </c>
      <c r="D777" s="3" t="s">
        <v>63</v>
      </c>
      <c r="E777" s="3" t="s">
        <v>38</v>
      </c>
      <c r="F777" s="3">
        <v>1782.62</v>
      </c>
      <c r="G777" s="3">
        <v>349320</v>
      </c>
      <c r="H777" s="3">
        <v>16356</v>
      </c>
      <c r="I777" s="3">
        <v>6673.38</v>
      </c>
      <c r="J777" s="3">
        <v>12</v>
      </c>
      <c r="K777" s="15">
        <f t="shared" ref="K777:K840" si="132">H777/G777</f>
        <v>4.6822397801442803E-2</v>
      </c>
      <c r="L777" s="16">
        <f t="shared" si="131"/>
        <v>0.10898875030569821</v>
      </c>
      <c r="M777" s="16">
        <f t="shared" ref="M777:M840" si="133">F777/G777*1000</f>
        <v>5.1031146226955224</v>
      </c>
      <c r="N777" s="16">
        <f t="shared" ref="N777:N840" si="134">I777/F777</f>
        <v>3.7435796748605989</v>
      </c>
      <c r="O777" s="16">
        <f t="shared" ref="O777:O840" si="135">(I777-F777)/F777</f>
        <v>2.7435796748605989</v>
      </c>
      <c r="P777" s="1">
        <v>2024</v>
      </c>
      <c r="Q777" s="1" t="s">
        <v>65</v>
      </c>
      <c r="R777" s="1" t="s">
        <v>25</v>
      </c>
      <c r="S777" s="70">
        <f>DATE(Table2[[#This Row],[Year]],MONTH(DATEVALUE("1-"&amp;Table2[[#This Row],[Month]]&amp;"-2000")),1)</f>
        <v>45597</v>
      </c>
      <c r="T777" s="16">
        <f t="shared" ref="T777:T840" si="136">I777/H777</f>
        <v>0.40800807043286869</v>
      </c>
      <c r="U777" s="16">
        <f t="shared" ref="U777:U840" si="137">I777/G777</f>
        <v>1.9103916180006869E-2</v>
      </c>
      <c r="V777" s="16">
        <f t="shared" ref="V777:V840" si="138">F777/J777</f>
        <v>148.55166666666665</v>
      </c>
      <c r="W777" s="16">
        <f t="shared" ref="W777:W840" si="139">I777/J777</f>
        <v>556.11500000000001</v>
      </c>
      <c r="X777" s="16">
        <f t="shared" ref="X777:X840" si="140">H777/J777</f>
        <v>1363</v>
      </c>
      <c r="Y777" s="16">
        <f t="shared" ref="Y777:Y840" si="141">G777/J777</f>
        <v>29110</v>
      </c>
      <c r="Z777" s="7" t="str" cm="1">
        <f t="array" ref="Z777">_xlfn.IFS(K777&lt;2%,"Low",K777&lt;5%,"Medium",K777&lt;10%,"Good",K777&gt;10%,"Excellent")</f>
        <v>Medium</v>
      </c>
      <c r="AA777" s="16" t="str">
        <f>Data_Validation!N775</f>
        <v>Pass</v>
      </c>
    </row>
    <row r="778" spans="1:27" x14ac:dyDescent="0.35">
      <c r="A778" s="17" t="s">
        <v>82</v>
      </c>
      <c r="B778" s="3" t="s">
        <v>28</v>
      </c>
      <c r="C778" s="3" t="s">
        <v>20</v>
      </c>
      <c r="D778" s="3" t="s">
        <v>63</v>
      </c>
      <c r="E778" s="3" t="s">
        <v>22</v>
      </c>
      <c r="F778" s="3">
        <v>37003.440000000002</v>
      </c>
      <c r="G778" s="3">
        <v>728709</v>
      </c>
      <c r="H778" s="3">
        <v>34597</v>
      </c>
      <c r="I778" s="3">
        <v>27895.98</v>
      </c>
      <c r="J778" s="3">
        <v>50</v>
      </c>
      <c r="K778" s="15">
        <f t="shared" si="132"/>
        <v>4.7477113635209664E-2</v>
      </c>
      <c r="L778" s="16">
        <f t="shared" ref="L778:L841" si="142">F778/H778</f>
        <v>1.0695563199121312</v>
      </c>
      <c r="M778" s="16">
        <f t="shared" si="133"/>
        <v>50.779446939724913</v>
      </c>
      <c r="N778" s="16">
        <f t="shared" si="134"/>
        <v>0.75387531537608388</v>
      </c>
      <c r="O778" s="16">
        <f t="shared" si="135"/>
        <v>-0.2461246846239161</v>
      </c>
      <c r="P778" s="1">
        <v>2024</v>
      </c>
      <c r="Q778" s="1" t="s">
        <v>65</v>
      </c>
      <c r="R778" s="1" t="s">
        <v>25</v>
      </c>
      <c r="S778" s="70">
        <f>DATE(Table2[[#This Row],[Year]],MONTH(DATEVALUE("1-"&amp;Table2[[#This Row],[Month]]&amp;"-2000")),1)</f>
        <v>45597</v>
      </c>
      <c r="T778" s="16">
        <f t="shared" si="136"/>
        <v>0.80631210798624153</v>
      </c>
      <c r="U778" s="16">
        <f t="shared" si="137"/>
        <v>3.8281371576308239E-2</v>
      </c>
      <c r="V778" s="16">
        <f t="shared" si="138"/>
        <v>740.06880000000001</v>
      </c>
      <c r="W778" s="16">
        <f t="shared" si="139"/>
        <v>557.91959999999995</v>
      </c>
      <c r="X778" s="16">
        <f t="shared" si="140"/>
        <v>691.94</v>
      </c>
      <c r="Y778" s="16">
        <f t="shared" si="141"/>
        <v>14574.18</v>
      </c>
      <c r="Z778" s="7" t="str" cm="1">
        <f t="array" ref="Z778">_xlfn.IFS(K778&lt;2%,"Low",K778&lt;5%,"Medium",K778&lt;10%,"Good",K778&gt;10%,"Excellent")</f>
        <v>Medium</v>
      </c>
      <c r="AA778" s="16" t="str">
        <f>Data_Validation!N776</f>
        <v>Pass</v>
      </c>
    </row>
    <row r="779" spans="1:27" x14ac:dyDescent="0.35">
      <c r="A779" s="17" t="s">
        <v>100</v>
      </c>
      <c r="B779" s="3" t="s">
        <v>35</v>
      </c>
      <c r="C779" s="3" t="s">
        <v>69</v>
      </c>
      <c r="D779" s="3" t="s">
        <v>51</v>
      </c>
      <c r="E779" s="3" t="s">
        <v>38</v>
      </c>
      <c r="F779" s="3">
        <v>11208.41</v>
      </c>
      <c r="G779" s="3">
        <v>521333</v>
      </c>
      <c r="H779" s="3">
        <v>6950</v>
      </c>
      <c r="I779" s="3">
        <v>88410.28</v>
      </c>
      <c r="J779" s="3">
        <v>19</v>
      </c>
      <c r="K779" s="15">
        <f t="shared" si="132"/>
        <v>1.333121056982773E-2</v>
      </c>
      <c r="L779" s="16">
        <f t="shared" si="142"/>
        <v>1.6127208633093526</v>
      </c>
      <c r="M779" s="16">
        <f t="shared" si="133"/>
        <v>21.499521419131341</v>
      </c>
      <c r="N779" s="16">
        <f t="shared" si="134"/>
        <v>7.8878520682237712</v>
      </c>
      <c r="O779" s="16">
        <f t="shared" si="135"/>
        <v>6.8878520682237712</v>
      </c>
      <c r="P779" s="1">
        <v>2024</v>
      </c>
      <c r="Q779" s="1" t="s">
        <v>65</v>
      </c>
      <c r="R779" s="1" t="s">
        <v>25</v>
      </c>
      <c r="S779" s="70">
        <f>DATE(Table2[[#This Row],[Year]],MONTH(DATEVALUE("1-"&amp;Table2[[#This Row],[Month]]&amp;"-2000")),1)</f>
        <v>45597</v>
      </c>
      <c r="T779" s="16">
        <f t="shared" si="136"/>
        <v>12.720903597122302</v>
      </c>
      <c r="U779" s="16">
        <f t="shared" si="137"/>
        <v>0.16958504449171644</v>
      </c>
      <c r="V779" s="16">
        <f t="shared" si="138"/>
        <v>589.91631578947363</v>
      </c>
      <c r="W779" s="16">
        <f t="shared" si="139"/>
        <v>4653.1726315789474</v>
      </c>
      <c r="X779" s="16">
        <f t="shared" si="140"/>
        <v>365.78947368421052</v>
      </c>
      <c r="Y779" s="16">
        <f t="shared" si="141"/>
        <v>27438.57894736842</v>
      </c>
      <c r="Z779" s="7" t="str" cm="1">
        <f t="array" ref="Z779">_xlfn.IFS(K779&lt;2%,"Low",K779&lt;5%,"Medium",K779&lt;10%,"Good",K779&gt;10%,"Excellent")</f>
        <v>Low</v>
      </c>
      <c r="AA779" s="16" t="str">
        <f>Data_Validation!N777</f>
        <v>Pass</v>
      </c>
    </row>
    <row r="780" spans="1:27" x14ac:dyDescent="0.35">
      <c r="A780" s="17" t="s">
        <v>110</v>
      </c>
      <c r="B780" s="3" t="s">
        <v>28</v>
      </c>
      <c r="C780" s="3" t="s">
        <v>20</v>
      </c>
      <c r="D780" s="3" t="s">
        <v>63</v>
      </c>
      <c r="E780" s="3" t="s">
        <v>22</v>
      </c>
      <c r="F780" s="3">
        <v>25772.76</v>
      </c>
      <c r="G780" s="3">
        <v>633870</v>
      </c>
      <c r="H780" s="3">
        <v>37605</v>
      </c>
      <c r="I780" s="3">
        <v>197890.36</v>
      </c>
      <c r="J780" s="3">
        <v>24</v>
      </c>
      <c r="K780" s="15">
        <f t="shared" si="132"/>
        <v>5.932604477258744E-2</v>
      </c>
      <c r="L780" s="16">
        <f t="shared" si="142"/>
        <v>0.68535460710011964</v>
      </c>
      <c r="M780" s="16">
        <f t="shared" si="133"/>
        <v>40.659378105920766</v>
      </c>
      <c r="N780" s="16">
        <f t="shared" si="134"/>
        <v>7.6782758230007184</v>
      </c>
      <c r="O780" s="16">
        <f t="shared" si="135"/>
        <v>6.6782758230007184</v>
      </c>
      <c r="P780" s="1">
        <v>2024</v>
      </c>
      <c r="Q780" s="1" t="s">
        <v>65</v>
      </c>
      <c r="R780" s="1" t="s">
        <v>25</v>
      </c>
      <c r="S780" s="70">
        <f>DATE(Table2[[#This Row],[Year]],MONTH(DATEVALUE("1-"&amp;Table2[[#This Row],[Month]]&amp;"-2000")),1)</f>
        <v>45597</v>
      </c>
      <c r="T780" s="16">
        <f t="shared" si="136"/>
        <v>5.2623417098790055</v>
      </c>
      <c r="U780" s="16">
        <f t="shared" si="137"/>
        <v>0.31219391988893619</v>
      </c>
      <c r="V780" s="16">
        <f t="shared" si="138"/>
        <v>1073.865</v>
      </c>
      <c r="W780" s="16">
        <f t="shared" si="139"/>
        <v>8245.4316666666655</v>
      </c>
      <c r="X780" s="16">
        <f t="shared" si="140"/>
        <v>1566.875</v>
      </c>
      <c r="Y780" s="16">
        <f t="shared" si="141"/>
        <v>26411.25</v>
      </c>
      <c r="Z780" s="7" t="str" cm="1">
        <f t="array" ref="Z780">_xlfn.IFS(K780&lt;2%,"Low",K780&lt;5%,"Medium",K780&lt;10%,"Good",K780&gt;10%,"Excellent")</f>
        <v>Good</v>
      </c>
      <c r="AA780" s="16" t="str">
        <f>Data_Validation!N778</f>
        <v>Pass</v>
      </c>
    </row>
    <row r="781" spans="1:27" x14ac:dyDescent="0.35">
      <c r="A781" s="17" t="s">
        <v>27</v>
      </c>
      <c r="B781" s="3" t="s">
        <v>19</v>
      </c>
      <c r="C781" s="3" t="s">
        <v>36</v>
      </c>
      <c r="D781" s="3" t="s">
        <v>43</v>
      </c>
      <c r="E781" s="3" t="s">
        <v>22</v>
      </c>
      <c r="F781" s="3">
        <v>22846.86</v>
      </c>
      <c r="G781" s="3">
        <v>747463</v>
      </c>
      <c r="H781" s="3">
        <v>32145</v>
      </c>
      <c r="I781" s="3">
        <v>191803.98</v>
      </c>
      <c r="J781" s="3">
        <v>17</v>
      </c>
      <c r="K781" s="15">
        <f t="shared" si="132"/>
        <v>4.3005473180612284E-2</v>
      </c>
      <c r="L781" s="16">
        <f t="shared" si="142"/>
        <v>0.71074381707886147</v>
      </c>
      <c r="M781" s="16">
        <f t="shared" si="133"/>
        <v>30.56587416367098</v>
      </c>
      <c r="N781" s="16">
        <f t="shared" si="134"/>
        <v>8.395200916012092</v>
      </c>
      <c r="O781" s="16">
        <f t="shared" si="135"/>
        <v>7.3952009160120902</v>
      </c>
      <c r="P781" s="1">
        <v>2024</v>
      </c>
      <c r="Q781" s="1" t="s">
        <v>65</v>
      </c>
      <c r="R781" s="1" t="s">
        <v>25</v>
      </c>
      <c r="S781" s="70">
        <f>DATE(Table2[[#This Row],[Year]],MONTH(DATEVALUE("1-"&amp;Table2[[#This Row],[Month]]&amp;"-2000")),1)</f>
        <v>45597</v>
      </c>
      <c r="T781" s="16">
        <f t="shared" si="136"/>
        <v>5.9668371441903876</v>
      </c>
      <c r="U781" s="16">
        <f t="shared" si="137"/>
        <v>0.25660665477756089</v>
      </c>
      <c r="V781" s="16">
        <f t="shared" si="138"/>
        <v>1343.9329411764706</v>
      </c>
      <c r="W781" s="16">
        <f t="shared" si="139"/>
        <v>11282.58705882353</v>
      </c>
      <c r="X781" s="16">
        <f t="shared" si="140"/>
        <v>1890.8823529411766</v>
      </c>
      <c r="Y781" s="16">
        <f t="shared" si="141"/>
        <v>43968.411764705881</v>
      </c>
      <c r="Z781" s="7" t="str" cm="1">
        <f t="array" ref="Z781">_xlfn.IFS(K781&lt;2%,"Low",K781&lt;5%,"Medium",K781&lt;10%,"Good",K781&gt;10%,"Excellent")</f>
        <v>Medium</v>
      </c>
      <c r="AA781" s="16" t="str">
        <f>Data_Validation!N779</f>
        <v>Pass</v>
      </c>
    </row>
    <row r="782" spans="1:27" x14ac:dyDescent="0.35">
      <c r="A782" s="17" t="s">
        <v>68</v>
      </c>
      <c r="B782" s="3" t="s">
        <v>28</v>
      </c>
      <c r="C782" s="3" t="s">
        <v>36</v>
      </c>
      <c r="D782" s="3" t="s">
        <v>21</v>
      </c>
      <c r="E782" s="3" t="s">
        <v>30</v>
      </c>
      <c r="F782" s="3">
        <v>2896.45</v>
      </c>
      <c r="G782" s="3">
        <v>274955</v>
      </c>
      <c r="H782" s="3">
        <v>43266</v>
      </c>
      <c r="I782" s="3">
        <v>42765.09</v>
      </c>
      <c r="J782" s="3">
        <v>37</v>
      </c>
      <c r="K782" s="15">
        <f t="shared" si="132"/>
        <v>0.15735665836227747</v>
      </c>
      <c r="L782" s="16">
        <f t="shared" si="142"/>
        <v>6.694517635094531E-2</v>
      </c>
      <c r="M782" s="16">
        <f t="shared" si="133"/>
        <v>10.534269244058118</v>
      </c>
      <c r="N782" s="16">
        <f t="shared" si="134"/>
        <v>14.764656734968668</v>
      </c>
      <c r="O782" s="16">
        <f t="shared" si="135"/>
        <v>13.764656734968669</v>
      </c>
      <c r="P782" s="1">
        <v>2024</v>
      </c>
      <c r="Q782" s="1" t="s">
        <v>65</v>
      </c>
      <c r="R782" s="1" t="s">
        <v>25</v>
      </c>
      <c r="S782" s="70">
        <f>DATE(Table2[[#This Row],[Year]],MONTH(DATEVALUE("1-"&amp;Table2[[#This Row],[Month]]&amp;"-2000")),1)</f>
        <v>45597</v>
      </c>
      <c r="T782" s="16">
        <f t="shared" si="136"/>
        <v>0.98842254888364989</v>
      </c>
      <c r="U782" s="16">
        <f t="shared" si="137"/>
        <v>0.15553486934225599</v>
      </c>
      <c r="V782" s="16">
        <f t="shared" si="138"/>
        <v>78.282432432432429</v>
      </c>
      <c r="W782" s="16">
        <f t="shared" si="139"/>
        <v>1155.8132432432431</v>
      </c>
      <c r="X782" s="16">
        <f t="shared" si="140"/>
        <v>1169.3513513513512</v>
      </c>
      <c r="Y782" s="16">
        <f t="shared" si="141"/>
        <v>7431.2162162162158</v>
      </c>
      <c r="Z782" s="7" t="str" cm="1">
        <f t="array" ref="Z782">_xlfn.IFS(K782&lt;2%,"Low",K782&lt;5%,"Medium",K782&lt;10%,"Good",K782&gt;10%,"Excellent")</f>
        <v>Excellent</v>
      </c>
      <c r="AA782" s="16" t="str">
        <f>Data_Validation!N780</f>
        <v>Pass</v>
      </c>
    </row>
    <row r="783" spans="1:27" x14ac:dyDescent="0.35">
      <c r="A783" s="17" t="s">
        <v>97</v>
      </c>
      <c r="B783" s="3" t="s">
        <v>48</v>
      </c>
      <c r="C783" s="3" t="s">
        <v>29</v>
      </c>
      <c r="D783" s="3" t="s">
        <v>51</v>
      </c>
      <c r="E783" s="3" t="s">
        <v>22</v>
      </c>
      <c r="F783" s="3">
        <v>2662.61</v>
      </c>
      <c r="G783" s="3">
        <v>863403</v>
      </c>
      <c r="H783" s="3">
        <v>12362</v>
      </c>
      <c r="I783" s="3">
        <v>184722.37</v>
      </c>
      <c r="J783" s="3">
        <v>18</v>
      </c>
      <c r="K783" s="15">
        <f t="shared" si="132"/>
        <v>1.4317763547265877E-2</v>
      </c>
      <c r="L783" s="16">
        <f t="shared" si="142"/>
        <v>0.21538666882381494</v>
      </c>
      <c r="M783" s="16">
        <f t="shared" si="133"/>
        <v>3.0838553954526451</v>
      </c>
      <c r="N783" s="16">
        <f t="shared" si="134"/>
        <v>69.376427640548172</v>
      </c>
      <c r="O783" s="16">
        <f t="shared" si="135"/>
        <v>68.376427640548187</v>
      </c>
      <c r="P783" s="1">
        <v>2024</v>
      </c>
      <c r="Q783" s="1" t="s">
        <v>65</v>
      </c>
      <c r="R783" s="1" t="s">
        <v>25</v>
      </c>
      <c r="S783" s="70">
        <f>DATE(Table2[[#This Row],[Year]],MONTH(DATEVALUE("1-"&amp;Table2[[#This Row],[Month]]&amp;"-2000")),1)</f>
        <v>45597</v>
      </c>
      <c r="T783" s="16">
        <f t="shared" si="136"/>
        <v>14.94275764439411</v>
      </c>
      <c r="U783" s="16">
        <f t="shared" si="137"/>
        <v>0.21394687069653451</v>
      </c>
      <c r="V783" s="16">
        <f t="shared" si="138"/>
        <v>147.92277777777778</v>
      </c>
      <c r="W783" s="16">
        <f t="shared" si="139"/>
        <v>10262.353888888889</v>
      </c>
      <c r="X783" s="16">
        <f t="shared" si="140"/>
        <v>686.77777777777783</v>
      </c>
      <c r="Y783" s="16">
        <f t="shared" si="141"/>
        <v>47966.833333333336</v>
      </c>
      <c r="Z783" s="7" t="str" cm="1">
        <f t="array" ref="Z783">_xlfn.IFS(K783&lt;2%,"Low",K783&lt;5%,"Medium",K783&lt;10%,"Good",K783&gt;10%,"Excellent")</f>
        <v>Low</v>
      </c>
      <c r="AA783" s="16" t="str">
        <f>Data_Validation!N781</f>
        <v>Pass</v>
      </c>
    </row>
    <row r="784" spans="1:27" x14ac:dyDescent="0.35">
      <c r="A784" s="17" t="s">
        <v>101</v>
      </c>
      <c r="B784" s="3" t="s">
        <v>19</v>
      </c>
      <c r="C784" s="3" t="s">
        <v>29</v>
      </c>
      <c r="D784" s="3" t="s">
        <v>21</v>
      </c>
      <c r="E784" s="3" t="s">
        <v>30</v>
      </c>
      <c r="F784" s="3">
        <v>30591.27</v>
      </c>
      <c r="G784" s="3">
        <v>31753</v>
      </c>
      <c r="H784" s="3">
        <v>44158</v>
      </c>
      <c r="I784" s="3">
        <v>206248.21</v>
      </c>
      <c r="J784" s="3">
        <v>59</v>
      </c>
      <c r="K784" s="15">
        <f t="shared" si="132"/>
        <v>1.3906717475514125</v>
      </c>
      <c r="L784" s="16">
        <f t="shared" si="142"/>
        <v>0.69276846777480861</v>
      </c>
      <c r="M784" s="16">
        <f t="shared" si="133"/>
        <v>963.4135357289075</v>
      </c>
      <c r="N784" s="16">
        <f t="shared" si="134"/>
        <v>6.7420610520583155</v>
      </c>
      <c r="O784" s="16">
        <f t="shared" si="135"/>
        <v>5.7420610520583164</v>
      </c>
      <c r="P784" s="1">
        <v>2024</v>
      </c>
      <c r="Q784" s="1" t="s">
        <v>65</v>
      </c>
      <c r="R784" s="1" t="s">
        <v>25</v>
      </c>
      <c r="S784" s="70">
        <f>DATE(Table2[[#This Row],[Year]],MONTH(DATEVALUE("1-"&amp;Table2[[#This Row],[Month]]&amp;"-2000")),1)</f>
        <v>45597</v>
      </c>
      <c r="T784" s="16">
        <f t="shared" si="136"/>
        <v>4.6706873046786539</v>
      </c>
      <c r="U784" s="16">
        <f t="shared" si="137"/>
        <v>6.4953928762636597</v>
      </c>
      <c r="V784" s="16">
        <f t="shared" si="138"/>
        <v>518.4961016949153</v>
      </c>
      <c r="W784" s="16">
        <f t="shared" si="139"/>
        <v>3495.7323728813558</v>
      </c>
      <c r="X784" s="16">
        <f t="shared" si="140"/>
        <v>748.4406779661017</v>
      </c>
      <c r="Y784" s="16">
        <f t="shared" si="141"/>
        <v>538.18644067796606</v>
      </c>
      <c r="Z784" s="7" t="str" cm="1">
        <f t="array" ref="Z784">_xlfn.IFS(K784&lt;2%,"Low",K784&lt;5%,"Medium",K784&lt;10%,"Good",K784&gt;10%,"Excellent")</f>
        <v>Excellent</v>
      </c>
      <c r="AA784" s="16" t="str">
        <f>Data_Validation!N782</f>
        <v>Fail</v>
      </c>
    </row>
    <row r="785" spans="1:27" x14ac:dyDescent="0.35">
      <c r="A785" s="17" t="s">
        <v>107</v>
      </c>
      <c r="B785" s="3" t="s">
        <v>48</v>
      </c>
      <c r="C785" s="3" t="s">
        <v>36</v>
      </c>
      <c r="D785" s="3" t="s">
        <v>51</v>
      </c>
      <c r="E785" s="3" t="s">
        <v>38</v>
      </c>
      <c r="F785" s="3">
        <v>18011.7</v>
      </c>
      <c r="G785" s="3">
        <v>998984</v>
      </c>
      <c r="H785" s="3">
        <v>36892</v>
      </c>
      <c r="I785" s="3">
        <v>85361.54</v>
      </c>
      <c r="J785" s="3">
        <v>20</v>
      </c>
      <c r="K785" s="15">
        <f t="shared" si="132"/>
        <v>3.6929520392719004E-2</v>
      </c>
      <c r="L785" s="16">
        <f t="shared" si="142"/>
        <v>0.48822780006505478</v>
      </c>
      <c r="M785" s="16">
        <f t="shared" si="133"/>
        <v>18.030018498794774</v>
      </c>
      <c r="N785" s="16">
        <f t="shared" si="134"/>
        <v>4.7392272800457471</v>
      </c>
      <c r="O785" s="16">
        <f t="shared" si="135"/>
        <v>3.7392272800457476</v>
      </c>
      <c r="P785" s="1">
        <v>2024</v>
      </c>
      <c r="Q785" s="1" t="s">
        <v>65</v>
      </c>
      <c r="R785" s="1" t="s">
        <v>25</v>
      </c>
      <c r="S785" s="70">
        <f>DATE(Table2[[#This Row],[Year]],MONTH(DATEVALUE("1-"&amp;Table2[[#This Row],[Month]]&amp;"-2000")),1)</f>
        <v>45597</v>
      </c>
      <c r="T785" s="16">
        <f t="shared" si="136"/>
        <v>2.3138225089450284</v>
      </c>
      <c r="U785" s="16">
        <f t="shared" si="137"/>
        <v>8.5448355529217673E-2</v>
      </c>
      <c r="V785" s="16">
        <f t="shared" si="138"/>
        <v>900.58500000000004</v>
      </c>
      <c r="W785" s="16">
        <f t="shared" si="139"/>
        <v>4268.0769999999993</v>
      </c>
      <c r="X785" s="16">
        <f t="shared" si="140"/>
        <v>1844.6</v>
      </c>
      <c r="Y785" s="16">
        <f t="shared" si="141"/>
        <v>49949.2</v>
      </c>
      <c r="Z785" s="7" t="str" cm="1">
        <f t="array" ref="Z785">_xlfn.IFS(K785&lt;2%,"Low",K785&lt;5%,"Medium",K785&lt;10%,"Good",K785&gt;10%,"Excellent")</f>
        <v>Medium</v>
      </c>
      <c r="AA785" s="16" t="str">
        <f>Data_Validation!N783</f>
        <v>Pass</v>
      </c>
    </row>
    <row r="786" spans="1:27" x14ac:dyDescent="0.35">
      <c r="A786" s="17" t="s">
        <v>70</v>
      </c>
      <c r="B786" s="3" t="s">
        <v>48</v>
      </c>
      <c r="C786" s="3" t="s">
        <v>58</v>
      </c>
      <c r="D786" s="3" t="s">
        <v>51</v>
      </c>
      <c r="E786" s="3" t="s">
        <v>22</v>
      </c>
      <c r="F786" s="3">
        <v>8210.9500000000007</v>
      </c>
      <c r="G786" s="3">
        <v>617488</v>
      </c>
      <c r="H786" s="3">
        <v>15368</v>
      </c>
      <c r="I786" s="3">
        <v>231579.87</v>
      </c>
      <c r="J786" s="3">
        <v>61</v>
      </c>
      <c r="K786" s="15">
        <f t="shared" si="132"/>
        <v>2.4887933044852692E-2</v>
      </c>
      <c r="L786" s="16">
        <f t="shared" si="142"/>
        <v>0.53428878188443518</v>
      </c>
      <c r="M786" s="16">
        <f t="shared" si="133"/>
        <v>13.297343430155728</v>
      </c>
      <c r="N786" s="16">
        <f t="shared" si="134"/>
        <v>28.20378518928991</v>
      </c>
      <c r="O786" s="16">
        <f t="shared" si="135"/>
        <v>27.203785189289906</v>
      </c>
      <c r="P786" s="1">
        <v>2024</v>
      </c>
      <c r="Q786" s="1" t="s">
        <v>65</v>
      </c>
      <c r="R786" s="1" t="s">
        <v>25</v>
      </c>
      <c r="S786" s="70">
        <f>DATE(Table2[[#This Row],[Year]],MONTH(DATEVALUE("1-"&amp;Table2[[#This Row],[Month]]&amp;"-2000")),1)</f>
        <v>45597</v>
      </c>
      <c r="T786" s="16">
        <f t="shared" si="136"/>
        <v>15.068966033315981</v>
      </c>
      <c r="U786" s="16">
        <f t="shared" si="137"/>
        <v>0.37503541769232762</v>
      </c>
      <c r="V786" s="16">
        <f t="shared" si="138"/>
        <v>134.60573770491806</v>
      </c>
      <c r="W786" s="16">
        <f t="shared" si="139"/>
        <v>3796.3913114754096</v>
      </c>
      <c r="X786" s="16">
        <f t="shared" si="140"/>
        <v>251.9344262295082</v>
      </c>
      <c r="Y786" s="16">
        <f t="shared" si="141"/>
        <v>10122.754098360656</v>
      </c>
      <c r="Z786" s="7" t="str" cm="1">
        <f t="array" ref="Z786">_xlfn.IFS(K786&lt;2%,"Low",K786&lt;5%,"Medium",K786&lt;10%,"Good",K786&gt;10%,"Excellent")</f>
        <v>Medium</v>
      </c>
      <c r="AA786" s="16" t="str">
        <f>Data_Validation!N784</f>
        <v>Pass</v>
      </c>
    </row>
    <row r="787" spans="1:27" x14ac:dyDescent="0.35">
      <c r="A787" s="17" t="s">
        <v>47</v>
      </c>
      <c r="B787" s="3" t="s">
        <v>28</v>
      </c>
      <c r="C787" s="3" t="s">
        <v>36</v>
      </c>
      <c r="D787" s="3" t="s">
        <v>63</v>
      </c>
      <c r="E787" s="3" t="s">
        <v>22</v>
      </c>
      <c r="F787" s="3">
        <v>14175.39</v>
      </c>
      <c r="G787" s="3">
        <v>676216</v>
      </c>
      <c r="H787" s="3">
        <v>45164</v>
      </c>
      <c r="I787" s="3">
        <v>82901.91</v>
      </c>
      <c r="J787" s="3">
        <v>55</v>
      </c>
      <c r="K787" s="15">
        <f t="shared" si="132"/>
        <v>6.6789309924639467E-2</v>
      </c>
      <c r="L787" s="16">
        <f t="shared" si="142"/>
        <v>0.31386480382605614</v>
      </c>
      <c r="M787" s="16">
        <f t="shared" si="133"/>
        <v>20.962813657174632</v>
      </c>
      <c r="N787" s="16">
        <f t="shared" si="134"/>
        <v>5.8482983536960891</v>
      </c>
      <c r="O787" s="16">
        <f t="shared" si="135"/>
        <v>4.8482983536960891</v>
      </c>
      <c r="P787" s="1">
        <v>2024</v>
      </c>
      <c r="Q787" s="1" t="s">
        <v>65</v>
      </c>
      <c r="R787" s="1" t="s">
        <v>25</v>
      </c>
      <c r="S787" s="70">
        <f>DATE(Table2[[#This Row],[Year]],MONTH(DATEVALUE("1-"&amp;Table2[[#This Row],[Month]]&amp;"-2000")),1)</f>
        <v>45597</v>
      </c>
      <c r="T787" s="16">
        <f t="shared" si="136"/>
        <v>1.8355750154990702</v>
      </c>
      <c r="U787" s="16">
        <f t="shared" si="137"/>
        <v>0.12259678860009228</v>
      </c>
      <c r="V787" s="16">
        <f t="shared" si="138"/>
        <v>257.73436363636364</v>
      </c>
      <c r="W787" s="16">
        <f t="shared" si="139"/>
        <v>1507.3074545454547</v>
      </c>
      <c r="X787" s="16">
        <f t="shared" si="140"/>
        <v>821.16363636363633</v>
      </c>
      <c r="Y787" s="16">
        <f t="shared" si="141"/>
        <v>12294.836363636363</v>
      </c>
      <c r="Z787" s="7" t="str" cm="1">
        <f t="array" ref="Z787">_xlfn.IFS(K787&lt;2%,"Low",K787&lt;5%,"Medium",K787&lt;10%,"Good",K787&gt;10%,"Excellent")</f>
        <v>Good</v>
      </c>
      <c r="AA787" s="16" t="str">
        <f>Data_Validation!N785</f>
        <v>Pass</v>
      </c>
    </row>
    <row r="788" spans="1:27" x14ac:dyDescent="0.35">
      <c r="A788" s="17" t="s">
        <v>104</v>
      </c>
      <c r="B788" s="3" t="s">
        <v>35</v>
      </c>
      <c r="C788" s="3" t="s">
        <v>58</v>
      </c>
      <c r="D788" s="3" t="s">
        <v>63</v>
      </c>
      <c r="E788" s="3" t="s">
        <v>30</v>
      </c>
      <c r="F788" s="3">
        <v>21499.79</v>
      </c>
      <c r="G788" s="3">
        <v>810152</v>
      </c>
      <c r="H788" s="3">
        <v>5138</v>
      </c>
      <c r="I788" s="3">
        <v>145610.84</v>
      </c>
      <c r="J788" s="3">
        <v>34</v>
      </c>
      <c r="K788" s="15">
        <f t="shared" si="132"/>
        <v>6.3420197691297434E-3</v>
      </c>
      <c r="L788" s="16">
        <f t="shared" si="142"/>
        <v>4.1844667185675366</v>
      </c>
      <c r="M788" s="16">
        <f t="shared" si="133"/>
        <v>26.537970652420782</v>
      </c>
      <c r="N788" s="16">
        <f t="shared" si="134"/>
        <v>6.7726633608979432</v>
      </c>
      <c r="O788" s="16">
        <f t="shared" si="135"/>
        <v>5.7726633608979432</v>
      </c>
      <c r="P788" s="1">
        <v>2024</v>
      </c>
      <c r="Q788" s="1" t="s">
        <v>65</v>
      </c>
      <c r="R788" s="1" t="s">
        <v>25</v>
      </c>
      <c r="S788" s="70">
        <f>DATE(Table2[[#This Row],[Year]],MONTH(DATEVALUE("1-"&amp;Table2[[#This Row],[Month]]&amp;"-2000")),1)</f>
        <v>45597</v>
      </c>
      <c r="T788" s="16">
        <f t="shared" si="136"/>
        <v>28.339984429739197</v>
      </c>
      <c r="U788" s="16">
        <f t="shared" si="137"/>
        <v>0.17973274151023511</v>
      </c>
      <c r="V788" s="16">
        <f t="shared" si="138"/>
        <v>632.34676470588238</v>
      </c>
      <c r="W788" s="16">
        <f t="shared" si="139"/>
        <v>4282.6717647058822</v>
      </c>
      <c r="X788" s="16">
        <f t="shared" si="140"/>
        <v>151.11764705882354</v>
      </c>
      <c r="Y788" s="16">
        <f t="shared" si="141"/>
        <v>23828</v>
      </c>
      <c r="Z788" s="7" t="str" cm="1">
        <f t="array" ref="Z788">_xlfn.IFS(K788&lt;2%,"Low",K788&lt;5%,"Medium",K788&lt;10%,"Good",K788&gt;10%,"Excellent")</f>
        <v>Low</v>
      </c>
      <c r="AA788" s="16" t="str">
        <f>Data_Validation!N786</f>
        <v>Pass</v>
      </c>
    </row>
    <row r="789" spans="1:27" x14ac:dyDescent="0.35">
      <c r="A789" s="17" t="s">
        <v>109</v>
      </c>
      <c r="B789" s="3" t="s">
        <v>48</v>
      </c>
      <c r="C789" s="3" t="s">
        <v>58</v>
      </c>
      <c r="D789" s="3" t="s">
        <v>59</v>
      </c>
      <c r="E789" s="3" t="s">
        <v>38</v>
      </c>
      <c r="F789" s="3">
        <v>28071.99</v>
      </c>
      <c r="G789" s="3">
        <v>973798</v>
      </c>
      <c r="H789" s="3">
        <v>37590</v>
      </c>
      <c r="I789" s="3">
        <v>127958.75</v>
      </c>
      <c r="J789" s="3">
        <v>35</v>
      </c>
      <c r="K789" s="15">
        <f t="shared" si="132"/>
        <v>3.86014347944851E-2</v>
      </c>
      <c r="L789" s="16">
        <f t="shared" si="142"/>
        <v>0.74679409417398246</v>
      </c>
      <c r="M789" s="16">
        <f t="shared" si="133"/>
        <v>28.82732353116355</v>
      </c>
      <c r="N789" s="16">
        <f t="shared" si="134"/>
        <v>4.5582358072940323</v>
      </c>
      <c r="O789" s="16">
        <f t="shared" si="135"/>
        <v>3.5582358072940319</v>
      </c>
      <c r="P789" s="1">
        <v>2024</v>
      </c>
      <c r="Q789" s="1" t="s">
        <v>65</v>
      </c>
      <c r="R789" s="1" t="s">
        <v>25</v>
      </c>
      <c r="S789" s="70">
        <f>DATE(Table2[[#This Row],[Year]],MONTH(DATEVALUE("1-"&amp;Table2[[#This Row],[Month]]&amp;"-2000")),1)</f>
        <v>45597</v>
      </c>
      <c r="T789" s="16">
        <f t="shared" si="136"/>
        <v>3.4040635807395585</v>
      </c>
      <c r="U789" s="16">
        <f t="shared" si="137"/>
        <v>0.13140173834819951</v>
      </c>
      <c r="V789" s="16">
        <f t="shared" si="138"/>
        <v>802.05685714285721</v>
      </c>
      <c r="W789" s="16">
        <f t="shared" si="139"/>
        <v>3655.9642857142858</v>
      </c>
      <c r="X789" s="16">
        <f t="shared" si="140"/>
        <v>1074</v>
      </c>
      <c r="Y789" s="16">
        <f t="shared" si="141"/>
        <v>27822.799999999999</v>
      </c>
      <c r="Z789" s="7" t="str" cm="1">
        <f t="array" ref="Z789">_xlfn.IFS(K789&lt;2%,"Low",K789&lt;5%,"Medium",K789&lt;10%,"Good",K789&gt;10%,"Excellent")</f>
        <v>Medium</v>
      </c>
      <c r="AA789" s="16" t="str">
        <f>Data_Validation!N787</f>
        <v>Pass</v>
      </c>
    </row>
    <row r="790" spans="1:27" x14ac:dyDescent="0.35">
      <c r="A790" s="17" t="s">
        <v>64</v>
      </c>
      <c r="B790" s="3" t="s">
        <v>28</v>
      </c>
      <c r="C790" s="3" t="s">
        <v>36</v>
      </c>
      <c r="D790" s="3" t="s">
        <v>51</v>
      </c>
      <c r="E790" s="3" t="s">
        <v>30</v>
      </c>
      <c r="F790" s="3">
        <v>34943.42</v>
      </c>
      <c r="G790" s="3">
        <v>366699</v>
      </c>
      <c r="H790" s="3">
        <v>7410</v>
      </c>
      <c r="I790" s="3">
        <v>76907.53</v>
      </c>
      <c r="J790" s="3">
        <v>40</v>
      </c>
      <c r="K790" s="15">
        <f t="shared" si="132"/>
        <v>2.0207308991843448E-2</v>
      </c>
      <c r="L790" s="16">
        <f t="shared" si="142"/>
        <v>4.7157112010796221</v>
      </c>
      <c r="M790" s="16">
        <f t="shared" si="133"/>
        <v>95.291833356513109</v>
      </c>
      <c r="N790" s="16">
        <f t="shared" si="134"/>
        <v>2.2009159378217702</v>
      </c>
      <c r="O790" s="16">
        <f t="shared" si="135"/>
        <v>1.2009159378217702</v>
      </c>
      <c r="P790" s="1">
        <v>2024</v>
      </c>
      <c r="Q790" s="1" t="s">
        <v>65</v>
      </c>
      <c r="R790" s="1" t="s">
        <v>25</v>
      </c>
      <c r="S790" s="70">
        <f>DATE(Table2[[#This Row],[Year]],MONTH(DATEVALUE("1-"&amp;Table2[[#This Row],[Month]]&amp;"-2000")),1)</f>
        <v>45597</v>
      </c>
      <c r="T790" s="16">
        <f t="shared" si="136"/>
        <v>10.378883940620783</v>
      </c>
      <c r="U790" s="16">
        <f t="shared" si="137"/>
        <v>0.20972931477860587</v>
      </c>
      <c r="V790" s="16">
        <f t="shared" si="138"/>
        <v>873.58549999999991</v>
      </c>
      <c r="W790" s="16">
        <f t="shared" si="139"/>
        <v>1922.6882499999999</v>
      </c>
      <c r="X790" s="16">
        <f t="shared" si="140"/>
        <v>185.25</v>
      </c>
      <c r="Y790" s="16">
        <f t="shared" si="141"/>
        <v>9167.4750000000004</v>
      </c>
      <c r="Z790" s="7" t="str" cm="1">
        <f t="array" ref="Z790">_xlfn.IFS(K790&lt;2%,"Low",K790&lt;5%,"Medium",K790&lt;10%,"Good",K790&gt;10%,"Excellent")</f>
        <v>Medium</v>
      </c>
      <c r="AA790" s="16" t="str">
        <f>Data_Validation!N788</f>
        <v>Pass</v>
      </c>
    </row>
    <row r="791" spans="1:27" x14ac:dyDescent="0.35">
      <c r="A791" s="17" t="s">
        <v>109</v>
      </c>
      <c r="B791" s="3" t="s">
        <v>35</v>
      </c>
      <c r="C791" s="3" t="s">
        <v>69</v>
      </c>
      <c r="D791" s="3" t="s">
        <v>37</v>
      </c>
      <c r="E791" s="3" t="s">
        <v>30</v>
      </c>
      <c r="F791" s="3">
        <v>50925.89</v>
      </c>
      <c r="G791" s="3">
        <v>992486</v>
      </c>
      <c r="H791" s="3">
        <v>9596</v>
      </c>
      <c r="I791" s="3">
        <v>93934.51</v>
      </c>
      <c r="J791" s="3">
        <v>21</v>
      </c>
      <c r="K791" s="15">
        <f t="shared" si="132"/>
        <v>9.6686502378874866E-3</v>
      </c>
      <c r="L791" s="16">
        <f t="shared" si="142"/>
        <v>5.3069914547728221</v>
      </c>
      <c r="M791" s="16">
        <f t="shared" si="133"/>
        <v>51.311444191656108</v>
      </c>
      <c r="N791" s="16">
        <f t="shared" si="134"/>
        <v>1.8445334975981764</v>
      </c>
      <c r="O791" s="16">
        <f t="shared" si="135"/>
        <v>0.84453349759817642</v>
      </c>
      <c r="P791" s="1">
        <v>2024</v>
      </c>
      <c r="Q791" s="1" t="s">
        <v>65</v>
      </c>
      <c r="R791" s="1" t="s">
        <v>25</v>
      </c>
      <c r="S791" s="70">
        <f>DATE(Table2[[#This Row],[Year]],MONTH(DATEVALUE("1-"&amp;Table2[[#This Row],[Month]]&amp;"-2000")),1)</f>
        <v>45597</v>
      </c>
      <c r="T791" s="16">
        <f t="shared" si="136"/>
        <v>9.7889235097957474</v>
      </c>
      <c r="U791" s="16">
        <f t="shared" si="137"/>
        <v>9.4645677621649063E-2</v>
      </c>
      <c r="V791" s="16">
        <f t="shared" si="138"/>
        <v>2425.0423809523809</v>
      </c>
      <c r="W791" s="16">
        <f t="shared" si="139"/>
        <v>4473.0719047619041</v>
      </c>
      <c r="X791" s="16">
        <f t="shared" si="140"/>
        <v>456.95238095238096</v>
      </c>
      <c r="Y791" s="16">
        <f t="shared" si="141"/>
        <v>47261.238095238092</v>
      </c>
      <c r="Z791" s="7" t="str" cm="1">
        <f t="array" ref="Z791">_xlfn.IFS(K791&lt;2%,"Low",K791&lt;5%,"Medium",K791&lt;10%,"Good",K791&gt;10%,"Excellent")</f>
        <v>Low</v>
      </c>
      <c r="AA791" s="16" t="str">
        <f>Data_Validation!N789</f>
        <v>Pass</v>
      </c>
    </row>
    <row r="792" spans="1:27" x14ac:dyDescent="0.35">
      <c r="A792" s="17" t="s">
        <v>92</v>
      </c>
      <c r="B792" s="3" t="s">
        <v>35</v>
      </c>
      <c r="C792" s="3" t="s">
        <v>69</v>
      </c>
      <c r="D792" s="3" t="s">
        <v>37</v>
      </c>
      <c r="E792" s="3" t="s">
        <v>30</v>
      </c>
      <c r="F792" s="3">
        <v>30221.87</v>
      </c>
      <c r="G792" s="3">
        <v>53993</v>
      </c>
      <c r="H792" s="3">
        <v>36368</v>
      </c>
      <c r="I792" s="3">
        <v>180752.64000000001</v>
      </c>
      <c r="J792" s="3">
        <v>38</v>
      </c>
      <c r="K792" s="15">
        <f t="shared" si="132"/>
        <v>0.67356879595503116</v>
      </c>
      <c r="L792" s="16">
        <f t="shared" si="142"/>
        <v>0.83100170479542457</v>
      </c>
      <c r="M792" s="16">
        <f t="shared" si="133"/>
        <v>559.73681773563237</v>
      </c>
      <c r="N792" s="16">
        <f t="shared" si="134"/>
        <v>5.9808555857066432</v>
      </c>
      <c r="O792" s="16">
        <f t="shared" si="135"/>
        <v>4.9808555857066432</v>
      </c>
      <c r="P792" s="1">
        <v>2024</v>
      </c>
      <c r="Q792" s="1" t="s">
        <v>73</v>
      </c>
      <c r="R792" s="1" t="s">
        <v>25</v>
      </c>
      <c r="S792" s="70">
        <f>DATE(Table2[[#This Row],[Year]],MONTH(DATEVALUE("1-"&amp;Table2[[#This Row],[Month]]&amp;"-2000")),1)</f>
        <v>45627</v>
      </c>
      <c r="T792" s="16">
        <f t="shared" si="136"/>
        <v>4.9701011878574572</v>
      </c>
      <c r="U792" s="16">
        <f t="shared" si="137"/>
        <v>3.3477050728798181</v>
      </c>
      <c r="V792" s="16">
        <f t="shared" si="138"/>
        <v>795.31236842105261</v>
      </c>
      <c r="W792" s="16">
        <f t="shared" si="139"/>
        <v>4756.6484210526323</v>
      </c>
      <c r="X792" s="16">
        <f t="shared" si="140"/>
        <v>957.0526315789474</v>
      </c>
      <c r="Y792" s="16">
        <f t="shared" si="141"/>
        <v>1420.8684210526317</v>
      </c>
      <c r="Z792" s="7" t="str" cm="1">
        <f t="array" ref="Z792">_xlfn.IFS(K792&lt;2%,"Low",K792&lt;5%,"Medium",K792&lt;10%,"Good",K792&gt;10%,"Excellent")</f>
        <v>Excellent</v>
      </c>
      <c r="AA792" s="16" t="str">
        <f>Data_Validation!N790</f>
        <v>Pass</v>
      </c>
    </row>
    <row r="793" spans="1:27" x14ac:dyDescent="0.35">
      <c r="A793" s="17" t="s">
        <v>88</v>
      </c>
      <c r="B793" s="3" t="s">
        <v>35</v>
      </c>
      <c r="C793" s="3" t="s">
        <v>20</v>
      </c>
      <c r="D793" s="3" t="s">
        <v>51</v>
      </c>
      <c r="E793" s="3" t="s">
        <v>22</v>
      </c>
      <c r="F793" s="3">
        <v>4362.78</v>
      </c>
      <c r="G793" s="3">
        <v>454114</v>
      </c>
      <c r="H793" s="3">
        <v>24038</v>
      </c>
      <c r="I793" s="3">
        <v>90335.42</v>
      </c>
      <c r="J793" s="3">
        <v>42</v>
      </c>
      <c r="K793" s="15">
        <f t="shared" si="132"/>
        <v>5.293384480548937E-2</v>
      </c>
      <c r="L793" s="16">
        <f t="shared" si="142"/>
        <v>0.18149513270654796</v>
      </c>
      <c r="M793" s="16">
        <f t="shared" si="133"/>
        <v>9.6072351876401072</v>
      </c>
      <c r="N793" s="16">
        <f t="shared" si="134"/>
        <v>20.705930622217945</v>
      </c>
      <c r="O793" s="16">
        <f t="shared" si="135"/>
        <v>19.705930622217945</v>
      </c>
      <c r="P793" s="1">
        <v>2024</v>
      </c>
      <c r="Q793" s="1" t="s">
        <v>73</v>
      </c>
      <c r="R793" s="1" t="s">
        <v>25</v>
      </c>
      <c r="S793" s="70">
        <f>DATE(Table2[[#This Row],[Year]],MONTH(DATEVALUE("1-"&amp;Table2[[#This Row],[Month]]&amp;"-2000")),1)</f>
        <v>45627</v>
      </c>
      <c r="T793" s="16">
        <f t="shared" si="136"/>
        <v>3.7580256260920208</v>
      </c>
      <c r="U793" s="16">
        <f t="shared" si="137"/>
        <v>0.19892674526660706</v>
      </c>
      <c r="V793" s="16">
        <f t="shared" si="138"/>
        <v>103.87571428571428</v>
      </c>
      <c r="W793" s="16">
        <f t="shared" si="139"/>
        <v>2150.8433333333332</v>
      </c>
      <c r="X793" s="16">
        <f t="shared" si="140"/>
        <v>572.33333333333337</v>
      </c>
      <c r="Y793" s="16">
        <f t="shared" si="141"/>
        <v>10812.238095238095</v>
      </c>
      <c r="Z793" s="7" t="str" cm="1">
        <f t="array" ref="Z793">_xlfn.IFS(K793&lt;2%,"Low",K793&lt;5%,"Medium",K793&lt;10%,"Good",K793&gt;10%,"Excellent")</f>
        <v>Good</v>
      </c>
      <c r="AA793" s="16" t="str">
        <f>Data_Validation!N791</f>
        <v>Pass</v>
      </c>
    </row>
    <row r="794" spans="1:27" x14ac:dyDescent="0.35">
      <c r="A794" s="17" t="s">
        <v>107</v>
      </c>
      <c r="B794" s="3" t="s">
        <v>19</v>
      </c>
      <c r="C794" s="3" t="s">
        <v>36</v>
      </c>
      <c r="D794" s="3" t="s">
        <v>43</v>
      </c>
      <c r="E794" s="3" t="s">
        <v>30</v>
      </c>
      <c r="F794" s="3">
        <v>15909.81</v>
      </c>
      <c r="G794" s="3">
        <v>274132</v>
      </c>
      <c r="H794" s="3">
        <v>12753</v>
      </c>
      <c r="I794" s="3">
        <v>13340.23</v>
      </c>
      <c r="J794" s="3">
        <v>34</v>
      </c>
      <c r="K794" s="15">
        <f t="shared" si="132"/>
        <v>4.6521383858870911E-2</v>
      </c>
      <c r="L794" s="16">
        <f t="shared" si="142"/>
        <v>1.2475346977181838</v>
      </c>
      <c r="M794" s="16">
        <f t="shared" si="133"/>
        <v>58.037040549808118</v>
      </c>
      <c r="N794" s="16">
        <f t="shared" si="134"/>
        <v>0.83849084307103605</v>
      </c>
      <c r="O794" s="16">
        <f t="shared" si="135"/>
        <v>-0.16150915692896395</v>
      </c>
      <c r="P794" s="1">
        <v>2024</v>
      </c>
      <c r="Q794" s="1" t="s">
        <v>73</v>
      </c>
      <c r="R794" s="1" t="s">
        <v>25</v>
      </c>
      <c r="S794" s="70">
        <f>DATE(Table2[[#This Row],[Year]],MONTH(DATEVALUE("1-"&amp;Table2[[#This Row],[Month]]&amp;"-2000")),1)</f>
        <v>45627</v>
      </c>
      <c r="T794" s="16">
        <f t="shared" si="136"/>
        <v>1.0460464204500901</v>
      </c>
      <c r="U794" s="16">
        <f t="shared" si="137"/>
        <v>4.8663527059956517E-2</v>
      </c>
      <c r="V794" s="16">
        <f t="shared" si="138"/>
        <v>467.93558823529412</v>
      </c>
      <c r="W794" s="16">
        <f t="shared" si="139"/>
        <v>392.35970588235296</v>
      </c>
      <c r="X794" s="16">
        <f t="shared" si="140"/>
        <v>375.08823529411762</v>
      </c>
      <c r="Y794" s="16">
        <f t="shared" si="141"/>
        <v>8062.7058823529414</v>
      </c>
      <c r="Z794" s="7" t="str" cm="1">
        <f t="array" ref="Z794">_xlfn.IFS(K794&lt;2%,"Low",K794&lt;5%,"Medium",K794&lt;10%,"Good",K794&gt;10%,"Excellent")</f>
        <v>Medium</v>
      </c>
      <c r="AA794" s="16" t="str">
        <f>Data_Validation!N792</f>
        <v>Pass</v>
      </c>
    </row>
    <row r="795" spans="1:27" x14ac:dyDescent="0.35">
      <c r="A795" s="17" t="s">
        <v>64</v>
      </c>
      <c r="B795" s="3" t="s">
        <v>28</v>
      </c>
      <c r="C795" s="3" t="s">
        <v>69</v>
      </c>
      <c r="D795" s="3" t="s">
        <v>21</v>
      </c>
      <c r="E795" s="3" t="s">
        <v>38</v>
      </c>
      <c r="F795" s="3">
        <v>3070.84</v>
      </c>
      <c r="G795" s="3">
        <v>291444</v>
      </c>
      <c r="H795" s="3">
        <v>32417</v>
      </c>
      <c r="I795" s="3">
        <v>40754.03</v>
      </c>
      <c r="J795" s="3">
        <v>30</v>
      </c>
      <c r="K795" s="15">
        <f t="shared" si="132"/>
        <v>0.11122891533193341</v>
      </c>
      <c r="L795" s="16">
        <f t="shared" si="142"/>
        <v>9.4729308696054546E-2</v>
      </c>
      <c r="M795" s="16">
        <f t="shared" si="133"/>
        <v>10.536638256406034</v>
      </c>
      <c r="N795" s="16">
        <f t="shared" si="134"/>
        <v>13.27129710437535</v>
      </c>
      <c r="O795" s="16">
        <f t="shared" si="135"/>
        <v>12.27129710437535</v>
      </c>
      <c r="P795" s="1">
        <v>2024</v>
      </c>
      <c r="Q795" s="1" t="s">
        <v>73</v>
      </c>
      <c r="R795" s="1" t="s">
        <v>25</v>
      </c>
      <c r="S795" s="70">
        <f>DATE(Table2[[#This Row],[Year]],MONTH(DATEVALUE("1-"&amp;Table2[[#This Row],[Month]]&amp;"-2000")),1)</f>
        <v>45627</v>
      </c>
      <c r="T795" s="16">
        <f t="shared" si="136"/>
        <v>1.2571808001974272</v>
      </c>
      <c r="U795" s="16">
        <f t="shared" si="137"/>
        <v>0.13983485678209193</v>
      </c>
      <c r="V795" s="16">
        <f t="shared" si="138"/>
        <v>102.36133333333333</v>
      </c>
      <c r="W795" s="16">
        <f t="shared" si="139"/>
        <v>1358.4676666666667</v>
      </c>
      <c r="X795" s="16">
        <f t="shared" si="140"/>
        <v>1080.5666666666666</v>
      </c>
      <c r="Y795" s="16">
        <f t="shared" si="141"/>
        <v>9714.7999999999993</v>
      </c>
      <c r="Z795" s="7" t="str" cm="1">
        <f t="array" ref="Z795">_xlfn.IFS(K795&lt;2%,"Low",K795&lt;5%,"Medium",K795&lt;10%,"Good",K795&gt;10%,"Excellent")</f>
        <v>Excellent</v>
      </c>
      <c r="AA795" s="16" t="str">
        <f>Data_Validation!N793</f>
        <v>Pass</v>
      </c>
    </row>
    <row r="796" spans="1:27" x14ac:dyDescent="0.35">
      <c r="A796" s="17" t="s">
        <v>94</v>
      </c>
      <c r="B796" s="3" t="s">
        <v>19</v>
      </c>
      <c r="C796" s="3" t="s">
        <v>29</v>
      </c>
      <c r="D796" s="3" t="s">
        <v>37</v>
      </c>
      <c r="E796" s="3" t="s">
        <v>38</v>
      </c>
      <c r="F796" s="3">
        <v>33188.639999999999</v>
      </c>
      <c r="G796" s="3">
        <v>117022</v>
      </c>
      <c r="H796" s="3">
        <v>9752</v>
      </c>
      <c r="I796" s="3">
        <v>117933.75999999999</v>
      </c>
      <c r="J796" s="3">
        <v>25</v>
      </c>
      <c r="K796" s="15">
        <f t="shared" si="132"/>
        <v>8.3334757566953216E-2</v>
      </c>
      <c r="L796" s="16">
        <f t="shared" si="142"/>
        <v>3.4032649712879408</v>
      </c>
      <c r="M796" s="16">
        <f t="shared" si="133"/>
        <v>283.61026131838457</v>
      </c>
      <c r="N796" s="16">
        <f t="shared" si="134"/>
        <v>3.5534375617681229</v>
      </c>
      <c r="O796" s="16">
        <f t="shared" si="135"/>
        <v>2.5534375617681229</v>
      </c>
      <c r="P796" s="1">
        <v>2024</v>
      </c>
      <c r="Q796" s="1" t="s">
        <v>73</v>
      </c>
      <c r="R796" s="1" t="s">
        <v>25</v>
      </c>
      <c r="S796" s="70">
        <f>DATE(Table2[[#This Row],[Year]],MONTH(DATEVALUE("1-"&amp;Table2[[#This Row],[Month]]&amp;"-2000")),1)</f>
        <v>45627</v>
      </c>
      <c r="T796" s="16">
        <f t="shared" si="136"/>
        <v>12.093289581624282</v>
      </c>
      <c r="U796" s="16">
        <f t="shared" si="137"/>
        <v>1.0077913554716207</v>
      </c>
      <c r="V796" s="16">
        <f t="shared" si="138"/>
        <v>1327.5455999999999</v>
      </c>
      <c r="W796" s="16">
        <f t="shared" si="139"/>
        <v>4717.3503999999994</v>
      </c>
      <c r="X796" s="16">
        <f t="shared" si="140"/>
        <v>390.08</v>
      </c>
      <c r="Y796" s="16">
        <f t="shared" si="141"/>
        <v>4680.88</v>
      </c>
      <c r="Z796" s="7" t="str" cm="1">
        <f t="array" ref="Z796">_xlfn.IFS(K796&lt;2%,"Low",K796&lt;5%,"Medium",K796&lt;10%,"Good",K796&gt;10%,"Excellent")</f>
        <v>Good</v>
      </c>
      <c r="AA796" s="16" t="str">
        <f>Data_Validation!N794</f>
        <v>Pass</v>
      </c>
    </row>
    <row r="797" spans="1:27" x14ac:dyDescent="0.35">
      <c r="A797" s="17" t="s">
        <v>85</v>
      </c>
      <c r="B797" s="3" t="s">
        <v>19</v>
      </c>
      <c r="C797" s="3" t="s">
        <v>69</v>
      </c>
      <c r="D797" s="3" t="s">
        <v>51</v>
      </c>
      <c r="E797" s="3" t="s">
        <v>22</v>
      </c>
      <c r="F797" s="3">
        <v>28488.720000000001</v>
      </c>
      <c r="G797" s="3">
        <v>159600</v>
      </c>
      <c r="H797" s="3">
        <v>24925</v>
      </c>
      <c r="I797" s="3">
        <v>144052.39000000001</v>
      </c>
      <c r="J797" s="3">
        <v>38</v>
      </c>
      <c r="K797" s="15">
        <f t="shared" si="132"/>
        <v>0.15617167919799499</v>
      </c>
      <c r="L797" s="16">
        <f t="shared" si="142"/>
        <v>1.1429777331995989</v>
      </c>
      <c r="M797" s="16">
        <f t="shared" si="133"/>
        <v>178.50075187969924</v>
      </c>
      <c r="N797" s="16">
        <f t="shared" si="134"/>
        <v>5.0564711226057195</v>
      </c>
      <c r="O797" s="16">
        <f t="shared" si="135"/>
        <v>4.0564711226057195</v>
      </c>
      <c r="P797" s="1">
        <v>2024</v>
      </c>
      <c r="Q797" s="1" t="s">
        <v>73</v>
      </c>
      <c r="R797" s="1" t="s">
        <v>25</v>
      </c>
      <c r="S797" s="70">
        <f>DATE(Table2[[#This Row],[Year]],MONTH(DATEVALUE("1-"&amp;Table2[[#This Row],[Month]]&amp;"-2000")),1)</f>
        <v>45627</v>
      </c>
      <c r="T797" s="16">
        <f t="shared" si="136"/>
        <v>5.779433901705116</v>
      </c>
      <c r="U797" s="16">
        <f t="shared" si="137"/>
        <v>0.90258389724310784</v>
      </c>
      <c r="V797" s="16">
        <f t="shared" si="138"/>
        <v>749.70315789473682</v>
      </c>
      <c r="W797" s="16">
        <f t="shared" si="139"/>
        <v>3790.8523684210531</v>
      </c>
      <c r="X797" s="16">
        <f t="shared" si="140"/>
        <v>655.92105263157896</v>
      </c>
      <c r="Y797" s="16">
        <f t="shared" si="141"/>
        <v>4200</v>
      </c>
      <c r="Z797" s="7" t="str" cm="1">
        <f t="array" ref="Z797">_xlfn.IFS(K797&lt;2%,"Low",K797&lt;5%,"Medium",K797&lt;10%,"Good",K797&gt;10%,"Excellent")</f>
        <v>Excellent</v>
      </c>
      <c r="AA797" s="16" t="str">
        <f>Data_Validation!N795</f>
        <v>Pass</v>
      </c>
    </row>
    <row r="798" spans="1:27" x14ac:dyDescent="0.35">
      <c r="A798" s="17" t="s">
        <v>110</v>
      </c>
      <c r="B798" s="3" t="s">
        <v>35</v>
      </c>
      <c r="C798" s="3" t="s">
        <v>36</v>
      </c>
      <c r="D798" s="3" t="s">
        <v>59</v>
      </c>
      <c r="E798" s="3" t="s">
        <v>30</v>
      </c>
      <c r="F798" s="3">
        <v>7429.27</v>
      </c>
      <c r="G798" s="3">
        <v>962424</v>
      </c>
      <c r="H798" s="3">
        <v>29648</v>
      </c>
      <c r="I798" s="3">
        <v>203094.52</v>
      </c>
      <c r="J798" s="3">
        <v>32</v>
      </c>
      <c r="K798" s="15">
        <f t="shared" si="132"/>
        <v>3.080554932129706E-2</v>
      </c>
      <c r="L798" s="16">
        <f t="shared" si="142"/>
        <v>0.25058250134916354</v>
      </c>
      <c r="M798" s="16">
        <f t="shared" si="133"/>
        <v>7.7193316043656441</v>
      </c>
      <c r="N798" s="16">
        <f t="shared" si="134"/>
        <v>27.337076186489384</v>
      </c>
      <c r="O798" s="16">
        <f t="shared" si="135"/>
        <v>26.337076186489384</v>
      </c>
      <c r="P798" s="1">
        <v>2024</v>
      </c>
      <c r="Q798" s="1" t="s">
        <v>73</v>
      </c>
      <c r="R798" s="1" t="s">
        <v>25</v>
      </c>
      <c r="S798" s="70">
        <f>DATE(Table2[[#This Row],[Year]],MONTH(DATEVALUE("1-"&amp;Table2[[#This Row],[Month]]&amp;"-2000")),1)</f>
        <v>45627</v>
      </c>
      <c r="T798" s="16">
        <f t="shared" si="136"/>
        <v>6.8501929303831623</v>
      </c>
      <c r="U798" s="16">
        <f t="shared" si="137"/>
        <v>0.21102395617731892</v>
      </c>
      <c r="V798" s="16">
        <f t="shared" si="138"/>
        <v>232.16468750000001</v>
      </c>
      <c r="W798" s="16">
        <f t="shared" si="139"/>
        <v>6346.7037499999997</v>
      </c>
      <c r="X798" s="16">
        <f t="shared" si="140"/>
        <v>926.5</v>
      </c>
      <c r="Y798" s="16">
        <f t="shared" si="141"/>
        <v>30075.75</v>
      </c>
      <c r="Z798" s="7" t="str" cm="1">
        <f t="array" ref="Z798">_xlfn.IFS(K798&lt;2%,"Low",K798&lt;5%,"Medium",K798&lt;10%,"Good",K798&gt;10%,"Excellent")</f>
        <v>Medium</v>
      </c>
      <c r="AA798" s="16" t="str">
        <f>Data_Validation!N796</f>
        <v>Pass</v>
      </c>
    </row>
    <row r="799" spans="1:27" x14ac:dyDescent="0.35">
      <c r="A799" s="17" t="s">
        <v>79</v>
      </c>
      <c r="B799" s="3" t="s">
        <v>19</v>
      </c>
      <c r="C799" s="3" t="s">
        <v>69</v>
      </c>
      <c r="D799" s="3" t="s">
        <v>63</v>
      </c>
      <c r="E799" s="3" t="s">
        <v>30</v>
      </c>
      <c r="F799" s="3">
        <v>3790.67</v>
      </c>
      <c r="G799" s="3">
        <v>55168</v>
      </c>
      <c r="H799" s="3">
        <v>7361</v>
      </c>
      <c r="I799" s="3">
        <v>16760.830000000002</v>
      </c>
      <c r="J799" s="3">
        <v>61</v>
      </c>
      <c r="K799" s="15">
        <f t="shared" si="132"/>
        <v>0.13342879930394433</v>
      </c>
      <c r="L799" s="16">
        <f t="shared" si="142"/>
        <v>0.51496671647873926</v>
      </c>
      <c r="M799" s="16">
        <f t="shared" si="133"/>
        <v>68.711390661252892</v>
      </c>
      <c r="N799" s="16">
        <f t="shared" si="134"/>
        <v>4.4216009307061812</v>
      </c>
      <c r="O799" s="16">
        <f t="shared" si="135"/>
        <v>3.4216009307061817</v>
      </c>
      <c r="P799" s="1">
        <v>2024</v>
      </c>
      <c r="Q799" s="1" t="s">
        <v>73</v>
      </c>
      <c r="R799" s="1" t="s">
        <v>25</v>
      </c>
      <c r="S799" s="70">
        <f>DATE(Table2[[#This Row],[Year]],MONTH(DATEVALUE("1-"&amp;Table2[[#This Row],[Month]]&amp;"-2000")),1)</f>
        <v>45627</v>
      </c>
      <c r="T799" s="16">
        <f t="shared" si="136"/>
        <v>2.2769773128651001</v>
      </c>
      <c r="U799" s="16">
        <f t="shared" si="137"/>
        <v>0.30381434889791187</v>
      </c>
      <c r="V799" s="16">
        <f t="shared" si="138"/>
        <v>62.142131147540987</v>
      </c>
      <c r="W799" s="16">
        <f t="shared" si="139"/>
        <v>274.76770491803279</v>
      </c>
      <c r="X799" s="16">
        <f t="shared" si="140"/>
        <v>120.67213114754098</v>
      </c>
      <c r="Y799" s="16">
        <f t="shared" si="141"/>
        <v>904.39344262295083</v>
      </c>
      <c r="Z799" s="7" t="str" cm="1">
        <f t="array" ref="Z799">_xlfn.IFS(K799&lt;2%,"Low",K799&lt;5%,"Medium",K799&lt;10%,"Good",K799&gt;10%,"Excellent")</f>
        <v>Excellent</v>
      </c>
      <c r="AA799" s="16" t="str">
        <f>Data_Validation!N797</f>
        <v>Pass</v>
      </c>
    </row>
    <row r="800" spans="1:27" x14ac:dyDescent="0.35">
      <c r="A800" s="17" t="s">
        <v>50</v>
      </c>
      <c r="B800" s="3" t="s">
        <v>28</v>
      </c>
      <c r="C800" s="3" t="s">
        <v>69</v>
      </c>
      <c r="D800" s="3" t="s">
        <v>21</v>
      </c>
      <c r="E800" s="3" t="s">
        <v>30</v>
      </c>
      <c r="F800" s="3">
        <v>46349.81</v>
      </c>
      <c r="G800" s="3">
        <v>458324</v>
      </c>
      <c r="H800" s="3">
        <v>26633</v>
      </c>
      <c r="I800" s="3">
        <v>195172.61</v>
      </c>
      <c r="J800" s="3">
        <v>26</v>
      </c>
      <c r="K800" s="15">
        <f t="shared" si="132"/>
        <v>5.8109546958047147E-2</v>
      </c>
      <c r="L800" s="16">
        <f t="shared" si="142"/>
        <v>1.740315022716179</v>
      </c>
      <c r="M800" s="16">
        <f t="shared" si="133"/>
        <v>101.12891753432069</v>
      </c>
      <c r="N800" s="16">
        <f t="shared" si="134"/>
        <v>4.2108610585458708</v>
      </c>
      <c r="O800" s="16">
        <f t="shared" si="135"/>
        <v>3.2108610585458708</v>
      </c>
      <c r="P800" s="1">
        <v>2024</v>
      </c>
      <c r="Q800" s="1" t="s">
        <v>73</v>
      </c>
      <c r="R800" s="1" t="s">
        <v>25</v>
      </c>
      <c r="S800" s="70">
        <f>DATE(Table2[[#This Row],[Year]],MONTH(DATEVALUE("1-"&amp;Table2[[#This Row],[Month]]&amp;"-2000")),1)</f>
        <v>45627</v>
      </c>
      <c r="T800" s="16">
        <f t="shared" si="136"/>
        <v>7.3282247587579317</v>
      </c>
      <c r="U800" s="16">
        <f t="shared" si="137"/>
        <v>0.42583982073816773</v>
      </c>
      <c r="V800" s="16">
        <f t="shared" si="138"/>
        <v>1782.6849999999999</v>
      </c>
      <c r="W800" s="16">
        <f t="shared" si="139"/>
        <v>7506.6388461538454</v>
      </c>
      <c r="X800" s="16">
        <f t="shared" si="140"/>
        <v>1024.3461538461538</v>
      </c>
      <c r="Y800" s="16">
        <f t="shared" si="141"/>
        <v>17627.846153846152</v>
      </c>
      <c r="Z800" s="7" t="str" cm="1">
        <f t="array" ref="Z800">_xlfn.IFS(K800&lt;2%,"Low",K800&lt;5%,"Medium",K800&lt;10%,"Good",K800&gt;10%,"Excellent")</f>
        <v>Good</v>
      </c>
      <c r="AA800" s="16" t="str">
        <f>Data_Validation!N798</f>
        <v>Pass</v>
      </c>
    </row>
    <row r="801" spans="1:27" x14ac:dyDescent="0.35">
      <c r="A801" s="17" t="s">
        <v>42</v>
      </c>
      <c r="B801" s="3" t="s">
        <v>48</v>
      </c>
      <c r="C801" s="3" t="s">
        <v>69</v>
      </c>
      <c r="D801" s="3" t="s">
        <v>59</v>
      </c>
      <c r="E801" s="3" t="s">
        <v>22</v>
      </c>
      <c r="F801" s="3">
        <v>16427.09</v>
      </c>
      <c r="G801" s="3">
        <v>61028</v>
      </c>
      <c r="H801" s="3">
        <v>24832</v>
      </c>
      <c r="I801" s="3">
        <v>192942.99</v>
      </c>
      <c r="J801" s="3">
        <v>25</v>
      </c>
      <c r="K801" s="15">
        <f t="shared" si="132"/>
        <v>0.40689519564789933</v>
      </c>
      <c r="L801" s="16">
        <f t="shared" si="142"/>
        <v>0.661529075386598</v>
      </c>
      <c r="M801" s="16">
        <f t="shared" si="133"/>
        <v>269.1730025562037</v>
      </c>
      <c r="N801" s="16">
        <f t="shared" si="134"/>
        <v>11.745415043078232</v>
      </c>
      <c r="O801" s="16">
        <f t="shared" si="135"/>
        <v>10.745415043078232</v>
      </c>
      <c r="P801" s="1">
        <v>2024</v>
      </c>
      <c r="Q801" s="1" t="s">
        <v>73</v>
      </c>
      <c r="R801" s="1" t="s">
        <v>25</v>
      </c>
      <c r="S801" s="70">
        <f>DATE(Table2[[#This Row],[Year]],MONTH(DATEVALUE("1-"&amp;Table2[[#This Row],[Month]]&amp;"-2000")),1)</f>
        <v>45627</v>
      </c>
      <c r="T801" s="16">
        <f t="shared" si="136"/>
        <v>7.7699335534793814</v>
      </c>
      <c r="U801" s="16">
        <f t="shared" si="137"/>
        <v>3.1615486334141703</v>
      </c>
      <c r="V801" s="16">
        <f t="shared" si="138"/>
        <v>657.08360000000005</v>
      </c>
      <c r="W801" s="16">
        <f t="shared" si="139"/>
        <v>7717.7195999999994</v>
      </c>
      <c r="X801" s="16">
        <f t="shared" si="140"/>
        <v>993.28</v>
      </c>
      <c r="Y801" s="16">
        <f t="shared" si="141"/>
        <v>2441.12</v>
      </c>
      <c r="Z801" s="7" t="str" cm="1">
        <f t="array" ref="Z801">_xlfn.IFS(K801&lt;2%,"Low",K801&lt;5%,"Medium",K801&lt;10%,"Good",K801&gt;10%,"Excellent")</f>
        <v>Excellent</v>
      </c>
      <c r="AA801" s="16" t="str">
        <f>Data_Validation!N799</f>
        <v>Pass</v>
      </c>
    </row>
    <row r="802" spans="1:27" x14ac:dyDescent="0.35">
      <c r="A802" s="17" t="s">
        <v>109</v>
      </c>
      <c r="B802" s="3" t="s">
        <v>19</v>
      </c>
      <c r="C802" s="3" t="s">
        <v>29</v>
      </c>
      <c r="D802" s="3" t="s">
        <v>43</v>
      </c>
      <c r="E802" s="3" t="s">
        <v>22</v>
      </c>
      <c r="F802" s="3">
        <v>6697.79</v>
      </c>
      <c r="G802" s="3">
        <v>623015</v>
      </c>
      <c r="H802" s="3">
        <v>44298</v>
      </c>
      <c r="I802" s="3">
        <v>130151.11</v>
      </c>
      <c r="J802" s="3">
        <v>27</v>
      </c>
      <c r="K802" s="15">
        <f t="shared" si="132"/>
        <v>7.1102621927240914E-2</v>
      </c>
      <c r="L802" s="16">
        <f t="shared" si="142"/>
        <v>0.15119847397173689</v>
      </c>
      <c r="M802" s="16">
        <f t="shared" si="133"/>
        <v>10.750607930788183</v>
      </c>
      <c r="N802" s="16">
        <f t="shared" si="134"/>
        <v>19.431948448667395</v>
      </c>
      <c r="O802" s="16">
        <f t="shared" si="135"/>
        <v>18.431948448667399</v>
      </c>
      <c r="P802" s="1">
        <v>2024</v>
      </c>
      <c r="Q802" s="1" t="s">
        <v>73</v>
      </c>
      <c r="R802" s="1" t="s">
        <v>25</v>
      </c>
      <c r="S802" s="70">
        <f>DATE(Table2[[#This Row],[Year]],MONTH(DATEVALUE("1-"&amp;Table2[[#This Row],[Month]]&amp;"-2000")),1)</f>
        <v>45627</v>
      </c>
      <c r="T802" s="16">
        <f t="shared" si="136"/>
        <v>2.9380809517359698</v>
      </c>
      <c r="U802" s="16">
        <f t="shared" si="137"/>
        <v>0.20890525910291086</v>
      </c>
      <c r="V802" s="16">
        <f t="shared" si="138"/>
        <v>248.06629629629629</v>
      </c>
      <c r="W802" s="16">
        <f t="shared" si="139"/>
        <v>4820.4114814814811</v>
      </c>
      <c r="X802" s="16">
        <f t="shared" si="140"/>
        <v>1640.6666666666667</v>
      </c>
      <c r="Y802" s="16">
        <f t="shared" si="141"/>
        <v>23074.629629629631</v>
      </c>
      <c r="Z802" s="7" t="str" cm="1">
        <f t="array" ref="Z802">_xlfn.IFS(K802&lt;2%,"Low",K802&lt;5%,"Medium",K802&lt;10%,"Good",K802&gt;10%,"Excellent")</f>
        <v>Good</v>
      </c>
      <c r="AA802" s="16" t="str">
        <f>Data_Validation!N800</f>
        <v>Pass</v>
      </c>
    </row>
    <row r="803" spans="1:27" x14ac:dyDescent="0.35">
      <c r="A803" s="17" t="s">
        <v>84</v>
      </c>
      <c r="B803" s="3" t="s">
        <v>19</v>
      </c>
      <c r="C803" s="3" t="s">
        <v>36</v>
      </c>
      <c r="D803" s="3" t="s">
        <v>51</v>
      </c>
      <c r="E803" s="3" t="s">
        <v>38</v>
      </c>
      <c r="F803" s="3">
        <v>1532.46</v>
      </c>
      <c r="G803" s="3">
        <v>446801</v>
      </c>
      <c r="H803" s="3">
        <v>45001</v>
      </c>
      <c r="I803" s="3">
        <v>81600.23</v>
      </c>
      <c r="J803" s="3">
        <v>48</v>
      </c>
      <c r="K803" s="15">
        <f t="shared" si="132"/>
        <v>0.10071821683478775</v>
      </c>
      <c r="L803" s="16">
        <f t="shared" si="142"/>
        <v>3.4053909913113044E-2</v>
      </c>
      <c r="M803" s="16">
        <f t="shared" si="133"/>
        <v>3.4298490827012476</v>
      </c>
      <c r="N803" s="16">
        <f t="shared" si="134"/>
        <v>53.24786943868029</v>
      </c>
      <c r="O803" s="16">
        <f t="shared" si="135"/>
        <v>52.247869438680283</v>
      </c>
      <c r="P803" s="1">
        <v>2024</v>
      </c>
      <c r="Q803" s="1" t="s">
        <v>73</v>
      </c>
      <c r="R803" s="1" t="s">
        <v>25</v>
      </c>
      <c r="S803" s="70">
        <f>DATE(Table2[[#This Row],[Year]],MONTH(DATEVALUE("1-"&amp;Table2[[#This Row],[Month]]&amp;"-2000")),1)</f>
        <v>45627</v>
      </c>
      <c r="T803" s="16">
        <f t="shared" si="136"/>
        <v>1.8132981489300237</v>
      </c>
      <c r="U803" s="16">
        <f t="shared" si="137"/>
        <v>0.18263215615005338</v>
      </c>
      <c r="V803" s="16">
        <f t="shared" si="138"/>
        <v>31.92625</v>
      </c>
      <c r="W803" s="16">
        <f t="shared" si="139"/>
        <v>1700.0047916666665</v>
      </c>
      <c r="X803" s="16">
        <f t="shared" si="140"/>
        <v>937.52083333333337</v>
      </c>
      <c r="Y803" s="16">
        <f t="shared" si="141"/>
        <v>9308.3541666666661</v>
      </c>
      <c r="Z803" s="7" t="str" cm="1">
        <f t="array" ref="Z803">_xlfn.IFS(K803&lt;2%,"Low",K803&lt;5%,"Medium",K803&lt;10%,"Good",K803&gt;10%,"Excellent")</f>
        <v>Excellent</v>
      </c>
      <c r="AA803" s="16" t="str">
        <f>Data_Validation!N801</f>
        <v>Pass</v>
      </c>
    </row>
    <row r="804" spans="1:27" x14ac:dyDescent="0.35">
      <c r="A804" s="17" t="s">
        <v>100</v>
      </c>
      <c r="B804" s="3" t="s">
        <v>35</v>
      </c>
      <c r="C804" s="3" t="s">
        <v>58</v>
      </c>
      <c r="D804" s="3" t="s">
        <v>59</v>
      </c>
      <c r="E804" s="3" t="s">
        <v>38</v>
      </c>
      <c r="F804" s="3">
        <v>6289.58</v>
      </c>
      <c r="G804" s="3">
        <v>514098</v>
      </c>
      <c r="H804" s="3">
        <v>48241</v>
      </c>
      <c r="I804" s="3">
        <v>193245.36</v>
      </c>
      <c r="J804" s="3">
        <v>20</v>
      </c>
      <c r="K804" s="15">
        <f t="shared" si="132"/>
        <v>9.3836194655493699E-2</v>
      </c>
      <c r="L804" s="16">
        <f t="shared" si="142"/>
        <v>0.13037830890736096</v>
      </c>
      <c r="M804" s="16">
        <f t="shared" si="133"/>
        <v>12.234204373485211</v>
      </c>
      <c r="N804" s="16">
        <f t="shared" si="134"/>
        <v>30.724684319143726</v>
      </c>
      <c r="O804" s="16">
        <f t="shared" si="135"/>
        <v>29.724684319143726</v>
      </c>
      <c r="P804" s="1">
        <v>2024</v>
      </c>
      <c r="Q804" s="1" t="s">
        <v>73</v>
      </c>
      <c r="R804" s="1" t="s">
        <v>25</v>
      </c>
      <c r="S804" s="70">
        <f>DATE(Table2[[#This Row],[Year]],MONTH(DATEVALUE("1-"&amp;Table2[[#This Row],[Month]]&amp;"-2000")),1)</f>
        <v>45627</v>
      </c>
      <c r="T804" s="16">
        <f t="shared" si="136"/>
        <v>4.0058323832424696</v>
      </c>
      <c r="U804" s="16">
        <f t="shared" si="137"/>
        <v>0.37589206727122065</v>
      </c>
      <c r="V804" s="16">
        <f t="shared" si="138"/>
        <v>314.47899999999998</v>
      </c>
      <c r="W804" s="16">
        <f t="shared" si="139"/>
        <v>9662.268</v>
      </c>
      <c r="X804" s="16">
        <f t="shared" si="140"/>
        <v>2412.0500000000002</v>
      </c>
      <c r="Y804" s="16">
        <f t="shared" si="141"/>
        <v>25704.9</v>
      </c>
      <c r="Z804" s="7" t="str" cm="1">
        <f t="array" ref="Z804">_xlfn.IFS(K804&lt;2%,"Low",K804&lt;5%,"Medium",K804&lt;10%,"Good",K804&gt;10%,"Excellent")</f>
        <v>Good</v>
      </c>
      <c r="AA804" s="16" t="str">
        <f>Data_Validation!N802</f>
        <v>Pass</v>
      </c>
    </row>
    <row r="805" spans="1:27" x14ac:dyDescent="0.35">
      <c r="A805" s="17" t="s">
        <v>98</v>
      </c>
      <c r="B805" s="3" t="s">
        <v>19</v>
      </c>
      <c r="C805" s="3" t="s">
        <v>69</v>
      </c>
      <c r="D805" s="3" t="s">
        <v>63</v>
      </c>
      <c r="E805" s="3" t="s">
        <v>38</v>
      </c>
      <c r="F805" s="3">
        <v>2153.87</v>
      </c>
      <c r="G805" s="3">
        <v>537786</v>
      </c>
      <c r="H805" s="3">
        <v>38679</v>
      </c>
      <c r="I805" s="3">
        <v>79998.2</v>
      </c>
      <c r="J805" s="3">
        <v>28</v>
      </c>
      <c r="K805" s="15">
        <f t="shared" si="132"/>
        <v>7.192266068659281E-2</v>
      </c>
      <c r="L805" s="16">
        <f t="shared" si="142"/>
        <v>5.568577264148504E-2</v>
      </c>
      <c r="M805" s="16">
        <f t="shared" si="133"/>
        <v>4.0050689307642813</v>
      </c>
      <c r="N805" s="16">
        <f t="shared" si="134"/>
        <v>37.141610217886871</v>
      </c>
      <c r="O805" s="16">
        <f t="shared" si="135"/>
        <v>36.141610217886878</v>
      </c>
      <c r="P805" s="1">
        <v>2024</v>
      </c>
      <c r="Q805" s="1" t="s">
        <v>73</v>
      </c>
      <c r="R805" s="1" t="s">
        <v>25</v>
      </c>
      <c r="S805" s="70">
        <f>DATE(Table2[[#This Row],[Year]],MONTH(DATEVALUE("1-"&amp;Table2[[#This Row],[Month]]&amp;"-2000")),1)</f>
        <v>45627</v>
      </c>
      <c r="T805" s="16">
        <f t="shared" si="136"/>
        <v>2.0682592621319063</v>
      </c>
      <c r="U805" s="16">
        <f t="shared" si="137"/>
        <v>0.14875470912221589</v>
      </c>
      <c r="V805" s="16">
        <f t="shared" si="138"/>
        <v>76.923928571428561</v>
      </c>
      <c r="W805" s="16">
        <f t="shared" si="139"/>
        <v>2857.0785714285712</v>
      </c>
      <c r="X805" s="16">
        <f t="shared" si="140"/>
        <v>1381.3928571428571</v>
      </c>
      <c r="Y805" s="16">
        <f t="shared" si="141"/>
        <v>19206.642857142859</v>
      </c>
      <c r="Z805" s="7" t="str" cm="1">
        <f t="array" ref="Z805">_xlfn.IFS(K805&lt;2%,"Low",K805&lt;5%,"Medium",K805&lt;10%,"Good",K805&gt;10%,"Excellent")</f>
        <v>Good</v>
      </c>
      <c r="AA805" s="16" t="str">
        <f>Data_Validation!N803</f>
        <v>Pass</v>
      </c>
    </row>
    <row r="806" spans="1:27" x14ac:dyDescent="0.35">
      <c r="A806" s="17" t="s">
        <v>64</v>
      </c>
      <c r="B806" s="3" t="s">
        <v>19</v>
      </c>
      <c r="C806" s="3" t="s">
        <v>69</v>
      </c>
      <c r="D806" s="3" t="s">
        <v>51</v>
      </c>
      <c r="E806" s="3" t="s">
        <v>30</v>
      </c>
      <c r="F806" s="3">
        <v>11046.2</v>
      </c>
      <c r="G806" s="3">
        <v>74076</v>
      </c>
      <c r="H806" s="3">
        <v>41058</v>
      </c>
      <c r="I806" s="3">
        <v>119830.06</v>
      </c>
      <c r="J806" s="3">
        <v>12</v>
      </c>
      <c r="K806" s="15">
        <f t="shared" si="132"/>
        <v>0.55426858901668552</v>
      </c>
      <c r="L806" s="16">
        <f t="shared" si="142"/>
        <v>0.26903892055141509</v>
      </c>
      <c r="M806" s="16">
        <f t="shared" si="133"/>
        <v>149.11982288460501</v>
      </c>
      <c r="N806" s="16">
        <f t="shared" si="134"/>
        <v>10.848079882674584</v>
      </c>
      <c r="O806" s="16">
        <f t="shared" si="135"/>
        <v>9.8480798826745843</v>
      </c>
      <c r="P806" s="1">
        <v>2024</v>
      </c>
      <c r="Q806" s="1" t="s">
        <v>73</v>
      </c>
      <c r="R806" s="1" t="s">
        <v>25</v>
      </c>
      <c r="S806" s="70">
        <f>DATE(Table2[[#This Row],[Year]],MONTH(DATEVALUE("1-"&amp;Table2[[#This Row],[Month]]&amp;"-2000")),1)</f>
        <v>45627</v>
      </c>
      <c r="T806" s="16">
        <f t="shared" si="136"/>
        <v>2.9185557016902917</v>
      </c>
      <c r="U806" s="16">
        <f t="shared" si="137"/>
        <v>1.6176637507424807</v>
      </c>
      <c r="V806" s="16">
        <f t="shared" si="138"/>
        <v>920.51666666666677</v>
      </c>
      <c r="W806" s="16">
        <f t="shared" si="139"/>
        <v>9985.8383333333331</v>
      </c>
      <c r="X806" s="16">
        <f t="shared" si="140"/>
        <v>3421.5</v>
      </c>
      <c r="Y806" s="16">
        <f t="shared" si="141"/>
        <v>6173</v>
      </c>
      <c r="Z806" s="7" t="str" cm="1">
        <f t="array" ref="Z806">_xlfn.IFS(K806&lt;2%,"Low",K806&lt;5%,"Medium",K806&lt;10%,"Good",K806&gt;10%,"Excellent")</f>
        <v>Excellent</v>
      </c>
      <c r="AA806" s="16" t="str">
        <f>Data_Validation!N804</f>
        <v>Pass</v>
      </c>
    </row>
    <row r="807" spans="1:27" x14ac:dyDescent="0.35">
      <c r="A807" s="17" t="s">
        <v>78</v>
      </c>
      <c r="B807" s="3" t="s">
        <v>19</v>
      </c>
      <c r="C807" s="3" t="s">
        <v>69</v>
      </c>
      <c r="D807" s="3" t="s">
        <v>59</v>
      </c>
      <c r="E807" s="3" t="s">
        <v>22</v>
      </c>
      <c r="F807" s="3">
        <v>6627.59</v>
      </c>
      <c r="G807" s="3">
        <v>480392</v>
      </c>
      <c r="H807" s="3">
        <v>40427</v>
      </c>
      <c r="I807" s="3">
        <v>6286.54</v>
      </c>
      <c r="J807" s="3">
        <v>59</v>
      </c>
      <c r="K807" s="15">
        <f t="shared" si="132"/>
        <v>8.4154190744225546E-2</v>
      </c>
      <c r="L807" s="16">
        <f t="shared" si="142"/>
        <v>0.16393969376901577</v>
      </c>
      <c r="M807" s="16">
        <f t="shared" si="133"/>
        <v>13.796212259987678</v>
      </c>
      <c r="N807" s="16">
        <f t="shared" si="134"/>
        <v>0.94854087232312201</v>
      </c>
      <c r="O807" s="16">
        <f t="shared" si="135"/>
        <v>-5.1459127676878047E-2</v>
      </c>
      <c r="P807" s="1">
        <v>2024</v>
      </c>
      <c r="Q807" s="1" t="s">
        <v>73</v>
      </c>
      <c r="R807" s="1" t="s">
        <v>25</v>
      </c>
      <c r="S807" s="70">
        <f>DATE(Table2[[#This Row],[Year]],MONTH(DATEVALUE("1-"&amp;Table2[[#This Row],[Month]]&amp;"-2000")),1)</f>
        <v>45627</v>
      </c>
      <c r="T807" s="16">
        <f t="shared" si="136"/>
        <v>0.15550350013604769</v>
      </c>
      <c r="U807" s="16">
        <f t="shared" si="137"/>
        <v>1.3086271211843661E-2</v>
      </c>
      <c r="V807" s="16">
        <f t="shared" si="138"/>
        <v>112.33203389830508</v>
      </c>
      <c r="W807" s="16">
        <f t="shared" si="139"/>
        <v>106.55152542372882</v>
      </c>
      <c r="X807" s="16">
        <f t="shared" si="140"/>
        <v>685.20338983050851</v>
      </c>
      <c r="Y807" s="16">
        <f t="shared" si="141"/>
        <v>8142.2372881355932</v>
      </c>
      <c r="Z807" s="7" t="str" cm="1">
        <f t="array" ref="Z807">_xlfn.IFS(K807&lt;2%,"Low",K807&lt;5%,"Medium",K807&lt;10%,"Good",K807&gt;10%,"Excellent")</f>
        <v>Good</v>
      </c>
      <c r="AA807" s="16" t="str">
        <f>Data_Validation!N805</f>
        <v>Pass</v>
      </c>
    </row>
    <row r="808" spans="1:27" x14ac:dyDescent="0.35">
      <c r="A808" s="17" t="s">
        <v>108</v>
      </c>
      <c r="B808" s="3" t="s">
        <v>35</v>
      </c>
      <c r="C808" s="3" t="s">
        <v>69</v>
      </c>
      <c r="D808" s="3" t="s">
        <v>59</v>
      </c>
      <c r="E808" s="3" t="s">
        <v>38</v>
      </c>
      <c r="F808" s="3">
        <v>11422.91</v>
      </c>
      <c r="G808" s="3">
        <v>154462</v>
      </c>
      <c r="H808" s="3">
        <v>7674</v>
      </c>
      <c r="I808" s="3">
        <v>112298.45</v>
      </c>
      <c r="J808" s="3">
        <v>14</v>
      </c>
      <c r="K808" s="15">
        <f t="shared" si="132"/>
        <v>4.9682122463777498E-2</v>
      </c>
      <c r="L808" s="16">
        <f t="shared" si="142"/>
        <v>1.4885209799322388</v>
      </c>
      <c r="M808" s="16">
        <f t="shared" si="133"/>
        <v>73.952881614895574</v>
      </c>
      <c r="N808" s="16">
        <f t="shared" si="134"/>
        <v>9.8309843988966037</v>
      </c>
      <c r="O808" s="16">
        <f t="shared" si="135"/>
        <v>8.8309843988966037</v>
      </c>
      <c r="P808" s="1">
        <v>2024</v>
      </c>
      <c r="Q808" s="1" t="s">
        <v>73</v>
      </c>
      <c r="R808" s="1" t="s">
        <v>25</v>
      </c>
      <c r="S808" s="70">
        <f>DATE(Table2[[#This Row],[Year]],MONTH(DATEVALUE("1-"&amp;Table2[[#This Row],[Month]]&amp;"-2000")),1)</f>
        <v>45627</v>
      </c>
      <c r="T808" s="16">
        <f t="shared" si="136"/>
        <v>14.633626531144122</v>
      </c>
      <c r="U808" s="16">
        <f t="shared" si="137"/>
        <v>0.72702962540948579</v>
      </c>
      <c r="V808" s="16">
        <f t="shared" si="138"/>
        <v>815.92214285714283</v>
      </c>
      <c r="W808" s="16">
        <f t="shared" si="139"/>
        <v>8021.3178571428571</v>
      </c>
      <c r="X808" s="16">
        <f t="shared" si="140"/>
        <v>548.14285714285711</v>
      </c>
      <c r="Y808" s="16">
        <f t="shared" si="141"/>
        <v>11033</v>
      </c>
      <c r="Z808" s="7" t="str" cm="1">
        <f t="array" ref="Z808">_xlfn.IFS(K808&lt;2%,"Low",K808&lt;5%,"Medium",K808&lt;10%,"Good",K808&gt;10%,"Excellent")</f>
        <v>Medium</v>
      </c>
      <c r="AA808" s="16" t="str">
        <f>Data_Validation!N806</f>
        <v>Pass</v>
      </c>
    </row>
    <row r="809" spans="1:27" x14ac:dyDescent="0.35">
      <c r="A809" s="17" t="s">
        <v>105</v>
      </c>
      <c r="B809" s="3" t="s">
        <v>28</v>
      </c>
      <c r="C809" s="3" t="s">
        <v>29</v>
      </c>
      <c r="D809" s="3" t="s">
        <v>43</v>
      </c>
      <c r="E809" s="3" t="s">
        <v>22</v>
      </c>
      <c r="F809" s="3">
        <v>8172.75</v>
      </c>
      <c r="G809" s="3">
        <v>122537</v>
      </c>
      <c r="H809" s="3">
        <v>11952</v>
      </c>
      <c r="I809" s="3">
        <v>209511.83</v>
      </c>
      <c r="J809" s="3">
        <v>43</v>
      </c>
      <c r="K809" s="15">
        <f t="shared" si="132"/>
        <v>9.7537886515909486E-2</v>
      </c>
      <c r="L809" s="16">
        <f t="shared" si="142"/>
        <v>0.68379769076305219</v>
      </c>
      <c r="M809" s="16">
        <f t="shared" si="133"/>
        <v>66.696181561487549</v>
      </c>
      <c r="N809" s="16">
        <f t="shared" si="134"/>
        <v>25.635414028325837</v>
      </c>
      <c r="O809" s="16">
        <f t="shared" si="135"/>
        <v>24.635414028325837</v>
      </c>
      <c r="P809" s="1">
        <v>2024</v>
      </c>
      <c r="Q809" s="1" t="s">
        <v>73</v>
      </c>
      <c r="R809" s="1" t="s">
        <v>25</v>
      </c>
      <c r="S809" s="70">
        <f>DATE(Table2[[#This Row],[Year]],MONTH(DATEVALUE("1-"&amp;Table2[[#This Row],[Month]]&amp;"-2000")),1)</f>
        <v>45627</v>
      </c>
      <c r="T809" s="16">
        <f t="shared" si="136"/>
        <v>17.529436914323963</v>
      </c>
      <c r="U809" s="16">
        <f t="shared" si="137"/>
        <v>1.709784228437125</v>
      </c>
      <c r="V809" s="16">
        <f t="shared" si="138"/>
        <v>190.06395348837211</v>
      </c>
      <c r="W809" s="16">
        <f t="shared" si="139"/>
        <v>4872.3681395348831</v>
      </c>
      <c r="X809" s="16">
        <f t="shared" si="140"/>
        <v>277.95348837209303</v>
      </c>
      <c r="Y809" s="16">
        <f t="shared" si="141"/>
        <v>2849.6976744186045</v>
      </c>
      <c r="Z809" s="7" t="str" cm="1">
        <f t="array" ref="Z809">_xlfn.IFS(K809&lt;2%,"Low",K809&lt;5%,"Medium",K809&lt;10%,"Good",K809&gt;10%,"Excellent")</f>
        <v>Good</v>
      </c>
      <c r="AA809" s="16" t="str">
        <f>Data_Validation!N807</f>
        <v>Pass</v>
      </c>
    </row>
    <row r="810" spans="1:27" x14ac:dyDescent="0.35">
      <c r="A810" s="17" t="s">
        <v>117</v>
      </c>
      <c r="B810" s="3" t="s">
        <v>28</v>
      </c>
      <c r="C810" s="3" t="s">
        <v>29</v>
      </c>
      <c r="D810" s="3" t="s">
        <v>37</v>
      </c>
      <c r="E810" s="3" t="s">
        <v>30</v>
      </c>
      <c r="F810" s="3">
        <v>18356.39</v>
      </c>
      <c r="G810" s="3">
        <v>658388</v>
      </c>
      <c r="H810" s="3">
        <v>45069</v>
      </c>
      <c r="I810" s="3">
        <v>166424.65</v>
      </c>
      <c r="J810" s="3">
        <v>54</v>
      </c>
      <c r="K810" s="15">
        <f t="shared" si="132"/>
        <v>6.8453556261657264E-2</v>
      </c>
      <c r="L810" s="16">
        <f t="shared" si="142"/>
        <v>0.40729525838159264</v>
      </c>
      <c r="M810" s="16">
        <f t="shared" si="133"/>
        <v>27.880808884730584</v>
      </c>
      <c r="N810" s="16">
        <f t="shared" si="134"/>
        <v>9.0663060656261933</v>
      </c>
      <c r="O810" s="16">
        <f t="shared" si="135"/>
        <v>8.0663060656261933</v>
      </c>
      <c r="P810" s="1">
        <v>2024</v>
      </c>
      <c r="Q810" s="1" t="s">
        <v>73</v>
      </c>
      <c r="R810" s="1" t="s">
        <v>25</v>
      </c>
      <c r="S810" s="70">
        <f>DATE(Table2[[#This Row],[Year]],MONTH(DATEVALUE("1-"&amp;Table2[[#This Row],[Month]]&amp;"-2000")),1)</f>
        <v>45627</v>
      </c>
      <c r="T810" s="16">
        <f t="shared" si="136"/>
        <v>3.6926634715658211</v>
      </c>
      <c r="U810" s="16">
        <f t="shared" si="137"/>
        <v>0.25277594670619757</v>
      </c>
      <c r="V810" s="16">
        <f t="shared" si="138"/>
        <v>339.93314814814812</v>
      </c>
      <c r="W810" s="16">
        <f t="shared" si="139"/>
        <v>3081.937962962963</v>
      </c>
      <c r="X810" s="16">
        <f t="shared" si="140"/>
        <v>834.61111111111109</v>
      </c>
      <c r="Y810" s="16">
        <f t="shared" si="141"/>
        <v>12192.37037037037</v>
      </c>
      <c r="Z810" s="7" t="str" cm="1">
        <f t="array" ref="Z810">_xlfn.IFS(K810&lt;2%,"Low",K810&lt;5%,"Medium",K810&lt;10%,"Good",K810&gt;10%,"Excellent")</f>
        <v>Good</v>
      </c>
      <c r="AA810" s="16" t="str">
        <f>Data_Validation!N808</f>
        <v>Pass</v>
      </c>
    </row>
    <row r="811" spans="1:27" x14ac:dyDescent="0.35">
      <c r="A811" s="17" t="s">
        <v>98</v>
      </c>
      <c r="B811" s="3" t="s">
        <v>28</v>
      </c>
      <c r="C811" s="3" t="s">
        <v>36</v>
      </c>
      <c r="D811" s="3" t="s">
        <v>63</v>
      </c>
      <c r="E811" s="3" t="s">
        <v>38</v>
      </c>
      <c r="F811" s="3">
        <v>17775.55</v>
      </c>
      <c r="G811" s="3">
        <v>350536</v>
      </c>
      <c r="H811" s="3">
        <v>29806</v>
      </c>
      <c r="I811" s="3">
        <v>124439.15</v>
      </c>
      <c r="J811" s="3">
        <v>48</v>
      </c>
      <c r="K811" s="15">
        <f t="shared" si="132"/>
        <v>8.5029782960951233E-2</v>
      </c>
      <c r="L811" s="16">
        <f t="shared" si="142"/>
        <v>0.59637489096155138</v>
      </c>
      <c r="M811" s="16">
        <f t="shared" si="133"/>
        <v>50.709627541821661</v>
      </c>
      <c r="N811" s="16">
        <f t="shared" si="134"/>
        <v>7.0005794476120284</v>
      </c>
      <c r="O811" s="16">
        <f t="shared" si="135"/>
        <v>6.0005794476120284</v>
      </c>
      <c r="P811" s="1">
        <v>2024</v>
      </c>
      <c r="Q811" s="1" t="s">
        <v>73</v>
      </c>
      <c r="R811" s="1" t="s">
        <v>25</v>
      </c>
      <c r="S811" s="70">
        <f>DATE(Table2[[#This Row],[Year]],MONTH(DATEVALUE("1-"&amp;Table2[[#This Row],[Month]]&amp;"-2000")),1)</f>
        <v>45627</v>
      </c>
      <c r="T811" s="16">
        <f t="shared" si="136"/>
        <v>4.1749698047373007</v>
      </c>
      <c r="U811" s="16">
        <f t="shared" si="137"/>
        <v>0.35499677636533766</v>
      </c>
      <c r="V811" s="16">
        <f t="shared" si="138"/>
        <v>370.32395833333334</v>
      </c>
      <c r="W811" s="16">
        <f t="shared" si="139"/>
        <v>2592.4822916666667</v>
      </c>
      <c r="X811" s="16">
        <f t="shared" si="140"/>
        <v>620.95833333333337</v>
      </c>
      <c r="Y811" s="16">
        <f t="shared" si="141"/>
        <v>7302.833333333333</v>
      </c>
      <c r="Z811" s="7" t="str" cm="1">
        <f t="array" ref="Z811">_xlfn.IFS(K811&lt;2%,"Low",K811&lt;5%,"Medium",K811&lt;10%,"Good",K811&gt;10%,"Excellent")</f>
        <v>Good</v>
      </c>
      <c r="AA811" s="16" t="str">
        <f>Data_Validation!N809</f>
        <v>Pass</v>
      </c>
    </row>
    <row r="812" spans="1:27" x14ac:dyDescent="0.35">
      <c r="A812" s="17" t="s">
        <v>68</v>
      </c>
      <c r="B812" s="3" t="s">
        <v>19</v>
      </c>
      <c r="C812" s="3" t="s">
        <v>69</v>
      </c>
      <c r="D812" s="3" t="s">
        <v>37</v>
      </c>
      <c r="E812" s="3" t="s">
        <v>38</v>
      </c>
      <c r="F812" s="3">
        <v>13428.25</v>
      </c>
      <c r="G812" s="3">
        <v>456772</v>
      </c>
      <c r="H812" s="3">
        <v>31504</v>
      </c>
      <c r="I812" s="3">
        <v>20030.68</v>
      </c>
      <c r="J812" s="3">
        <v>46</v>
      </c>
      <c r="K812" s="15">
        <f t="shared" si="132"/>
        <v>6.8970952685366002E-2</v>
      </c>
      <c r="L812" s="16">
        <f t="shared" si="142"/>
        <v>0.42623952513966479</v>
      </c>
      <c r="M812" s="16">
        <f t="shared" si="133"/>
        <v>29.398146121040696</v>
      </c>
      <c r="N812" s="16">
        <f t="shared" si="134"/>
        <v>1.4916820881350883</v>
      </c>
      <c r="O812" s="16">
        <f t="shared" si="135"/>
        <v>0.49168208813508835</v>
      </c>
      <c r="P812" s="1">
        <v>2024</v>
      </c>
      <c r="Q812" s="1" t="s">
        <v>73</v>
      </c>
      <c r="R812" s="1" t="s">
        <v>25</v>
      </c>
      <c r="S812" s="70">
        <f>DATE(Table2[[#This Row],[Year]],MONTH(DATEVALUE("1-"&amp;Table2[[#This Row],[Month]]&amp;"-2000")),1)</f>
        <v>45627</v>
      </c>
      <c r="T812" s="16">
        <f t="shared" si="136"/>
        <v>0.63581386490604364</v>
      </c>
      <c r="U812" s="16">
        <f t="shared" si="137"/>
        <v>4.385268799313443E-2</v>
      </c>
      <c r="V812" s="16">
        <f t="shared" si="138"/>
        <v>291.91847826086956</v>
      </c>
      <c r="W812" s="16">
        <f t="shared" si="139"/>
        <v>435.4495652173913</v>
      </c>
      <c r="X812" s="16">
        <f t="shared" si="140"/>
        <v>684.86956521739125</v>
      </c>
      <c r="Y812" s="16">
        <f t="shared" si="141"/>
        <v>9929.826086956522</v>
      </c>
      <c r="Z812" s="7" t="str" cm="1">
        <f t="array" ref="Z812">_xlfn.IFS(K812&lt;2%,"Low",K812&lt;5%,"Medium",K812&lt;10%,"Good",K812&gt;10%,"Excellent")</f>
        <v>Good</v>
      </c>
      <c r="AA812" s="16" t="str">
        <f>Data_Validation!N810</f>
        <v>Pass</v>
      </c>
    </row>
    <row r="813" spans="1:27" x14ac:dyDescent="0.35">
      <c r="A813" s="17" t="s">
        <v>27</v>
      </c>
      <c r="B813" s="3" t="s">
        <v>28</v>
      </c>
      <c r="C813" s="3" t="s">
        <v>20</v>
      </c>
      <c r="D813" s="3" t="s">
        <v>63</v>
      </c>
      <c r="E813" s="3" t="s">
        <v>22</v>
      </c>
      <c r="F813" s="3">
        <v>18123.439999999999</v>
      </c>
      <c r="G813" s="3">
        <v>440321</v>
      </c>
      <c r="H813" s="3">
        <v>23150</v>
      </c>
      <c r="I813" s="3">
        <v>91291.75</v>
      </c>
      <c r="J813" s="3">
        <v>37</v>
      </c>
      <c r="K813" s="15">
        <f t="shared" si="132"/>
        <v>5.2575280306867034E-2</v>
      </c>
      <c r="L813" s="16">
        <f t="shared" si="142"/>
        <v>0.78286997840172778</v>
      </c>
      <c r="M813" s="16">
        <f t="shared" si="133"/>
        <v>41.159608558301777</v>
      </c>
      <c r="N813" s="16">
        <f t="shared" si="134"/>
        <v>5.0372197551899642</v>
      </c>
      <c r="O813" s="16">
        <f t="shared" si="135"/>
        <v>4.0372197551899642</v>
      </c>
      <c r="P813" s="1">
        <v>2024</v>
      </c>
      <c r="Q813" s="1" t="s">
        <v>73</v>
      </c>
      <c r="R813" s="1" t="s">
        <v>25</v>
      </c>
      <c r="S813" s="70">
        <f>DATE(Table2[[#This Row],[Year]],MONTH(DATEVALUE("1-"&amp;Table2[[#This Row],[Month]]&amp;"-2000")),1)</f>
        <v>45627</v>
      </c>
      <c r="T813" s="16">
        <f t="shared" si="136"/>
        <v>3.9434881209503239</v>
      </c>
      <c r="U813" s="16">
        <f t="shared" si="137"/>
        <v>0.20732999334576366</v>
      </c>
      <c r="V813" s="16">
        <f t="shared" si="138"/>
        <v>489.82270270270266</v>
      </c>
      <c r="W813" s="16">
        <f t="shared" si="139"/>
        <v>2467.3445945945946</v>
      </c>
      <c r="X813" s="16">
        <f t="shared" si="140"/>
        <v>625.67567567567562</v>
      </c>
      <c r="Y813" s="16">
        <f t="shared" si="141"/>
        <v>11900.567567567568</v>
      </c>
      <c r="Z813" s="7" t="str" cm="1">
        <f t="array" ref="Z813">_xlfn.IFS(K813&lt;2%,"Low",K813&lt;5%,"Medium",K813&lt;10%,"Good",K813&gt;10%,"Excellent")</f>
        <v>Good</v>
      </c>
      <c r="AA813" s="16" t="str">
        <f>Data_Validation!N811</f>
        <v>Pass</v>
      </c>
    </row>
    <row r="814" spans="1:27" x14ac:dyDescent="0.35">
      <c r="A814" s="17" t="s">
        <v>72</v>
      </c>
      <c r="B814" s="3" t="s">
        <v>28</v>
      </c>
      <c r="C814" s="3" t="s">
        <v>69</v>
      </c>
      <c r="D814" s="3" t="s">
        <v>51</v>
      </c>
      <c r="E814" s="3" t="s">
        <v>38</v>
      </c>
      <c r="F814" s="3">
        <v>5809.55</v>
      </c>
      <c r="G814" s="3">
        <v>580871</v>
      </c>
      <c r="H814" s="3">
        <v>41018</v>
      </c>
      <c r="I814" s="3">
        <v>198143.69</v>
      </c>
      <c r="J814" s="3">
        <v>31</v>
      </c>
      <c r="K814" s="15">
        <f t="shared" si="132"/>
        <v>7.0614645936877551E-2</v>
      </c>
      <c r="L814" s="16">
        <f t="shared" si="142"/>
        <v>0.14163416061241407</v>
      </c>
      <c r="M814" s="16">
        <f t="shared" si="133"/>
        <v>10.001446104212468</v>
      </c>
      <c r="N814" s="16">
        <f t="shared" si="134"/>
        <v>34.106546978681649</v>
      </c>
      <c r="O814" s="16">
        <f t="shared" si="135"/>
        <v>33.106546978681656</v>
      </c>
      <c r="P814" s="1">
        <v>2024</v>
      </c>
      <c r="Q814" s="1" t="s">
        <v>73</v>
      </c>
      <c r="R814" s="1" t="s">
        <v>25</v>
      </c>
      <c r="S814" s="70">
        <f>DATE(Table2[[#This Row],[Year]],MONTH(DATEVALUE("1-"&amp;Table2[[#This Row],[Month]]&amp;"-2000")),1)</f>
        <v>45627</v>
      </c>
      <c r="T814" s="16">
        <f t="shared" si="136"/>
        <v>4.8306521527134425</v>
      </c>
      <c r="U814" s="16">
        <f t="shared" si="137"/>
        <v>0.3411147914080751</v>
      </c>
      <c r="V814" s="16">
        <f t="shared" si="138"/>
        <v>187.40483870967742</v>
      </c>
      <c r="W814" s="16">
        <f t="shared" si="139"/>
        <v>6391.731935483871</v>
      </c>
      <c r="X814" s="16">
        <f t="shared" si="140"/>
        <v>1323.1612903225807</v>
      </c>
      <c r="Y814" s="16">
        <f t="shared" si="141"/>
        <v>18737.774193548386</v>
      </c>
      <c r="Z814" s="7" t="str" cm="1">
        <f t="array" ref="Z814">_xlfn.IFS(K814&lt;2%,"Low",K814&lt;5%,"Medium",K814&lt;10%,"Good",K814&gt;10%,"Excellent")</f>
        <v>Good</v>
      </c>
      <c r="AA814" s="16" t="str">
        <f>Data_Validation!N812</f>
        <v>Pass</v>
      </c>
    </row>
    <row r="815" spans="1:27" x14ac:dyDescent="0.35">
      <c r="A815" s="17" t="s">
        <v>94</v>
      </c>
      <c r="B815" s="3" t="s">
        <v>35</v>
      </c>
      <c r="C815" s="3" t="s">
        <v>20</v>
      </c>
      <c r="D815" s="3" t="s">
        <v>43</v>
      </c>
      <c r="E815" s="3" t="s">
        <v>30</v>
      </c>
      <c r="F815" s="3">
        <v>9143.2000000000007</v>
      </c>
      <c r="G815" s="3">
        <v>19756</v>
      </c>
      <c r="H815" s="3">
        <v>19833</v>
      </c>
      <c r="I815" s="3">
        <v>108113.51</v>
      </c>
      <c r="J815" s="3">
        <v>15</v>
      </c>
      <c r="K815" s="15">
        <f t="shared" si="132"/>
        <v>1.0038975501113585</v>
      </c>
      <c r="L815" s="16">
        <f t="shared" si="142"/>
        <v>0.46100942872989464</v>
      </c>
      <c r="M815" s="16">
        <f t="shared" si="133"/>
        <v>462.80623608017822</v>
      </c>
      <c r="N815" s="16">
        <f t="shared" si="134"/>
        <v>11.824471738559803</v>
      </c>
      <c r="O815" s="16">
        <f t="shared" si="135"/>
        <v>10.824471738559803</v>
      </c>
      <c r="P815" s="1">
        <v>2024</v>
      </c>
      <c r="Q815" s="1" t="s">
        <v>73</v>
      </c>
      <c r="R815" s="1" t="s">
        <v>25</v>
      </c>
      <c r="S815" s="70">
        <f>DATE(Table2[[#This Row],[Year]],MONTH(DATEVALUE("1-"&amp;Table2[[#This Row],[Month]]&amp;"-2000")),1)</f>
        <v>45627</v>
      </c>
      <c r="T815" s="16">
        <f t="shared" si="136"/>
        <v>5.4511929612262389</v>
      </c>
      <c r="U815" s="16">
        <f t="shared" si="137"/>
        <v>5.4724392589593034</v>
      </c>
      <c r="V815" s="16">
        <f t="shared" si="138"/>
        <v>609.54666666666674</v>
      </c>
      <c r="W815" s="16">
        <f t="shared" si="139"/>
        <v>7207.5673333333334</v>
      </c>
      <c r="X815" s="16">
        <f t="shared" si="140"/>
        <v>1322.2</v>
      </c>
      <c r="Y815" s="16">
        <f t="shared" si="141"/>
        <v>1317.0666666666666</v>
      </c>
      <c r="Z815" s="7" t="str" cm="1">
        <f t="array" ref="Z815">_xlfn.IFS(K815&lt;2%,"Low",K815&lt;5%,"Medium",K815&lt;10%,"Good",K815&gt;10%,"Excellent")</f>
        <v>Excellent</v>
      </c>
      <c r="AA815" s="16" t="str">
        <f>Data_Validation!N813</f>
        <v>Fail</v>
      </c>
    </row>
    <row r="816" spans="1:27" x14ac:dyDescent="0.35">
      <c r="A816" s="17" t="s">
        <v>99</v>
      </c>
      <c r="B816" s="3" t="s">
        <v>48</v>
      </c>
      <c r="C816" s="3" t="s">
        <v>58</v>
      </c>
      <c r="D816" s="3" t="s">
        <v>37</v>
      </c>
      <c r="E816" s="3" t="s">
        <v>30</v>
      </c>
      <c r="F816" s="3">
        <v>19248.95</v>
      </c>
      <c r="G816" s="3">
        <v>978790</v>
      </c>
      <c r="H816" s="3">
        <v>17437</v>
      </c>
      <c r="I816" s="3">
        <v>198017.87</v>
      </c>
      <c r="J816" s="3">
        <v>61</v>
      </c>
      <c r="K816" s="15">
        <f t="shared" si="132"/>
        <v>1.7814853032826244E-2</v>
      </c>
      <c r="L816" s="16">
        <f t="shared" si="142"/>
        <v>1.1039140907266158</v>
      </c>
      <c r="M816" s="16">
        <f t="shared" si="133"/>
        <v>19.666067287160679</v>
      </c>
      <c r="N816" s="16">
        <f t="shared" si="134"/>
        <v>10.287203717605376</v>
      </c>
      <c r="O816" s="16">
        <f t="shared" si="135"/>
        <v>9.2872037176053741</v>
      </c>
      <c r="P816" s="1">
        <v>2024</v>
      </c>
      <c r="Q816" s="1" t="s">
        <v>73</v>
      </c>
      <c r="R816" s="1" t="s">
        <v>25</v>
      </c>
      <c r="S816" s="70">
        <f>DATE(Table2[[#This Row],[Year]],MONTH(DATEVALUE("1-"&amp;Table2[[#This Row],[Month]]&amp;"-2000")),1)</f>
        <v>45627</v>
      </c>
      <c r="T816" s="16">
        <f t="shared" si="136"/>
        <v>11.356189138039801</v>
      </c>
      <c r="U816" s="16">
        <f t="shared" si="137"/>
        <v>0.20230884050715678</v>
      </c>
      <c r="V816" s="16">
        <f t="shared" si="138"/>
        <v>315.55655737704922</v>
      </c>
      <c r="W816" s="16">
        <f t="shared" si="139"/>
        <v>3246.1945901639342</v>
      </c>
      <c r="X816" s="16">
        <f t="shared" si="140"/>
        <v>285.85245901639342</v>
      </c>
      <c r="Y816" s="16">
        <f t="shared" si="141"/>
        <v>16045.737704918032</v>
      </c>
      <c r="Z816" s="7" t="str" cm="1">
        <f t="array" ref="Z816">_xlfn.IFS(K816&lt;2%,"Low",K816&lt;5%,"Medium",K816&lt;10%,"Good",K816&gt;10%,"Excellent")</f>
        <v>Low</v>
      </c>
      <c r="AA816" s="16" t="str">
        <f>Data_Validation!N814</f>
        <v>Pass</v>
      </c>
    </row>
    <row r="817" spans="1:27" x14ac:dyDescent="0.35">
      <c r="A817" s="17" t="s">
        <v>118</v>
      </c>
      <c r="B817" s="3" t="s">
        <v>48</v>
      </c>
      <c r="C817" s="3" t="s">
        <v>69</v>
      </c>
      <c r="D817" s="3" t="s">
        <v>63</v>
      </c>
      <c r="E817" s="3" t="s">
        <v>22</v>
      </c>
      <c r="F817" s="3">
        <v>10033.84</v>
      </c>
      <c r="G817" s="3">
        <v>858014</v>
      </c>
      <c r="H817" s="3">
        <v>4200</v>
      </c>
      <c r="I817" s="3">
        <v>146450.23999999999</v>
      </c>
      <c r="J817" s="3">
        <v>19</v>
      </c>
      <c r="K817" s="15">
        <f t="shared" si="132"/>
        <v>4.8950250229017238E-3</v>
      </c>
      <c r="L817" s="16">
        <f t="shared" si="142"/>
        <v>2.3890095238095239</v>
      </c>
      <c r="M817" s="16">
        <f t="shared" si="133"/>
        <v>11.694261398998151</v>
      </c>
      <c r="N817" s="16">
        <f t="shared" si="134"/>
        <v>14.595632380025991</v>
      </c>
      <c r="O817" s="16">
        <f t="shared" si="135"/>
        <v>13.595632380025991</v>
      </c>
      <c r="P817" s="1">
        <v>2024</v>
      </c>
      <c r="Q817" s="1" t="s">
        <v>73</v>
      </c>
      <c r="R817" s="1" t="s">
        <v>25</v>
      </c>
      <c r="S817" s="70">
        <f>DATE(Table2[[#This Row],[Year]],MONTH(DATEVALUE("1-"&amp;Table2[[#This Row],[Month]]&amp;"-2000")),1)</f>
        <v>45627</v>
      </c>
      <c r="T817" s="16">
        <f t="shared" si="136"/>
        <v>34.869104761904758</v>
      </c>
      <c r="U817" s="16">
        <f t="shared" si="137"/>
        <v>0.17068514033570548</v>
      </c>
      <c r="V817" s="16">
        <f t="shared" si="138"/>
        <v>528.09684210526314</v>
      </c>
      <c r="W817" s="16">
        <f t="shared" si="139"/>
        <v>7707.9073684210525</v>
      </c>
      <c r="X817" s="16">
        <f t="shared" si="140"/>
        <v>221.05263157894737</v>
      </c>
      <c r="Y817" s="16">
        <f t="shared" si="141"/>
        <v>45158.631578947367</v>
      </c>
      <c r="Z817" s="7" t="str" cm="1">
        <f t="array" ref="Z817">_xlfn.IFS(K817&lt;2%,"Low",K817&lt;5%,"Medium",K817&lt;10%,"Good",K817&gt;10%,"Excellent")</f>
        <v>Low</v>
      </c>
      <c r="AA817" s="16" t="str">
        <f>Data_Validation!N815</f>
        <v>Pass</v>
      </c>
    </row>
    <row r="818" spans="1:27" x14ac:dyDescent="0.35">
      <c r="A818" s="17" t="s">
        <v>57</v>
      </c>
      <c r="B818" s="3" t="s">
        <v>19</v>
      </c>
      <c r="C818" s="3" t="s">
        <v>29</v>
      </c>
      <c r="D818" s="3" t="s">
        <v>43</v>
      </c>
      <c r="E818" s="3" t="s">
        <v>30</v>
      </c>
      <c r="F818" s="3">
        <v>23344.81</v>
      </c>
      <c r="G818" s="3">
        <v>840884</v>
      </c>
      <c r="H818" s="3">
        <v>42830</v>
      </c>
      <c r="I818" s="3">
        <v>245300.44</v>
      </c>
      <c r="J818" s="3">
        <v>57</v>
      </c>
      <c r="K818" s="15">
        <f t="shared" si="132"/>
        <v>5.0934492748107942E-2</v>
      </c>
      <c r="L818" s="16">
        <f t="shared" si="142"/>
        <v>0.54505743637637172</v>
      </c>
      <c r="M818" s="16">
        <f t="shared" si="133"/>
        <v>27.762224040414612</v>
      </c>
      <c r="N818" s="16">
        <f t="shared" si="134"/>
        <v>10.507707708908319</v>
      </c>
      <c r="O818" s="16">
        <f t="shared" si="135"/>
        <v>9.5077077089083186</v>
      </c>
      <c r="P818" s="1">
        <v>2024</v>
      </c>
      <c r="Q818" s="1" t="s">
        <v>73</v>
      </c>
      <c r="R818" s="1" t="s">
        <v>25</v>
      </c>
      <c r="S818" s="70">
        <f>DATE(Table2[[#This Row],[Year]],MONTH(DATEVALUE("1-"&amp;Table2[[#This Row],[Month]]&amp;"-2000")),1)</f>
        <v>45627</v>
      </c>
      <c r="T818" s="16">
        <f t="shared" si="136"/>
        <v>5.7273042260098066</v>
      </c>
      <c r="U818" s="16">
        <f t="shared" si="137"/>
        <v>0.29171733556590446</v>
      </c>
      <c r="V818" s="16">
        <f t="shared" si="138"/>
        <v>409.55807017543862</v>
      </c>
      <c r="W818" s="16">
        <f t="shared" si="139"/>
        <v>4303.5164912280707</v>
      </c>
      <c r="X818" s="16">
        <f t="shared" si="140"/>
        <v>751.40350877192986</v>
      </c>
      <c r="Y818" s="16">
        <f t="shared" si="141"/>
        <v>14752.350877192983</v>
      </c>
      <c r="Z818" s="7" t="str" cm="1">
        <f t="array" ref="Z818">_xlfn.IFS(K818&lt;2%,"Low",K818&lt;5%,"Medium",K818&lt;10%,"Good",K818&gt;10%,"Excellent")</f>
        <v>Good</v>
      </c>
      <c r="AA818" s="16" t="str">
        <f>Data_Validation!N816</f>
        <v>Pass</v>
      </c>
    </row>
    <row r="819" spans="1:27" x14ac:dyDescent="0.35">
      <c r="A819" s="17" t="s">
        <v>85</v>
      </c>
      <c r="B819" s="3" t="s">
        <v>28</v>
      </c>
      <c r="C819" s="3" t="s">
        <v>20</v>
      </c>
      <c r="D819" s="3" t="s">
        <v>51</v>
      </c>
      <c r="E819" s="3" t="s">
        <v>22</v>
      </c>
      <c r="F819" s="3">
        <v>11803</v>
      </c>
      <c r="G819" s="3">
        <v>847255</v>
      </c>
      <c r="H819" s="3">
        <v>30814</v>
      </c>
      <c r="I819" s="3">
        <v>128046.17</v>
      </c>
      <c r="J819" s="3">
        <v>35</v>
      </c>
      <c r="K819" s="15">
        <f t="shared" si="132"/>
        <v>3.6369215879516789E-2</v>
      </c>
      <c r="L819" s="16">
        <f t="shared" si="142"/>
        <v>0.38304017654312977</v>
      </c>
      <c r="M819" s="16">
        <f t="shared" si="133"/>
        <v>13.930870871225311</v>
      </c>
      <c r="N819" s="16">
        <f t="shared" si="134"/>
        <v>10.848612217232906</v>
      </c>
      <c r="O819" s="16">
        <f t="shared" si="135"/>
        <v>9.8486122172329065</v>
      </c>
      <c r="P819" s="1">
        <v>2024</v>
      </c>
      <c r="Q819" s="1" t="s">
        <v>73</v>
      </c>
      <c r="R819" s="1" t="s">
        <v>25</v>
      </c>
      <c r="S819" s="70">
        <f>DATE(Table2[[#This Row],[Year]],MONTH(DATEVALUE("1-"&amp;Table2[[#This Row],[Month]]&amp;"-2000")),1)</f>
        <v>45627</v>
      </c>
      <c r="T819" s="16">
        <f t="shared" si="136"/>
        <v>4.1554543389368472</v>
      </c>
      <c r="U819" s="16">
        <f t="shared" si="137"/>
        <v>0.15113061593026891</v>
      </c>
      <c r="V819" s="16">
        <f t="shared" si="138"/>
        <v>337.22857142857146</v>
      </c>
      <c r="W819" s="16">
        <f t="shared" si="139"/>
        <v>3658.462</v>
      </c>
      <c r="X819" s="16">
        <f t="shared" si="140"/>
        <v>880.4</v>
      </c>
      <c r="Y819" s="16">
        <f t="shared" si="141"/>
        <v>24207.285714285714</v>
      </c>
      <c r="Z819" s="7" t="str" cm="1">
        <f t="array" ref="Z819">_xlfn.IFS(K819&lt;2%,"Low",K819&lt;5%,"Medium",K819&lt;10%,"Good",K819&gt;10%,"Excellent")</f>
        <v>Medium</v>
      </c>
      <c r="AA819" s="16" t="str">
        <f>Data_Validation!N817</f>
        <v>Pass</v>
      </c>
    </row>
    <row r="820" spans="1:27" x14ac:dyDescent="0.35">
      <c r="A820" s="17" t="s">
        <v>94</v>
      </c>
      <c r="B820" s="3" t="s">
        <v>19</v>
      </c>
      <c r="C820" s="3" t="s">
        <v>20</v>
      </c>
      <c r="D820" s="3" t="s">
        <v>37</v>
      </c>
      <c r="E820" s="3" t="s">
        <v>30</v>
      </c>
      <c r="F820" s="3">
        <v>24641.040000000001</v>
      </c>
      <c r="G820" s="3">
        <v>489341</v>
      </c>
      <c r="H820" s="3">
        <v>49629</v>
      </c>
      <c r="I820" s="3">
        <v>32178.06</v>
      </c>
      <c r="J820" s="3">
        <v>9</v>
      </c>
      <c r="K820" s="15">
        <f t="shared" si="132"/>
        <v>0.10142007311874542</v>
      </c>
      <c r="L820" s="16">
        <f t="shared" si="142"/>
        <v>0.49650486610651035</v>
      </c>
      <c r="M820" s="16">
        <f t="shared" si="133"/>
        <v>50.355559824335181</v>
      </c>
      <c r="N820" s="16">
        <f t="shared" si="134"/>
        <v>1.3058726417391473</v>
      </c>
      <c r="O820" s="16">
        <f t="shared" si="135"/>
        <v>0.30587264173914736</v>
      </c>
      <c r="P820" s="1">
        <v>2024</v>
      </c>
      <c r="Q820" s="1" t="s">
        <v>73</v>
      </c>
      <c r="R820" s="1" t="s">
        <v>25</v>
      </c>
      <c r="S820" s="70">
        <f>DATE(Table2[[#This Row],[Year]],MONTH(DATEVALUE("1-"&amp;Table2[[#This Row],[Month]]&amp;"-2000")),1)</f>
        <v>45627</v>
      </c>
      <c r="T820" s="16">
        <f t="shared" si="136"/>
        <v>0.64837212113885034</v>
      </c>
      <c r="U820" s="16">
        <f t="shared" si="137"/>
        <v>6.5757947934058258E-2</v>
      </c>
      <c r="V820" s="16">
        <f t="shared" si="138"/>
        <v>2737.8933333333334</v>
      </c>
      <c r="W820" s="16">
        <f t="shared" si="139"/>
        <v>3575.34</v>
      </c>
      <c r="X820" s="16">
        <f t="shared" si="140"/>
        <v>5514.333333333333</v>
      </c>
      <c r="Y820" s="16">
        <f t="shared" si="141"/>
        <v>54371.222222222219</v>
      </c>
      <c r="Z820" s="7" t="str" cm="1">
        <f t="array" ref="Z820">_xlfn.IFS(K820&lt;2%,"Low",K820&lt;5%,"Medium",K820&lt;10%,"Good",K820&gt;10%,"Excellent")</f>
        <v>Excellent</v>
      </c>
      <c r="AA820" s="16" t="str">
        <f>Data_Validation!N818</f>
        <v>Pass</v>
      </c>
    </row>
    <row r="821" spans="1:27" x14ac:dyDescent="0.35">
      <c r="A821" s="17" t="s">
        <v>87</v>
      </c>
      <c r="B821" s="3" t="s">
        <v>48</v>
      </c>
      <c r="C821" s="3" t="s">
        <v>69</v>
      </c>
      <c r="D821" s="3" t="s">
        <v>21</v>
      </c>
      <c r="E821" s="3" t="s">
        <v>22</v>
      </c>
      <c r="F821" s="3">
        <v>1203.5</v>
      </c>
      <c r="G821" s="3">
        <v>574607</v>
      </c>
      <c r="H821" s="3">
        <v>45113</v>
      </c>
      <c r="I821" s="3">
        <v>181260.35</v>
      </c>
      <c r="J821" s="3">
        <v>33</v>
      </c>
      <c r="K821" s="15">
        <f t="shared" si="132"/>
        <v>7.8511051901560547E-2</v>
      </c>
      <c r="L821" s="16">
        <f t="shared" si="142"/>
        <v>2.6677454392303769E-2</v>
      </c>
      <c r="M821" s="16">
        <f t="shared" si="133"/>
        <v>2.0944750063956756</v>
      </c>
      <c r="N821" s="16">
        <f t="shared" si="134"/>
        <v>150.61100955546323</v>
      </c>
      <c r="O821" s="16">
        <f t="shared" si="135"/>
        <v>149.61100955546323</v>
      </c>
      <c r="P821" s="1">
        <v>2024</v>
      </c>
      <c r="Q821" s="1" t="s">
        <v>73</v>
      </c>
      <c r="R821" s="1" t="s">
        <v>25</v>
      </c>
      <c r="S821" s="70">
        <f>DATE(Table2[[#This Row],[Year]],MONTH(DATEVALUE("1-"&amp;Table2[[#This Row],[Month]]&amp;"-2000")),1)</f>
        <v>45627</v>
      </c>
      <c r="T821" s="16">
        <f t="shared" si="136"/>
        <v>4.0179183383946979</v>
      </c>
      <c r="U821" s="16">
        <f t="shared" si="137"/>
        <v>0.31545099520193803</v>
      </c>
      <c r="V821" s="16">
        <f t="shared" si="138"/>
        <v>36.469696969696969</v>
      </c>
      <c r="W821" s="16">
        <f t="shared" si="139"/>
        <v>5492.7378787878788</v>
      </c>
      <c r="X821" s="16">
        <f t="shared" si="140"/>
        <v>1367.060606060606</v>
      </c>
      <c r="Y821" s="16">
        <f t="shared" si="141"/>
        <v>17412.333333333332</v>
      </c>
      <c r="Z821" s="7" t="str" cm="1">
        <f t="array" ref="Z821">_xlfn.IFS(K821&lt;2%,"Low",K821&lt;5%,"Medium",K821&lt;10%,"Good",K821&gt;10%,"Excellent")</f>
        <v>Good</v>
      </c>
      <c r="AA821" s="16" t="str">
        <f>Data_Validation!N819</f>
        <v>Pass</v>
      </c>
    </row>
    <row r="822" spans="1:27" x14ac:dyDescent="0.35">
      <c r="A822" s="17" t="s">
        <v>72</v>
      </c>
      <c r="B822" s="3" t="s">
        <v>48</v>
      </c>
      <c r="C822" s="3" t="s">
        <v>36</v>
      </c>
      <c r="D822" s="3" t="s">
        <v>51</v>
      </c>
      <c r="E822" s="3" t="s">
        <v>22</v>
      </c>
      <c r="F822" s="3">
        <v>3817.95</v>
      </c>
      <c r="G822" s="3">
        <v>404220</v>
      </c>
      <c r="H822" s="3">
        <v>43117</v>
      </c>
      <c r="I822" s="3">
        <v>192145.15</v>
      </c>
      <c r="J822" s="3">
        <v>13</v>
      </c>
      <c r="K822" s="15">
        <f t="shared" si="132"/>
        <v>0.10666716144673692</v>
      </c>
      <c r="L822" s="16">
        <f t="shared" si="142"/>
        <v>8.8548600320059373E-2</v>
      </c>
      <c r="M822" s="16">
        <f t="shared" si="133"/>
        <v>9.4452278462223536</v>
      </c>
      <c r="N822" s="16">
        <f t="shared" si="134"/>
        <v>50.326785316727566</v>
      </c>
      <c r="O822" s="16">
        <f t="shared" si="135"/>
        <v>49.326785316727559</v>
      </c>
      <c r="P822" s="1">
        <v>2024</v>
      </c>
      <c r="Q822" s="1" t="s">
        <v>73</v>
      </c>
      <c r="R822" s="1" t="s">
        <v>25</v>
      </c>
      <c r="S822" s="70">
        <f>DATE(Table2[[#This Row],[Year]],MONTH(DATEVALUE("1-"&amp;Table2[[#This Row],[Month]]&amp;"-2000")),1)</f>
        <v>45627</v>
      </c>
      <c r="T822" s="16">
        <f t="shared" si="136"/>
        <v>4.4563663984043416</v>
      </c>
      <c r="U822" s="16">
        <f t="shared" si="137"/>
        <v>0.47534795408440944</v>
      </c>
      <c r="V822" s="16">
        <f t="shared" si="138"/>
        <v>293.68846153846152</v>
      </c>
      <c r="W822" s="16">
        <f t="shared" si="139"/>
        <v>14780.396153846154</v>
      </c>
      <c r="X822" s="16">
        <f t="shared" si="140"/>
        <v>3316.6923076923076</v>
      </c>
      <c r="Y822" s="16">
        <f t="shared" si="141"/>
        <v>31093.846153846152</v>
      </c>
      <c r="Z822" s="7" t="str" cm="1">
        <f t="array" ref="Z822">_xlfn.IFS(K822&lt;2%,"Low",K822&lt;5%,"Medium",K822&lt;10%,"Good",K822&gt;10%,"Excellent")</f>
        <v>Excellent</v>
      </c>
      <c r="AA822" s="16" t="str">
        <f>Data_Validation!N820</f>
        <v>Pass</v>
      </c>
    </row>
    <row r="823" spans="1:27" x14ac:dyDescent="0.35">
      <c r="A823" s="17" t="s">
        <v>66</v>
      </c>
      <c r="B823" s="3" t="s">
        <v>28</v>
      </c>
      <c r="C823" s="3" t="s">
        <v>36</v>
      </c>
      <c r="D823" s="3" t="s">
        <v>37</v>
      </c>
      <c r="E823" s="3" t="s">
        <v>22</v>
      </c>
      <c r="F823" s="3">
        <v>10148.709999999999</v>
      </c>
      <c r="G823" s="3">
        <v>650037</v>
      </c>
      <c r="H823" s="3">
        <v>39872</v>
      </c>
      <c r="I823" s="3">
        <v>23374.58</v>
      </c>
      <c r="J823" s="3">
        <v>55</v>
      </c>
      <c r="K823" s="15">
        <f t="shared" si="132"/>
        <v>6.1338046911175823E-2</v>
      </c>
      <c r="L823" s="16">
        <f t="shared" si="142"/>
        <v>0.25453225321027284</v>
      </c>
      <c r="M823" s="16">
        <f t="shared" si="133"/>
        <v>15.612511287819</v>
      </c>
      <c r="N823" s="16">
        <f t="shared" si="134"/>
        <v>2.3032070085754746</v>
      </c>
      <c r="O823" s="16">
        <f t="shared" si="135"/>
        <v>1.3032070085754746</v>
      </c>
      <c r="P823" s="1">
        <v>2024</v>
      </c>
      <c r="Q823" s="1" t="s">
        <v>73</v>
      </c>
      <c r="R823" s="1" t="s">
        <v>25</v>
      </c>
      <c r="S823" s="70">
        <f>DATE(Table2[[#This Row],[Year]],MONTH(DATEVALUE("1-"&amp;Table2[[#This Row],[Month]]&amp;"-2000")),1)</f>
        <v>45627</v>
      </c>
      <c r="T823" s="16">
        <f t="shared" si="136"/>
        <v>0.58624046950240771</v>
      </c>
      <c r="U823" s="16">
        <f t="shared" si="137"/>
        <v>3.5958845419568425E-2</v>
      </c>
      <c r="V823" s="16">
        <f t="shared" si="138"/>
        <v>184.52199999999999</v>
      </c>
      <c r="W823" s="16">
        <f t="shared" si="139"/>
        <v>424.99236363636368</v>
      </c>
      <c r="X823" s="16">
        <f t="shared" si="140"/>
        <v>724.9454545454546</v>
      </c>
      <c r="Y823" s="16">
        <f t="shared" si="141"/>
        <v>11818.854545454546</v>
      </c>
      <c r="Z823" s="7" t="str" cm="1">
        <f t="array" ref="Z823">_xlfn.IFS(K823&lt;2%,"Low",K823&lt;5%,"Medium",K823&lt;10%,"Good",K823&gt;10%,"Excellent")</f>
        <v>Good</v>
      </c>
      <c r="AA823" s="16" t="str">
        <f>Data_Validation!N821</f>
        <v>Pass</v>
      </c>
    </row>
    <row r="824" spans="1:27" x14ac:dyDescent="0.35">
      <c r="A824" s="17" t="s">
        <v>57</v>
      </c>
      <c r="B824" s="3" t="s">
        <v>28</v>
      </c>
      <c r="C824" s="3" t="s">
        <v>29</v>
      </c>
      <c r="D824" s="3" t="s">
        <v>21</v>
      </c>
      <c r="E824" s="3" t="s">
        <v>22</v>
      </c>
      <c r="F824" s="3">
        <v>10705.68</v>
      </c>
      <c r="G824" s="3">
        <v>830114</v>
      </c>
      <c r="H824" s="3">
        <v>17545</v>
      </c>
      <c r="I824" s="3">
        <v>75550.679999999993</v>
      </c>
      <c r="J824" s="3">
        <v>19</v>
      </c>
      <c r="K824" s="15">
        <f t="shared" si="132"/>
        <v>2.1135651247900889E-2</v>
      </c>
      <c r="L824" s="16">
        <f t="shared" si="142"/>
        <v>0.61018409803362783</v>
      </c>
      <c r="M824" s="16">
        <f t="shared" si="133"/>
        <v>12.896638293053726</v>
      </c>
      <c r="N824" s="16">
        <f t="shared" si="134"/>
        <v>7.0570650346358184</v>
      </c>
      <c r="O824" s="16">
        <f t="shared" si="135"/>
        <v>6.0570650346358184</v>
      </c>
      <c r="P824" s="1">
        <v>2024</v>
      </c>
      <c r="Q824" s="1" t="s">
        <v>73</v>
      </c>
      <c r="R824" s="1" t="s">
        <v>25</v>
      </c>
      <c r="S824" s="70">
        <f>DATE(Table2[[#This Row],[Year]],MONTH(DATEVALUE("1-"&amp;Table2[[#This Row],[Month]]&amp;"-2000")),1)</f>
        <v>45627</v>
      </c>
      <c r="T824" s="16">
        <f t="shared" si="136"/>
        <v>4.3061088629239093</v>
      </c>
      <c r="U824" s="16">
        <f t="shared" si="137"/>
        <v>9.101241516225482E-2</v>
      </c>
      <c r="V824" s="16">
        <f t="shared" si="138"/>
        <v>563.45684210526315</v>
      </c>
      <c r="W824" s="16">
        <f t="shared" si="139"/>
        <v>3976.3515789473681</v>
      </c>
      <c r="X824" s="16">
        <f t="shared" si="140"/>
        <v>923.42105263157896</v>
      </c>
      <c r="Y824" s="16">
        <f t="shared" si="141"/>
        <v>43690.210526315786</v>
      </c>
      <c r="Z824" s="7" t="str" cm="1">
        <f t="array" ref="Z824">_xlfn.IFS(K824&lt;2%,"Low",K824&lt;5%,"Medium",K824&lt;10%,"Good",K824&gt;10%,"Excellent")</f>
        <v>Medium</v>
      </c>
      <c r="AA824" s="16" t="str">
        <f>Data_Validation!N822</f>
        <v>Pass</v>
      </c>
    </row>
    <row r="825" spans="1:27" x14ac:dyDescent="0.35">
      <c r="A825" s="17" t="s">
        <v>83</v>
      </c>
      <c r="B825" s="3" t="s">
        <v>28</v>
      </c>
      <c r="C825" s="3" t="s">
        <v>36</v>
      </c>
      <c r="D825" s="3" t="s">
        <v>37</v>
      </c>
      <c r="E825" s="3" t="s">
        <v>22</v>
      </c>
      <c r="F825" s="3">
        <v>1989.41</v>
      </c>
      <c r="G825" s="3">
        <v>159380</v>
      </c>
      <c r="H825" s="3">
        <v>27154</v>
      </c>
      <c r="I825" s="3">
        <v>223787.7</v>
      </c>
      <c r="J825" s="3">
        <v>9</v>
      </c>
      <c r="K825" s="15">
        <f t="shared" si="132"/>
        <v>0.17037269418998618</v>
      </c>
      <c r="L825" s="16">
        <f t="shared" si="142"/>
        <v>7.3263975841496645E-2</v>
      </c>
      <c r="M825" s="16">
        <f t="shared" si="133"/>
        <v>12.482180951185846</v>
      </c>
      <c r="N825" s="16">
        <f t="shared" si="134"/>
        <v>112.48948180616364</v>
      </c>
      <c r="O825" s="16">
        <f t="shared" si="135"/>
        <v>111.48948180616364</v>
      </c>
      <c r="P825" s="1">
        <v>2024</v>
      </c>
      <c r="Q825" s="1" t="s">
        <v>73</v>
      </c>
      <c r="R825" s="1" t="s">
        <v>25</v>
      </c>
      <c r="S825" s="70">
        <f>DATE(Table2[[#This Row],[Year]],MONTH(DATEVALUE("1-"&amp;Table2[[#This Row],[Month]]&amp;"-2000")),1)</f>
        <v>45627</v>
      </c>
      <c r="T825" s="16">
        <f t="shared" si="136"/>
        <v>8.2414266774692493</v>
      </c>
      <c r="U825" s="16">
        <f t="shared" si="137"/>
        <v>1.4041140670096626</v>
      </c>
      <c r="V825" s="16">
        <f t="shared" si="138"/>
        <v>221.04555555555555</v>
      </c>
      <c r="W825" s="16">
        <f t="shared" si="139"/>
        <v>24865.300000000003</v>
      </c>
      <c r="X825" s="16">
        <f t="shared" si="140"/>
        <v>3017.1111111111113</v>
      </c>
      <c r="Y825" s="16">
        <f t="shared" si="141"/>
        <v>17708.888888888891</v>
      </c>
      <c r="Z825" s="7" t="str" cm="1">
        <f t="array" ref="Z825">_xlfn.IFS(K825&lt;2%,"Low",K825&lt;5%,"Medium",K825&lt;10%,"Good",K825&gt;10%,"Excellent")</f>
        <v>Excellent</v>
      </c>
      <c r="AA825" s="16" t="str">
        <f>Data_Validation!N823</f>
        <v>Pass</v>
      </c>
    </row>
    <row r="826" spans="1:27" x14ac:dyDescent="0.35">
      <c r="A826" s="17" t="s">
        <v>100</v>
      </c>
      <c r="B826" s="3" t="s">
        <v>35</v>
      </c>
      <c r="C826" s="3" t="s">
        <v>58</v>
      </c>
      <c r="D826" s="3" t="s">
        <v>37</v>
      </c>
      <c r="E826" s="3" t="s">
        <v>22</v>
      </c>
      <c r="F826" s="3">
        <v>8063.48</v>
      </c>
      <c r="G826" s="3">
        <v>353772</v>
      </c>
      <c r="H826" s="3">
        <v>33946</v>
      </c>
      <c r="I826" s="3">
        <v>147680.42000000001</v>
      </c>
      <c r="J826" s="3">
        <v>30</v>
      </c>
      <c r="K826" s="15">
        <f t="shared" si="132"/>
        <v>9.5954456542631975E-2</v>
      </c>
      <c r="L826" s="16">
        <f t="shared" si="142"/>
        <v>0.23753844341012195</v>
      </c>
      <c r="M826" s="16">
        <f t="shared" si="133"/>
        <v>22.792872245400989</v>
      </c>
      <c r="N826" s="16">
        <f t="shared" si="134"/>
        <v>18.314725155888031</v>
      </c>
      <c r="O826" s="16">
        <f t="shared" si="135"/>
        <v>17.314725155888031</v>
      </c>
      <c r="P826" s="1">
        <v>2025</v>
      </c>
      <c r="Q826" s="1" t="s">
        <v>56</v>
      </c>
      <c r="R826" s="1" t="s">
        <v>40</v>
      </c>
      <c r="S826" s="70">
        <f>DATE(Table2[[#This Row],[Year]],MONTH(DATEVALUE("1-"&amp;Table2[[#This Row],[Month]]&amp;"-2000")),1)</f>
        <v>45658</v>
      </c>
      <c r="T826" s="16">
        <f t="shared" si="136"/>
        <v>4.3504513050138458</v>
      </c>
      <c r="U826" s="16">
        <f t="shared" si="137"/>
        <v>0.41744519068778763</v>
      </c>
      <c r="V826" s="16">
        <f t="shared" si="138"/>
        <v>268.78266666666667</v>
      </c>
      <c r="W826" s="16">
        <f t="shared" si="139"/>
        <v>4922.6806666666671</v>
      </c>
      <c r="X826" s="16">
        <f t="shared" si="140"/>
        <v>1131.5333333333333</v>
      </c>
      <c r="Y826" s="16">
        <f t="shared" si="141"/>
        <v>11792.4</v>
      </c>
      <c r="Z826" s="7" t="str" cm="1">
        <f t="array" ref="Z826">_xlfn.IFS(K826&lt;2%,"Low",K826&lt;5%,"Medium",K826&lt;10%,"Good",K826&gt;10%,"Excellent")</f>
        <v>Good</v>
      </c>
      <c r="AA826" s="16" t="str">
        <f>Data_Validation!N824</f>
        <v>Pass</v>
      </c>
    </row>
    <row r="827" spans="1:27" x14ac:dyDescent="0.35">
      <c r="A827" s="17" t="s">
        <v>18</v>
      </c>
      <c r="B827" s="3" t="s">
        <v>28</v>
      </c>
      <c r="C827" s="3" t="s">
        <v>58</v>
      </c>
      <c r="D827" s="3" t="s">
        <v>43</v>
      </c>
      <c r="E827" s="3" t="s">
        <v>22</v>
      </c>
      <c r="F827" s="3">
        <v>3488.92</v>
      </c>
      <c r="G827" s="3">
        <v>717814</v>
      </c>
      <c r="H827" s="3">
        <v>32248</v>
      </c>
      <c r="I827" s="3">
        <v>166719.25</v>
      </c>
      <c r="J827" s="3">
        <v>30</v>
      </c>
      <c r="K827" s="15">
        <f t="shared" si="132"/>
        <v>4.4925287052077559E-2</v>
      </c>
      <c r="L827" s="16">
        <f t="shared" si="142"/>
        <v>0.10819027536591416</v>
      </c>
      <c r="M827" s="16">
        <f t="shared" si="133"/>
        <v>4.8604791770570097</v>
      </c>
      <c r="N827" s="16">
        <f t="shared" si="134"/>
        <v>47.785346181626402</v>
      </c>
      <c r="O827" s="16">
        <f t="shared" si="135"/>
        <v>46.785346181626402</v>
      </c>
      <c r="P827" s="1">
        <v>2025</v>
      </c>
      <c r="Q827" s="1" t="s">
        <v>56</v>
      </c>
      <c r="R827" s="1" t="s">
        <v>40</v>
      </c>
      <c r="S827" s="70">
        <f>DATE(Table2[[#This Row],[Year]],MONTH(DATEVALUE("1-"&amp;Table2[[#This Row],[Month]]&amp;"-2000")),1)</f>
        <v>45658</v>
      </c>
      <c r="T827" s="16">
        <f t="shared" si="136"/>
        <v>5.1699097618456955</v>
      </c>
      <c r="U827" s="16">
        <f t="shared" si="137"/>
        <v>0.23225968008425582</v>
      </c>
      <c r="V827" s="16">
        <f t="shared" si="138"/>
        <v>116.29733333333334</v>
      </c>
      <c r="W827" s="16">
        <f t="shared" si="139"/>
        <v>5557.3083333333334</v>
      </c>
      <c r="X827" s="16">
        <f t="shared" si="140"/>
        <v>1074.9333333333334</v>
      </c>
      <c r="Y827" s="16">
        <f t="shared" si="141"/>
        <v>23927.133333333335</v>
      </c>
      <c r="Z827" s="7" t="str" cm="1">
        <f t="array" ref="Z827">_xlfn.IFS(K827&lt;2%,"Low",K827&lt;5%,"Medium",K827&lt;10%,"Good",K827&gt;10%,"Excellent")</f>
        <v>Medium</v>
      </c>
      <c r="AA827" s="16" t="str">
        <f>Data_Validation!N825</f>
        <v>Pass</v>
      </c>
    </row>
    <row r="828" spans="1:27" x14ac:dyDescent="0.35">
      <c r="A828" s="17" t="s">
        <v>95</v>
      </c>
      <c r="B828" s="3" t="s">
        <v>35</v>
      </c>
      <c r="C828" s="3" t="s">
        <v>20</v>
      </c>
      <c r="D828" s="3" t="s">
        <v>37</v>
      </c>
      <c r="E828" s="3" t="s">
        <v>30</v>
      </c>
      <c r="F828" s="3">
        <v>3929.28</v>
      </c>
      <c r="G828" s="3">
        <v>667711</v>
      </c>
      <c r="H828" s="3">
        <v>16015</v>
      </c>
      <c r="I828" s="3">
        <v>29965.82</v>
      </c>
      <c r="J828" s="3">
        <v>18</v>
      </c>
      <c r="K828" s="15">
        <f t="shared" si="132"/>
        <v>2.398492761089753E-2</v>
      </c>
      <c r="L828" s="16">
        <f t="shared" si="142"/>
        <v>0.24534998438963473</v>
      </c>
      <c r="M828" s="16">
        <f t="shared" si="133"/>
        <v>5.8847016149202274</v>
      </c>
      <c r="N828" s="16">
        <f t="shared" si="134"/>
        <v>7.6262877677335279</v>
      </c>
      <c r="O828" s="16">
        <f t="shared" si="135"/>
        <v>6.6262877677335288</v>
      </c>
      <c r="P828" s="1">
        <v>2025</v>
      </c>
      <c r="Q828" s="1" t="s">
        <v>56</v>
      </c>
      <c r="R828" s="1" t="s">
        <v>40</v>
      </c>
      <c r="S828" s="70">
        <f>DATE(Table2[[#This Row],[Year]],MONTH(DATEVALUE("1-"&amp;Table2[[#This Row],[Month]]&amp;"-2000")),1)</f>
        <v>45658</v>
      </c>
      <c r="T828" s="16">
        <f t="shared" si="136"/>
        <v>1.8711095847642836</v>
      </c>
      <c r="U828" s="16">
        <f t="shared" si="137"/>
        <v>4.487842794262787E-2</v>
      </c>
      <c r="V828" s="16">
        <f t="shared" si="138"/>
        <v>218.29333333333335</v>
      </c>
      <c r="W828" s="16">
        <f t="shared" si="139"/>
        <v>1664.7677777777778</v>
      </c>
      <c r="X828" s="16">
        <f t="shared" si="140"/>
        <v>889.72222222222217</v>
      </c>
      <c r="Y828" s="16">
        <f t="shared" si="141"/>
        <v>37095.055555555555</v>
      </c>
      <c r="Z828" s="7" t="str" cm="1">
        <f t="array" ref="Z828">_xlfn.IFS(K828&lt;2%,"Low",K828&lt;5%,"Medium",K828&lt;10%,"Good",K828&gt;10%,"Excellent")</f>
        <v>Medium</v>
      </c>
      <c r="AA828" s="16" t="str">
        <f>Data_Validation!N826</f>
        <v>Pass</v>
      </c>
    </row>
    <row r="829" spans="1:27" x14ac:dyDescent="0.35">
      <c r="A829" s="17" t="s">
        <v>72</v>
      </c>
      <c r="B829" s="3" t="s">
        <v>28</v>
      </c>
      <c r="C829" s="3" t="s">
        <v>58</v>
      </c>
      <c r="D829" s="3" t="s">
        <v>63</v>
      </c>
      <c r="E829" s="3" t="s">
        <v>38</v>
      </c>
      <c r="F829" s="3">
        <v>45984.160000000003</v>
      </c>
      <c r="G829" s="3">
        <v>713956</v>
      </c>
      <c r="H829" s="3">
        <v>5003</v>
      </c>
      <c r="I829" s="3">
        <v>145617.35999999999</v>
      </c>
      <c r="J829" s="3">
        <v>44</v>
      </c>
      <c r="K829" s="15">
        <f t="shared" si="132"/>
        <v>7.0074346318260506E-3</v>
      </c>
      <c r="L829" s="16">
        <f t="shared" si="142"/>
        <v>9.191317209674196</v>
      </c>
      <c r="M829" s="16">
        <f t="shared" si="133"/>
        <v>64.407554527169751</v>
      </c>
      <c r="N829" s="16">
        <f t="shared" si="134"/>
        <v>3.166685223781406</v>
      </c>
      <c r="O829" s="16">
        <f t="shared" si="135"/>
        <v>2.166685223781406</v>
      </c>
      <c r="P829" s="1">
        <v>2025</v>
      </c>
      <c r="Q829" s="1" t="s">
        <v>56</v>
      </c>
      <c r="R829" s="1" t="s">
        <v>40</v>
      </c>
      <c r="S829" s="70">
        <f>DATE(Table2[[#This Row],[Year]],MONTH(DATEVALUE("1-"&amp;Table2[[#This Row],[Month]]&amp;"-2000")),1)</f>
        <v>45658</v>
      </c>
      <c r="T829" s="16">
        <f t="shared" si="136"/>
        <v>29.10600839496302</v>
      </c>
      <c r="U829" s="16">
        <f t="shared" si="137"/>
        <v>0.20395845122108364</v>
      </c>
      <c r="V829" s="16">
        <f t="shared" si="138"/>
        <v>1045.0945454545456</v>
      </c>
      <c r="W829" s="16">
        <f t="shared" si="139"/>
        <v>3309.4854545454541</v>
      </c>
      <c r="X829" s="16">
        <f t="shared" si="140"/>
        <v>113.70454545454545</v>
      </c>
      <c r="Y829" s="16">
        <f t="shared" si="141"/>
        <v>16226.272727272728</v>
      </c>
      <c r="Z829" s="7" t="str" cm="1">
        <f t="array" ref="Z829">_xlfn.IFS(K829&lt;2%,"Low",K829&lt;5%,"Medium",K829&lt;10%,"Good",K829&gt;10%,"Excellent")</f>
        <v>Low</v>
      </c>
      <c r="AA829" s="16" t="str">
        <f>Data_Validation!N827</f>
        <v>Pass</v>
      </c>
    </row>
    <row r="830" spans="1:27" x14ac:dyDescent="0.35">
      <c r="A830" s="17" t="s">
        <v>104</v>
      </c>
      <c r="B830" s="3" t="s">
        <v>28</v>
      </c>
      <c r="C830" s="3" t="s">
        <v>58</v>
      </c>
      <c r="D830" s="3" t="s">
        <v>59</v>
      </c>
      <c r="E830" s="3" t="s">
        <v>38</v>
      </c>
      <c r="F830" s="3">
        <v>20951.47</v>
      </c>
      <c r="G830" s="3">
        <v>296643</v>
      </c>
      <c r="H830" s="3">
        <v>4508</v>
      </c>
      <c r="I830" s="3">
        <v>143774.93</v>
      </c>
      <c r="J830" s="3">
        <v>60</v>
      </c>
      <c r="K830" s="15">
        <f t="shared" si="132"/>
        <v>1.5196717940419966E-2</v>
      </c>
      <c r="L830" s="16">
        <f t="shared" si="142"/>
        <v>4.6476197870452536</v>
      </c>
      <c r="M830" s="16">
        <f t="shared" si="133"/>
        <v>70.628566998041421</v>
      </c>
      <c r="N830" s="16">
        <f t="shared" si="134"/>
        <v>6.8622836488322765</v>
      </c>
      <c r="O830" s="16">
        <f t="shared" si="135"/>
        <v>5.8622836488322765</v>
      </c>
      <c r="P830" s="1">
        <v>2025</v>
      </c>
      <c r="Q830" s="1" t="s">
        <v>56</v>
      </c>
      <c r="R830" s="1" t="s">
        <v>40</v>
      </c>
      <c r="S830" s="70">
        <f>DATE(Table2[[#This Row],[Year]],MONTH(DATEVALUE("1-"&amp;Table2[[#This Row],[Month]]&amp;"-2000")),1)</f>
        <v>45658</v>
      </c>
      <c r="T830" s="16">
        <f t="shared" si="136"/>
        <v>31.893285270629988</v>
      </c>
      <c r="U830" s="16">
        <f t="shared" si="137"/>
        <v>0.48467326045111464</v>
      </c>
      <c r="V830" s="16">
        <f t="shared" si="138"/>
        <v>349.19116666666667</v>
      </c>
      <c r="W830" s="16">
        <f t="shared" si="139"/>
        <v>2396.2488333333331</v>
      </c>
      <c r="X830" s="16">
        <f t="shared" si="140"/>
        <v>75.13333333333334</v>
      </c>
      <c r="Y830" s="16">
        <f t="shared" si="141"/>
        <v>4944.05</v>
      </c>
      <c r="Z830" s="7" t="str" cm="1">
        <f t="array" ref="Z830">_xlfn.IFS(K830&lt;2%,"Low",K830&lt;5%,"Medium",K830&lt;10%,"Good",K830&gt;10%,"Excellent")</f>
        <v>Low</v>
      </c>
      <c r="AA830" s="16" t="str">
        <f>Data_Validation!N828</f>
        <v>Pass</v>
      </c>
    </row>
    <row r="831" spans="1:27" x14ac:dyDescent="0.35">
      <c r="A831" s="17" t="s">
        <v>77</v>
      </c>
      <c r="B831" s="3" t="s">
        <v>19</v>
      </c>
      <c r="C831" s="3" t="s">
        <v>69</v>
      </c>
      <c r="D831" s="3" t="s">
        <v>21</v>
      </c>
      <c r="E831" s="3" t="s">
        <v>30</v>
      </c>
      <c r="F831" s="3">
        <v>43350.239999999998</v>
      </c>
      <c r="G831" s="3">
        <v>874446</v>
      </c>
      <c r="H831" s="3">
        <v>10608</v>
      </c>
      <c r="I831" s="3">
        <v>176128.14</v>
      </c>
      <c r="J831" s="3">
        <v>33</v>
      </c>
      <c r="K831" s="15">
        <f t="shared" si="132"/>
        <v>1.2131109296628952E-2</v>
      </c>
      <c r="L831" s="16">
        <f t="shared" si="142"/>
        <v>4.0865610859728507</v>
      </c>
      <c r="M831" s="16">
        <f t="shared" si="133"/>
        <v>49.57451918128735</v>
      </c>
      <c r="N831" s="16">
        <f t="shared" si="134"/>
        <v>4.0629103783508471</v>
      </c>
      <c r="O831" s="16">
        <f t="shared" si="135"/>
        <v>3.0629103783508471</v>
      </c>
      <c r="P831" s="1">
        <v>2025</v>
      </c>
      <c r="Q831" s="1" t="s">
        <v>56</v>
      </c>
      <c r="R831" s="1" t="s">
        <v>40</v>
      </c>
      <c r="S831" s="70">
        <f>DATE(Table2[[#This Row],[Year]],MONTH(DATEVALUE("1-"&amp;Table2[[#This Row],[Month]]&amp;"-2000")),1)</f>
        <v>45658</v>
      </c>
      <c r="T831" s="16">
        <f t="shared" si="136"/>
        <v>16.603331447963804</v>
      </c>
      <c r="U831" s="16">
        <f t="shared" si="137"/>
        <v>0.2014168284834055</v>
      </c>
      <c r="V831" s="16">
        <f t="shared" si="138"/>
        <v>1313.6436363636362</v>
      </c>
      <c r="W831" s="16">
        <f t="shared" si="139"/>
        <v>5337.2163636363639</v>
      </c>
      <c r="X831" s="16">
        <f t="shared" si="140"/>
        <v>321.45454545454544</v>
      </c>
      <c r="Y831" s="16">
        <f t="shared" si="141"/>
        <v>26498.363636363636</v>
      </c>
      <c r="Z831" s="7" t="str" cm="1">
        <f t="array" ref="Z831">_xlfn.IFS(K831&lt;2%,"Low",K831&lt;5%,"Medium",K831&lt;10%,"Good",K831&gt;10%,"Excellent")</f>
        <v>Low</v>
      </c>
      <c r="AA831" s="16" t="str">
        <f>Data_Validation!N829</f>
        <v>Pass</v>
      </c>
    </row>
    <row r="832" spans="1:27" x14ac:dyDescent="0.35">
      <c r="A832" s="17" t="s">
        <v>42</v>
      </c>
      <c r="B832" s="3" t="s">
        <v>28</v>
      </c>
      <c r="C832" s="3" t="s">
        <v>36</v>
      </c>
      <c r="D832" s="3" t="s">
        <v>51</v>
      </c>
      <c r="E832" s="3" t="s">
        <v>38</v>
      </c>
      <c r="F832" s="3">
        <v>38416.35</v>
      </c>
      <c r="G832" s="3">
        <v>713176</v>
      </c>
      <c r="H832" s="3">
        <v>8167</v>
      </c>
      <c r="I832" s="3">
        <v>168041.71</v>
      </c>
      <c r="J832" s="3">
        <v>22</v>
      </c>
      <c r="K832" s="15">
        <f t="shared" si="132"/>
        <v>1.1451591192076008E-2</v>
      </c>
      <c r="L832" s="16">
        <f t="shared" si="142"/>
        <v>4.7038508632300724</v>
      </c>
      <c r="M832" s="16">
        <f t="shared" si="133"/>
        <v>53.866577114204624</v>
      </c>
      <c r="N832" s="16">
        <f t="shared" si="134"/>
        <v>4.3742237354668001</v>
      </c>
      <c r="O832" s="16">
        <f t="shared" si="135"/>
        <v>3.3742237354667997</v>
      </c>
      <c r="P832" s="1">
        <v>2025</v>
      </c>
      <c r="Q832" s="1" t="s">
        <v>56</v>
      </c>
      <c r="R832" s="1" t="s">
        <v>40</v>
      </c>
      <c r="S832" s="70">
        <f>DATE(Table2[[#This Row],[Year]],MONTH(DATEVALUE("1-"&amp;Table2[[#This Row],[Month]]&amp;"-2000")),1)</f>
        <v>45658</v>
      </c>
      <c r="T832" s="16">
        <f t="shared" si="136"/>
        <v>20.575696094036978</v>
      </c>
      <c r="U832" s="16">
        <f t="shared" si="137"/>
        <v>0.23562446016130659</v>
      </c>
      <c r="V832" s="16">
        <f t="shared" si="138"/>
        <v>1746.1977272727272</v>
      </c>
      <c r="W832" s="16">
        <f t="shared" si="139"/>
        <v>7638.2595454545453</v>
      </c>
      <c r="X832" s="16">
        <f t="shared" si="140"/>
        <v>371.22727272727275</v>
      </c>
      <c r="Y832" s="16">
        <f t="shared" si="141"/>
        <v>32417.090909090908</v>
      </c>
      <c r="Z832" s="7" t="str" cm="1">
        <f t="array" ref="Z832">_xlfn.IFS(K832&lt;2%,"Low",K832&lt;5%,"Medium",K832&lt;10%,"Good",K832&gt;10%,"Excellent")</f>
        <v>Low</v>
      </c>
      <c r="AA832" s="16" t="str">
        <f>Data_Validation!N830</f>
        <v>Pass</v>
      </c>
    </row>
    <row r="833" spans="1:27" x14ac:dyDescent="0.35">
      <c r="A833" s="17" t="s">
        <v>34</v>
      </c>
      <c r="B833" s="3" t="s">
        <v>19</v>
      </c>
      <c r="C833" s="3" t="s">
        <v>36</v>
      </c>
      <c r="D833" s="3" t="s">
        <v>63</v>
      </c>
      <c r="E833" s="3" t="s">
        <v>38</v>
      </c>
      <c r="F833" s="3">
        <v>26775.119999999999</v>
      </c>
      <c r="G833" s="3">
        <v>99083</v>
      </c>
      <c r="H833" s="3">
        <v>3547</v>
      </c>
      <c r="I833" s="3">
        <v>43117.08</v>
      </c>
      <c r="J833" s="3">
        <v>26</v>
      </c>
      <c r="K833" s="15">
        <f t="shared" si="132"/>
        <v>3.5798270137157737E-2</v>
      </c>
      <c r="L833" s="16">
        <f t="shared" si="142"/>
        <v>7.5486664787144067</v>
      </c>
      <c r="M833" s="16">
        <f t="shared" si="133"/>
        <v>270.22920178032558</v>
      </c>
      <c r="N833" s="16">
        <f t="shared" si="134"/>
        <v>1.6103412421681025</v>
      </c>
      <c r="O833" s="16">
        <f t="shared" si="135"/>
        <v>0.61034124216810248</v>
      </c>
      <c r="P833" s="1">
        <v>2025</v>
      </c>
      <c r="Q833" s="1" t="s">
        <v>56</v>
      </c>
      <c r="R833" s="1" t="s">
        <v>40</v>
      </c>
      <c r="S833" s="70">
        <f>DATE(Table2[[#This Row],[Year]],MONTH(DATEVALUE("1-"&amp;Table2[[#This Row],[Month]]&amp;"-2000")),1)</f>
        <v>45658</v>
      </c>
      <c r="T833" s="16">
        <f t="shared" si="136"/>
        <v>12.155928954045672</v>
      </c>
      <c r="U833" s="16">
        <f t="shared" si="137"/>
        <v>0.43516122846502431</v>
      </c>
      <c r="V833" s="16">
        <f t="shared" si="138"/>
        <v>1029.8123076923077</v>
      </c>
      <c r="W833" s="16">
        <f t="shared" si="139"/>
        <v>1658.3492307692309</v>
      </c>
      <c r="X833" s="16">
        <f t="shared" si="140"/>
        <v>136.42307692307693</v>
      </c>
      <c r="Y833" s="16">
        <f t="shared" si="141"/>
        <v>3810.8846153846152</v>
      </c>
      <c r="Z833" s="7" t="str" cm="1">
        <f t="array" ref="Z833">_xlfn.IFS(K833&lt;2%,"Low",K833&lt;5%,"Medium",K833&lt;10%,"Good",K833&gt;10%,"Excellent")</f>
        <v>Medium</v>
      </c>
      <c r="AA833" s="16" t="str">
        <f>Data_Validation!N831</f>
        <v>Pass</v>
      </c>
    </row>
    <row r="834" spans="1:27" x14ac:dyDescent="0.35">
      <c r="A834" s="17" t="s">
        <v>55</v>
      </c>
      <c r="B834" s="3" t="s">
        <v>28</v>
      </c>
      <c r="C834" s="3" t="s">
        <v>29</v>
      </c>
      <c r="D834" s="3" t="s">
        <v>51</v>
      </c>
      <c r="E834" s="3" t="s">
        <v>22</v>
      </c>
      <c r="F834" s="3">
        <v>6300.27</v>
      </c>
      <c r="G834" s="3">
        <v>669580</v>
      </c>
      <c r="H834" s="3">
        <v>47363</v>
      </c>
      <c r="I834" s="3">
        <v>156835.26999999999</v>
      </c>
      <c r="J834" s="3">
        <v>9</v>
      </c>
      <c r="K834" s="15">
        <f t="shared" si="132"/>
        <v>7.0735386361599803E-2</v>
      </c>
      <c r="L834" s="16">
        <f t="shared" si="142"/>
        <v>0.13302092350569011</v>
      </c>
      <c r="M834" s="16">
        <f t="shared" si="133"/>
        <v>9.4092864183518046</v>
      </c>
      <c r="N834" s="16">
        <f t="shared" si="134"/>
        <v>24.893420440711267</v>
      </c>
      <c r="O834" s="16">
        <f t="shared" si="135"/>
        <v>23.893420440711271</v>
      </c>
      <c r="P834" s="1">
        <v>2025</v>
      </c>
      <c r="Q834" s="1" t="s">
        <v>56</v>
      </c>
      <c r="R834" s="1" t="s">
        <v>40</v>
      </c>
      <c r="S834" s="70">
        <f>DATE(Table2[[#This Row],[Year]],MONTH(DATEVALUE("1-"&amp;Table2[[#This Row],[Month]]&amp;"-2000")),1)</f>
        <v>45658</v>
      </c>
      <c r="T834" s="16">
        <f t="shared" si="136"/>
        <v>3.3113457762388361</v>
      </c>
      <c r="U834" s="16">
        <f t="shared" si="137"/>
        <v>0.23422932285910569</v>
      </c>
      <c r="V834" s="16">
        <f t="shared" si="138"/>
        <v>700.03000000000009</v>
      </c>
      <c r="W834" s="16">
        <f t="shared" si="139"/>
        <v>17426.141111111108</v>
      </c>
      <c r="X834" s="16">
        <f t="shared" si="140"/>
        <v>5262.5555555555557</v>
      </c>
      <c r="Y834" s="16">
        <f t="shared" si="141"/>
        <v>74397.777777777781</v>
      </c>
      <c r="Z834" s="7" t="str" cm="1">
        <f t="array" ref="Z834">_xlfn.IFS(K834&lt;2%,"Low",K834&lt;5%,"Medium",K834&lt;10%,"Good",K834&gt;10%,"Excellent")</f>
        <v>Good</v>
      </c>
      <c r="AA834" s="16" t="str">
        <f>Data_Validation!N832</f>
        <v>Pass</v>
      </c>
    </row>
    <row r="835" spans="1:27" x14ac:dyDescent="0.35">
      <c r="A835" s="17" t="s">
        <v>120</v>
      </c>
      <c r="B835" s="3" t="s">
        <v>35</v>
      </c>
      <c r="C835" s="3" t="s">
        <v>29</v>
      </c>
      <c r="D835" s="3" t="s">
        <v>51</v>
      </c>
      <c r="E835" s="3" t="s">
        <v>38</v>
      </c>
      <c r="F835" s="3">
        <v>15498.19</v>
      </c>
      <c r="G835" s="3">
        <v>350404</v>
      </c>
      <c r="H835" s="3">
        <v>3852</v>
      </c>
      <c r="I835" s="3">
        <v>158359.04999999999</v>
      </c>
      <c r="J835" s="3">
        <v>14</v>
      </c>
      <c r="K835" s="15">
        <f t="shared" si="132"/>
        <v>1.0993025193776327E-2</v>
      </c>
      <c r="L835" s="16">
        <f t="shared" si="142"/>
        <v>4.023413811007269</v>
      </c>
      <c r="M835" s="16">
        <f t="shared" si="133"/>
        <v>44.22948938939053</v>
      </c>
      <c r="N835" s="16">
        <f t="shared" si="134"/>
        <v>10.217906090969331</v>
      </c>
      <c r="O835" s="16">
        <f t="shared" si="135"/>
        <v>9.2179060909693309</v>
      </c>
      <c r="P835" s="1">
        <v>2025</v>
      </c>
      <c r="Q835" s="1" t="s">
        <v>56</v>
      </c>
      <c r="R835" s="1" t="s">
        <v>40</v>
      </c>
      <c r="S835" s="70">
        <f>DATE(Table2[[#This Row],[Year]],MONTH(DATEVALUE("1-"&amp;Table2[[#This Row],[Month]]&amp;"-2000")),1)</f>
        <v>45658</v>
      </c>
      <c r="T835" s="16">
        <f t="shared" si="136"/>
        <v>41.110864485981303</v>
      </c>
      <c r="U835" s="16">
        <f t="shared" si="137"/>
        <v>0.45193276903231694</v>
      </c>
      <c r="V835" s="16">
        <f t="shared" si="138"/>
        <v>1107.0135714285714</v>
      </c>
      <c r="W835" s="16">
        <f t="shared" si="139"/>
        <v>11311.360714285713</v>
      </c>
      <c r="X835" s="16">
        <f t="shared" si="140"/>
        <v>275.14285714285717</v>
      </c>
      <c r="Y835" s="16">
        <f t="shared" si="141"/>
        <v>25028.857142857141</v>
      </c>
      <c r="Z835" s="7" t="str" cm="1">
        <f t="array" ref="Z835">_xlfn.IFS(K835&lt;2%,"Low",K835&lt;5%,"Medium",K835&lt;10%,"Good",K835&gt;10%,"Excellent")</f>
        <v>Low</v>
      </c>
      <c r="AA835" s="16" t="str">
        <f>Data_Validation!N833</f>
        <v>Pass</v>
      </c>
    </row>
    <row r="836" spans="1:27" x14ac:dyDescent="0.35">
      <c r="A836" s="17" t="s">
        <v>120</v>
      </c>
      <c r="B836" s="3" t="s">
        <v>35</v>
      </c>
      <c r="C836" s="3" t="s">
        <v>58</v>
      </c>
      <c r="D836" s="3" t="s">
        <v>21</v>
      </c>
      <c r="E836" s="3" t="s">
        <v>38</v>
      </c>
      <c r="F836" s="3">
        <v>29466.92</v>
      </c>
      <c r="G836" s="3">
        <v>544117</v>
      </c>
      <c r="H836" s="3">
        <v>5591</v>
      </c>
      <c r="I836" s="3">
        <v>42302.82</v>
      </c>
      <c r="J836" s="3">
        <v>55</v>
      </c>
      <c r="K836" s="15">
        <f t="shared" si="132"/>
        <v>1.0275363570702625E-2</v>
      </c>
      <c r="L836" s="16">
        <f t="shared" si="142"/>
        <v>5.2704203183688065</v>
      </c>
      <c r="M836" s="16">
        <f t="shared" si="133"/>
        <v>54.155484941657761</v>
      </c>
      <c r="N836" s="16">
        <f t="shared" si="134"/>
        <v>1.435603721053982</v>
      </c>
      <c r="O836" s="16">
        <f t="shared" si="135"/>
        <v>0.43560372105398198</v>
      </c>
      <c r="P836" s="1">
        <v>2025</v>
      </c>
      <c r="Q836" s="1" t="s">
        <v>56</v>
      </c>
      <c r="R836" s="1" t="s">
        <v>40</v>
      </c>
      <c r="S836" s="70">
        <f>DATE(Table2[[#This Row],[Year]],MONTH(DATEVALUE("1-"&amp;Table2[[#This Row],[Month]]&amp;"-2000")),1)</f>
        <v>45658</v>
      </c>
      <c r="T836" s="16">
        <f t="shared" si="136"/>
        <v>7.5662350205687714</v>
      </c>
      <c r="U836" s="16">
        <f t="shared" si="137"/>
        <v>7.7745815697726775E-2</v>
      </c>
      <c r="V836" s="16">
        <f t="shared" si="138"/>
        <v>535.76218181818183</v>
      </c>
      <c r="W836" s="16">
        <f t="shared" si="139"/>
        <v>769.14218181818183</v>
      </c>
      <c r="X836" s="16">
        <f t="shared" si="140"/>
        <v>101.65454545454546</v>
      </c>
      <c r="Y836" s="16">
        <f t="shared" si="141"/>
        <v>9893.0363636363636</v>
      </c>
      <c r="Z836" s="7" t="str" cm="1">
        <f t="array" ref="Z836">_xlfn.IFS(K836&lt;2%,"Low",K836&lt;5%,"Medium",K836&lt;10%,"Good",K836&gt;10%,"Excellent")</f>
        <v>Low</v>
      </c>
      <c r="AA836" s="16" t="str">
        <f>Data_Validation!N834</f>
        <v>Pass</v>
      </c>
    </row>
    <row r="837" spans="1:27" x14ac:dyDescent="0.35">
      <c r="A837" s="17" t="s">
        <v>105</v>
      </c>
      <c r="B837" s="3" t="s">
        <v>48</v>
      </c>
      <c r="C837" s="3" t="s">
        <v>36</v>
      </c>
      <c r="D837" s="3" t="s">
        <v>37</v>
      </c>
      <c r="E837" s="3" t="s">
        <v>22</v>
      </c>
      <c r="F837" s="3">
        <v>9777.8700000000008</v>
      </c>
      <c r="G837" s="3">
        <v>629284</v>
      </c>
      <c r="H837" s="3">
        <v>4611</v>
      </c>
      <c r="I837" s="3">
        <v>61304.38</v>
      </c>
      <c r="J837" s="3">
        <v>49</v>
      </c>
      <c r="K837" s="15">
        <f t="shared" si="132"/>
        <v>7.327375239160697E-3</v>
      </c>
      <c r="L837" s="16">
        <f t="shared" si="142"/>
        <v>2.1205530253741056</v>
      </c>
      <c r="M837" s="16">
        <f t="shared" si="133"/>
        <v>15.538087731453526</v>
      </c>
      <c r="N837" s="16">
        <f t="shared" si="134"/>
        <v>6.2697070016271432</v>
      </c>
      <c r="O837" s="16">
        <f t="shared" si="135"/>
        <v>5.2697070016271423</v>
      </c>
      <c r="P837" s="1">
        <v>2025</v>
      </c>
      <c r="Q837" s="1" t="s">
        <v>56</v>
      </c>
      <c r="R837" s="1" t="s">
        <v>40</v>
      </c>
      <c r="S837" s="70">
        <f>DATE(Table2[[#This Row],[Year]],MONTH(DATEVALUE("1-"&amp;Table2[[#This Row],[Month]]&amp;"-2000")),1)</f>
        <v>45658</v>
      </c>
      <c r="T837" s="16">
        <f t="shared" si="136"/>
        <v>13.29524615050965</v>
      </c>
      <c r="U837" s="16">
        <f t="shared" si="137"/>
        <v>9.7419257441790988E-2</v>
      </c>
      <c r="V837" s="16">
        <f t="shared" si="138"/>
        <v>199.54836734693879</v>
      </c>
      <c r="W837" s="16">
        <f t="shared" si="139"/>
        <v>1251.1097959183674</v>
      </c>
      <c r="X837" s="16">
        <f t="shared" si="140"/>
        <v>94.102040816326536</v>
      </c>
      <c r="Y837" s="16">
        <f t="shared" si="141"/>
        <v>12842.530612244898</v>
      </c>
      <c r="Z837" s="7" t="str" cm="1">
        <f t="array" ref="Z837">_xlfn.IFS(K837&lt;2%,"Low",K837&lt;5%,"Medium",K837&lt;10%,"Good",K837&gt;10%,"Excellent")</f>
        <v>Low</v>
      </c>
      <c r="AA837" s="16" t="str">
        <f>Data_Validation!N835</f>
        <v>Pass</v>
      </c>
    </row>
    <row r="838" spans="1:27" x14ac:dyDescent="0.35">
      <c r="A838" s="17" t="s">
        <v>97</v>
      </c>
      <c r="B838" s="3" t="s">
        <v>48</v>
      </c>
      <c r="C838" s="3" t="s">
        <v>69</v>
      </c>
      <c r="D838" s="3" t="s">
        <v>59</v>
      </c>
      <c r="E838" s="3" t="s">
        <v>38</v>
      </c>
      <c r="F838" s="3">
        <v>30987.93</v>
      </c>
      <c r="G838" s="3">
        <v>306745</v>
      </c>
      <c r="H838" s="3">
        <v>6688</v>
      </c>
      <c r="I838" s="3">
        <v>208993.95</v>
      </c>
      <c r="J838" s="3">
        <v>43</v>
      </c>
      <c r="K838" s="15">
        <f t="shared" si="132"/>
        <v>2.1803126375328042E-2</v>
      </c>
      <c r="L838" s="16">
        <f t="shared" si="142"/>
        <v>4.6333627392344496</v>
      </c>
      <c r="M838" s="16">
        <f t="shared" si="133"/>
        <v>101.0217933462648</v>
      </c>
      <c r="N838" s="16">
        <f t="shared" si="134"/>
        <v>6.7443662742235446</v>
      </c>
      <c r="O838" s="16">
        <f t="shared" si="135"/>
        <v>5.7443662742235446</v>
      </c>
      <c r="P838" s="1">
        <v>2025</v>
      </c>
      <c r="Q838" s="1" t="s">
        <v>56</v>
      </c>
      <c r="R838" s="1" t="s">
        <v>40</v>
      </c>
      <c r="S838" s="70">
        <f>DATE(Table2[[#This Row],[Year]],MONTH(DATEVALUE("1-"&amp;Table2[[#This Row],[Month]]&amp;"-2000")),1)</f>
        <v>45658</v>
      </c>
      <c r="T838" s="16">
        <f t="shared" si="136"/>
        <v>31.249095394736845</v>
      </c>
      <c r="U838" s="16">
        <f t="shared" si="137"/>
        <v>0.68132797600612893</v>
      </c>
      <c r="V838" s="16">
        <f t="shared" si="138"/>
        <v>720.64953488372089</v>
      </c>
      <c r="W838" s="16">
        <f t="shared" si="139"/>
        <v>4860.3244186046513</v>
      </c>
      <c r="X838" s="16">
        <f t="shared" si="140"/>
        <v>155.53488372093022</v>
      </c>
      <c r="Y838" s="16">
        <f t="shared" si="141"/>
        <v>7133.604651162791</v>
      </c>
      <c r="Z838" s="7" t="str" cm="1">
        <f t="array" ref="Z838">_xlfn.IFS(K838&lt;2%,"Low",K838&lt;5%,"Medium",K838&lt;10%,"Good",K838&gt;10%,"Excellent")</f>
        <v>Medium</v>
      </c>
      <c r="AA838" s="16" t="str">
        <f>Data_Validation!N836</f>
        <v>Pass</v>
      </c>
    </row>
    <row r="839" spans="1:27" x14ac:dyDescent="0.35">
      <c r="A839" s="17" t="s">
        <v>118</v>
      </c>
      <c r="B839" s="3" t="s">
        <v>35</v>
      </c>
      <c r="C839" s="3" t="s">
        <v>69</v>
      </c>
      <c r="D839" s="3" t="s">
        <v>51</v>
      </c>
      <c r="E839" s="3" t="s">
        <v>38</v>
      </c>
      <c r="F839" s="3">
        <v>52699.05</v>
      </c>
      <c r="G839" s="3">
        <v>231092</v>
      </c>
      <c r="H839" s="3">
        <v>40106</v>
      </c>
      <c r="I839" s="3">
        <v>128680.96000000001</v>
      </c>
      <c r="J839" s="3">
        <v>41</v>
      </c>
      <c r="K839" s="15">
        <f t="shared" si="132"/>
        <v>0.17354992816713691</v>
      </c>
      <c r="L839" s="16">
        <f t="shared" si="142"/>
        <v>1.313994165461527</v>
      </c>
      <c r="M839" s="16">
        <f t="shared" si="133"/>
        <v>228.04359302788501</v>
      </c>
      <c r="N839" s="16">
        <f t="shared" si="134"/>
        <v>2.4418079642801911</v>
      </c>
      <c r="O839" s="16">
        <f t="shared" si="135"/>
        <v>1.4418079642801911</v>
      </c>
      <c r="P839" s="1">
        <v>2025</v>
      </c>
      <c r="Q839" s="1" t="s">
        <v>56</v>
      </c>
      <c r="R839" s="1" t="s">
        <v>40</v>
      </c>
      <c r="S839" s="70">
        <f>DATE(Table2[[#This Row],[Year]],MONTH(DATEVALUE("1-"&amp;Table2[[#This Row],[Month]]&amp;"-2000")),1)</f>
        <v>45658</v>
      </c>
      <c r="T839" s="16">
        <f t="shared" si="136"/>
        <v>3.2085214182416597</v>
      </c>
      <c r="U839" s="16">
        <f t="shared" si="137"/>
        <v>0.55683866165856022</v>
      </c>
      <c r="V839" s="16">
        <f t="shared" si="138"/>
        <v>1285.3426829268294</v>
      </c>
      <c r="W839" s="16">
        <f t="shared" si="139"/>
        <v>3138.56</v>
      </c>
      <c r="X839" s="16">
        <f t="shared" si="140"/>
        <v>978.19512195121956</v>
      </c>
      <c r="Y839" s="16">
        <f t="shared" si="141"/>
        <v>5636.3902439024387</v>
      </c>
      <c r="Z839" s="7" t="str" cm="1">
        <f t="array" ref="Z839">_xlfn.IFS(K839&lt;2%,"Low",K839&lt;5%,"Medium",K839&lt;10%,"Good",K839&gt;10%,"Excellent")</f>
        <v>Excellent</v>
      </c>
      <c r="AA839" s="16" t="str">
        <f>Data_Validation!N837</f>
        <v>Pass</v>
      </c>
    </row>
    <row r="840" spans="1:27" x14ac:dyDescent="0.35">
      <c r="A840" s="17" t="s">
        <v>114</v>
      </c>
      <c r="B840" s="3" t="s">
        <v>28</v>
      </c>
      <c r="C840" s="3" t="s">
        <v>20</v>
      </c>
      <c r="D840" s="3" t="s">
        <v>51</v>
      </c>
      <c r="E840" s="3" t="s">
        <v>38</v>
      </c>
      <c r="F840" s="3">
        <v>12392.94</v>
      </c>
      <c r="G840" s="3">
        <v>765781</v>
      </c>
      <c r="H840" s="3">
        <v>10171</v>
      </c>
      <c r="I840" s="3">
        <v>15733.72</v>
      </c>
      <c r="J840" s="3">
        <v>36</v>
      </c>
      <c r="K840" s="15">
        <f t="shared" si="132"/>
        <v>1.3281865180776228E-2</v>
      </c>
      <c r="L840" s="16">
        <f t="shared" si="142"/>
        <v>1.2184583620096352</v>
      </c>
      <c r="M840" s="16">
        <f t="shared" si="133"/>
        <v>16.183399692601412</v>
      </c>
      <c r="N840" s="16">
        <f t="shared" si="134"/>
        <v>1.2695712236160264</v>
      </c>
      <c r="O840" s="16">
        <f t="shared" si="135"/>
        <v>0.26957122361602642</v>
      </c>
      <c r="P840" s="1">
        <v>2025</v>
      </c>
      <c r="Q840" s="1" t="s">
        <v>56</v>
      </c>
      <c r="R840" s="1" t="s">
        <v>40</v>
      </c>
      <c r="S840" s="70">
        <f>DATE(Table2[[#This Row],[Year]],MONTH(DATEVALUE("1-"&amp;Table2[[#This Row],[Month]]&amp;"-2000")),1)</f>
        <v>45658</v>
      </c>
      <c r="T840" s="16">
        <f t="shared" si="136"/>
        <v>1.5469196735817521</v>
      </c>
      <c r="U840" s="16">
        <f t="shared" si="137"/>
        <v>2.0545978550003199E-2</v>
      </c>
      <c r="V840" s="16">
        <f t="shared" si="138"/>
        <v>344.24833333333333</v>
      </c>
      <c r="W840" s="16">
        <f t="shared" si="139"/>
        <v>437.04777777777775</v>
      </c>
      <c r="X840" s="16">
        <f t="shared" si="140"/>
        <v>282.52777777777777</v>
      </c>
      <c r="Y840" s="16">
        <f t="shared" si="141"/>
        <v>21271.694444444445</v>
      </c>
      <c r="Z840" s="7" t="str" cm="1">
        <f t="array" ref="Z840">_xlfn.IFS(K840&lt;2%,"Low",K840&lt;5%,"Medium",K840&lt;10%,"Good",K840&gt;10%,"Excellent")</f>
        <v>Low</v>
      </c>
      <c r="AA840" s="16" t="str">
        <f>Data_Validation!N838</f>
        <v>Pass</v>
      </c>
    </row>
    <row r="841" spans="1:27" x14ac:dyDescent="0.35">
      <c r="A841" s="17" t="s">
        <v>99</v>
      </c>
      <c r="B841" s="3" t="s">
        <v>48</v>
      </c>
      <c r="C841" s="3" t="s">
        <v>20</v>
      </c>
      <c r="D841" s="3" t="s">
        <v>51</v>
      </c>
      <c r="E841" s="3" t="s">
        <v>30</v>
      </c>
      <c r="F841" s="3">
        <v>6370.6</v>
      </c>
      <c r="G841" s="3">
        <v>561752</v>
      </c>
      <c r="H841" s="3">
        <v>43149</v>
      </c>
      <c r="I841" s="3">
        <v>65946.94</v>
      </c>
      <c r="J841" s="3">
        <v>20</v>
      </c>
      <c r="K841" s="15">
        <f t="shared" ref="K841:K904" si="143">H841/G841</f>
        <v>7.6811475526566877E-2</v>
      </c>
      <c r="L841" s="16">
        <f t="shared" si="142"/>
        <v>0.14764189204848316</v>
      </c>
      <c r="M841" s="16">
        <f t="shared" ref="M841:M904" si="144">F841/G841*1000</f>
        <v>11.340591577778095</v>
      </c>
      <c r="N841" s="16">
        <f t="shared" ref="N841:N904" si="145">I841/F841</f>
        <v>10.351762785294948</v>
      </c>
      <c r="O841" s="16">
        <f t="shared" ref="O841:O904" si="146">(I841-F841)/F841</f>
        <v>9.3517627852949481</v>
      </c>
      <c r="P841" s="1">
        <v>2025</v>
      </c>
      <c r="Q841" s="1" t="s">
        <v>56</v>
      </c>
      <c r="R841" s="1" t="s">
        <v>40</v>
      </c>
      <c r="S841" s="70">
        <f>DATE(Table2[[#This Row],[Year]],MONTH(DATEVALUE("1-"&amp;Table2[[#This Row],[Month]]&amp;"-2000")),1)</f>
        <v>45658</v>
      </c>
      <c r="T841" s="16">
        <f t="shared" ref="T841:T904" si="147">I841/H841</f>
        <v>1.5283538436580222</v>
      </c>
      <c r="U841" s="16">
        <f t="shared" ref="U841:U904" si="148">I841/G841</f>
        <v>0.11739511385807261</v>
      </c>
      <c r="V841" s="16">
        <f t="shared" ref="V841:V904" si="149">F841/J841</f>
        <v>318.53000000000003</v>
      </c>
      <c r="W841" s="16">
        <f t="shared" ref="W841:W904" si="150">I841/J841</f>
        <v>3297.3470000000002</v>
      </c>
      <c r="X841" s="16">
        <f t="shared" ref="X841:X904" si="151">H841/J841</f>
        <v>2157.4499999999998</v>
      </c>
      <c r="Y841" s="16">
        <f t="shared" ref="Y841:Y904" si="152">G841/J841</f>
        <v>28087.599999999999</v>
      </c>
      <c r="Z841" s="7" t="str" cm="1">
        <f t="array" ref="Z841">_xlfn.IFS(K841&lt;2%,"Low",K841&lt;5%,"Medium",K841&lt;10%,"Good",K841&gt;10%,"Excellent")</f>
        <v>Good</v>
      </c>
      <c r="AA841" s="16" t="str">
        <f>Data_Validation!N839</f>
        <v>Pass</v>
      </c>
    </row>
    <row r="842" spans="1:27" x14ac:dyDescent="0.35">
      <c r="A842" s="17" t="s">
        <v>34</v>
      </c>
      <c r="B842" s="3" t="s">
        <v>19</v>
      </c>
      <c r="C842" s="3" t="s">
        <v>36</v>
      </c>
      <c r="D842" s="3" t="s">
        <v>43</v>
      </c>
      <c r="E842" s="3" t="s">
        <v>38</v>
      </c>
      <c r="F842" s="3">
        <v>32719.49</v>
      </c>
      <c r="G842" s="3">
        <v>830628</v>
      </c>
      <c r="H842" s="3">
        <v>47890</v>
      </c>
      <c r="I842" s="3">
        <v>232498.79</v>
      </c>
      <c r="J842" s="3">
        <v>59</v>
      </c>
      <c r="K842" s="15">
        <f t="shared" si="143"/>
        <v>5.7655171749567795E-2</v>
      </c>
      <c r="L842" s="16">
        <f t="shared" ref="L842:L905" si="153">F842/H842</f>
        <v>0.68322175819586561</v>
      </c>
      <c r="M842" s="16">
        <f t="shared" si="144"/>
        <v>39.391267811824306</v>
      </c>
      <c r="N842" s="16">
        <f t="shared" si="145"/>
        <v>7.1058194977977953</v>
      </c>
      <c r="O842" s="16">
        <f t="shared" si="146"/>
        <v>6.1058194977977962</v>
      </c>
      <c r="P842" s="1">
        <v>2025</v>
      </c>
      <c r="Q842" s="1" t="s">
        <v>56</v>
      </c>
      <c r="R842" s="1" t="s">
        <v>40</v>
      </c>
      <c r="S842" s="70">
        <f>DATE(Table2[[#This Row],[Year]],MONTH(DATEVALUE("1-"&amp;Table2[[#This Row],[Month]]&amp;"-2000")),1)</f>
        <v>45658</v>
      </c>
      <c r="T842" s="16">
        <f t="shared" si="147"/>
        <v>4.8548504907078724</v>
      </c>
      <c r="U842" s="16">
        <f t="shared" si="148"/>
        <v>0.27990723886023589</v>
      </c>
      <c r="V842" s="16">
        <f t="shared" si="149"/>
        <v>554.56762711864405</v>
      </c>
      <c r="W842" s="16">
        <f t="shared" si="150"/>
        <v>3940.6574576271187</v>
      </c>
      <c r="X842" s="16">
        <f t="shared" si="151"/>
        <v>811.69491525423734</v>
      </c>
      <c r="Y842" s="16">
        <f t="shared" si="152"/>
        <v>14078.440677966102</v>
      </c>
      <c r="Z842" s="7" t="str" cm="1">
        <f t="array" ref="Z842">_xlfn.IFS(K842&lt;2%,"Low",K842&lt;5%,"Medium",K842&lt;10%,"Good",K842&gt;10%,"Excellent")</f>
        <v>Good</v>
      </c>
      <c r="AA842" s="16" t="str">
        <f>Data_Validation!N840</f>
        <v>Pass</v>
      </c>
    </row>
    <row r="843" spans="1:27" x14ac:dyDescent="0.35">
      <c r="A843" s="17" t="s">
        <v>83</v>
      </c>
      <c r="B843" s="3" t="s">
        <v>19</v>
      </c>
      <c r="C843" s="3" t="s">
        <v>36</v>
      </c>
      <c r="D843" s="3" t="s">
        <v>59</v>
      </c>
      <c r="E843" s="3" t="s">
        <v>38</v>
      </c>
      <c r="F843" s="3">
        <v>6414.82</v>
      </c>
      <c r="G843" s="3">
        <v>892725</v>
      </c>
      <c r="H843" s="3">
        <v>22714</v>
      </c>
      <c r="I843" s="3">
        <v>18309.82</v>
      </c>
      <c r="J843" s="3">
        <v>46</v>
      </c>
      <c r="K843" s="15">
        <f t="shared" si="143"/>
        <v>2.5443445629953234E-2</v>
      </c>
      <c r="L843" s="16">
        <f t="shared" si="153"/>
        <v>0.28241701153473625</v>
      </c>
      <c r="M843" s="16">
        <f t="shared" si="144"/>
        <v>7.185661877957938</v>
      </c>
      <c r="N843" s="16">
        <f t="shared" si="145"/>
        <v>2.8542998868245721</v>
      </c>
      <c r="O843" s="16">
        <f t="shared" si="146"/>
        <v>1.8542998868245719</v>
      </c>
      <c r="P843" s="1">
        <v>2025</v>
      </c>
      <c r="Q843" s="1" t="s">
        <v>56</v>
      </c>
      <c r="R843" s="1" t="s">
        <v>40</v>
      </c>
      <c r="S843" s="70">
        <f>DATE(Table2[[#This Row],[Year]],MONTH(DATEVALUE("1-"&amp;Table2[[#This Row],[Month]]&amp;"-2000")),1)</f>
        <v>45658</v>
      </c>
      <c r="T843" s="16">
        <f t="shared" si="147"/>
        <v>0.80610284406093158</v>
      </c>
      <c r="U843" s="16">
        <f t="shared" si="148"/>
        <v>2.0510033885014982E-2</v>
      </c>
      <c r="V843" s="16">
        <f t="shared" si="149"/>
        <v>139.45260869565217</v>
      </c>
      <c r="W843" s="16">
        <f t="shared" si="150"/>
        <v>398.03956521739127</v>
      </c>
      <c r="X843" s="16">
        <f t="shared" si="151"/>
        <v>493.78260869565219</v>
      </c>
      <c r="Y843" s="16">
        <f t="shared" si="152"/>
        <v>19407.065217391304</v>
      </c>
      <c r="Z843" s="7" t="str" cm="1">
        <f t="array" ref="Z843">_xlfn.IFS(K843&lt;2%,"Low",K843&lt;5%,"Medium",K843&lt;10%,"Good",K843&gt;10%,"Excellent")</f>
        <v>Medium</v>
      </c>
      <c r="AA843" s="16" t="str">
        <f>Data_Validation!N841</f>
        <v>Pass</v>
      </c>
    </row>
    <row r="844" spans="1:27" x14ac:dyDescent="0.35">
      <c r="A844" s="17" t="s">
        <v>87</v>
      </c>
      <c r="B844" s="3" t="s">
        <v>19</v>
      </c>
      <c r="C844" s="3" t="s">
        <v>20</v>
      </c>
      <c r="D844" s="3" t="s">
        <v>59</v>
      </c>
      <c r="E844" s="3" t="s">
        <v>22</v>
      </c>
      <c r="F844" s="3">
        <v>41225.760000000002</v>
      </c>
      <c r="G844" s="3">
        <v>112110</v>
      </c>
      <c r="H844" s="3">
        <v>21813</v>
      </c>
      <c r="I844" s="3">
        <v>104785.21</v>
      </c>
      <c r="J844" s="3">
        <v>28</v>
      </c>
      <c r="K844" s="15">
        <f t="shared" si="143"/>
        <v>0.19456783516189458</v>
      </c>
      <c r="L844" s="16">
        <f t="shared" si="153"/>
        <v>1.889962866180718</v>
      </c>
      <c r="M844" s="16">
        <f t="shared" si="144"/>
        <v>367.72598340915175</v>
      </c>
      <c r="N844" s="16">
        <f t="shared" si="145"/>
        <v>2.5417411346691972</v>
      </c>
      <c r="O844" s="16">
        <f t="shared" si="146"/>
        <v>1.5417411346691972</v>
      </c>
      <c r="P844" s="1">
        <v>2025</v>
      </c>
      <c r="Q844" s="1" t="s">
        <v>56</v>
      </c>
      <c r="R844" s="1" t="s">
        <v>40</v>
      </c>
      <c r="S844" s="70">
        <f>DATE(Table2[[#This Row],[Year]],MONTH(DATEVALUE("1-"&amp;Table2[[#This Row],[Month]]&amp;"-2000")),1)</f>
        <v>45658</v>
      </c>
      <c r="T844" s="16">
        <f t="shared" si="147"/>
        <v>4.8037963599688265</v>
      </c>
      <c r="U844" s="16">
        <f t="shared" si="148"/>
        <v>0.93466425831772371</v>
      </c>
      <c r="V844" s="16">
        <f t="shared" si="149"/>
        <v>1472.3485714285714</v>
      </c>
      <c r="W844" s="16">
        <f t="shared" si="150"/>
        <v>3742.3289285714286</v>
      </c>
      <c r="X844" s="16">
        <f t="shared" si="151"/>
        <v>779.03571428571433</v>
      </c>
      <c r="Y844" s="16">
        <f t="shared" si="152"/>
        <v>4003.9285714285716</v>
      </c>
      <c r="Z844" s="7" t="str" cm="1">
        <f t="array" ref="Z844">_xlfn.IFS(K844&lt;2%,"Low",K844&lt;5%,"Medium",K844&lt;10%,"Good",K844&gt;10%,"Excellent")</f>
        <v>Excellent</v>
      </c>
      <c r="AA844" s="16" t="str">
        <f>Data_Validation!N842</f>
        <v>Pass</v>
      </c>
    </row>
    <row r="845" spans="1:27" x14ac:dyDescent="0.35">
      <c r="A845" s="17" t="s">
        <v>110</v>
      </c>
      <c r="B845" s="3" t="s">
        <v>48</v>
      </c>
      <c r="C845" s="3" t="s">
        <v>36</v>
      </c>
      <c r="D845" s="3" t="s">
        <v>59</v>
      </c>
      <c r="E845" s="3" t="s">
        <v>30</v>
      </c>
      <c r="F845" s="3">
        <v>6062.04</v>
      </c>
      <c r="G845" s="3">
        <v>117798</v>
      </c>
      <c r="H845" s="3">
        <v>9697</v>
      </c>
      <c r="I845" s="3">
        <v>67712.210000000006</v>
      </c>
      <c r="J845" s="3">
        <v>58</v>
      </c>
      <c r="K845" s="15">
        <f t="shared" si="143"/>
        <v>8.2318884870710873E-2</v>
      </c>
      <c r="L845" s="16">
        <f t="shared" si="153"/>
        <v>0.62514592141899561</v>
      </c>
      <c r="M845" s="16">
        <f t="shared" si="144"/>
        <v>51.461315132684767</v>
      </c>
      <c r="N845" s="16">
        <f t="shared" si="145"/>
        <v>11.169871858318324</v>
      </c>
      <c r="O845" s="16">
        <f t="shared" si="146"/>
        <v>10.169871858318324</v>
      </c>
      <c r="P845" s="1">
        <v>2025</v>
      </c>
      <c r="Q845" s="1" t="s">
        <v>56</v>
      </c>
      <c r="R845" s="1" t="s">
        <v>40</v>
      </c>
      <c r="S845" s="70">
        <f>DATE(Table2[[#This Row],[Year]],MONTH(DATEVALUE("1-"&amp;Table2[[#This Row],[Month]]&amp;"-2000")),1)</f>
        <v>45658</v>
      </c>
      <c r="T845" s="16">
        <f t="shared" si="147"/>
        <v>6.9827998350005167</v>
      </c>
      <c r="U845" s="16">
        <f t="shared" si="148"/>
        <v>0.57481629569262638</v>
      </c>
      <c r="V845" s="16">
        <f t="shared" si="149"/>
        <v>104.51793103448276</v>
      </c>
      <c r="W845" s="16">
        <f t="shared" si="150"/>
        <v>1167.4518965517243</v>
      </c>
      <c r="X845" s="16">
        <f t="shared" si="151"/>
        <v>167.18965517241378</v>
      </c>
      <c r="Y845" s="16">
        <f t="shared" si="152"/>
        <v>2031</v>
      </c>
      <c r="Z845" s="7" t="str" cm="1">
        <f t="array" ref="Z845">_xlfn.IFS(K845&lt;2%,"Low",K845&lt;5%,"Medium",K845&lt;10%,"Good",K845&gt;10%,"Excellent")</f>
        <v>Good</v>
      </c>
      <c r="AA845" s="16" t="str">
        <f>Data_Validation!N843</f>
        <v>Pass</v>
      </c>
    </row>
    <row r="846" spans="1:27" x14ac:dyDescent="0.35">
      <c r="A846" s="17" t="s">
        <v>117</v>
      </c>
      <c r="B846" s="3" t="s">
        <v>35</v>
      </c>
      <c r="C846" s="3" t="s">
        <v>36</v>
      </c>
      <c r="D846" s="3" t="s">
        <v>43</v>
      </c>
      <c r="E846" s="3" t="s">
        <v>38</v>
      </c>
      <c r="F846" s="3">
        <v>5555.37</v>
      </c>
      <c r="G846" s="3">
        <v>100259</v>
      </c>
      <c r="H846" s="3">
        <v>9513</v>
      </c>
      <c r="I846" s="3">
        <v>55907.03</v>
      </c>
      <c r="J846" s="3">
        <v>32</v>
      </c>
      <c r="K846" s="15">
        <f t="shared" si="143"/>
        <v>9.4884249793036043E-2</v>
      </c>
      <c r="L846" s="16">
        <f t="shared" si="153"/>
        <v>0.5839766635130873</v>
      </c>
      <c r="M846" s="16">
        <f t="shared" si="144"/>
        <v>55.410187614079533</v>
      </c>
      <c r="N846" s="16">
        <f t="shared" si="145"/>
        <v>10.063601524290911</v>
      </c>
      <c r="O846" s="16">
        <f t="shared" si="146"/>
        <v>9.0636015242909114</v>
      </c>
      <c r="P846" s="1">
        <v>2025</v>
      </c>
      <c r="Q846" s="1" t="s">
        <v>56</v>
      </c>
      <c r="R846" s="1" t="s">
        <v>40</v>
      </c>
      <c r="S846" s="70">
        <f>DATE(Table2[[#This Row],[Year]],MONTH(DATEVALUE("1-"&amp;Table2[[#This Row],[Month]]&amp;"-2000")),1)</f>
        <v>45658</v>
      </c>
      <c r="T846" s="16">
        <f t="shared" si="147"/>
        <v>5.8769084410806265</v>
      </c>
      <c r="U846" s="16">
        <f t="shared" si="148"/>
        <v>0.5576260485342962</v>
      </c>
      <c r="V846" s="16">
        <f t="shared" si="149"/>
        <v>173.6053125</v>
      </c>
      <c r="W846" s="16">
        <f t="shared" si="150"/>
        <v>1747.0946875</v>
      </c>
      <c r="X846" s="16">
        <f t="shared" si="151"/>
        <v>297.28125</v>
      </c>
      <c r="Y846" s="16">
        <f t="shared" si="152"/>
        <v>3133.09375</v>
      </c>
      <c r="Z846" s="7" t="str" cm="1">
        <f t="array" ref="Z846">_xlfn.IFS(K846&lt;2%,"Low",K846&lt;5%,"Medium",K846&lt;10%,"Good",K846&gt;10%,"Excellent")</f>
        <v>Good</v>
      </c>
      <c r="AA846" s="16" t="str">
        <f>Data_Validation!N844</f>
        <v>Pass</v>
      </c>
    </row>
    <row r="847" spans="1:27" x14ac:dyDescent="0.35">
      <c r="A847" s="17" t="s">
        <v>78</v>
      </c>
      <c r="B847" s="3" t="s">
        <v>19</v>
      </c>
      <c r="C847" s="3" t="s">
        <v>29</v>
      </c>
      <c r="D847" s="3" t="s">
        <v>21</v>
      </c>
      <c r="E847" s="3" t="s">
        <v>30</v>
      </c>
      <c r="F847" s="3">
        <v>27667.47</v>
      </c>
      <c r="G847" s="3">
        <v>797042</v>
      </c>
      <c r="H847" s="3">
        <v>18412</v>
      </c>
      <c r="I847" s="3">
        <v>118909.4</v>
      </c>
      <c r="J847" s="3">
        <v>52</v>
      </c>
      <c r="K847" s="15">
        <f t="shared" si="143"/>
        <v>2.3100413779951371E-2</v>
      </c>
      <c r="L847" s="16">
        <f t="shared" si="153"/>
        <v>1.5026868346730393</v>
      </c>
      <c r="M847" s="16">
        <f t="shared" si="144"/>
        <v>34.71268766263259</v>
      </c>
      <c r="N847" s="16">
        <f t="shared" si="145"/>
        <v>4.2978053287850315</v>
      </c>
      <c r="O847" s="16">
        <f t="shared" si="146"/>
        <v>3.2978053287850311</v>
      </c>
      <c r="P847" s="1">
        <v>2025</v>
      </c>
      <c r="Q847" s="1" t="s">
        <v>56</v>
      </c>
      <c r="R847" s="1" t="s">
        <v>40</v>
      </c>
      <c r="S847" s="70">
        <f>DATE(Table2[[#This Row],[Year]],MONTH(DATEVALUE("1-"&amp;Table2[[#This Row],[Month]]&amp;"-2000")),1)</f>
        <v>45658</v>
      </c>
      <c r="T847" s="16">
        <f t="shared" si="147"/>
        <v>6.4582554855529004</v>
      </c>
      <c r="U847" s="16">
        <f t="shared" si="148"/>
        <v>0.14918837401291274</v>
      </c>
      <c r="V847" s="16">
        <f t="shared" si="149"/>
        <v>532.06673076923084</v>
      </c>
      <c r="W847" s="16">
        <f t="shared" si="150"/>
        <v>2286.7192307692308</v>
      </c>
      <c r="X847" s="16">
        <f t="shared" si="151"/>
        <v>354.07692307692309</v>
      </c>
      <c r="Y847" s="16">
        <f t="shared" si="152"/>
        <v>15327.73076923077</v>
      </c>
      <c r="Z847" s="7" t="str" cm="1">
        <f t="array" ref="Z847">_xlfn.IFS(K847&lt;2%,"Low",K847&lt;5%,"Medium",K847&lt;10%,"Good",K847&gt;10%,"Excellent")</f>
        <v>Medium</v>
      </c>
      <c r="AA847" s="16" t="str">
        <f>Data_Validation!N845</f>
        <v>Pass</v>
      </c>
    </row>
    <row r="848" spans="1:27" x14ac:dyDescent="0.35">
      <c r="A848" s="17" t="s">
        <v>106</v>
      </c>
      <c r="B848" s="3" t="s">
        <v>35</v>
      </c>
      <c r="C848" s="3" t="s">
        <v>20</v>
      </c>
      <c r="D848" s="3" t="s">
        <v>43</v>
      </c>
      <c r="E848" s="3" t="s">
        <v>38</v>
      </c>
      <c r="F848" s="3">
        <v>1956.45</v>
      </c>
      <c r="G848" s="3">
        <v>793790</v>
      </c>
      <c r="H848" s="3">
        <v>27330</v>
      </c>
      <c r="I848" s="3">
        <v>48031.82</v>
      </c>
      <c r="J848" s="3">
        <v>14</v>
      </c>
      <c r="K848" s="15">
        <f t="shared" si="143"/>
        <v>3.4429761019917106E-2</v>
      </c>
      <c r="L848" s="16">
        <f t="shared" si="153"/>
        <v>7.158616904500549E-2</v>
      </c>
      <c r="M848" s="16">
        <f t="shared" si="144"/>
        <v>2.4646946925509265</v>
      </c>
      <c r="N848" s="16">
        <f t="shared" si="145"/>
        <v>24.550497073781592</v>
      </c>
      <c r="O848" s="16">
        <f t="shared" si="146"/>
        <v>23.550497073781596</v>
      </c>
      <c r="P848" s="1">
        <v>2025</v>
      </c>
      <c r="Q848" s="1" t="s">
        <v>56</v>
      </c>
      <c r="R848" s="1" t="s">
        <v>40</v>
      </c>
      <c r="S848" s="70">
        <f>DATE(Table2[[#This Row],[Year]],MONTH(DATEVALUE("1-"&amp;Table2[[#This Row],[Month]]&amp;"-2000")),1)</f>
        <v>45658</v>
      </c>
      <c r="T848" s="16">
        <f t="shared" si="147"/>
        <v>1.7574760336626418</v>
      </c>
      <c r="U848" s="16">
        <f t="shared" si="148"/>
        <v>6.0509479837236549E-2</v>
      </c>
      <c r="V848" s="16">
        <f t="shared" si="149"/>
        <v>139.74642857142857</v>
      </c>
      <c r="W848" s="16">
        <f t="shared" si="150"/>
        <v>3430.8442857142859</v>
      </c>
      <c r="X848" s="16">
        <f t="shared" si="151"/>
        <v>1952.1428571428571</v>
      </c>
      <c r="Y848" s="16">
        <f t="shared" si="152"/>
        <v>56699.285714285717</v>
      </c>
      <c r="Z848" s="7" t="str" cm="1">
        <f t="array" ref="Z848">_xlfn.IFS(K848&lt;2%,"Low",K848&lt;5%,"Medium",K848&lt;10%,"Good",K848&gt;10%,"Excellent")</f>
        <v>Medium</v>
      </c>
      <c r="AA848" s="16" t="str">
        <f>Data_Validation!N846</f>
        <v>Pass</v>
      </c>
    </row>
    <row r="849" spans="1:27" x14ac:dyDescent="0.35">
      <c r="A849" s="17" t="s">
        <v>100</v>
      </c>
      <c r="B849" s="3" t="s">
        <v>28</v>
      </c>
      <c r="C849" s="3" t="s">
        <v>20</v>
      </c>
      <c r="D849" s="3" t="s">
        <v>59</v>
      </c>
      <c r="E849" s="3" t="s">
        <v>22</v>
      </c>
      <c r="F849" s="3">
        <v>473.24</v>
      </c>
      <c r="G849" s="3">
        <v>29535</v>
      </c>
      <c r="H849" s="3">
        <v>33338</v>
      </c>
      <c r="I849" s="3">
        <v>159748.49</v>
      </c>
      <c r="J849" s="3">
        <v>46</v>
      </c>
      <c r="K849" s="15">
        <f t="shared" si="143"/>
        <v>1.1287624851870661</v>
      </c>
      <c r="L849" s="16">
        <f t="shared" si="153"/>
        <v>1.4195212670226168E-2</v>
      </c>
      <c r="M849" s="16">
        <f t="shared" si="144"/>
        <v>16.023023531403418</v>
      </c>
      <c r="N849" s="16">
        <f t="shared" si="145"/>
        <v>337.56337165074802</v>
      </c>
      <c r="O849" s="16">
        <f t="shared" si="146"/>
        <v>336.56337165074802</v>
      </c>
      <c r="P849" s="1">
        <v>2025</v>
      </c>
      <c r="Q849" s="1" t="s">
        <v>56</v>
      </c>
      <c r="R849" s="1" t="s">
        <v>40</v>
      </c>
      <c r="S849" s="70">
        <f>DATE(Table2[[#This Row],[Year]],MONTH(DATEVALUE("1-"&amp;Table2[[#This Row],[Month]]&amp;"-2000")),1)</f>
        <v>45658</v>
      </c>
      <c r="T849" s="16">
        <f t="shared" si="147"/>
        <v>4.7917838502609635</v>
      </c>
      <c r="U849" s="16">
        <f t="shared" si="148"/>
        <v>5.4087858472998134</v>
      </c>
      <c r="V849" s="16">
        <f t="shared" si="149"/>
        <v>10.287826086956523</v>
      </c>
      <c r="W849" s="16">
        <f t="shared" si="150"/>
        <v>3472.7932608695651</v>
      </c>
      <c r="X849" s="16">
        <f t="shared" si="151"/>
        <v>724.73913043478262</v>
      </c>
      <c r="Y849" s="16">
        <f t="shared" si="152"/>
        <v>642.06521739130437</v>
      </c>
      <c r="Z849" s="7" t="str" cm="1">
        <f t="array" ref="Z849">_xlfn.IFS(K849&lt;2%,"Low",K849&lt;5%,"Medium",K849&lt;10%,"Good",K849&gt;10%,"Excellent")</f>
        <v>Excellent</v>
      </c>
      <c r="AA849" s="16" t="str">
        <f>Data_Validation!N847</f>
        <v>Fail</v>
      </c>
    </row>
    <row r="850" spans="1:27" x14ac:dyDescent="0.35">
      <c r="A850" s="17" t="s">
        <v>94</v>
      </c>
      <c r="B850" s="3" t="s">
        <v>35</v>
      </c>
      <c r="C850" s="3" t="s">
        <v>20</v>
      </c>
      <c r="D850" s="3" t="s">
        <v>59</v>
      </c>
      <c r="E850" s="3" t="s">
        <v>38</v>
      </c>
      <c r="F850" s="3">
        <v>50105.63</v>
      </c>
      <c r="G850" s="3">
        <v>642829</v>
      </c>
      <c r="H850" s="3">
        <v>8704</v>
      </c>
      <c r="I850" s="3">
        <v>92965.84</v>
      </c>
      <c r="J850" s="3">
        <v>57</v>
      </c>
      <c r="K850" s="15">
        <f t="shared" si="143"/>
        <v>1.3540148313159488E-2</v>
      </c>
      <c r="L850" s="16">
        <f t="shared" si="153"/>
        <v>5.7566210937499998</v>
      </c>
      <c r="M850" s="16">
        <f t="shared" si="144"/>
        <v>77.945503392037381</v>
      </c>
      <c r="N850" s="16">
        <f t="shared" si="145"/>
        <v>1.8553970881116553</v>
      </c>
      <c r="O850" s="16">
        <f t="shared" si="146"/>
        <v>0.85539708811165538</v>
      </c>
      <c r="P850" s="1">
        <v>2025</v>
      </c>
      <c r="Q850" s="1" t="s">
        <v>56</v>
      </c>
      <c r="R850" s="1" t="s">
        <v>40</v>
      </c>
      <c r="S850" s="70">
        <f>DATE(Table2[[#This Row],[Year]],MONTH(DATEVALUE("1-"&amp;Table2[[#This Row],[Month]]&amp;"-2000")),1)</f>
        <v>45658</v>
      </c>
      <c r="T850" s="16">
        <f t="shared" si="147"/>
        <v>10.680818014705881</v>
      </c>
      <c r="U850" s="16">
        <f t="shared" si="148"/>
        <v>0.14461986002498331</v>
      </c>
      <c r="V850" s="16">
        <f t="shared" si="149"/>
        <v>879.04614035087718</v>
      </c>
      <c r="W850" s="16">
        <f t="shared" si="150"/>
        <v>1630.9796491228069</v>
      </c>
      <c r="X850" s="16">
        <f t="shared" si="151"/>
        <v>152.7017543859649</v>
      </c>
      <c r="Y850" s="16">
        <f t="shared" si="152"/>
        <v>11277.701754385966</v>
      </c>
      <c r="Z850" s="7" t="str" cm="1">
        <f t="array" ref="Z850">_xlfn.IFS(K850&lt;2%,"Low",K850&lt;5%,"Medium",K850&lt;10%,"Good",K850&gt;10%,"Excellent")</f>
        <v>Low</v>
      </c>
      <c r="AA850" s="16" t="str">
        <f>Data_Validation!N848</f>
        <v>Pass</v>
      </c>
    </row>
    <row r="851" spans="1:27" x14ac:dyDescent="0.35">
      <c r="A851" s="17" t="s">
        <v>83</v>
      </c>
      <c r="B851" s="3" t="s">
        <v>35</v>
      </c>
      <c r="C851" s="3" t="s">
        <v>29</v>
      </c>
      <c r="D851" s="3" t="s">
        <v>37</v>
      </c>
      <c r="E851" s="3" t="s">
        <v>30</v>
      </c>
      <c r="F851" s="3">
        <v>10790.26</v>
      </c>
      <c r="G851" s="3">
        <v>239448</v>
      </c>
      <c r="H851" s="3">
        <v>32058</v>
      </c>
      <c r="I851" s="3">
        <v>61778.73</v>
      </c>
      <c r="J851" s="3">
        <v>52</v>
      </c>
      <c r="K851" s="15">
        <f t="shared" si="143"/>
        <v>0.13388293074070362</v>
      </c>
      <c r="L851" s="16">
        <f t="shared" si="153"/>
        <v>0.33658556366585562</v>
      </c>
      <c r="M851" s="16">
        <f t="shared" si="144"/>
        <v>45.063061708596443</v>
      </c>
      <c r="N851" s="16">
        <f t="shared" si="145"/>
        <v>5.7254162550299998</v>
      </c>
      <c r="O851" s="16">
        <f t="shared" si="146"/>
        <v>4.725416255029999</v>
      </c>
      <c r="P851" s="1">
        <v>2025</v>
      </c>
      <c r="Q851" s="1" t="s">
        <v>56</v>
      </c>
      <c r="R851" s="1" t="s">
        <v>40</v>
      </c>
      <c r="S851" s="70">
        <f>DATE(Table2[[#This Row],[Year]],MONTH(DATEVALUE("1-"&amp;Table2[[#This Row],[Month]]&amp;"-2000")),1)</f>
        <v>45658</v>
      </c>
      <c r="T851" s="16">
        <f t="shared" si="147"/>
        <v>1.9270924574209247</v>
      </c>
      <c r="U851" s="16">
        <f t="shared" si="148"/>
        <v>0.25800478600781801</v>
      </c>
      <c r="V851" s="16">
        <f t="shared" si="149"/>
        <v>207.505</v>
      </c>
      <c r="W851" s="16">
        <f t="shared" si="150"/>
        <v>1188.0525</v>
      </c>
      <c r="X851" s="16">
        <f t="shared" si="151"/>
        <v>616.5</v>
      </c>
      <c r="Y851" s="16">
        <f t="shared" si="152"/>
        <v>4604.7692307692305</v>
      </c>
      <c r="Z851" s="7" t="str" cm="1">
        <f t="array" ref="Z851">_xlfn.IFS(K851&lt;2%,"Low",K851&lt;5%,"Medium",K851&lt;10%,"Good",K851&gt;10%,"Excellent")</f>
        <v>Excellent</v>
      </c>
      <c r="AA851" s="16" t="str">
        <f>Data_Validation!N849</f>
        <v>Pass</v>
      </c>
    </row>
    <row r="852" spans="1:27" x14ac:dyDescent="0.35">
      <c r="A852" s="17" t="s">
        <v>85</v>
      </c>
      <c r="B852" s="3" t="s">
        <v>48</v>
      </c>
      <c r="C852" s="3" t="s">
        <v>36</v>
      </c>
      <c r="D852" s="3" t="s">
        <v>21</v>
      </c>
      <c r="E852" s="3" t="s">
        <v>22</v>
      </c>
      <c r="F852" s="3">
        <v>19664.54</v>
      </c>
      <c r="G852" s="3">
        <v>712448</v>
      </c>
      <c r="H852" s="3">
        <v>48272</v>
      </c>
      <c r="I852" s="3">
        <v>203633.58</v>
      </c>
      <c r="J852" s="3">
        <v>27</v>
      </c>
      <c r="K852" s="15">
        <f t="shared" si="143"/>
        <v>6.775512037369745E-2</v>
      </c>
      <c r="L852" s="16">
        <f t="shared" si="153"/>
        <v>0.40736948955916474</v>
      </c>
      <c r="M852" s="16">
        <f t="shared" si="144"/>
        <v>27.601368801652896</v>
      </c>
      <c r="N852" s="16">
        <f t="shared" si="145"/>
        <v>10.355369614544758</v>
      </c>
      <c r="O852" s="16">
        <f t="shared" si="146"/>
        <v>9.3553696145447578</v>
      </c>
      <c r="P852" s="1">
        <v>2025</v>
      </c>
      <c r="Q852" s="1" t="s">
        <v>56</v>
      </c>
      <c r="R852" s="1" t="s">
        <v>40</v>
      </c>
      <c r="S852" s="70">
        <f>DATE(Table2[[#This Row],[Year]],MONTH(DATEVALUE("1-"&amp;Table2[[#This Row],[Month]]&amp;"-2000")),1)</f>
        <v>45658</v>
      </c>
      <c r="T852" s="16">
        <f t="shared" si="147"/>
        <v>4.2184616340735825</v>
      </c>
      <c r="U852" s="16">
        <f t="shared" si="148"/>
        <v>0.28582237580848002</v>
      </c>
      <c r="V852" s="16">
        <f t="shared" si="149"/>
        <v>728.31629629629629</v>
      </c>
      <c r="W852" s="16">
        <f t="shared" si="150"/>
        <v>7541.9844444444443</v>
      </c>
      <c r="X852" s="16">
        <f t="shared" si="151"/>
        <v>1787.851851851852</v>
      </c>
      <c r="Y852" s="16">
        <f t="shared" si="152"/>
        <v>26386.962962962964</v>
      </c>
      <c r="Z852" s="7" t="str" cm="1">
        <f t="array" ref="Z852">_xlfn.IFS(K852&lt;2%,"Low",K852&lt;5%,"Medium",K852&lt;10%,"Good",K852&gt;10%,"Excellent")</f>
        <v>Good</v>
      </c>
      <c r="AA852" s="16" t="str">
        <f>Data_Validation!N850</f>
        <v>Pass</v>
      </c>
    </row>
    <row r="853" spans="1:27" x14ac:dyDescent="0.35">
      <c r="A853" s="17" t="s">
        <v>109</v>
      </c>
      <c r="B853" s="3" t="s">
        <v>35</v>
      </c>
      <c r="C853" s="3" t="s">
        <v>58</v>
      </c>
      <c r="D853" s="3" t="s">
        <v>43</v>
      </c>
      <c r="E853" s="3" t="s">
        <v>22</v>
      </c>
      <c r="F853" s="3">
        <v>15989.97</v>
      </c>
      <c r="G853" s="3">
        <v>488472</v>
      </c>
      <c r="H853" s="3">
        <v>22826</v>
      </c>
      <c r="I853" s="3">
        <v>176577.55</v>
      </c>
      <c r="J853" s="3">
        <v>11</v>
      </c>
      <c r="K853" s="15">
        <f t="shared" si="143"/>
        <v>4.6729392882294177E-2</v>
      </c>
      <c r="L853" s="16">
        <f t="shared" si="153"/>
        <v>0.70051564005958111</v>
      </c>
      <c r="M853" s="16">
        <f t="shared" si="144"/>
        <v>32.734670564535939</v>
      </c>
      <c r="N853" s="16">
        <f t="shared" si="145"/>
        <v>11.043019467828895</v>
      </c>
      <c r="O853" s="16">
        <f t="shared" si="146"/>
        <v>10.043019467828895</v>
      </c>
      <c r="P853" s="1">
        <v>2025</v>
      </c>
      <c r="Q853" s="1" t="s">
        <v>56</v>
      </c>
      <c r="R853" s="1" t="s">
        <v>40</v>
      </c>
      <c r="S853" s="70">
        <f>DATE(Table2[[#This Row],[Year]],MONTH(DATEVALUE("1-"&amp;Table2[[#This Row],[Month]]&amp;"-2000")),1)</f>
        <v>45658</v>
      </c>
      <c r="T853" s="16">
        <f t="shared" si="147"/>
        <v>7.735807850696574</v>
      </c>
      <c r="U853" s="16">
        <f t="shared" si="148"/>
        <v>0.36148960431713584</v>
      </c>
      <c r="V853" s="16">
        <f t="shared" si="149"/>
        <v>1453.6336363636362</v>
      </c>
      <c r="W853" s="16">
        <f t="shared" si="150"/>
        <v>16052.504545454545</v>
      </c>
      <c r="X853" s="16">
        <f t="shared" si="151"/>
        <v>2075.090909090909</v>
      </c>
      <c r="Y853" s="16">
        <f t="shared" si="152"/>
        <v>44406.545454545456</v>
      </c>
      <c r="Z853" s="7" t="str" cm="1">
        <f t="array" ref="Z853">_xlfn.IFS(K853&lt;2%,"Low",K853&lt;5%,"Medium",K853&lt;10%,"Good",K853&gt;10%,"Excellent")</f>
        <v>Medium</v>
      </c>
      <c r="AA853" s="16" t="str">
        <f>Data_Validation!N851</f>
        <v>Pass</v>
      </c>
    </row>
    <row r="854" spans="1:27" x14ac:dyDescent="0.35">
      <c r="A854" s="17" t="s">
        <v>71</v>
      </c>
      <c r="B854" s="3" t="s">
        <v>28</v>
      </c>
      <c r="C854" s="3" t="s">
        <v>69</v>
      </c>
      <c r="D854" s="3" t="s">
        <v>37</v>
      </c>
      <c r="E854" s="3" t="s">
        <v>22</v>
      </c>
      <c r="F854" s="3">
        <v>2939.93</v>
      </c>
      <c r="G854" s="3">
        <v>835198</v>
      </c>
      <c r="H854" s="3">
        <v>49939</v>
      </c>
      <c r="I854" s="3">
        <v>14703.83</v>
      </c>
      <c r="J854" s="3">
        <v>27</v>
      </c>
      <c r="K854" s="15">
        <f t="shared" si="143"/>
        <v>5.9793007167162758E-2</v>
      </c>
      <c r="L854" s="16">
        <f t="shared" si="153"/>
        <v>5.8870421914735974E-2</v>
      </c>
      <c r="M854" s="16">
        <f t="shared" si="144"/>
        <v>3.5200395594817038</v>
      </c>
      <c r="N854" s="16">
        <f t="shared" si="145"/>
        <v>5.0014218025599249</v>
      </c>
      <c r="O854" s="16">
        <f t="shared" si="146"/>
        <v>4.0014218025599249</v>
      </c>
      <c r="P854" s="1">
        <v>2025</v>
      </c>
      <c r="Q854" s="1" t="s">
        <v>56</v>
      </c>
      <c r="R854" s="1" t="s">
        <v>40</v>
      </c>
      <c r="S854" s="70">
        <f>DATE(Table2[[#This Row],[Year]],MONTH(DATEVALUE("1-"&amp;Table2[[#This Row],[Month]]&amp;"-2000")),1)</f>
        <v>45658</v>
      </c>
      <c r="T854" s="16">
        <f t="shared" si="147"/>
        <v>0.29443581169026212</v>
      </c>
      <c r="U854" s="16">
        <f t="shared" si="148"/>
        <v>1.7605202598665225E-2</v>
      </c>
      <c r="V854" s="16">
        <f t="shared" si="149"/>
        <v>108.88629629629629</v>
      </c>
      <c r="W854" s="16">
        <f t="shared" si="150"/>
        <v>544.58629629629627</v>
      </c>
      <c r="X854" s="16">
        <f t="shared" si="151"/>
        <v>1849.5925925925926</v>
      </c>
      <c r="Y854" s="16">
        <f t="shared" si="152"/>
        <v>30933.259259259259</v>
      </c>
      <c r="Z854" s="7" t="str" cm="1">
        <f t="array" ref="Z854">_xlfn.IFS(K854&lt;2%,"Low",K854&lt;5%,"Medium",K854&lt;10%,"Good",K854&gt;10%,"Excellent")</f>
        <v>Good</v>
      </c>
      <c r="AA854" s="16" t="str">
        <f>Data_Validation!N852</f>
        <v>Pass</v>
      </c>
    </row>
    <row r="855" spans="1:27" x14ac:dyDescent="0.35">
      <c r="A855" s="17" t="s">
        <v>64</v>
      </c>
      <c r="B855" s="3" t="s">
        <v>48</v>
      </c>
      <c r="C855" s="3" t="s">
        <v>69</v>
      </c>
      <c r="D855" s="3" t="s">
        <v>21</v>
      </c>
      <c r="E855" s="3" t="s">
        <v>22</v>
      </c>
      <c r="F855" s="3">
        <v>35443.89</v>
      </c>
      <c r="G855" s="3">
        <v>188501</v>
      </c>
      <c r="H855" s="3">
        <v>20751</v>
      </c>
      <c r="I855" s="3">
        <v>171953.41</v>
      </c>
      <c r="J855" s="3">
        <v>25</v>
      </c>
      <c r="K855" s="15">
        <f t="shared" si="143"/>
        <v>0.11008429663503111</v>
      </c>
      <c r="L855" s="16">
        <f t="shared" si="153"/>
        <v>1.7080569611103078</v>
      </c>
      <c r="M855" s="16">
        <f t="shared" si="144"/>
        <v>188.03024917639692</v>
      </c>
      <c r="N855" s="16">
        <f t="shared" si="145"/>
        <v>4.8514260144696308</v>
      </c>
      <c r="O855" s="16">
        <f t="shared" si="146"/>
        <v>3.8514260144696313</v>
      </c>
      <c r="P855" s="1">
        <v>2025</v>
      </c>
      <c r="Q855" s="1" t="s">
        <v>56</v>
      </c>
      <c r="R855" s="1" t="s">
        <v>40</v>
      </c>
      <c r="S855" s="70">
        <f>DATE(Table2[[#This Row],[Year]],MONTH(DATEVALUE("1-"&amp;Table2[[#This Row],[Month]]&amp;"-2000")),1)</f>
        <v>45658</v>
      </c>
      <c r="T855" s="16">
        <f t="shared" si="147"/>
        <v>8.2865119753264906</v>
      </c>
      <c r="U855" s="16">
        <f t="shared" si="148"/>
        <v>0.91221484236157901</v>
      </c>
      <c r="V855" s="16">
        <f t="shared" si="149"/>
        <v>1417.7556</v>
      </c>
      <c r="W855" s="16">
        <f t="shared" si="150"/>
        <v>6878.1364000000003</v>
      </c>
      <c r="X855" s="16">
        <f t="shared" si="151"/>
        <v>830.04</v>
      </c>
      <c r="Y855" s="16">
        <f t="shared" si="152"/>
        <v>7540.04</v>
      </c>
      <c r="Z855" s="7" t="str" cm="1">
        <f t="array" ref="Z855">_xlfn.IFS(K855&lt;2%,"Low",K855&lt;5%,"Medium",K855&lt;10%,"Good",K855&gt;10%,"Excellent")</f>
        <v>Excellent</v>
      </c>
      <c r="AA855" s="16" t="str">
        <f>Data_Validation!N853</f>
        <v>Pass</v>
      </c>
    </row>
    <row r="856" spans="1:27" x14ac:dyDescent="0.35">
      <c r="A856" s="17" t="s">
        <v>90</v>
      </c>
      <c r="B856" s="3" t="s">
        <v>28</v>
      </c>
      <c r="C856" s="3" t="s">
        <v>36</v>
      </c>
      <c r="D856" s="3" t="s">
        <v>37</v>
      </c>
      <c r="E856" s="3" t="s">
        <v>22</v>
      </c>
      <c r="F856" s="3">
        <v>21783.4</v>
      </c>
      <c r="G856" s="3">
        <v>259825</v>
      </c>
      <c r="H856" s="3">
        <v>42714</v>
      </c>
      <c r="I856" s="3">
        <v>72607</v>
      </c>
      <c r="J856" s="3">
        <v>55</v>
      </c>
      <c r="K856" s="15">
        <f t="shared" si="143"/>
        <v>0.16439526604445301</v>
      </c>
      <c r="L856" s="16">
        <f t="shared" si="153"/>
        <v>0.50998267546940113</v>
      </c>
      <c r="M856" s="16">
        <f t="shared" si="144"/>
        <v>83.838737611854128</v>
      </c>
      <c r="N856" s="16">
        <f t="shared" si="145"/>
        <v>3.3331344050974594</v>
      </c>
      <c r="O856" s="16">
        <f t="shared" si="146"/>
        <v>2.3331344050974594</v>
      </c>
      <c r="P856" s="1">
        <v>2025</v>
      </c>
      <c r="Q856" s="1" t="s">
        <v>56</v>
      </c>
      <c r="R856" s="1" t="s">
        <v>40</v>
      </c>
      <c r="S856" s="70">
        <f>DATE(Table2[[#This Row],[Year]],MONTH(DATEVALUE("1-"&amp;Table2[[#This Row],[Month]]&amp;"-2000")),1)</f>
        <v>45658</v>
      </c>
      <c r="T856" s="16">
        <f t="shared" si="147"/>
        <v>1.6998408016107132</v>
      </c>
      <c r="U856" s="16">
        <f t="shared" si="148"/>
        <v>0.27944578081400945</v>
      </c>
      <c r="V856" s="16">
        <f t="shared" si="149"/>
        <v>396.06181818181818</v>
      </c>
      <c r="W856" s="16">
        <f t="shared" si="150"/>
        <v>1320.1272727272728</v>
      </c>
      <c r="X856" s="16">
        <f t="shared" si="151"/>
        <v>776.61818181818182</v>
      </c>
      <c r="Y856" s="16">
        <f t="shared" si="152"/>
        <v>4724.090909090909</v>
      </c>
      <c r="Z856" s="7" t="str" cm="1">
        <f t="array" ref="Z856">_xlfn.IFS(K856&lt;2%,"Low",K856&lt;5%,"Medium",K856&lt;10%,"Good",K856&gt;10%,"Excellent")</f>
        <v>Excellent</v>
      </c>
      <c r="AA856" s="16" t="str">
        <f>Data_Validation!N854</f>
        <v>Pass</v>
      </c>
    </row>
    <row r="857" spans="1:27" x14ac:dyDescent="0.35">
      <c r="A857" s="17" t="s">
        <v>98</v>
      </c>
      <c r="B857" s="3" t="s">
        <v>48</v>
      </c>
      <c r="C857" s="3" t="s">
        <v>20</v>
      </c>
      <c r="D857" s="3" t="s">
        <v>43</v>
      </c>
      <c r="E857" s="3" t="s">
        <v>38</v>
      </c>
      <c r="F857" s="3">
        <v>363.99</v>
      </c>
      <c r="G857" s="3">
        <v>462376</v>
      </c>
      <c r="H857" s="3">
        <v>1668</v>
      </c>
      <c r="I857" s="3">
        <v>174061.41</v>
      </c>
      <c r="J857" s="3">
        <v>12</v>
      </c>
      <c r="K857" s="15">
        <f t="shared" si="143"/>
        <v>3.607453674066128E-3</v>
      </c>
      <c r="L857" s="16">
        <f t="shared" si="153"/>
        <v>0.21821942446043166</v>
      </c>
      <c r="M857" s="16">
        <f t="shared" si="144"/>
        <v>0.78721646452238003</v>
      </c>
      <c r="N857" s="16">
        <f t="shared" si="145"/>
        <v>478.20382428088686</v>
      </c>
      <c r="O857" s="16">
        <f t="shared" si="146"/>
        <v>477.20382428088686</v>
      </c>
      <c r="P857" s="1">
        <v>2025</v>
      </c>
      <c r="Q857" s="1" t="s">
        <v>56</v>
      </c>
      <c r="R857" s="1" t="s">
        <v>40</v>
      </c>
      <c r="S857" s="70">
        <f>DATE(Table2[[#This Row],[Year]],MONTH(DATEVALUE("1-"&amp;Table2[[#This Row],[Month]]&amp;"-2000")),1)</f>
        <v>45658</v>
      </c>
      <c r="T857" s="16">
        <f t="shared" si="147"/>
        <v>104.35336330935252</v>
      </c>
      <c r="U857" s="16">
        <f t="shared" si="148"/>
        <v>0.37644992387148124</v>
      </c>
      <c r="V857" s="16">
        <f t="shared" si="149"/>
        <v>30.3325</v>
      </c>
      <c r="W857" s="16">
        <f t="shared" si="150"/>
        <v>14505.1175</v>
      </c>
      <c r="X857" s="16">
        <f t="shared" si="151"/>
        <v>139</v>
      </c>
      <c r="Y857" s="16">
        <f t="shared" si="152"/>
        <v>38531.333333333336</v>
      </c>
      <c r="Z857" s="7" t="str" cm="1">
        <f t="array" ref="Z857">_xlfn.IFS(K857&lt;2%,"Low",K857&lt;5%,"Medium",K857&lt;10%,"Good",K857&gt;10%,"Excellent")</f>
        <v>Low</v>
      </c>
      <c r="AA857" s="16" t="str">
        <f>Data_Validation!N855</f>
        <v>Pass</v>
      </c>
    </row>
    <row r="858" spans="1:27" x14ac:dyDescent="0.35">
      <c r="A858" s="17" t="s">
        <v>62</v>
      </c>
      <c r="B858" s="3" t="s">
        <v>48</v>
      </c>
      <c r="C858" s="3" t="s">
        <v>20</v>
      </c>
      <c r="D858" s="3" t="s">
        <v>21</v>
      </c>
      <c r="E858" s="3" t="s">
        <v>22</v>
      </c>
      <c r="F858" s="3">
        <v>24638.75</v>
      </c>
      <c r="G858" s="3">
        <v>459245</v>
      </c>
      <c r="H858" s="3">
        <v>38342</v>
      </c>
      <c r="I858" s="3">
        <v>102853.12</v>
      </c>
      <c r="J858" s="3">
        <v>41</v>
      </c>
      <c r="K858" s="15">
        <f t="shared" si="143"/>
        <v>8.3489205108384409E-2</v>
      </c>
      <c r="L858" s="16">
        <f t="shared" si="153"/>
        <v>0.64260471545563613</v>
      </c>
      <c r="M858" s="16">
        <f t="shared" si="144"/>
        <v>53.650556892290602</v>
      </c>
      <c r="N858" s="16">
        <f t="shared" si="145"/>
        <v>4.174445538024453</v>
      </c>
      <c r="O858" s="16">
        <f t="shared" si="146"/>
        <v>3.174445538024453</v>
      </c>
      <c r="P858" s="1">
        <v>2025</v>
      </c>
      <c r="Q858" s="1" t="s">
        <v>39</v>
      </c>
      <c r="R858" s="1" t="s">
        <v>40</v>
      </c>
      <c r="S858" s="70">
        <f>DATE(Table2[[#This Row],[Year]],MONTH(DATEVALUE("1-"&amp;Table2[[#This Row],[Month]]&amp;"-2000")),1)</f>
        <v>45689</v>
      </c>
      <c r="T858" s="16">
        <f t="shared" si="147"/>
        <v>2.6825183871472533</v>
      </c>
      <c r="U858" s="16">
        <f t="shared" si="148"/>
        <v>0.22396132783154959</v>
      </c>
      <c r="V858" s="16">
        <f t="shared" si="149"/>
        <v>600.94512195121956</v>
      </c>
      <c r="W858" s="16">
        <f t="shared" si="150"/>
        <v>2508.6126829268292</v>
      </c>
      <c r="X858" s="16">
        <f t="shared" si="151"/>
        <v>935.17073170731703</v>
      </c>
      <c r="Y858" s="16">
        <f t="shared" si="152"/>
        <v>11201.09756097561</v>
      </c>
      <c r="Z858" s="7" t="str" cm="1">
        <f t="array" ref="Z858">_xlfn.IFS(K858&lt;2%,"Low",K858&lt;5%,"Medium",K858&lt;10%,"Good",K858&gt;10%,"Excellent")</f>
        <v>Good</v>
      </c>
      <c r="AA858" s="16" t="str">
        <f>Data_Validation!N856</f>
        <v>Pass</v>
      </c>
    </row>
    <row r="859" spans="1:27" x14ac:dyDescent="0.35">
      <c r="A859" s="17" t="s">
        <v>96</v>
      </c>
      <c r="B859" s="3" t="s">
        <v>19</v>
      </c>
      <c r="C859" s="3" t="s">
        <v>69</v>
      </c>
      <c r="D859" s="3" t="s">
        <v>51</v>
      </c>
      <c r="E859" s="3" t="s">
        <v>30</v>
      </c>
      <c r="F859" s="3">
        <v>6024.15</v>
      </c>
      <c r="G859" s="3">
        <v>594572</v>
      </c>
      <c r="H859" s="3">
        <v>16989</v>
      </c>
      <c r="I859" s="3">
        <v>89314.37</v>
      </c>
      <c r="J859" s="3">
        <v>27</v>
      </c>
      <c r="K859" s="15">
        <f t="shared" si="143"/>
        <v>2.8573494883714672E-2</v>
      </c>
      <c r="L859" s="16">
        <f t="shared" si="153"/>
        <v>0.35459120607451877</v>
      </c>
      <c r="M859" s="16">
        <f t="shared" si="144"/>
        <v>10.131910012580477</v>
      </c>
      <c r="N859" s="16">
        <f t="shared" si="145"/>
        <v>14.826053468124133</v>
      </c>
      <c r="O859" s="16">
        <f t="shared" si="146"/>
        <v>13.826053468124135</v>
      </c>
      <c r="P859" s="1">
        <v>2025</v>
      </c>
      <c r="Q859" s="1" t="s">
        <v>39</v>
      </c>
      <c r="R859" s="1" t="s">
        <v>40</v>
      </c>
      <c r="S859" s="70">
        <f>DATE(Table2[[#This Row],[Year]],MONTH(DATEVALUE("1-"&amp;Table2[[#This Row],[Month]]&amp;"-2000")),1)</f>
        <v>45689</v>
      </c>
      <c r="T859" s="16">
        <f t="shared" si="147"/>
        <v>5.2571881805874385</v>
      </c>
      <c r="U859" s="16">
        <f t="shared" si="148"/>
        <v>0.15021623958074043</v>
      </c>
      <c r="V859" s="16">
        <f t="shared" si="149"/>
        <v>223.11666666666665</v>
      </c>
      <c r="W859" s="16">
        <f t="shared" si="150"/>
        <v>3307.9396296296295</v>
      </c>
      <c r="X859" s="16">
        <f t="shared" si="151"/>
        <v>629.22222222222217</v>
      </c>
      <c r="Y859" s="16">
        <f t="shared" si="152"/>
        <v>22021.185185185186</v>
      </c>
      <c r="Z859" s="7" t="str" cm="1">
        <f t="array" ref="Z859">_xlfn.IFS(K859&lt;2%,"Low",K859&lt;5%,"Medium",K859&lt;10%,"Good",K859&gt;10%,"Excellent")</f>
        <v>Medium</v>
      </c>
      <c r="AA859" s="16" t="str">
        <f>Data_Validation!N857</f>
        <v>Pass</v>
      </c>
    </row>
    <row r="860" spans="1:27" x14ac:dyDescent="0.35">
      <c r="A860" s="17" t="s">
        <v>106</v>
      </c>
      <c r="B860" s="3" t="s">
        <v>35</v>
      </c>
      <c r="C860" s="3" t="s">
        <v>36</v>
      </c>
      <c r="D860" s="3" t="s">
        <v>63</v>
      </c>
      <c r="E860" s="3" t="s">
        <v>38</v>
      </c>
      <c r="F860" s="3">
        <v>39278.019999999997</v>
      </c>
      <c r="G860" s="3">
        <v>209903</v>
      </c>
      <c r="H860" s="3">
        <v>46344</v>
      </c>
      <c r="I860" s="3">
        <v>152988.34</v>
      </c>
      <c r="J860" s="3">
        <v>58</v>
      </c>
      <c r="K860" s="15">
        <f t="shared" si="143"/>
        <v>0.22078769717440913</v>
      </c>
      <c r="L860" s="16">
        <f t="shared" si="153"/>
        <v>0.84753193509407898</v>
      </c>
      <c r="M860" s="16">
        <f t="shared" si="144"/>
        <v>187.12462423119251</v>
      </c>
      <c r="N860" s="16">
        <f t="shared" si="145"/>
        <v>3.8950115102543359</v>
      </c>
      <c r="O860" s="16">
        <f t="shared" si="146"/>
        <v>2.8950115102543359</v>
      </c>
      <c r="P860" s="1">
        <v>2025</v>
      </c>
      <c r="Q860" s="1" t="s">
        <v>39</v>
      </c>
      <c r="R860" s="1" t="s">
        <v>40</v>
      </c>
      <c r="S860" s="70">
        <f>DATE(Table2[[#This Row],[Year]],MONTH(DATEVALUE("1-"&amp;Table2[[#This Row],[Month]]&amp;"-2000")),1)</f>
        <v>45689</v>
      </c>
      <c r="T860" s="16">
        <f t="shared" si="147"/>
        <v>3.3011466424995684</v>
      </c>
      <c r="U860" s="16">
        <f t="shared" si="148"/>
        <v>0.72885256523251218</v>
      </c>
      <c r="V860" s="16">
        <f t="shared" si="149"/>
        <v>677.20724137931029</v>
      </c>
      <c r="W860" s="16">
        <f t="shared" si="150"/>
        <v>2637.73</v>
      </c>
      <c r="X860" s="16">
        <f t="shared" si="151"/>
        <v>799.0344827586207</v>
      </c>
      <c r="Y860" s="16">
        <f t="shared" si="152"/>
        <v>3619.0172413793102</v>
      </c>
      <c r="Z860" s="7" t="str" cm="1">
        <f t="array" ref="Z860">_xlfn.IFS(K860&lt;2%,"Low",K860&lt;5%,"Medium",K860&lt;10%,"Good",K860&gt;10%,"Excellent")</f>
        <v>Excellent</v>
      </c>
      <c r="AA860" s="16" t="str">
        <f>Data_Validation!N858</f>
        <v>Pass</v>
      </c>
    </row>
    <row r="861" spans="1:27" x14ac:dyDescent="0.35">
      <c r="A861" s="17" t="s">
        <v>93</v>
      </c>
      <c r="B861" s="3" t="s">
        <v>48</v>
      </c>
      <c r="C861" s="3" t="s">
        <v>58</v>
      </c>
      <c r="D861" s="3" t="s">
        <v>51</v>
      </c>
      <c r="E861" s="3" t="s">
        <v>30</v>
      </c>
      <c r="F861" s="3">
        <v>1159.57</v>
      </c>
      <c r="G861" s="3">
        <v>951529</v>
      </c>
      <c r="H861" s="3">
        <v>15785</v>
      </c>
      <c r="I861" s="3">
        <v>126247.49</v>
      </c>
      <c r="J861" s="3">
        <v>31</v>
      </c>
      <c r="K861" s="15">
        <f t="shared" si="143"/>
        <v>1.658908977025398E-2</v>
      </c>
      <c r="L861" s="16">
        <f t="shared" si="153"/>
        <v>7.3460247070003162E-2</v>
      </c>
      <c r="M861" s="16">
        <f t="shared" si="144"/>
        <v>1.2186386331893195</v>
      </c>
      <c r="N861" s="16">
        <f t="shared" si="145"/>
        <v>108.87440171787819</v>
      </c>
      <c r="O861" s="16">
        <f t="shared" si="146"/>
        <v>107.87440171787819</v>
      </c>
      <c r="P861" s="1">
        <v>2025</v>
      </c>
      <c r="Q861" s="1" t="s">
        <v>39</v>
      </c>
      <c r="R861" s="1" t="s">
        <v>40</v>
      </c>
      <c r="S861" s="70">
        <f>DATE(Table2[[#This Row],[Year]],MONTH(DATEVALUE("1-"&amp;Table2[[#This Row],[Month]]&amp;"-2000")),1)</f>
        <v>45689</v>
      </c>
      <c r="T861" s="16">
        <f t="shared" si="147"/>
        <v>7.9979404497941085</v>
      </c>
      <c r="U861" s="16">
        <f t="shared" si="148"/>
        <v>0.13267855209877996</v>
      </c>
      <c r="V861" s="16">
        <f t="shared" si="149"/>
        <v>37.405483870967743</v>
      </c>
      <c r="W861" s="16">
        <f t="shared" si="150"/>
        <v>4072.4996774193551</v>
      </c>
      <c r="X861" s="16">
        <f t="shared" si="151"/>
        <v>509.19354838709677</v>
      </c>
      <c r="Y861" s="16">
        <f t="shared" si="152"/>
        <v>30694.483870967742</v>
      </c>
      <c r="Z861" s="7" t="str" cm="1">
        <f t="array" ref="Z861">_xlfn.IFS(K861&lt;2%,"Low",K861&lt;5%,"Medium",K861&lt;10%,"Good",K861&gt;10%,"Excellent")</f>
        <v>Low</v>
      </c>
      <c r="AA861" s="16" t="str">
        <f>Data_Validation!N859</f>
        <v>Pass</v>
      </c>
    </row>
    <row r="862" spans="1:27" x14ac:dyDescent="0.35">
      <c r="A862" s="17" t="s">
        <v>77</v>
      </c>
      <c r="B862" s="3" t="s">
        <v>19</v>
      </c>
      <c r="C862" s="3" t="s">
        <v>29</v>
      </c>
      <c r="D862" s="3" t="s">
        <v>37</v>
      </c>
      <c r="E862" s="3" t="s">
        <v>30</v>
      </c>
      <c r="F862" s="3">
        <v>2680.54</v>
      </c>
      <c r="G862" s="3">
        <v>537276</v>
      </c>
      <c r="H862" s="3">
        <v>34907</v>
      </c>
      <c r="I862" s="3">
        <v>43571.02</v>
      </c>
      <c r="J862" s="3">
        <v>26</v>
      </c>
      <c r="K862" s="15">
        <f t="shared" si="143"/>
        <v>6.4970331822005817E-2</v>
      </c>
      <c r="L862" s="16">
        <f t="shared" si="153"/>
        <v>7.6790901538373396E-2</v>
      </c>
      <c r="M862" s="16">
        <f t="shared" si="144"/>
        <v>4.9891303538590961</v>
      </c>
      <c r="N862" s="16">
        <f t="shared" si="145"/>
        <v>16.254568109410791</v>
      </c>
      <c r="O862" s="16">
        <f t="shared" si="146"/>
        <v>15.254568109410789</v>
      </c>
      <c r="P862" s="1">
        <v>2025</v>
      </c>
      <c r="Q862" s="1" t="s">
        <v>39</v>
      </c>
      <c r="R862" s="1" t="s">
        <v>40</v>
      </c>
      <c r="S862" s="70">
        <f>DATE(Table2[[#This Row],[Year]],MONTH(DATEVALUE("1-"&amp;Table2[[#This Row],[Month]]&amp;"-2000")),1)</f>
        <v>45689</v>
      </c>
      <c r="T862" s="16">
        <f t="shared" si="147"/>
        <v>1.2482029392385481</v>
      </c>
      <c r="U862" s="16">
        <f t="shared" si="148"/>
        <v>8.1096159143531438E-2</v>
      </c>
      <c r="V862" s="16">
        <f t="shared" si="149"/>
        <v>103.09769230769231</v>
      </c>
      <c r="W862" s="16">
        <f t="shared" si="150"/>
        <v>1675.8084615384614</v>
      </c>
      <c r="X862" s="16">
        <f t="shared" si="151"/>
        <v>1342.5769230769231</v>
      </c>
      <c r="Y862" s="16">
        <f t="shared" si="152"/>
        <v>20664.461538461539</v>
      </c>
      <c r="Z862" s="7" t="str" cm="1">
        <f t="array" ref="Z862">_xlfn.IFS(K862&lt;2%,"Low",K862&lt;5%,"Medium",K862&lt;10%,"Good",K862&gt;10%,"Excellent")</f>
        <v>Good</v>
      </c>
      <c r="AA862" s="16" t="str">
        <f>Data_Validation!N860</f>
        <v>Pass</v>
      </c>
    </row>
    <row r="863" spans="1:27" x14ac:dyDescent="0.35">
      <c r="A863" s="17" t="s">
        <v>101</v>
      </c>
      <c r="B863" s="3" t="s">
        <v>19</v>
      </c>
      <c r="C863" s="3" t="s">
        <v>58</v>
      </c>
      <c r="D863" s="3" t="s">
        <v>51</v>
      </c>
      <c r="E863" s="3" t="s">
        <v>22</v>
      </c>
      <c r="F863" s="3">
        <v>18013.419999999998</v>
      </c>
      <c r="G863" s="3">
        <v>678169</v>
      </c>
      <c r="H863" s="3">
        <v>25944</v>
      </c>
      <c r="I863" s="3">
        <v>23333.47</v>
      </c>
      <c r="J863" s="3">
        <v>11</v>
      </c>
      <c r="K863" s="15">
        <f t="shared" si="143"/>
        <v>3.8255950950279352E-2</v>
      </c>
      <c r="L863" s="16">
        <f t="shared" si="153"/>
        <v>0.69431930311440015</v>
      </c>
      <c r="M863" s="16">
        <f t="shared" si="144"/>
        <v>26.561845203776638</v>
      </c>
      <c r="N863" s="16">
        <f t="shared" si="145"/>
        <v>1.2953381423405441</v>
      </c>
      <c r="O863" s="16">
        <f t="shared" si="146"/>
        <v>0.29533814234054406</v>
      </c>
      <c r="P863" s="1">
        <v>2025</v>
      </c>
      <c r="Q863" s="1" t="s">
        <v>39</v>
      </c>
      <c r="R863" s="1" t="s">
        <v>40</v>
      </c>
      <c r="S863" s="70">
        <f>DATE(Table2[[#This Row],[Year]],MONTH(DATEVALUE("1-"&amp;Table2[[#This Row],[Month]]&amp;"-2000")),1)</f>
        <v>45689</v>
      </c>
      <c r="T863" s="16">
        <f t="shared" si="147"/>
        <v>0.89937827628738831</v>
      </c>
      <c r="U863" s="16">
        <f t="shared" si="148"/>
        <v>3.4406571223397117E-2</v>
      </c>
      <c r="V863" s="16">
        <f t="shared" si="149"/>
        <v>1637.5836363636363</v>
      </c>
      <c r="W863" s="16">
        <f t="shared" si="150"/>
        <v>2121.2245454545455</v>
      </c>
      <c r="X863" s="16">
        <f t="shared" si="151"/>
        <v>2358.5454545454545</v>
      </c>
      <c r="Y863" s="16">
        <f t="shared" si="152"/>
        <v>61651.727272727272</v>
      </c>
      <c r="Z863" s="7" t="str" cm="1">
        <f t="array" ref="Z863">_xlfn.IFS(K863&lt;2%,"Low",K863&lt;5%,"Medium",K863&lt;10%,"Good",K863&gt;10%,"Excellent")</f>
        <v>Medium</v>
      </c>
      <c r="AA863" s="16" t="str">
        <f>Data_Validation!N861</f>
        <v>Pass</v>
      </c>
    </row>
    <row r="864" spans="1:27" x14ac:dyDescent="0.35">
      <c r="A864" s="17" t="s">
        <v>94</v>
      </c>
      <c r="B864" s="3" t="s">
        <v>35</v>
      </c>
      <c r="C864" s="3" t="s">
        <v>29</v>
      </c>
      <c r="D864" s="3" t="s">
        <v>37</v>
      </c>
      <c r="E864" s="3" t="s">
        <v>38</v>
      </c>
      <c r="F864" s="3">
        <v>1672.18</v>
      </c>
      <c r="G864" s="3">
        <v>262838</v>
      </c>
      <c r="H864" s="3">
        <v>48134</v>
      </c>
      <c r="I864" s="3">
        <v>165990.57999999999</v>
      </c>
      <c r="J864" s="3">
        <v>7</v>
      </c>
      <c r="K864" s="15">
        <f t="shared" si="143"/>
        <v>0.18313181503435577</v>
      </c>
      <c r="L864" s="16">
        <f t="shared" si="153"/>
        <v>3.4740100552623929E-2</v>
      </c>
      <c r="M864" s="16">
        <f t="shared" si="144"/>
        <v>6.3620176686780452</v>
      </c>
      <c r="N864" s="16">
        <f t="shared" si="145"/>
        <v>99.26597615089284</v>
      </c>
      <c r="O864" s="16">
        <f t="shared" si="146"/>
        <v>98.26597615089284</v>
      </c>
      <c r="P864" s="1">
        <v>2025</v>
      </c>
      <c r="Q864" s="1" t="s">
        <v>39</v>
      </c>
      <c r="R864" s="1" t="s">
        <v>40</v>
      </c>
      <c r="S864" s="70">
        <f>DATE(Table2[[#This Row],[Year]],MONTH(DATEVALUE("1-"&amp;Table2[[#This Row],[Month]]&amp;"-2000")),1)</f>
        <v>45689</v>
      </c>
      <c r="T864" s="16">
        <f t="shared" si="147"/>
        <v>3.4485099929363856</v>
      </c>
      <c r="U864" s="16">
        <f t="shared" si="148"/>
        <v>0.63153189417055366</v>
      </c>
      <c r="V864" s="16">
        <f t="shared" si="149"/>
        <v>238.88285714285715</v>
      </c>
      <c r="W864" s="16">
        <f t="shared" si="150"/>
        <v>23712.94</v>
      </c>
      <c r="X864" s="16">
        <f t="shared" si="151"/>
        <v>6876.2857142857147</v>
      </c>
      <c r="Y864" s="16">
        <f t="shared" si="152"/>
        <v>37548.285714285717</v>
      </c>
      <c r="Z864" s="7" t="str" cm="1">
        <f t="array" ref="Z864">_xlfn.IFS(K864&lt;2%,"Low",K864&lt;5%,"Medium",K864&lt;10%,"Good",K864&gt;10%,"Excellent")</f>
        <v>Excellent</v>
      </c>
      <c r="AA864" s="16" t="str">
        <f>Data_Validation!N862</f>
        <v>Pass</v>
      </c>
    </row>
    <row r="865" spans="1:27" x14ac:dyDescent="0.35">
      <c r="A865" s="17" t="s">
        <v>94</v>
      </c>
      <c r="B865" s="3" t="s">
        <v>35</v>
      </c>
      <c r="C865" s="3" t="s">
        <v>69</v>
      </c>
      <c r="D865" s="3" t="s">
        <v>21</v>
      </c>
      <c r="E865" s="3" t="s">
        <v>30</v>
      </c>
      <c r="F865" s="3">
        <v>48847.79</v>
      </c>
      <c r="G865" s="3">
        <v>19717</v>
      </c>
      <c r="H865" s="3">
        <v>19655</v>
      </c>
      <c r="I865" s="3">
        <v>144150.66</v>
      </c>
      <c r="J865" s="3">
        <v>61</v>
      </c>
      <c r="K865" s="15">
        <f t="shared" si="143"/>
        <v>0.9968555054014302</v>
      </c>
      <c r="L865" s="16">
        <f t="shared" si="153"/>
        <v>2.4852602391249046</v>
      </c>
      <c r="M865" s="16">
        <f t="shared" si="144"/>
        <v>2477.4453517269362</v>
      </c>
      <c r="N865" s="16">
        <f t="shared" si="145"/>
        <v>2.9510170265635356</v>
      </c>
      <c r="O865" s="16">
        <f t="shared" si="146"/>
        <v>1.9510170265635354</v>
      </c>
      <c r="P865" s="1">
        <v>2025</v>
      </c>
      <c r="Q865" s="1" t="s">
        <v>39</v>
      </c>
      <c r="R865" s="1" t="s">
        <v>40</v>
      </c>
      <c r="S865" s="70">
        <f>DATE(Table2[[#This Row],[Year]],MONTH(DATEVALUE("1-"&amp;Table2[[#This Row],[Month]]&amp;"-2000")),1)</f>
        <v>45689</v>
      </c>
      <c r="T865" s="16">
        <f t="shared" si="147"/>
        <v>7.3340452810989571</v>
      </c>
      <c r="U865" s="16">
        <f t="shared" si="148"/>
        <v>7.3109834153268753</v>
      </c>
      <c r="V865" s="16">
        <f t="shared" si="149"/>
        <v>800.78344262295082</v>
      </c>
      <c r="W865" s="16">
        <f t="shared" si="150"/>
        <v>2363.1255737704919</v>
      </c>
      <c r="X865" s="16">
        <f t="shared" si="151"/>
        <v>322.21311475409834</v>
      </c>
      <c r="Y865" s="16">
        <f t="shared" si="152"/>
        <v>323.22950819672133</v>
      </c>
      <c r="Z865" s="7" t="str" cm="1">
        <f t="array" ref="Z865">_xlfn.IFS(K865&lt;2%,"Low",K865&lt;5%,"Medium",K865&lt;10%,"Good",K865&gt;10%,"Excellent")</f>
        <v>Excellent</v>
      </c>
      <c r="AA865" s="16" t="str">
        <f>Data_Validation!N863</f>
        <v>Pass</v>
      </c>
    </row>
    <row r="866" spans="1:27" x14ac:dyDescent="0.35">
      <c r="A866" s="17" t="s">
        <v>120</v>
      </c>
      <c r="B866" s="3" t="s">
        <v>48</v>
      </c>
      <c r="C866" s="3" t="s">
        <v>58</v>
      </c>
      <c r="D866" s="3" t="s">
        <v>37</v>
      </c>
      <c r="E866" s="3" t="s">
        <v>22</v>
      </c>
      <c r="F866" s="3">
        <v>28100.49</v>
      </c>
      <c r="G866" s="3">
        <v>705350</v>
      </c>
      <c r="H866" s="3">
        <v>38482</v>
      </c>
      <c r="I866" s="3">
        <v>57037.06</v>
      </c>
      <c r="J866" s="3">
        <v>38</v>
      </c>
      <c r="K866" s="15">
        <f t="shared" si="143"/>
        <v>5.4557311972779472E-2</v>
      </c>
      <c r="L866" s="16">
        <f t="shared" si="153"/>
        <v>0.73022426069331114</v>
      </c>
      <c r="M866" s="16">
        <f t="shared" si="144"/>
        <v>39.83907280073722</v>
      </c>
      <c r="N866" s="16">
        <f t="shared" si="145"/>
        <v>2.0297532178264506</v>
      </c>
      <c r="O866" s="16">
        <f t="shared" si="146"/>
        <v>1.0297532178264506</v>
      </c>
      <c r="P866" s="1">
        <v>2025</v>
      </c>
      <c r="Q866" s="1" t="s">
        <v>39</v>
      </c>
      <c r="R866" s="1" t="s">
        <v>40</v>
      </c>
      <c r="S866" s="70">
        <f>DATE(Table2[[#This Row],[Year]],MONTH(DATEVALUE("1-"&amp;Table2[[#This Row],[Month]]&amp;"-2000")),1)</f>
        <v>45689</v>
      </c>
      <c r="T866" s="16">
        <f t="shared" si="147"/>
        <v>1.4821750428771894</v>
      </c>
      <c r="U866" s="16">
        <f t="shared" si="148"/>
        <v>8.0863486212518598E-2</v>
      </c>
      <c r="V866" s="16">
        <f t="shared" si="149"/>
        <v>739.48657894736846</v>
      </c>
      <c r="W866" s="16">
        <f t="shared" si="150"/>
        <v>1500.9752631578947</v>
      </c>
      <c r="X866" s="16">
        <f t="shared" si="151"/>
        <v>1012.6842105263158</v>
      </c>
      <c r="Y866" s="16">
        <f t="shared" si="152"/>
        <v>18561.842105263157</v>
      </c>
      <c r="Z866" s="7" t="str" cm="1">
        <f t="array" ref="Z866">_xlfn.IFS(K866&lt;2%,"Low",K866&lt;5%,"Medium",K866&lt;10%,"Good",K866&gt;10%,"Excellent")</f>
        <v>Good</v>
      </c>
      <c r="AA866" s="16" t="str">
        <f>Data_Validation!N864</f>
        <v>Pass</v>
      </c>
    </row>
    <row r="867" spans="1:27" x14ac:dyDescent="0.35">
      <c r="A867" s="17" t="s">
        <v>81</v>
      </c>
      <c r="B867" s="3" t="s">
        <v>28</v>
      </c>
      <c r="C867" s="3" t="s">
        <v>58</v>
      </c>
      <c r="D867" s="3" t="s">
        <v>43</v>
      </c>
      <c r="E867" s="3" t="s">
        <v>22</v>
      </c>
      <c r="F867" s="3">
        <v>9549.48</v>
      </c>
      <c r="G867" s="3">
        <v>720737</v>
      </c>
      <c r="H867" s="3">
        <v>34944</v>
      </c>
      <c r="I867" s="3">
        <v>140159.57</v>
      </c>
      <c r="J867" s="3">
        <v>30</v>
      </c>
      <c r="K867" s="15">
        <f t="shared" si="143"/>
        <v>4.848370487431615E-2</v>
      </c>
      <c r="L867" s="16">
        <f t="shared" si="153"/>
        <v>0.27327953296703295</v>
      </c>
      <c r="M867" s="16">
        <f t="shared" si="144"/>
        <v>13.249604224564576</v>
      </c>
      <c r="N867" s="16">
        <f t="shared" si="145"/>
        <v>14.677193941450216</v>
      </c>
      <c r="O867" s="16">
        <f t="shared" si="146"/>
        <v>13.677193941450216</v>
      </c>
      <c r="P867" s="1">
        <v>2025</v>
      </c>
      <c r="Q867" s="1" t="s">
        <v>39</v>
      </c>
      <c r="R867" s="1" t="s">
        <v>40</v>
      </c>
      <c r="S867" s="70">
        <f>DATE(Table2[[#This Row],[Year]],MONTH(DATEVALUE("1-"&amp;Table2[[#This Row],[Month]]&amp;"-2000")),1)</f>
        <v>45689</v>
      </c>
      <c r="T867" s="16">
        <f t="shared" si="147"/>
        <v>4.0109767055860805</v>
      </c>
      <c r="U867" s="16">
        <f t="shared" si="148"/>
        <v>0.1944670108513924</v>
      </c>
      <c r="V867" s="16">
        <f t="shared" si="149"/>
        <v>318.31599999999997</v>
      </c>
      <c r="W867" s="16">
        <f t="shared" si="150"/>
        <v>4671.9856666666665</v>
      </c>
      <c r="X867" s="16">
        <f t="shared" si="151"/>
        <v>1164.8</v>
      </c>
      <c r="Y867" s="16">
        <f t="shared" si="152"/>
        <v>24024.566666666666</v>
      </c>
      <c r="Z867" s="7" t="str" cm="1">
        <f t="array" ref="Z867">_xlfn.IFS(K867&lt;2%,"Low",K867&lt;5%,"Medium",K867&lt;10%,"Good",K867&gt;10%,"Excellent")</f>
        <v>Medium</v>
      </c>
      <c r="AA867" s="16" t="str">
        <f>Data_Validation!N865</f>
        <v>Pass</v>
      </c>
    </row>
    <row r="868" spans="1:27" x14ac:dyDescent="0.35">
      <c r="A868" s="17" t="s">
        <v>67</v>
      </c>
      <c r="B868" s="3" t="s">
        <v>35</v>
      </c>
      <c r="C868" s="3" t="s">
        <v>58</v>
      </c>
      <c r="D868" s="3" t="s">
        <v>37</v>
      </c>
      <c r="E868" s="3" t="s">
        <v>30</v>
      </c>
      <c r="F868" s="3">
        <v>14332.12</v>
      </c>
      <c r="G868" s="3">
        <v>825451</v>
      </c>
      <c r="H868" s="3">
        <v>34263</v>
      </c>
      <c r="I868" s="3">
        <v>123726.27</v>
      </c>
      <c r="J868" s="3">
        <v>21</v>
      </c>
      <c r="K868" s="15">
        <f t="shared" si="143"/>
        <v>4.1508217931773055E-2</v>
      </c>
      <c r="L868" s="16">
        <f t="shared" si="153"/>
        <v>0.41829728862037768</v>
      </c>
      <c r="M868" s="16">
        <f t="shared" si="144"/>
        <v>17.362775016324409</v>
      </c>
      <c r="N868" s="16">
        <f t="shared" si="145"/>
        <v>8.6327961250673315</v>
      </c>
      <c r="O868" s="16">
        <f t="shared" si="146"/>
        <v>7.6327961250673315</v>
      </c>
      <c r="P868" s="1">
        <v>2025</v>
      </c>
      <c r="Q868" s="1" t="s">
        <v>39</v>
      </c>
      <c r="R868" s="1" t="s">
        <v>40</v>
      </c>
      <c r="S868" s="70">
        <f>DATE(Table2[[#This Row],[Year]],MONTH(DATEVALUE("1-"&amp;Table2[[#This Row],[Month]]&amp;"-2000")),1)</f>
        <v>45689</v>
      </c>
      <c r="T868" s="16">
        <f t="shared" si="147"/>
        <v>3.6110752123281675</v>
      </c>
      <c r="U868" s="16">
        <f t="shared" si="148"/>
        <v>0.14988929688134123</v>
      </c>
      <c r="V868" s="16">
        <f t="shared" si="149"/>
        <v>682.48190476190484</v>
      </c>
      <c r="W868" s="16">
        <f t="shared" si="150"/>
        <v>5891.727142857143</v>
      </c>
      <c r="X868" s="16">
        <f t="shared" si="151"/>
        <v>1631.5714285714287</v>
      </c>
      <c r="Y868" s="16">
        <f t="shared" si="152"/>
        <v>39307.190476190473</v>
      </c>
      <c r="Z868" s="7" t="str" cm="1">
        <f t="array" ref="Z868">_xlfn.IFS(K868&lt;2%,"Low",K868&lt;5%,"Medium",K868&lt;10%,"Good",K868&gt;10%,"Excellent")</f>
        <v>Medium</v>
      </c>
      <c r="AA868" s="16" t="str">
        <f>Data_Validation!N866</f>
        <v>Pass</v>
      </c>
    </row>
    <row r="869" spans="1:27" x14ac:dyDescent="0.35">
      <c r="A869" s="17" t="s">
        <v>92</v>
      </c>
      <c r="B869" s="3" t="s">
        <v>35</v>
      </c>
      <c r="C869" s="3" t="s">
        <v>29</v>
      </c>
      <c r="D869" s="3" t="s">
        <v>51</v>
      </c>
      <c r="E869" s="3" t="s">
        <v>22</v>
      </c>
      <c r="F869" s="3">
        <v>21732.48</v>
      </c>
      <c r="G869" s="3">
        <v>503152</v>
      </c>
      <c r="H869" s="3">
        <v>1370</v>
      </c>
      <c r="I869" s="3">
        <v>188510.94</v>
      </c>
      <c r="J869" s="3">
        <v>59</v>
      </c>
      <c r="K869" s="15">
        <f t="shared" si="143"/>
        <v>2.7228352466053996E-3</v>
      </c>
      <c r="L869" s="16">
        <f t="shared" si="153"/>
        <v>15.86312408759124</v>
      </c>
      <c r="M869" s="16">
        <f t="shared" si="144"/>
        <v>43.192673386968551</v>
      </c>
      <c r="N869" s="16">
        <f t="shared" si="145"/>
        <v>8.6741568380598988</v>
      </c>
      <c r="O869" s="16">
        <f t="shared" si="146"/>
        <v>7.6741568380598988</v>
      </c>
      <c r="P869" s="1">
        <v>2025</v>
      </c>
      <c r="Q869" s="1" t="s">
        <v>39</v>
      </c>
      <c r="R869" s="1" t="s">
        <v>40</v>
      </c>
      <c r="S869" s="70">
        <f>DATE(Table2[[#This Row],[Year]],MONTH(DATEVALUE("1-"&amp;Table2[[#This Row],[Month]]&amp;"-2000")),1)</f>
        <v>45689</v>
      </c>
      <c r="T869" s="16">
        <f t="shared" si="147"/>
        <v>137.59922627737225</v>
      </c>
      <c r="U869" s="16">
        <f t="shared" si="148"/>
        <v>0.3746600232136611</v>
      </c>
      <c r="V869" s="16">
        <f t="shared" si="149"/>
        <v>368.34711864406779</v>
      </c>
      <c r="W869" s="16">
        <f t="shared" si="150"/>
        <v>3195.1006779661016</v>
      </c>
      <c r="X869" s="16">
        <f t="shared" si="151"/>
        <v>23.220338983050848</v>
      </c>
      <c r="Y869" s="16">
        <f t="shared" si="152"/>
        <v>8528</v>
      </c>
      <c r="Z869" s="7" t="str" cm="1">
        <f t="array" ref="Z869">_xlfn.IFS(K869&lt;2%,"Low",K869&lt;5%,"Medium",K869&lt;10%,"Good",K869&gt;10%,"Excellent")</f>
        <v>Low</v>
      </c>
      <c r="AA869" s="16" t="str">
        <f>Data_Validation!N867</f>
        <v>Pass</v>
      </c>
    </row>
    <row r="870" spans="1:27" x14ac:dyDescent="0.35">
      <c r="A870" s="17" t="s">
        <v>72</v>
      </c>
      <c r="B870" s="3" t="s">
        <v>48</v>
      </c>
      <c r="C870" s="3" t="s">
        <v>20</v>
      </c>
      <c r="D870" s="3" t="s">
        <v>59</v>
      </c>
      <c r="E870" s="3" t="s">
        <v>38</v>
      </c>
      <c r="F870" s="3">
        <v>28496.76</v>
      </c>
      <c r="G870" s="3">
        <v>901090</v>
      </c>
      <c r="H870" s="3">
        <v>46603</v>
      </c>
      <c r="I870" s="3">
        <v>79498.13</v>
      </c>
      <c r="J870" s="3">
        <v>56</v>
      </c>
      <c r="K870" s="15">
        <f t="shared" si="143"/>
        <v>5.1718474292246054E-2</v>
      </c>
      <c r="L870" s="16">
        <f t="shared" si="153"/>
        <v>0.61147908932901307</v>
      </c>
      <c r="M870" s="16">
        <f t="shared" si="144"/>
        <v>31.624765561708596</v>
      </c>
      <c r="N870" s="16">
        <f t="shared" si="145"/>
        <v>2.7897252178844196</v>
      </c>
      <c r="O870" s="16">
        <f t="shared" si="146"/>
        <v>1.7897252178844196</v>
      </c>
      <c r="P870" s="1">
        <v>2025</v>
      </c>
      <c r="Q870" s="1" t="s">
        <v>39</v>
      </c>
      <c r="R870" s="1" t="s">
        <v>40</v>
      </c>
      <c r="S870" s="70">
        <f>DATE(Table2[[#This Row],[Year]],MONTH(DATEVALUE("1-"&amp;Table2[[#This Row],[Month]]&amp;"-2000")),1)</f>
        <v>45689</v>
      </c>
      <c r="T870" s="16">
        <f t="shared" si="147"/>
        <v>1.7058586357101475</v>
      </c>
      <c r="U870" s="16">
        <f t="shared" si="148"/>
        <v>8.8224405997181191E-2</v>
      </c>
      <c r="V870" s="16">
        <f t="shared" si="149"/>
        <v>508.87071428571426</v>
      </c>
      <c r="W870" s="16">
        <f t="shared" si="150"/>
        <v>1419.6094642857145</v>
      </c>
      <c r="X870" s="16">
        <f t="shared" si="151"/>
        <v>832.19642857142856</v>
      </c>
      <c r="Y870" s="16">
        <f t="shared" si="152"/>
        <v>16090.892857142857</v>
      </c>
      <c r="Z870" s="7" t="str" cm="1">
        <f t="array" ref="Z870">_xlfn.IFS(K870&lt;2%,"Low",K870&lt;5%,"Medium",K870&lt;10%,"Good",K870&gt;10%,"Excellent")</f>
        <v>Good</v>
      </c>
      <c r="AA870" s="16" t="str">
        <f>Data_Validation!N868</f>
        <v>Pass</v>
      </c>
    </row>
    <row r="871" spans="1:27" x14ac:dyDescent="0.35">
      <c r="A871" s="17" t="s">
        <v>34</v>
      </c>
      <c r="B871" s="3" t="s">
        <v>48</v>
      </c>
      <c r="C871" s="3" t="s">
        <v>20</v>
      </c>
      <c r="D871" s="3" t="s">
        <v>37</v>
      </c>
      <c r="E871" s="3" t="s">
        <v>38</v>
      </c>
      <c r="F871" s="3">
        <v>3775.07</v>
      </c>
      <c r="G871" s="3">
        <v>370491</v>
      </c>
      <c r="H871" s="3">
        <v>35584</v>
      </c>
      <c r="I871" s="3">
        <v>106426.73</v>
      </c>
      <c r="J871" s="3">
        <v>50</v>
      </c>
      <c r="K871" s="15">
        <f t="shared" si="143"/>
        <v>9.6045517974795602E-2</v>
      </c>
      <c r="L871" s="16">
        <f t="shared" si="153"/>
        <v>0.10608897257194246</v>
      </c>
      <c r="M871" s="16">
        <f t="shared" si="144"/>
        <v>10.189370322086097</v>
      </c>
      <c r="N871" s="16">
        <f t="shared" si="145"/>
        <v>28.191988492928605</v>
      </c>
      <c r="O871" s="16">
        <f t="shared" si="146"/>
        <v>27.191988492928605</v>
      </c>
      <c r="P871" s="1">
        <v>2025</v>
      </c>
      <c r="Q871" s="1" t="s">
        <v>39</v>
      </c>
      <c r="R871" s="1" t="s">
        <v>40</v>
      </c>
      <c r="S871" s="70">
        <f>DATE(Table2[[#This Row],[Year]],MONTH(DATEVALUE("1-"&amp;Table2[[#This Row],[Month]]&amp;"-2000")),1)</f>
        <v>45689</v>
      </c>
      <c r="T871" s="16">
        <f t="shared" si="147"/>
        <v>2.9908590939748199</v>
      </c>
      <c r="U871" s="16">
        <f t="shared" si="148"/>
        <v>0.28725861087043947</v>
      </c>
      <c r="V871" s="16">
        <f t="shared" si="149"/>
        <v>75.501400000000004</v>
      </c>
      <c r="W871" s="16">
        <f t="shared" si="150"/>
        <v>2128.5346</v>
      </c>
      <c r="X871" s="16">
        <f t="shared" si="151"/>
        <v>711.68</v>
      </c>
      <c r="Y871" s="16">
        <f t="shared" si="152"/>
        <v>7409.82</v>
      </c>
      <c r="Z871" s="7" t="str" cm="1">
        <f t="array" ref="Z871">_xlfn.IFS(K871&lt;2%,"Low",K871&lt;5%,"Medium",K871&lt;10%,"Good",K871&gt;10%,"Excellent")</f>
        <v>Good</v>
      </c>
      <c r="AA871" s="16" t="str">
        <f>Data_Validation!N869</f>
        <v>Pass</v>
      </c>
    </row>
    <row r="872" spans="1:27" x14ac:dyDescent="0.35">
      <c r="A872" s="17" t="s">
        <v>87</v>
      </c>
      <c r="B872" s="3" t="s">
        <v>48</v>
      </c>
      <c r="C872" s="3" t="s">
        <v>20</v>
      </c>
      <c r="D872" s="3" t="s">
        <v>21</v>
      </c>
      <c r="E872" s="3" t="s">
        <v>22</v>
      </c>
      <c r="F872" s="3">
        <v>2527.9899999999998</v>
      </c>
      <c r="G872" s="3">
        <v>117458</v>
      </c>
      <c r="H872" s="3">
        <v>40477</v>
      </c>
      <c r="I872" s="3">
        <v>217668.67</v>
      </c>
      <c r="J872" s="3">
        <v>40</v>
      </c>
      <c r="K872" s="15">
        <f t="shared" si="143"/>
        <v>0.34460828551482231</v>
      </c>
      <c r="L872" s="16">
        <f t="shared" si="153"/>
        <v>6.2454974429923163E-2</v>
      </c>
      <c r="M872" s="16">
        <f t="shared" si="144"/>
        <v>21.52250166016789</v>
      </c>
      <c r="N872" s="16">
        <f t="shared" si="145"/>
        <v>86.103453732016362</v>
      </c>
      <c r="O872" s="16">
        <f t="shared" si="146"/>
        <v>85.103453732016362</v>
      </c>
      <c r="P872" s="1">
        <v>2025</v>
      </c>
      <c r="Q872" s="1" t="s">
        <v>39</v>
      </c>
      <c r="R872" s="1" t="s">
        <v>40</v>
      </c>
      <c r="S872" s="70">
        <f>DATE(Table2[[#This Row],[Year]],MONTH(DATEVALUE("1-"&amp;Table2[[#This Row],[Month]]&amp;"-2000")),1)</f>
        <v>45689</v>
      </c>
      <c r="T872" s="16">
        <f t="shared" si="147"/>
        <v>5.3775890011611533</v>
      </c>
      <c r="U872" s="16">
        <f t="shared" si="148"/>
        <v>1.8531617258935109</v>
      </c>
      <c r="V872" s="16">
        <f t="shared" si="149"/>
        <v>63.199749999999995</v>
      </c>
      <c r="W872" s="16">
        <f t="shared" si="150"/>
        <v>5441.7167500000005</v>
      </c>
      <c r="X872" s="16">
        <f t="shared" si="151"/>
        <v>1011.925</v>
      </c>
      <c r="Y872" s="16">
        <f t="shared" si="152"/>
        <v>2936.45</v>
      </c>
      <c r="Z872" s="7" t="str" cm="1">
        <f t="array" ref="Z872">_xlfn.IFS(K872&lt;2%,"Low",K872&lt;5%,"Medium",K872&lt;10%,"Good",K872&gt;10%,"Excellent")</f>
        <v>Excellent</v>
      </c>
      <c r="AA872" s="16" t="str">
        <f>Data_Validation!N870</f>
        <v>Pass</v>
      </c>
    </row>
    <row r="873" spans="1:27" x14ac:dyDescent="0.35">
      <c r="A873" s="17" t="s">
        <v>107</v>
      </c>
      <c r="B873" s="3" t="s">
        <v>35</v>
      </c>
      <c r="C873" s="3" t="s">
        <v>69</v>
      </c>
      <c r="D873" s="3" t="s">
        <v>59</v>
      </c>
      <c r="E873" s="3" t="s">
        <v>38</v>
      </c>
      <c r="F873" s="3">
        <v>20806.93</v>
      </c>
      <c r="G873" s="3">
        <v>979045</v>
      </c>
      <c r="H873" s="3">
        <v>37094</v>
      </c>
      <c r="I873" s="3">
        <v>162533</v>
      </c>
      <c r="J873" s="3">
        <v>42</v>
      </c>
      <c r="K873" s="15">
        <f t="shared" si="143"/>
        <v>3.7887941820856037E-2</v>
      </c>
      <c r="L873" s="16">
        <f t="shared" si="153"/>
        <v>0.56092440826009593</v>
      </c>
      <c r="M873" s="16">
        <f t="shared" si="144"/>
        <v>21.252271346056617</v>
      </c>
      <c r="N873" s="16">
        <f t="shared" si="145"/>
        <v>7.8114839623144787</v>
      </c>
      <c r="O873" s="16">
        <f t="shared" si="146"/>
        <v>6.8114839623144787</v>
      </c>
      <c r="P873" s="1">
        <v>2025</v>
      </c>
      <c r="Q873" s="1" t="s">
        <v>39</v>
      </c>
      <c r="R873" s="1" t="s">
        <v>40</v>
      </c>
      <c r="S873" s="70">
        <f>DATE(Table2[[#This Row],[Year]],MONTH(DATEVALUE("1-"&amp;Table2[[#This Row],[Month]]&amp;"-2000")),1)</f>
        <v>45689</v>
      </c>
      <c r="T873" s="16">
        <f t="shared" si="147"/>
        <v>4.3816520191944788</v>
      </c>
      <c r="U873" s="16">
        <f t="shared" si="148"/>
        <v>0.16601177678247681</v>
      </c>
      <c r="V873" s="16">
        <f t="shared" si="149"/>
        <v>495.40309523809526</v>
      </c>
      <c r="W873" s="16">
        <f t="shared" si="150"/>
        <v>3869.8333333333335</v>
      </c>
      <c r="X873" s="16">
        <f t="shared" si="151"/>
        <v>883.19047619047615</v>
      </c>
      <c r="Y873" s="16">
        <f t="shared" si="152"/>
        <v>23310.595238095237</v>
      </c>
      <c r="Z873" s="7" t="str" cm="1">
        <f t="array" ref="Z873">_xlfn.IFS(K873&lt;2%,"Low",K873&lt;5%,"Medium",K873&lt;10%,"Good",K873&gt;10%,"Excellent")</f>
        <v>Medium</v>
      </c>
      <c r="AA873" s="16" t="str">
        <f>Data_Validation!N871</f>
        <v>Pass</v>
      </c>
    </row>
    <row r="874" spans="1:27" x14ac:dyDescent="0.35">
      <c r="A874" s="17" t="s">
        <v>84</v>
      </c>
      <c r="B874" s="3" t="s">
        <v>28</v>
      </c>
      <c r="C874" s="3" t="s">
        <v>29</v>
      </c>
      <c r="D874" s="3" t="s">
        <v>51</v>
      </c>
      <c r="E874" s="3" t="s">
        <v>38</v>
      </c>
      <c r="F874" s="3">
        <v>26860.18</v>
      </c>
      <c r="G874" s="3">
        <v>539298</v>
      </c>
      <c r="H874" s="3">
        <v>28066</v>
      </c>
      <c r="I874" s="3">
        <v>208489.45</v>
      </c>
      <c r="J874" s="3">
        <v>34</v>
      </c>
      <c r="K874" s="15">
        <f t="shared" si="143"/>
        <v>5.2041728320891233E-2</v>
      </c>
      <c r="L874" s="16">
        <f t="shared" si="153"/>
        <v>0.95703627164540728</v>
      </c>
      <c r="M874" s="16">
        <f t="shared" si="144"/>
        <v>49.805821642208947</v>
      </c>
      <c r="N874" s="16">
        <f t="shared" si="145"/>
        <v>7.7620272835103865</v>
      </c>
      <c r="O874" s="16">
        <f t="shared" si="146"/>
        <v>6.7620272835103865</v>
      </c>
      <c r="P874" s="1">
        <v>2025</v>
      </c>
      <c r="Q874" s="1" t="s">
        <v>39</v>
      </c>
      <c r="R874" s="1" t="s">
        <v>40</v>
      </c>
      <c r="S874" s="70">
        <f>DATE(Table2[[#This Row],[Year]],MONTH(DATEVALUE("1-"&amp;Table2[[#This Row],[Month]]&amp;"-2000")),1)</f>
        <v>45689</v>
      </c>
      <c r="T874" s="16">
        <f t="shared" si="147"/>
        <v>7.4285416518207086</v>
      </c>
      <c r="U874" s="16">
        <f t="shared" si="148"/>
        <v>0.38659414646447793</v>
      </c>
      <c r="V874" s="16">
        <f t="shared" si="149"/>
        <v>790.00529411764705</v>
      </c>
      <c r="W874" s="16">
        <f t="shared" si="150"/>
        <v>6132.0426470588236</v>
      </c>
      <c r="X874" s="16">
        <f t="shared" si="151"/>
        <v>825.47058823529414</v>
      </c>
      <c r="Y874" s="16">
        <f t="shared" si="152"/>
        <v>15861.705882352941</v>
      </c>
      <c r="Z874" s="7" t="str" cm="1">
        <f t="array" ref="Z874">_xlfn.IFS(K874&lt;2%,"Low",K874&lt;5%,"Medium",K874&lt;10%,"Good",K874&gt;10%,"Excellent")</f>
        <v>Good</v>
      </c>
      <c r="AA874" s="16" t="str">
        <f>Data_Validation!N872</f>
        <v>Pass</v>
      </c>
    </row>
    <row r="875" spans="1:27" x14ac:dyDescent="0.35">
      <c r="A875" s="17" t="s">
        <v>106</v>
      </c>
      <c r="B875" s="3" t="s">
        <v>35</v>
      </c>
      <c r="C875" s="3" t="s">
        <v>36</v>
      </c>
      <c r="D875" s="3" t="s">
        <v>21</v>
      </c>
      <c r="E875" s="3" t="s">
        <v>22</v>
      </c>
      <c r="F875" s="3">
        <v>11517.5</v>
      </c>
      <c r="G875" s="3">
        <v>264432</v>
      </c>
      <c r="H875" s="3">
        <v>38132</v>
      </c>
      <c r="I875" s="3">
        <v>130490.66</v>
      </c>
      <c r="J875" s="3">
        <v>14</v>
      </c>
      <c r="K875" s="15">
        <f t="shared" si="143"/>
        <v>0.14420342469897743</v>
      </c>
      <c r="L875" s="16">
        <f t="shared" si="153"/>
        <v>0.30204290359802788</v>
      </c>
      <c r="M875" s="16">
        <f t="shared" si="144"/>
        <v>43.555621104858716</v>
      </c>
      <c r="N875" s="16">
        <f t="shared" si="145"/>
        <v>11.329772954200131</v>
      </c>
      <c r="O875" s="16">
        <f t="shared" si="146"/>
        <v>10.329772954200131</v>
      </c>
      <c r="P875" s="1">
        <v>2025</v>
      </c>
      <c r="Q875" s="1" t="s">
        <v>39</v>
      </c>
      <c r="R875" s="1" t="s">
        <v>40</v>
      </c>
      <c r="S875" s="70">
        <f>DATE(Table2[[#This Row],[Year]],MONTH(DATEVALUE("1-"&amp;Table2[[#This Row],[Month]]&amp;"-2000")),1)</f>
        <v>45689</v>
      </c>
      <c r="T875" s="16">
        <f t="shared" si="147"/>
        <v>3.4220775201930138</v>
      </c>
      <c r="U875" s="16">
        <f t="shared" si="148"/>
        <v>0.49347529799721668</v>
      </c>
      <c r="V875" s="16">
        <f t="shared" si="149"/>
        <v>822.67857142857144</v>
      </c>
      <c r="W875" s="16">
        <f t="shared" si="150"/>
        <v>9320.761428571428</v>
      </c>
      <c r="X875" s="16">
        <f t="shared" si="151"/>
        <v>2723.7142857142858</v>
      </c>
      <c r="Y875" s="16">
        <f t="shared" si="152"/>
        <v>18888</v>
      </c>
      <c r="Z875" s="7" t="str" cm="1">
        <f t="array" ref="Z875">_xlfn.IFS(K875&lt;2%,"Low",K875&lt;5%,"Medium",K875&lt;10%,"Good",K875&gt;10%,"Excellent")</f>
        <v>Excellent</v>
      </c>
      <c r="AA875" s="16" t="str">
        <f>Data_Validation!N873</f>
        <v>Pass</v>
      </c>
    </row>
    <row r="876" spans="1:27" x14ac:dyDescent="0.35">
      <c r="A876" s="17" t="s">
        <v>108</v>
      </c>
      <c r="B876" s="3" t="s">
        <v>28</v>
      </c>
      <c r="C876" s="3" t="s">
        <v>58</v>
      </c>
      <c r="D876" s="3" t="s">
        <v>51</v>
      </c>
      <c r="E876" s="3" t="s">
        <v>30</v>
      </c>
      <c r="F876" s="3">
        <v>2503.48</v>
      </c>
      <c r="G876" s="3">
        <v>714791</v>
      </c>
      <c r="H876" s="3">
        <v>38688</v>
      </c>
      <c r="I876" s="3">
        <v>35188.699999999997</v>
      </c>
      <c r="J876" s="3">
        <v>32</v>
      </c>
      <c r="K876" s="15">
        <f t="shared" si="143"/>
        <v>5.4124912037224866E-2</v>
      </c>
      <c r="L876" s="16">
        <f t="shared" si="153"/>
        <v>6.470947063688999E-2</v>
      </c>
      <c r="M876" s="16">
        <f t="shared" si="144"/>
        <v>3.5023944061970562</v>
      </c>
      <c r="N876" s="16">
        <f t="shared" si="145"/>
        <v>14.055914167478868</v>
      </c>
      <c r="O876" s="16">
        <f t="shared" si="146"/>
        <v>13.055914167478868</v>
      </c>
      <c r="P876" s="1">
        <v>2025</v>
      </c>
      <c r="Q876" s="1" t="s">
        <v>39</v>
      </c>
      <c r="R876" s="1" t="s">
        <v>40</v>
      </c>
      <c r="S876" s="70">
        <f>DATE(Table2[[#This Row],[Year]],MONTH(DATEVALUE("1-"&amp;Table2[[#This Row],[Month]]&amp;"-2000")),1)</f>
        <v>45689</v>
      </c>
      <c r="T876" s="16">
        <f t="shared" si="147"/>
        <v>0.9095507650951199</v>
      </c>
      <c r="U876" s="16">
        <f t="shared" si="148"/>
        <v>4.9229355154163941E-2</v>
      </c>
      <c r="V876" s="16">
        <f t="shared" si="149"/>
        <v>78.233750000000001</v>
      </c>
      <c r="W876" s="16">
        <f t="shared" si="150"/>
        <v>1099.6468749999999</v>
      </c>
      <c r="X876" s="16">
        <f t="shared" si="151"/>
        <v>1209</v>
      </c>
      <c r="Y876" s="16">
        <f t="shared" si="152"/>
        <v>22337.21875</v>
      </c>
      <c r="Z876" s="7" t="str" cm="1">
        <f t="array" ref="Z876">_xlfn.IFS(K876&lt;2%,"Low",K876&lt;5%,"Medium",K876&lt;10%,"Good",K876&gt;10%,"Excellent")</f>
        <v>Good</v>
      </c>
      <c r="AA876" s="16" t="str">
        <f>Data_Validation!N874</f>
        <v>Pass</v>
      </c>
    </row>
    <row r="877" spans="1:27" x14ac:dyDescent="0.35">
      <c r="A877" s="17" t="s">
        <v>90</v>
      </c>
      <c r="B877" s="3" t="s">
        <v>19</v>
      </c>
      <c r="C877" s="3" t="s">
        <v>29</v>
      </c>
      <c r="D877" s="3" t="s">
        <v>37</v>
      </c>
      <c r="E877" s="3" t="s">
        <v>30</v>
      </c>
      <c r="F877" s="3">
        <v>4157.37</v>
      </c>
      <c r="G877" s="3">
        <v>183021</v>
      </c>
      <c r="H877" s="3">
        <v>28848</v>
      </c>
      <c r="I877" s="3">
        <v>64692.93</v>
      </c>
      <c r="J877" s="3">
        <v>32</v>
      </c>
      <c r="K877" s="15">
        <f t="shared" si="143"/>
        <v>0.15762125657711409</v>
      </c>
      <c r="L877" s="16">
        <f t="shared" si="153"/>
        <v>0.14411293677204659</v>
      </c>
      <c r="M877" s="16">
        <f t="shared" si="144"/>
        <v>22.715262183028177</v>
      </c>
      <c r="N877" s="16">
        <f t="shared" si="145"/>
        <v>15.561022954415893</v>
      </c>
      <c r="O877" s="16">
        <f t="shared" si="146"/>
        <v>14.561022954415893</v>
      </c>
      <c r="P877" s="1">
        <v>2025</v>
      </c>
      <c r="Q877" s="1" t="s">
        <v>39</v>
      </c>
      <c r="R877" s="1" t="s">
        <v>40</v>
      </c>
      <c r="S877" s="70">
        <f>DATE(Table2[[#This Row],[Year]],MONTH(DATEVALUE("1-"&amp;Table2[[#This Row],[Month]]&amp;"-2000")),1)</f>
        <v>45689</v>
      </c>
      <c r="T877" s="16">
        <f t="shared" si="147"/>
        <v>2.2425447171381032</v>
      </c>
      <c r="U877" s="16">
        <f t="shared" si="148"/>
        <v>0.35347271624567672</v>
      </c>
      <c r="V877" s="16">
        <f t="shared" si="149"/>
        <v>129.9178125</v>
      </c>
      <c r="W877" s="16">
        <f t="shared" si="150"/>
        <v>2021.6540625</v>
      </c>
      <c r="X877" s="16">
        <f t="shared" si="151"/>
        <v>901.5</v>
      </c>
      <c r="Y877" s="16">
        <f t="shared" si="152"/>
        <v>5719.40625</v>
      </c>
      <c r="Z877" s="7" t="str" cm="1">
        <f t="array" ref="Z877">_xlfn.IFS(K877&lt;2%,"Low",K877&lt;5%,"Medium",K877&lt;10%,"Good",K877&gt;10%,"Excellent")</f>
        <v>Excellent</v>
      </c>
      <c r="AA877" s="16" t="str">
        <f>Data_Validation!N875</f>
        <v>Pass</v>
      </c>
    </row>
    <row r="878" spans="1:27" x14ac:dyDescent="0.35">
      <c r="A878" s="17" t="s">
        <v>117</v>
      </c>
      <c r="B878" s="3" t="s">
        <v>19</v>
      </c>
      <c r="C878" s="3" t="s">
        <v>69</v>
      </c>
      <c r="D878" s="3" t="s">
        <v>37</v>
      </c>
      <c r="E878" s="3" t="s">
        <v>38</v>
      </c>
      <c r="F878" s="3">
        <v>26743.99</v>
      </c>
      <c r="G878" s="3">
        <v>493100</v>
      </c>
      <c r="H878" s="3">
        <v>38558</v>
      </c>
      <c r="I878" s="3">
        <v>216195.7</v>
      </c>
      <c r="J878" s="3">
        <v>27</v>
      </c>
      <c r="K878" s="15">
        <f t="shared" si="143"/>
        <v>7.8195092273372541E-2</v>
      </c>
      <c r="L878" s="16">
        <f t="shared" si="153"/>
        <v>0.69360418071476737</v>
      </c>
      <c r="M878" s="16">
        <f t="shared" si="144"/>
        <v>54.236442912188203</v>
      </c>
      <c r="N878" s="16">
        <f t="shared" si="145"/>
        <v>8.0838984758818704</v>
      </c>
      <c r="O878" s="16">
        <f t="shared" si="146"/>
        <v>7.0838984758818713</v>
      </c>
      <c r="P878" s="1">
        <v>2025</v>
      </c>
      <c r="Q878" s="1" t="s">
        <v>39</v>
      </c>
      <c r="R878" s="1" t="s">
        <v>40</v>
      </c>
      <c r="S878" s="70">
        <f>DATE(Table2[[#This Row],[Year]],MONTH(DATEVALUE("1-"&amp;Table2[[#This Row],[Month]]&amp;"-2000")),1)</f>
        <v>45689</v>
      </c>
      <c r="T878" s="16">
        <f t="shared" si="147"/>
        <v>5.6070257793454017</v>
      </c>
      <c r="U878" s="16">
        <f t="shared" si="148"/>
        <v>0.43844189819509227</v>
      </c>
      <c r="V878" s="16">
        <f t="shared" si="149"/>
        <v>990.51814814814816</v>
      </c>
      <c r="W878" s="16">
        <f t="shared" si="150"/>
        <v>8007.2481481481482</v>
      </c>
      <c r="X878" s="16">
        <f t="shared" si="151"/>
        <v>1428.0740740740741</v>
      </c>
      <c r="Y878" s="16">
        <f t="shared" si="152"/>
        <v>18262.962962962964</v>
      </c>
      <c r="Z878" s="7" t="str" cm="1">
        <f t="array" ref="Z878">_xlfn.IFS(K878&lt;2%,"Low",K878&lt;5%,"Medium",K878&lt;10%,"Good",K878&gt;10%,"Excellent")</f>
        <v>Good</v>
      </c>
      <c r="AA878" s="16" t="str">
        <f>Data_Validation!N876</f>
        <v>Pass</v>
      </c>
    </row>
    <row r="879" spans="1:27" x14ac:dyDescent="0.35">
      <c r="A879" s="17" t="s">
        <v>66</v>
      </c>
      <c r="B879" s="3" t="s">
        <v>28</v>
      </c>
      <c r="C879" s="3" t="s">
        <v>29</v>
      </c>
      <c r="D879" s="3" t="s">
        <v>51</v>
      </c>
      <c r="E879" s="3" t="s">
        <v>22</v>
      </c>
      <c r="F879" s="3">
        <v>2550.2600000000002</v>
      </c>
      <c r="G879" s="3">
        <v>402716</v>
      </c>
      <c r="H879" s="3">
        <v>32784</v>
      </c>
      <c r="I879" s="3">
        <v>77670.61</v>
      </c>
      <c r="J879" s="3">
        <v>21</v>
      </c>
      <c r="K879" s="15">
        <f t="shared" si="143"/>
        <v>8.1407244807755338E-2</v>
      </c>
      <c r="L879" s="16">
        <f t="shared" si="153"/>
        <v>7.7789775500244032E-2</v>
      </c>
      <c r="M879" s="16">
        <f t="shared" si="144"/>
        <v>6.3326512976886935</v>
      </c>
      <c r="N879" s="16">
        <f t="shared" si="145"/>
        <v>30.455957431791266</v>
      </c>
      <c r="O879" s="16">
        <f t="shared" si="146"/>
        <v>29.455957431791269</v>
      </c>
      <c r="P879" s="1">
        <v>2025</v>
      </c>
      <c r="Q879" s="1" t="s">
        <v>39</v>
      </c>
      <c r="R879" s="1" t="s">
        <v>40</v>
      </c>
      <c r="S879" s="70">
        <f>DATE(Table2[[#This Row],[Year]],MONTH(DATEVALUE("1-"&amp;Table2[[#This Row],[Month]]&amp;"-2000")),1)</f>
        <v>45689</v>
      </c>
      <c r="T879" s="16">
        <f t="shared" si="147"/>
        <v>2.3691620912640312</v>
      </c>
      <c r="U879" s="16">
        <f t="shared" si="148"/>
        <v>0.19286695835278458</v>
      </c>
      <c r="V879" s="16">
        <f t="shared" si="149"/>
        <v>121.4409523809524</v>
      </c>
      <c r="W879" s="16">
        <f t="shared" si="150"/>
        <v>3698.600476190476</v>
      </c>
      <c r="X879" s="16">
        <f t="shared" si="151"/>
        <v>1561.1428571428571</v>
      </c>
      <c r="Y879" s="16">
        <f t="shared" si="152"/>
        <v>19176.952380952382</v>
      </c>
      <c r="Z879" s="7" t="str" cm="1">
        <f t="array" ref="Z879">_xlfn.IFS(K879&lt;2%,"Low",K879&lt;5%,"Medium",K879&lt;10%,"Good",K879&gt;10%,"Excellent")</f>
        <v>Good</v>
      </c>
      <c r="AA879" s="16" t="str">
        <f>Data_Validation!N877</f>
        <v>Pass</v>
      </c>
    </row>
    <row r="880" spans="1:27" x14ac:dyDescent="0.35">
      <c r="A880" s="17" t="s">
        <v>34</v>
      </c>
      <c r="B880" s="3" t="s">
        <v>35</v>
      </c>
      <c r="C880" s="3" t="s">
        <v>36</v>
      </c>
      <c r="D880" s="3" t="s">
        <v>37</v>
      </c>
      <c r="E880" s="3" t="s">
        <v>38</v>
      </c>
      <c r="F880" s="3">
        <v>4525.4799999999996</v>
      </c>
      <c r="G880" s="3">
        <v>301369</v>
      </c>
      <c r="H880" s="3">
        <v>10289</v>
      </c>
      <c r="I880" s="3">
        <v>57751.87</v>
      </c>
      <c r="J880" s="3">
        <v>57</v>
      </c>
      <c r="K880" s="15">
        <f t="shared" si="143"/>
        <v>3.4140870494310964E-2</v>
      </c>
      <c r="L880" s="16">
        <f t="shared" si="153"/>
        <v>0.43983671882593056</v>
      </c>
      <c r="M880" s="16">
        <f t="shared" si="144"/>
        <v>15.016408456078759</v>
      </c>
      <c r="N880" s="16">
        <f t="shared" si="145"/>
        <v>12.761490493826072</v>
      </c>
      <c r="O880" s="16">
        <f t="shared" si="146"/>
        <v>11.76149049382607</v>
      </c>
      <c r="P880" s="1">
        <v>2025</v>
      </c>
      <c r="Q880" s="1" t="s">
        <v>39</v>
      </c>
      <c r="R880" s="1" t="s">
        <v>40</v>
      </c>
      <c r="S880" s="70">
        <f>DATE(Table2[[#This Row],[Year]],MONTH(DATEVALUE("1-"&amp;Table2[[#This Row],[Month]]&amp;"-2000")),1)</f>
        <v>45689</v>
      </c>
      <c r="T880" s="16">
        <f t="shared" si="147"/>
        <v>5.6129721061327631</v>
      </c>
      <c r="U880" s="16">
        <f t="shared" si="148"/>
        <v>0.19163175376365851</v>
      </c>
      <c r="V880" s="16">
        <f t="shared" si="149"/>
        <v>79.394385964912274</v>
      </c>
      <c r="W880" s="16">
        <f t="shared" si="150"/>
        <v>1013.1907017543861</v>
      </c>
      <c r="X880" s="16">
        <f t="shared" si="151"/>
        <v>180.50877192982455</v>
      </c>
      <c r="Y880" s="16">
        <f t="shared" si="152"/>
        <v>5287.1754385964914</v>
      </c>
      <c r="Z880" s="7" t="str" cm="1">
        <f t="array" ref="Z880">_xlfn.IFS(K880&lt;2%,"Low",K880&lt;5%,"Medium",K880&lt;10%,"Good",K880&gt;10%,"Excellent")</f>
        <v>Medium</v>
      </c>
      <c r="AA880" s="16" t="str">
        <f>Data_Validation!N878</f>
        <v>Pass</v>
      </c>
    </row>
    <row r="881" spans="1:27" x14ac:dyDescent="0.35">
      <c r="A881" s="17" t="s">
        <v>97</v>
      </c>
      <c r="B881" s="3" t="s">
        <v>35</v>
      </c>
      <c r="C881" s="3" t="s">
        <v>36</v>
      </c>
      <c r="D881" s="3" t="s">
        <v>37</v>
      </c>
      <c r="E881" s="3" t="s">
        <v>22</v>
      </c>
      <c r="F881" s="3">
        <v>4938.47</v>
      </c>
      <c r="G881" s="3">
        <v>880196</v>
      </c>
      <c r="H881" s="3">
        <v>41627</v>
      </c>
      <c r="I881" s="3">
        <v>241286.25</v>
      </c>
      <c r="J881" s="3">
        <v>48</v>
      </c>
      <c r="K881" s="15">
        <f t="shared" si="143"/>
        <v>4.7292875677689972E-2</v>
      </c>
      <c r="L881" s="16">
        <f t="shared" si="153"/>
        <v>0.11863622168304226</v>
      </c>
      <c r="M881" s="16">
        <f t="shared" si="144"/>
        <v>5.6106480829269847</v>
      </c>
      <c r="N881" s="16">
        <f t="shared" si="145"/>
        <v>48.858502734652632</v>
      </c>
      <c r="O881" s="16">
        <f t="shared" si="146"/>
        <v>47.858502734652632</v>
      </c>
      <c r="P881" s="1">
        <v>2025</v>
      </c>
      <c r="Q881" s="1" t="s">
        <v>39</v>
      </c>
      <c r="R881" s="1" t="s">
        <v>40</v>
      </c>
      <c r="S881" s="70">
        <f>DATE(Table2[[#This Row],[Year]],MONTH(DATEVALUE("1-"&amp;Table2[[#This Row],[Month]]&amp;"-2000")),1)</f>
        <v>45689</v>
      </c>
      <c r="T881" s="16">
        <f t="shared" si="147"/>
        <v>5.7963881615297765</v>
      </c>
      <c r="U881" s="16">
        <f t="shared" si="148"/>
        <v>0.27412786470286166</v>
      </c>
      <c r="V881" s="16">
        <f t="shared" si="149"/>
        <v>102.88479166666667</v>
      </c>
      <c r="W881" s="16">
        <f t="shared" si="150"/>
        <v>5026.796875</v>
      </c>
      <c r="X881" s="16">
        <f t="shared" si="151"/>
        <v>867.22916666666663</v>
      </c>
      <c r="Y881" s="16">
        <f t="shared" si="152"/>
        <v>18337.416666666668</v>
      </c>
      <c r="Z881" s="7" t="str" cm="1">
        <f t="array" ref="Z881">_xlfn.IFS(K881&lt;2%,"Low",K881&lt;5%,"Medium",K881&lt;10%,"Good",K881&gt;10%,"Excellent")</f>
        <v>Medium</v>
      </c>
      <c r="AA881" s="16" t="str">
        <f>Data_Validation!N879</f>
        <v>Pass</v>
      </c>
    </row>
    <row r="882" spans="1:27" x14ac:dyDescent="0.35">
      <c r="A882" s="17" t="s">
        <v>82</v>
      </c>
      <c r="B882" s="3" t="s">
        <v>48</v>
      </c>
      <c r="C882" s="3" t="s">
        <v>69</v>
      </c>
      <c r="D882" s="3" t="s">
        <v>51</v>
      </c>
      <c r="E882" s="3" t="s">
        <v>38</v>
      </c>
      <c r="F882" s="3">
        <v>3827.85</v>
      </c>
      <c r="G882" s="3">
        <v>591409</v>
      </c>
      <c r="H882" s="3">
        <v>2677</v>
      </c>
      <c r="I882" s="3">
        <v>242040.68</v>
      </c>
      <c r="J882" s="3">
        <v>55</v>
      </c>
      <c r="K882" s="15">
        <f t="shared" si="143"/>
        <v>4.5264782916729371E-3</v>
      </c>
      <c r="L882" s="16">
        <f t="shared" si="153"/>
        <v>1.4299028763541277</v>
      </c>
      <c r="M882" s="16">
        <f t="shared" si="144"/>
        <v>6.4724243290176506</v>
      </c>
      <c r="N882" s="16">
        <f t="shared" si="145"/>
        <v>63.231495487022741</v>
      </c>
      <c r="O882" s="16">
        <f t="shared" si="146"/>
        <v>62.231495487022741</v>
      </c>
      <c r="P882" s="1">
        <v>2025</v>
      </c>
      <c r="Q882" s="1" t="s">
        <v>39</v>
      </c>
      <c r="R882" s="1" t="s">
        <v>40</v>
      </c>
      <c r="S882" s="70">
        <f>DATE(Table2[[#This Row],[Year]],MONTH(DATEVALUE("1-"&amp;Table2[[#This Row],[Month]]&amp;"-2000")),1)</f>
        <v>45689</v>
      </c>
      <c r="T882" s="16">
        <f t="shared" si="147"/>
        <v>90.41489727306687</v>
      </c>
      <c r="U882" s="16">
        <f t="shared" si="148"/>
        <v>0.40926106975037579</v>
      </c>
      <c r="V882" s="16">
        <f t="shared" si="149"/>
        <v>69.597272727272724</v>
      </c>
      <c r="W882" s="16">
        <f t="shared" si="150"/>
        <v>4400.7396363636362</v>
      </c>
      <c r="X882" s="16">
        <f t="shared" si="151"/>
        <v>48.672727272727272</v>
      </c>
      <c r="Y882" s="16">
        <f t="shared" si="152"/>
        <v>10752.890909090909</v>
      </c>
      <c r="Z882" s="7" t="str" cm="1">
        <f t="array" ref="Z882">_xlfn.IFS(K882&lt;2%,"Low",K882&lt;5%,"Medium",K882&lt;10%,"Good",K882&gt;10%,"Excellent")</f>
        <v>Low</v>
      </c>
      <c r="AA882" s="16" t="str">
        <f>Data_Validation!N880</f>
        <v>Pass</v>
      </c>
    </row>
    <row r="883" spans="1:27" x14ac:dyDescent="0.35">
      <c r="A883" s="17" t="s">
        <v>68</v>
      </c>
      <c r="B883" s="3" t="s">
        <v>28</v>
      </c>
      <c r="C883" s="3" t="s">
        <v>58</v>
      </c>
      <c r="D883" s="3" t="s">
        <v>21</v>
      </c>
      <c r="E883" s="3" t="s">
        <v>38</v>
      </c>
      <c r="F883" s="3">
        <v>8517.9699999999993</v>
      </c>
      <c r="G883" s="3">
        <v>523358</v>
      </c>
      <c r="H883" s="3">
        <v>5869</v>
      </c>
      <c r="I883" s="3">
        <v>36704.46</v>
      </c>
      <c r="J883" s="3">
        <v>55</v>
      </c>
      <c r="K883" s="15">
        <f t="shared" si="143"/>
        <v>1.1214121117858139E-2</v>
      </c>
      <c r="L883" s="16">
        <f t="shared" si="153"/>
        <v>1.4513494632816493</v>
      </c>
      <c r="M883" s="16">
        <f t="shared" si="144"/>
        <v>16.275608665578819</v>
      </c>
      <c r="N883" s="16">
        <f t="shared" si="145"/>
        <v>4.3090619008989233</v>
      </c>
      <c r="O883" s="16">
        <f t="shared" si="146"/>
        <v>3.3090619008989233</v>
      </c>
      <c r="P883" s="1">
        <v>2025</v>
      </c>
      <c r="Q883" s="1" t="s">
        <v>39</v>
      </c>
      <c r="R883" s="1" t="s">
        <v>40</v>
      </c>
      <c r="S883" s="70">
        <f>DATE(Table2[[#This Row],[Year]],MONTH(DATEVALUE("1-"&amp;Table2[[#This Row],[Month]]&amp;"-2000")),1)</f>
        <v>45689</v>
      </c>
      <c r="T883" s="16">
        <f t="shared" si="147"/>
        <v>6.253954677117056</v>
      </c>
      <c r="U883" s="16">
        <f t="shared" si="148"/>
        <v>7.0132605214786051E-2</v>
      </c>
      <c r="V883" s="16">
        <f t="shared" si="149"/>
        <v>154.87218181818182</v>
      </c>
      <c r="W883" s="16">
        <f t="shared" si="150"/>
        <v>667.35381818181816</v>
      </c>
      <c r="X883" s="16">
        <f t="shared" si="151"/>
        <v>106.7090909090909</v>
      </c>
      <c r="Y883" s="16">
        <f t="shared" si="152"/>
        <v>9515.6</v>
      </c>
      <c r="Z883" s="7" t="str" cm="1">
        <f t="array" ref="Z883">_xlfn.IFS(K883&lt;2%,"Low",K883&lt;5%,"Medium",K883&lt;10%,"Good",K883&gt;10%,"Excellent")</f>
        <v>Low</v>
      </c>
      <c r="AA883" s="16" t="str">
        <f>Data_Validation!N881</f>
        <v>Pass</v>
      </c>
    </row>
    <row r="884" spans="1:27" x14ac:dyDescent="0.35">
      <c r="A884" s="17" t="s">
        <v>18</v>
      </c>
      <c r="B884" s="3" t="s">
        <v>35</v>
      </c>
      <c r="C884" s="3" t="s">
        <v>58</v>
      </c>
      <c r="D884" s="3" t="s">
        <v>37</v>
      </c>
      <c r="E884" s="3" t="s">
        <v>30</v>
      </c>
      <c r="F884" s="3">
        <v>20086.14</v>
      </c>
      <c r="G884" s="3">
        <v>998464</v>
      </c>
      <c r="H884" s="3">
        <v>43822</v>
      </c>
      <c r="I884" s="3">
        <v>178980.29</v>
      </c>
      <c r="J884" s="3">
        <v>28</v>
      </c>
      <c r="K884" s="15">
        <f t="shared" si="143"/>
        <v>4.3889414140119223E-2</v>
      </c>
      <c r="L884" s="16">
        <f t="shared" si="153"/>
        <v>0.45835744603167355</v>
      </c>
      <c r="M884" s="16">
        <f t="shared" si="144"/>
        <v>20.11703977309147</v>
      </c>
      <c r="N884" s="16">
        <f t="shared" si="145"/>
        <v>8.9106363890722662</v>
      </c>
      <c r="O884" s="16">
        <f t="shared" si="146"/>
        <v>7.9106363890722671</v>
      </c>
      <c r="P884" s="1">
        <v>2025</v>
      </c>
      <c r="Q884" s="1" t="s">
        <v>39</v>
      </c>
      <c r="R884" s="1" t="s">
        <v>40</v>
      </c>
      <c r="S884" s="70">
        <f>DATE(Table2[[#This Row],[Year]],MONTH(DATEVALUE("1-"&amp;Table2[[#This Row],[Month]]&amp;"-2000")),1)</f>
        <v>45689</v>
      </c>
      <c r="T884" s="16">
        <f t="shared" si="147"/>
        <v>4.0842565378120579</v>
      </c>
      <c r="U884" s="16">
        <f t="shared" si="148"/>
        <v>0.17925562664252292</v>
      </c>
      <c r="V884" s="16">
        <f t="shared" si="149"/>
        <v>717.36214285714289</v>
      </c>
      <c r="W884" s="16">
        <f t="shared" si="150"/>
        <v>6392.153214285715</v>
      </c>
      <c r="X884" s="16">
        <f t="shared" si="151"/>
        <v>1565.0714285714287</v>
      </c>
      <c r="Y884" s="16">
        <f t="shared" si="152"/>
        <v>35659.428571428572</v>
      </c>
      <c r="Z884" s="7" t="str" cm="1">
        <f t="array" ref="Z884">_xlfn.IFS(K884&lt;2%,"Low",K884&lt;5%,"Medium",K884&lt;10%,"Good",K884&gt;10%,"Excellent")</f>
        <v>Medium</v>
      </c>
      <c r="AA884" s="16" t="str">
        <f>Data_Validation!N882</f>
        <v>Pass</v>
      </c>
    </row>
    <row r="885" spans="1:27" x14ac:dyDescent="0.35">
      <c r="A885" s="17" t="s">
        <v>109</v>
      </c>
      <c r="B885" s="3" t="s">
        <v>35</v>
      </c>
      <c r="C885" s="3" t="s">
        <v>20</v>
      </c>
      <c r="D885" s="3" t="s">
        <v>51</v>
      </c>
      <c r="E885" s="3" t="s">
        <v>22</v>
      </c>
      <c r="F885" s="3">
        <v>997.18</v>
      </c>
      <c r="G885" s="3">
        <v>152514</v>
      </c>
      <c r="H885" s="3">
        <v>32593</v>
      </c>
      <c r="I885" s="3">
        <v>191757.05</v>
      </c>
      <c r="J885" s="3">
        <v>26</v>
      </c>
      <c r="K885" s="15">
        <f t="shared" si="143"/>
        <v>0.21370497134689276</v>
      </c>
      <c r="L885" s="16">
        <f t="shared" si="153"/>
        <v>3.0594913018132726E-2</v>
      </c>
      <c r="M885" s="16">
        <f t="shared" si="144"/>
        <v>6.5382850099007301</v>
      </c>
      <c r="N885" s="16">
        <f t="shared" si="145"/>
        <v>192.29933412222468</v>
      </c>
      <c r="O885" s="16">
        <f t="shared" si="146"/>
        <v>191.29933412222468</v>
      </c>
      <c r="P885" s="1">
        <v>2025</v>
      </c>
      <c r="Q885" s="1" t="s">
        <v>39</v>
      </c>
      <c r="R885" s="1" t="s">
        <v>40</v>
      </c>
      <c r="S885" s="70">
        <f>DATE(Table2[[#This Row],[Year]],MONTH(DATEVALUE("1-"&amp;Table2[[#This Row],[Month]]&amp;"-2000")),1)</f>
        <v>45689</v>
      </c>
      <c r="T885" s="16">
        <f t="shared" si="147"/>
        <v>5.8833814009143062</v>
      </c>
      <c r="U885" s="16">
        <f t="shared" si="148"/>
        <v>1.2573078537052336</v>
      </c>
      <c r="V885" s="16">
        <f t="shared" si="149"/>
        <v>38.35307692307692</v>
      </c>
      <c r="W885" s="16">
        <f t="shared" si="150"/>
        <v>7375.2711538461535</v>
      </c>
      <c r="X885" s="16">
        <f t="shared" si="151"/>
        <v>1253.5769230769231</v>
      </c>
      <c r="Y885" s="16">
        <f t="shared" si="152"/>
        <v>5865.9230769230771</v>
      </c>
      <c r="Z885" s="7" t="str" cm="1">
        <f t="array" ref="Z885">_xlfn.IFS(K885&lt;2%,"Low",K885&lt;5%,"Medium",K885&lt;10%,"Good",K885&gt;10%,"Excellent")</f>
        <v>Excellent</v>
      </c>
      <c r="AA885" s="16" t="str">
        <f>Data_Validation!N883</f>
        <v>Pass</v>
      </c>
    </row>
    <row r="886" spans="1:27" x14ac:dyDescent="0.35">
      <c r="A886" s="17" t="s">
        <v>77</v>
      </c>
      <c r="B886" s="3" t="s">
        <v>28</v>
      </c>
      <c r="C886" s="3" t="s">
        <v>36</v>
      </c>
      <c r="D886" s="3" t="s">
        <v>37</v>
      </c>
      <c r="E886" s="3" t="s">
        <v>22</v>
      </c>
      <c r="F886" s="3">
        <v>684.46</v>
      </c>
      <c r="G886" s="3">
        <v>461914</v>
      </c>
      <c r="H886" s="3">
        <v>29515</v>
      </c>
      <c r="I886" s="3">
        <v>141461.32999999999</v>
      </c>
      <c r="J886" s="3">
        <v>23</v>
      </c>
      <c r="K886" s="15">
        <f t="shared" si="143"/>
        <v>6.3897175664734129E-2</v>
      </c>
      <c r="L886" s="16">
        <f t="shared" si="153"/>
        <v>2.3190242249703542E-2</v>
      </c>
      <c r="M886" s="16">
        <f t="shared" si="144"/>
        <v>1.4817909827370463</v>
      </c>
      <c r="N886" s="16">
        <f t="shared" si="145"/>
        <v>206.67581743272066</v>
      </c>
      <c r="O886" s="16">
        <f t="shared" si="146"/>
        <v>205.67581743272066</v>
      </c>
      <c r="P886" s="1">
        <v>2025</v>
      </c>
      <c r="Q886" s="1" t="s">
        <v>39</v>
      </c>
      <c r="R886" s="1" t="s">
        <v>40</v>
      </c>
      <c r="S886" s="70">
        <f>DATE(Table2[[#This Row],[Year]],MONTH(DATEVALUE("1-"&amp;Table2[[#This Row],[Month]]&amp;"-2000")),1)</f>
        <v>45689</v>
      </c>
      <c r="T886" s="16">
        <f t="shared" si="147"/>
        <v>4.7928622734202939</v>
      </c>
      <c r="U886" s="16">
        <f t="shared" si="148"/>
        <v>0.30625036262161354</v>
      </c>
      <c r="V886" s="16">
        <f t="shared" si="149"/>
        <v>29.759130434782609</v>
      </c>
      <c r="W886" s="16">
        <f t="shared" si="150"/>
        <v>6150.4926086956521</v>
      </c>
      <c r="X886" s="16">
        <f t="shared" si="151"/>
        <v>1283.2608695652175</v>
      </c>
      <c r="Y886" s="16">
        <f t="shared" si="152"/>
        <v>20083.217391304348</v>
      </c>
      <c r="Z886" s="7" t="str" cm="1">
        <f t="array" ref="Z886">_xlfn.IFS(K886&lt;2%,"Low",K886&lt;5%,"Medium",K886&lt;10%,"Good",K886&gt;10%,"Excellent")</f>
        <v>Good</v>
      </c>
      <c r="AA886" s="16" t="str">
        <f>Data_Validation!N884</f>
        <v>Pass</v>
      </c>
    </row>
    <row r="887" spans="1:27" x14ac:dyDescent="0.35">
      <c r="A887" s="17" t="s">
        <v>104</v>
      </c>
      <c r="B887" s="3" t="s">
        <v>35</v>
      </c>
      <c r="C887" s="3" t="s">
        <v>36</v>
      </c>
      <c r="D887" s="3" t="s">
        <v>43</v>
      </c>
      <c r="E887" s="3" t="s">
        <v>22</v>
      </c>
      <c r="F887" s="3">
        <v>24688.12</v>
      </c>
      <c r="G887" s="3">
        <v>835618</v>
      </c>
      <c r="H887" s="3">
        <v>5465</v>
      </c>
      <c r="I887" s="3">
        <v>133749.13</v>
      </c>
      <c r="J887" s="3">
        <v>21</v>
      </c>
      <c r="K887" s="15">
        <f t="shared" si="143"/>
        <v>6.5400697447876898E-3</v>
      </c>
      <c r="L887" s="16">
        <f t="shared" si="153"/>
        <v>4.517496797804208</v>
      </c>
      <c r="M887" s="16">
        <f t="shared" si="144"/>
        <v>29.544744129494575</v>
      </c>
      <c r="N887" s="16">
        <f t="shared" si="145"/>
        <v>5.4175502225361836</v>
      </c>
      <c r="O887" s="16">
        <f t="shared" si="146"/>
        <v>4.4175502225361836</v>
      </c>
      <c r="P887" s="1">
        <v>2025</v>
      </c>
      <c r="Q887" s="1" t="s">
        <v>39</v>
      </c>
      <c r="R887" s="1" t="s">
        <v>40</v>
      </c>
      <c r="S887" s="70">
        <f>DATE(Table2[[#This Row],[Year]],MONTH(DATEVALUE("1-"&amp;Table2[[#This Row],[Month]]&amp;"-2000")),1)</f>
        <v>45689</v>
      </c>
      <c r="T887" s="16">
        <f t="shared" si="147"/>
        <v>24.473765782250688</v>
      </c>
      <c r="U887" s="16">
        <f t="shared" si="148"/>
        <v>0.16006013513351794</v>
      </c>
      <c r="V887" s="16">
        <f t="shared" si="149"/>
        <v>1175.624761904762</v>
      </c>
      <c r="W887" s="16">
        <f t="shared" si="150"/>
        <v>6369.0061904761906</v>
      </c>
      <c r="X887" s="16">
        <f t="shared" si="151"/>
        <v>260.23809523809524</v>
      </c>
      <c r="Y887" s="16">
        <f t="shared" si="152"/>
        <v>39791.333333333336</v>
      </c>
      <c r="Z887" s="7" t="str" cm="1">
        <f t="array" ref="Z887">_xlfn.IFS(K887&lt;2%,"Low",K887&lt;5%,"Medium",K887&lt;10%,"Good",K887&gt;10%,"Excellent")</f>
        <v>Low</v>
      </c>
      <c r="AA887" s="16" t="str">
        <f>Data_Validation!N885</f>
        <v>Pass</v>
      </c>
    </row>
    <row r="888" spans="1:27" x14ac:dyDescent="0.35">
      <c r="A888" s="17" t="s">
        <v>57</v>
      </c>
      <c r="B888" s="3" t="s">
        <v>35</v>
      </c>
      <c r="C888" s="3" t="s">
        <v>58</v>
      </c>
      <c r="D888" s="3" t="s">
        <v>59</v>
      </c>
      <c r="E888" s="3" t="s">
        <v>30</v>
      </c>
      <c r="F888" s="3">
        <v>1660.19</v>
      </c>
      <c r="G888" s="3">
        <v>515719</v>
      </c>
      <c r="H888" s="3">
        <v>24426</v>
      </c>
      <c r="I888" s="3">
        <v>157063.53</v>
      </c>
      <c r="J888" s="3">
        <v>60</v>
      </c>
      <c r="K888" s="15">
        <f t="shared" si="143"/>
        <v>4.7363001944857569E-2</v>
      </c>
      <c r="L888" s="16">
        <f t="shared" si="153"/>
        <v>6.7968148694014574E-2</v>
      </c>
      <c r="M888" s="16">
        <f t="shared" si="144"/>
        <v>3.2191755587829807</v>
      </c>
      <c r="N888" s="16">
        <f t="shared" si="145"/>
        <v>94.605755967690442</v>
      </c>
      <c r="O888" s="16">
        <f t="shared" si="146"/>
        <v>93.605755967690442</v>
      </c>
      <c r="P888" s="1">
        <v>2025</v>
      </c>
      <c r="Q888" s="1" t="s">
        <v>39</v>
      </c>
      <c r="R888" s="1" t="s">
        <v>40</v>
      </c>
      <c r="S888" s="70">
        <f>DATE(Table2[[#This Row],[Year]],MONTH(DATEVALUE("1-"&amp;Table2[[#This Row],[Month]]&amp;"-2000")),1)</f>
        <v>45689</v>
      </c>
      <c r="T888" s="16">
        <f t="shared" si="147"/>
        <v>6.4301780889216404</v>
      </c>
      <c r="U888" s="16">
        <f t="shared" si="148"/>
        <v>0.30455253733137622</v>
      </c>
      <c r="V888" s="16">
        <f t="shared" si="149"/>
        <v>27.669833333333333</v>
      </c>
      <c r="W888" s="16">
        <f t="shared" si="150"/>
        <v>2617.7255</v>
      </c>
      <c r="X888" s="16">
        <f t="shared" si="151"/>
        <v>407.1</v>
      </c>
      <c r="Y888" s="16">
        <f t="shared" si="152"/>
        <v>8595.3166666666675</v>
      </c>
      <c r="Z888" s="7" t="str" cm="1">
        <f t="array" ref="Z888">_xlfn.IFS(K888&lt;2%,"Low",K888&lt;5%,"Medium",K888&lt;10%,"Good",K888&gt;10%,"Excellent")</f>
        <v>Medium</v>
      </c>
      <c r="AA888" s="16" t="str">
        <f>Data_Validation!N886</f>
        <v>Pass</v>
      </c>
    </row>
    <row r="889" spans="1:27" x14ac:dyDescent="0.35">
      <c r="A889" s="17" t="s">
        <v>94</v>
      </c>
      <c r="B889" s="3" t="s">
        <v>48</v>
      </c>
      <c r="C889" s="3" t="s">
        <v>29</v>
      </c>
      <c r="D889" s="3" t="s">
        <v>43</v>
      </c>
      <c r="E889" s="3" t="s">
        <v>38</v>
      </c>
      <c r="F889" s="3">
        <v>23769.87</v>
      </c>
      <c r="G889" s="3">
        <v>746677</v>
      </c>
      <c r="H889" s="3">
        <v>43697</v>
      </c>
      <c r="I889" s="3">
        <v>109633.37</v>
      </c>
      <c r="J889" s="3">
        <v>46</v>
      </c>
      <c r="K889" s="15">
        <f t="shared" si="143"/>
        <v>5.852195795504616E-2</v>
      </c>
      <c r="L889" s="16">
        <f t="shared" si="153"/>
        <v>0.54397029544362308</v>
      </c>
      <c r="M889" s="16">
        <f t="shared" si="144"/>
        <v>31.834206758745751</v>
      </c>
      <c r="N889" s="16">
        <f t="shared" si="145"/>
        <v>4.612283113033433</v>
      </c>
      <c r="O889" s="16">
        <f t="shared" si="146"/>
        <v>3.612283113033433</v>
      </c>
      <c r="P889" s="1">
        <v>2025</v>
      </c>
      <c r="Q889" s="1" t="s">
        <v>39</v>
      </c>
      <c r="R889" s="1" t="s">
        <v>40</v>
      </c>
      <c r="S889" s="70">
        <f>DATE(Table2[[#This Row],[Year]],MONTH(DATEVALUE("1-"&amp;Table2[[#This Row],[Month]]&amp;"-2000")),1)</f>
        <v>45689</v>
      </c>
      <c r="T889" s="16">
        <f t="shared" si="147"/>
        <v>2.5089450076664299</v>
      </c>
      <c r="U889" s="16">
        <f t="shared" si="148"/>
        <v>0.14682837425017778</v>
      </c>
      <c r="V889" s="16">
        <f t="shared" si="149"/>
        <v>516.73630434782604</v>
      </c>
      <c r="W889" s="16">
        <f t="shared" si="150"/>
        <v>2383.3341304347823</v>
      </c>
      <c r="X889" s="16">
        <f t="shared" si="151"/>
        <v>949.93478260869563</v>
      </c>
      <c r="Y889" s="16">
        <f t="shared" si="152"/>
        <v>16232.108695652174</v>
      </c>
      <c r="Z889" s="7" t="str" cm="1">
        <f t="array" ref="Z889">_xlfn.IFS(K889&lt;2%,"Low",K889&lt;5%,"Medium",K889&lt;10%,"Good",K889&gt;10%,"Excellent")</f>
        <v>Good</v>
      </c>
      <c r="AA889" s="16" t="str">
        <f>Data_Validation!N887</f>
        <v>Pass</v>
      </c>
    </row>
    <row r="890" spans="1:27" x14ac:dyDescent="0.35">
      <c r="A890" s="17" t="s">
        <v>114</v>
      </c>
      <c r="B890" s="3" t="s">
        <v>48</v>
      </c>
      <c r="C890" s="3" t="s">
        <v>20</v>
      </c>
      <c r="D890" s="3" t="s">
        <v>21</v>
      </c>
      <c r="E890" s="3" t="s">
        <v>30</v>
      </c>
      <c r="F890" s="3">
        <v>22175.68</v>
      </c>
      <c r="G890" s="3">
        <v>553842</v>
      </c>
      <c r="H890" s="3">
        <v>13892</v>
      </c>
      <c r="I890" s="3">
        <v>93713.95</v>
      </c>
      <c r="J890" s="3">
        <v>55</v>
      </c>
      <c r="K890" s="15">
        <f t="shared" si="143"/>
        <v>2.5082965900022028E-2</v>
      </c>
      <c r="L890" s="16">
        <f t="shared" si="153"/>
        <v>1.5962913907284768</v>
      </c>
      <c r="M890" s="16">
        <f t="shared" si="144"/>
        <v>40.039722520141126</v>
      </c>
      <c r="N890" s="16">
        <f t="shared" si="145"/>
        <v>4.2259786396629098</v>
      </c>
      <c r="O890" s="16">
        <f t="shared" si="146"/>
        <v>3.2259786396629093</v>
      </c>
      <c r="P890" s="1">
        <v>2025</v>
      </c>
      <c r="Q890" s="1" t="s">
        <v>39</v>
      </c>
      <c r="R890" s="1" t="s">
        <v>40</v>
      </c>
      <c r="S890" s="70">
        <f>DATE(Table2[[#This Row],[Year]],MONTH(DATEVALUE("1-"&amp;Table2[[#This Row],[Month]]&amp;"-2000")),1)</f>
        <v>45689</v>
      </c>
      <c r="T890" s="16">
        <f t="shared" si="147"/>
        <v>6.7458933198963429</v>
      </c>
      <c r="U890" s="16">
        <f t="shared" si="148"/>
        <v>0.16920701210814637</v>
      </c>
      <c r="V890" s="16">
        <f t="shared" si="149"/>
        <v>403.19418181818185</v>
      </c>
      <c r="W890" s="16">
        <f t="shared" si="150"/>
        <v>1703.8899999999999</v>
      </c>
      <c r="X890" s="16">
        <f t="shared" si="151"/>
        <v>252.58181818181819</v>
      </c>
      <c r="Y890" s="16">
        <f t="shared" si="152"/>
        <v>10069.854545454546</v>
      </c>
      <c r="Z890" s="7" t="str" cm="1">
        <f t="array" ref="Z890">_xlfn.IFS(K890&lt;2%,"Low",K890&lt;5%,"Medium",K890&lt;10%,"Good",K890&gt;10%,"Excellent")</f>
        <v>Medium</v>
      </c>
      <c r="AA890" s="16" t="str">
        <f>Data_Validation!N888</f>
        <v>Pass</v>
      </c>
    </row>
    <row r="891" spans="1:27" x14ac:dyDescent="0.35">
      <c r="A891" s="17" t="s">
        <v>85</v>
      </c>
      <c r="B891" s="3" t="s">
        <v>19</v>
      </c>
      <c r="C891" s="3" t="s">
        <v>29</v>
      </c>
      <c r="D891" s="3" t="s">
        <v>43</v>
      </c>
      <c r="E891" s="3" t="s">
        <v>38</v>
      </c>
      <c r="F891" s="3">
        <v>58427.41</v>
      </c>
      <c r="G891" s="3">
        <v>114998</v>
      </c>
      <c r="H891" s="3">
        <v>16343</v>
      </c>
      <c r="I891" s="3">
        <v>165931.78</v>
      </c>
      <c r="J891" s="3">
        <v>43</v>
      </c>
      <c r="K891" s="15">
        <f t="shared" si="143"/>
        <v>0.14211551505243569</v>
      </c>
      <c r="L891" s="16">
        <f t="shared" si="153"/>
        <v>3.5750725081074468</v>
      </c>
      <c r="M891" s="16">
        <f t="shared" si="144"/>
        <v>508.07327083949292</v>
      </c>
      <c r="N891" s="16">
        <f t="shared" si="145"/>
        <v>2.8399646672683247</v>
      </c>
      <c r="O891" s="16">
        <f t="shared" si="146"/>
        <v>1.8399646672683247</v>
      </c>
      <c r="P891" s="1">
        <v>2025</v>
      </c>
      <c r="Q891" s="1" t="s">
        <v>39</v>
      </c>
      <c r="R891" s="1" t="s">
        <v>40</v>
      </c>
      <c r="S891" s="70">
        <f>DATE(Table2[[#This Row],[Year]],MONTH(DATEVALUE("1-"&amp;Table2[[#This Row],[Month]]&amp;"-2000")),1)</f>
        <v>45689</v>
      </c>
      <c r="T891" s="16">
        <f t="shared" si="147"/>
        <v>10.1530796059475</v>
      </c>
      <c r="U891" s="16">
        <f t="shared" si="148"/>
        <v>1.4429101375676099</v>
      </c>
      <c r="V891" s="16">
        <f t="shared" si="149"/>
        <v>1358.7769767441862</v>
      </c>
      <c r="W891" s="16">
        <f t="shared" si="150"/>
        <v>3858.8786046511627</v>
      </c>
      <c r="X891" s="16">
        <f t="shared" si="151"/>
        <v>380.06976744186045</v>
      </c>
      <c r="Y891" s="16">
        <f t="shared" si="152"/>
        <v>2674.3720930232557</v>
      </c>
      <c r="Z891" s="7" t="str" cm="1">
        <f t="array" ref="Z891">_xlfn.IFS(K891&lt;2%,"Low",K891&lt;5%,"Medium",K891&lt;10%,"Good",K891&gt;10%,"Excellent")</f>
        <v>Excellent</v>
      </c>
      <c r="AA891" s="16" t="str">
        <f>Data_Validation!N889</f>
        <v>Pass</v>
      </c>
    </row>
    <row r="892" spans="1:27" x14ac:dyDescent="0.35">
      <c r="A892" s="17" t="s">
        <v>89</v>
      </c>
      <c r="B892" s="3" t="s">
        <v>28</v>
      </c>
      <c r="C892" s="3" t="s">
        <v>36</v>
      </c>
      <c r="D892" s="3" t="s">
        <v>63</v>
      </c>
      <c r="E892" s="3" t="s">
        <v>30</v>
      </c>
      <c r="F892" s="3">
        <v>5080.6899999999996</v>
      </c>
      <c r="G892" s="3">
        <v>364280</v>
      </c>
      <c r="H892" s="3">
        <v>9970</v>
      </c>
      <c r="I892" s="3">
        <v>13944.88</v>
      </c>
      <c r="J892" s="3">
        <v>37</v>
      </c>
      <c r="K892" s="15">
        <f t="shared" si="143"/>
        <v>2.7369056769517952E-2</v>
      </c>
      <c r="L892" s="16">
        <f t="shared" si="153"/>
        <v>0.50959779338014033</v>
      </c>
      <c r="M892" s="16">
        <f t="shared" si="144"/>
        <v>13.947210936642142</v>
      </c>
      <c r="N892" s="16">
        <f t="shared" si="145"/>
        <v>2.7446823167719345</v>
      </c>
      <c r="O892" s="16">
        <f t="shared" si="146"/>
        <v>1.7446823167719343</v>
      </c>
      <c r="P892" s="1">
        <v>2025</v>
      </c>
      <c r="Q892" s="1" t="s">
        <v>39</v>
      </c>
      <c r="R892" s="1" t="s">
        <v>40</v>
      </c>
      <c r="S892" s="70">
        <f>DATE(Table2[[#This Row],[Year]],MONTH(DATEVALUE("1-"&amp;Table2[[#This Row],[Month]]&amp;"-2000")),1)</f>
        <v>45689</v>
      </c>
      <c r="T892" s="16">
        <f t="shared" si="147"/>
        <v>1.3986840521564694</v>
      </c>
      <c r="U892" s="16">
        <f t="shared" si="148"/>
        <v>3.828066322608982E-2</v>
      </c>
      <c r="V892" s="16">
        <f t="shared" si="149"/>
        <v>137.31594594594594</v>
      </c>
      <c r="W892" s="16">
        <f t="shared" si="150"/>
        <v>376.88864864864865</v>
      </c>
      <c r="X892" s="16">
        <f t="shared" si="151"/>
        <v>269.45945945945948</v>
      </c>
      <c r="Y892" s="16">
        <f t="shared" si="152"/>
        <v>9845.405405405405</v>
      </c>
      <c r="Z892" s="7" t="str" cm="1">
        <f t="array" ref="Z892">_xlfn.IFS(K892&lt;2%,"Low",K892&lt;5%,"Medium",K892&lt;10%,"Good",K892&gt;10%,"Excellent")</f>
        <v>Medium</v>
      </c>
      <c r="AA892" s="16" t="str">
        <f>Data_Validation!N890</f>
        <v>Pass</v>
      </c>
    </row>
    <row r="893" spans="1:27" x14ac:dyDescent="0.35">
      <c r="A893" s="17" t="s">
        <v>86</v>
      </c>
      <c r="B893" s="3" t="s">
        <v>48</v>
      </c>
      <c r="C893" s="3" t="s">
        <v>29</v>
      </c>
      <c r="D893" s="3" t="s">
        <v>63</v>
      </c>
      <c r="E893" s="3" t="s">
        <v>38</v>
      </c>
      <c r="F893" s="3">
        <v>2674.61</v>
      </c>
      <c r="G893" s="3">
        <v>425287</v>
      </c>
      <c r="H893" s="3">
        <v>47574</v>
      </c>
      <c r="I893" s="3">
        <v>144385.78</v>
      </c>
      <c r="J893" s="3">
        <v>6</v>
      </c>
      <c r="K893" s="15">
        <f t="shared" si="143"/>
        <v>0.11186328291248028</v>
      </c>
      <c r="L893" s="16">
        <f t="shared" si="153"/>
        <v>5.6219994114432258E-2</v>
      </c>
      <c r="M893" s="16">
        <f t="shared" si="144"/>
        <v>6.2889531069607116</v>
      </c>
      <c r="N893" s="16">
        <f t="shared" si="145"/>
        <v>53.983863067886531</v>
      </c>
      <c r="O893" s="16">
        <f t="shared" si="146"/>
        <v>52.983863067886539</v>
      </c>
      <c r="P893" s="1">
        <v>2025</v>
      </c>
      <c r="Q893" s="1" t="s">
        <v>39</v>
      </c>
      <c r="R893" s="1" t="s">
        <v>40</v>
      </c>
      <c r="S893" s="70">
        <f>DATE(Table2[[#This Row],[Year]],MONTH(DATEVALUE("1-"&amp;Table2[[#This Row],[Month]]&amp;"-2000")),1)</f>
        <v>45689</v>
      </c>
      <c r="T893" s="16">
        <f t="shared" si="147"/>
        <v>3.0349724639508975</v>
      </c>
      <c r="U893" s="16">
        <f t="shared" si="148"/>
        <v>0.33950198336652659</v>
      </c>
      <c r="V893" s="16">
        <f t="shared" si="149"/>
        <v>445.76833333333337</v>
      </c>
      <c r="W893" s="16">
        <f t="shared" si="150"/>
        <v>24064.296666666665</v>
      </c>
      <c r="X893" s="16">
        <f t="shared" si="151"/>
        <v>7929</v>
      </c>
      <c r="Y893" s="16">
        <f t="shared" si="152"/>
        <v>70881.166666666672</v>
      </c>
      <c r="Z893" s="7" t="str" cm="1">
        <f t="array" ref="Z893">_xlfn.IFS(K893&lt;2%,"Low",K893&lt;5%,"Medium",K893&lt;10%,"Good",K893&gt;10%,"Excellent")</f>
        <v>Excellent</v>
      </c>
      <c r="AA893" s="16" t="str">
        <f>Data_Validation!N891</f>
        <v>Pass</v>
      </c>
    </row>
    <row r="894" spans="1:27" x14ac:dyDescent="0.35">
      <c r="A894" s="17" t="s">
        <v>70</v>
      </c>
      <c r="B894" s="3" t="s">
        <v>48</v>
      </c>
      <c r="C894" s="3" t="s">
        <v>58</v>
      </c>
      <c r="D894" s="3" t="s">
        <v>51</v>
      </c>
      <c r="E894" s="3" t="s">
        <v>22</v>
      </c>
      <c r="F894" s="3">
        <v>12246.18</v>
      </c>
      <c r="G894" s="3">
        <v>474478</v>
      </c>
      <c r="H894" s="3">
        <v>16298</v>
      </c>
      <c r="I894" s="3">
        <v>185716.66</v>
      </c>
      <c r="J894" s="3">
        <v>51</v>
      </c>
      <c r="K894" s="15">
        <f t="shared" si="143"/>
        <v>3.4349327049936984E-2</v>
      </c>
      <c r="L894" s="16">
        <f t="shared" si="153"/>
        <v>0.75139158178917664</v>
      </c>
      <c r="M894" s="16">
        <f t="shared" si="144"/>
        <v>25.809795185445903</v>
      </c>
      <c r="N894" s="16">
        <f t="shared" si="145"/>
        <v>15.165272762608421</v>
      </c>
      <c r="O894" s="16">
        <f t="shared" si="146"/>
        <v>14.165272762608422</v>
      </c>
      <c r="P894" s="1">
        <v>2025</v>
      </c>
      <c r="Q894" s="1" t="s">
        <v>39</v>
      </c>
      <c r="R894" s="1" t="s">
        <v>40</v>
      </c>
      <c r="S894" s="70">
        <f>DATE(Table2[[#This Row],[Year]],MONTH(DATEVALUE("1-"&amp;Table2[[#This Row],[Month]]&amp;"-2000")),1)</f>
        <v>45689</v>
      </c>
      <c r="T894" s="16">
        <f t="shared" si="147"/>
        <v>11.395058289360659</v>
      </c>
      <c r="U894" s="16">
        <f t="shared" si="148"/>
        <v>0.39141258393434469</v>
      </c>
      <c r="V894" s="16">
        <f t="shared" si="149"/>
        <v>240.12117647058824</v>
      </c>
      <c r="W894" s="16">
        <f t="shared" si="150"/>
        <v>3641.503137254902</v>
      </c>
      <c r="X894" s="16">
        <f t="shared" si="151"/>
        <v>319.56862745098039</v>
      </c>
      <c r="Y894" s="16">
        <f t="shared" si="152"/>
        <v>9303.4901960784318</v>
      </c>
      <c r="Z894" s="7" t="str" cm="1">
        <f t="array" ref="Z894">_xlfn.IFS(K894&lt;2%,"Low",K894&lt;5%,"Medium",K894&lt;10%,"Good",K894&gt;10%,"Excellent")</f>
        <v>Medium</v>
      </c>
      <c r="AA894" s="16" t="str">
        <f>Data_Validation!N892</f>
        <v>Pass</v>
      </c>
    </row>
    <row r="895" spans="1:27" x14ac:dyDescent="0.35">
      <c r="A895" s="17" t="s">
        <v>79</v>
      </c>
      <c r="B895" s="3" t="s">
        <v>48</v>
      </c>
      <c r="C895" s="3" t="s">
        <v>29</v>
      </c>
      <c r="D895" s="3" t="s">
        <v>63</v>
      </c>
      <c r="E895" s="3" t="s">
        <v>30</v>
      </c>
      <c r="F895" s="3">
        <v>24278.28</v>
      </c>
      <c r="G895" s="3">
        <v>68104</v>
      </c>
      <c r="H895" s="3">
        <v>8237</v>
      </c>
      <c r="I895" s="3">
        <v>131935.01999999999</v>
      </c>
      <c r="J895" s="3">
        <v>14</v>
      </c>
      <c r="K895" s="15">
        <f t="shared" si="143"/>
        <v>0.12094737460354751</v>
      </c>
      <c r="L895" s="16">
        <f t="shared" si="153"/>
        <v>2.9474663105499572</v>
      </c>
      <c r="M895" s="16">
        <f t="shared" si="144"/>
        <v>356.4883119934218</v>
      </c>
      <c r="N895" s="16">
        <f t="shared" si="145"/>
        <v>5.4342820002075927</v>
      </c>
      <c r="O895" s="16">
        <f t="shared" si="146"/>
        <v>4.4342820002075927</v>
      </c>
      <c r="P895" s="1">
        <v>2025</v>
      </c>
      <c r="Q895" s="1" t="s">
        <v>39</v>
      </c>
      <c r="R895" s="1" t="s">
        <v>40</v>
      </c>
      <c r="S895" s="70">
        <f>DATE(Table2[[#This Row],[Year]],MONTH(DATEVALUE("1-"&amp;Table2[[#This Row],[Month]]&amp;"-2000")),1)</f>
        <v>45689</v>
      </c>
      <c r="T895" s="16">
        <f t="shared" si="147"/>
        <v>16.017363117639917</v>
      </c>
      <c r="U895" s="16">
        <f t="shared" si="148"/>
        <v>1.9372580171502407</v>
      </c>
      <c r="V895" s="16">
        <f t="shared" si="149"/>
        <v>1734.1628571428571</v>
      </c>
      <c r="W895" s="16">
        <f t="shared" si="150"/>
        <v>9423.9299999999985</v>
      </c>
      <c r="X895" s="16">
        <f t="shared" si="151"/>
        <v>588.35714285714289</v>
      </c>
      <c r="Y895" s="16">
        <f t="shared" si="152"/>
        <v>4864.5714285714284</v>
      </c>
      <c r="Z895" s="7" t="str" cm="1">
        <f t="array" ref="Z895">_xlfn.IFS(K895&lt;2%,"Low",K895&lt;5%,"Medium",K895&lt;10%,"Good",K895&gt;10%,"Excellent")</f>
        <v>Excellent</v>
      </c>
      <c r="AA895" s="16" t="str">
        <f>Data_Validation!N893</f>
        <v>Pass</v>
      </c>
    </row>
    <row r="896" spans="1:27" x14ac:dyDescent="0.35">
      <c r="A896" s="17" t="s">
        <v>91</v>
      </c>
      <c r="B896" s="3" t="s">
        <v>35</v>
      </c>
      <c r="C896" s="3" t="s">
        <v>29</v>
      </c>
      <c r="D896" s="3" t="s">
        <v>43</v>
      </c>
      <c r="E896" s="3" t="s">
        <v>30</v>
      </c>
      <c r="F896" s="3">
        <v>4043.41</v>
      </c>
      <c r="G896" s="3">
        <v>342427</v>
      </c>
      <c r="H896" s="3">
        <v>42196</v>
      </c>
      <c r="I896" s="3">
        <v>23170.43</v>
      </c>
      <c r="J896" s="3">
        <v>32</v>
      </c>
      <c r="K896" s="15">
        <f t="shared" si="143"/>
        <v>0.12322626428406638</v>
      </c>
      <c r="L896" s="16">
        <f t="shared" si="153"/>
        <v>9.5824485733244855E-2</v>
      </c>
      <c r="M896" s="16">
        <f t="shared" si="144"/>
        <v>11.808093403849579</v>
      </c>
      <c r="N896" s="16">
        <f t="shared" si="145"/>
        <v>5.730418137166402</v>
      </c>
      <c r="O896" s="16">
        <f t="shared" si="146"/>
        <v>4.730418137166402</v>
      </c>
      <c r="P896" s="1">
        <v>2025</v>
      </c>
      <c r="Q896" s="1" t="s">
        <v>39</v>
      </c>
      <c r="R896" s="1" t="s">
        <v>40</v>
      </c>
      <c r="S896" s="70">
        <f>DATE(Table2[[#This Row],[Year]],MONTH(DATEVALUE("1-"&amp;Table2[[#This Row],[Month]]&amp;"-2000")),1)</f>
        <v>45689</v>
      </c>
      <c r="T896" s="16">
        <f t="shared" si="147"/>
        <v>0.54911437103042948</v>
      </c>
      <c r="U896" s="16">
        <f t="shared" si="148"/>
        <v>6.766531260677458E-2</v>
      </c>
      <c r="V896" s="16">
        <f t="shared" si="149"/>
        <v>126.3565625</v>
      </c>
      <c r="W896" s="16">
        <f t="shared" si="150"/>
        <v>724.07593750000001</v>
      </c>
      <c r="X896" s="16">
        <f t="shared" si="151"/>
        <v>1318.625</v>
      </c>
      <c r="Y896" s="16">
        <f t="shared" si="152"/>
        <v>10700.84375</v>
      </c>
      <c r="Z896" s="7" t="str" cm="1">
        <f t="array" ref="Z896">_xlfn.IFS(K896&lt;2%,"Low",K896&lt;5%,"Medium",K896&lt;10%,"Good",K896&gt;10%,"Excellent")</f>
        <v>Excellent</v>
      </c>
      <c r="AA896" s="16" t="str">
        <f>Data_Validation!N894</f>
        <v>Pass</v>
      </c>
    </row>
    <row r="897" spans="1:27" x14ac:dyDescent="0.35">
      <c r="A897" s="17" t="s">
        <v>75</v>
      </c>
      <c r="B897" s="3" t="s">
        <v>35</v>
      </c>
      <c r="C897" s="3" t="s">
        <v>29</v>
      </c>
      <c r="D897" s="3" t="s">
        <v>37</v>
      </c>
      <c r="E897" s="3" t="s">
        <v>38</v>
      </c>
      <c r="F897" s="3">
        <v>706.82</v>
      </c>
      <c r="G897" s="3">
        <v>228337</v>
      </c>
      <c r="H897" s="3">
        <v>10778</v>
      </c>
      <c r="I897" s="3">
        <v>100183.21</v>
      </c>
      <c r="J897" s="3">
        <v>61</v>
      </c>
      <c r="K897" s="15">
        <f t="shared" si="143"/>
        <v>4.7202161717111113E-2</v>
      </c>
      <c r="L897" s="16">
        <f t="shared" si="153"/>
        <v>6.5579884950825756E-2</v>
      </c>
      <c r="M897" s="16">
        <f t="shared" si="144"/>
        <v>3.095512334838419</v>
      </c>
      <c r="N897" s="16">
        <f t="shared" si="145"/>
        <v>141.73793893777764</v>
      </c>
      <c r="O897" s="16">
        <f t="shared" si="146"/>
        <v>140.73793893777764</v>
      </c>
      <c r="P897" s="1">
        <v>2025</v>
      </c>
      <c r="Q897" s="1" t="s">
        <v>39</v>
      </c>
      <c r="R897" s="1" t="s">
        <v>40</v>
      </c>
      <c r="S897" s="70">
        <f>DATE(Table2[[#This Row],[Year]],MONTH(DATEVALUE("1-"&amp;Table2[[#This Row],[Month]]&amp;"-2000")),1)</f>
        <v>45689</v>
      </c>
      <c r="T897" s="16">
        <f t="shared" si="147"/>
        <v>9.2951577287066254</v>
      </c>
      <c r="U897" s="16">
        <f t="shared" si="148"/>
        <v>0.43875153829646535</v>
      </c>
      <c r="V897" s="16">
        <f t="shared" si="149"/>
        <v>11.5872131147541</v>
      </c>
      <c r="W897" s="16">
        <f t="shared" si="150"/>
        <v>1642.3477049180328</v>
      </c>
      <c r="X897" s="16">
        <f t="shared" si="151"/>
        <v>176.68852459016392</v>
      </c>
      <c r="Y897" s="16">
        <f t="shared" si="152"/>
        <v>3743.2295081967213</v>
      </c>
      <c r="Z897" s="7" t="str" cm="1">
        <f t="array" ref="Z897">_xlfn.IFS(K897&lt;2%,"Low",K897&lt;5%,"Medium",K897&lt;10%,"Good",K897&gt;10%,"Excellent")</f>
        <v>Medium</v>
      </c>
      <c r="AA897" s="16" t="str">
        <f>Data_Validation!N895</f>
        <v>Pass</v>
      </c>
    </row>
    <row r="898" spans="1:27" x14ac:dyDescent="0.35">
      <c r="A898" s="17" t="s">
        <v>89</v>
      </c>
      <c r="B898" s="3" t="s">
        <v>19</v>
      </c>
      <c r="C898" s="3" t="s">
        <v>58</v>
      </c>
      <c r="D898" s="3" t="s">
        <v>21</v>
      </c>
      <c r="E898" s="3" t="s">
        <v>30</v>
      </c>
      <c r="F898" s="3">
        <v>22430.81</v>
      </c>
      <c r="G898" s="3">
        <v>522357</v>
      </c>
      <c r="H898" s="3">
        <v>41714</v>
      </c>
      <c r="I898" s="3">
        <v>173679.9</v>
      </c>
      <c r="J898" s="3">
        <v>54</v>
      </c>
      <c r="K898" s="15">
        <f t="shared" si="143"/>
        <v>7.9857262370371218E-2</v>
      </c>
      <c r="L898" s="16">
        <f t="shared" si="153"/>
        <v>0.53772858033274207</v>
      </c>
      <c r="M898" s="16">
        <f t="shared" si="144"/>
        <v>42.94153232367902</v>
      </c>
      <c r="N898" s="16">
        <f t="shared" si="145"/>
        <v>7.7429169967558007</v>
      </c>
      <c r="O898" s="16">
        <f t="shared" si="146"/>
        <v>6.7429169967558007</v>
      </c>
      <c r="P898" s="1">
        <v>2025</v>
      </c>
      <c r="Q898" s="1" t="s">
        <v>39</v>
      </c>
      <c r="R898" s="1" t="s">
        <v>40</v>
      </c>
      <c r="S898" s="70">
        <f>DATE(Table2[[#This Row],[Year]],MONTH(DATEVALUE("1-"&amp;Table2[[#This Row],[Month]]&amp;"-2000")),1)</f>
        <v>45689</v>
      </c>
      <c r="T898" s="16">
        <f t="shared" si="147"/>
        <v>4.1635877642997556</v>
      </c>
      <c r="U898" s="16">
        <f t="shared" si="148"/>
        <v>0.3324927204957529</v>
      </c>
      <c r="V898" s="16">
        <f t="shared" si="149"/>
        <v>415.38537037037037</v>
      </c>
      <c r="W898" s="16">
        <f t="shared" si="150"/>
        <v>3216.2944444444443</v>
      </c>
      <c r="X898" s="16">
        <f t="shared" si="151"/>
        <v>772.48148148148152</v>
      </c>
      <c r="Y898" s="16">
        <f t="shared" si="152"/>
        <v>9673.2777777777774</v>
      </c>
      <c r="Z898" s="7" t="str" cm="1">
        <f t="array" ref="Z898">_xlfn.IFS(K898&lt;2%,"Low",K898&lt;5%,"Medium",K898&lt;10%,"Good",K898&gt;10%,"Excellent")</f>
        <v>Good</v>
      </c>
      <c r="AA898" s="16" t="str">
        <f>Data_Validation!N896</f>
        <v>Pass</v>
      </c>
    </row>
    <row r="899" spans="1:27" x14ac:dyDescent="0.35">
      <c r="A899" s="17" t="s">
        <v>105</v>
      </c>
      <c r="B899" s="3" t="s">
        <v>28</v>
      </c>
      <c r="C899" s="3" t="s">
        <v>36</v>
      </c>
      <c r="D899" s="3" t="s">
        <v>37</v>
      </c>
      <c r="E899" s="3" t="s">
        <v>30</v>
      </c>
      <c r="F899" s="3">
        <v>43961.279999999999</v>
      </c>
      <c r="G899" s="3">
        <v>120553</v>
      </c>
      <c r="H899" s="3">
        <v>11503</v>
      </c>
      <c r="I899" s="3">
        <v>183399.97</v>
      </c>
      <c r="J899" s="3">
        <v>57</v>
      </c>
      <c r="K899" s="15">
        <f t="shared" si="143"/>
        <v>9.5418612560450589E-2</v>
      </c>
      <c r="L899" s="16">
        <f t="shared" si="153"/>
        <v>3.8217230287751018</v>
      </c>
      <c r="M899" s="16">
        <f t="shared" si="144"/>
        <v>364.66350899604322</v>
      </c>
      <c r="N899" s="16">
        <f t="shared" si="145"/>
        <v>4.1718523664461094</v>
      </c>
      <c r="O899" s="16">
        <f t="shared" si="146"/>
        <v>3.1718523664461089</v>
      </c>
      <c r="P899" s="1">
        <v>2025</v>
      </c>
      <c r="Q899" s="1" t="s">
        <v>60</v>
      </c>
      <c r="R899" s="1" t="s">
        <v>40</v>
      </c>
      <c r="S899" s="70">
        <f>DATE(Table2[[#This Row],[Year]],MONTH(DATEVALUE("1-"&amp;Table2[[#This Row],[Month]]&amp;"-2000")),1)</f>
        <v>45717</v>
      </c>
      <c r="T899" s="16">
        <f t="shared" si="147"/>
        <v>15.943664261497</v>
      </c>
      <c r="U899" s="16">
        <f t="shared" si="148"/>
        <v>1.521322322961685</v>
      </c>
      <c r="V899" s="16">
        <f t="shared" si="149"/>
        <v>771.25052631578944</v>
      </c>
      <c r="W899" s="16">
        <f t="shared" si="150"/>
        <v>3217.5433333333335</v>
      </c>
      <c r="X899" s="16">
        <f t="shared" si="151"/>
        <v>201.80701754385964</v>
      </c>
      <c r="Y899" s="16">
        <f t="shared" si="152"/>
        <v>2114.9649122807018</v>
      </c>
      <c r="Z899" s="7" t="str" cm="1">
        <f t="array" ref="Z899">_xlfn.IFS(K899&lt;2%,"Low",K899&lt;5%,"Medium",K899&lt;10%,"Good",K899&gt;10%,"Excellent")</f>
        <v>Good</v>
      </c>
      <c r="AA899" s="16" t="str">
        <f>Data_Validation!N897</f>
        <v>Pass</v>
      </c>
    </row>
    <row r="900" spans="1:27" x14ac:dyDescent="0.35">
      <c r="A900" s="17" t="s">
        <v>82</v>
      </c>
      <c r="B900" s="3" t="s">
        <v>28</v>
      </c>
      <c r="C900" s="3" t="s">
        <v>20</v>
      </c>
      <c r="D900" s="3" t="s">
        <v>37</v>
      </c>
      <c r="E900" s="3" t="s">
        <v>38</v>
      </c>
      <c r="F900" s="3">
        <v>43930.29</v>
      </c>
      <c r="G900" s="3">
        <v>86054</v>
      </c>
      <c r="H900" s="3">
        <v>24583</v>
      </c>
      <c r="I900" s="3">
        <v>177611.81</v>
      </c>
      <c r="J900" s="3">
        <v>13</v>
      </c>
      <c r="K900" s="15">
        <f t="shared" si="143"/>
        <v>0.2856694633602157</v>
      </c>
      <c r="L900" s="16">
        <f t="shared" si="153"/>
        <v>1.7870190782247894</v>
      </c>
      <c r="M900" s="16">
        <f t="shared" si="144"/>
        <v>510.49678109094287</v>
      </c>
      <c r="N900" s="16">
        <f t="shared" si="145"/>
        <v>4.0430375032807655</v>
      </c>
      <c r="O900" s="16">
        <f t="shared" si="146"/>
        <v>3.0430375032807655</v>
      </c>
      <c r="P900" s="1">
        <v>2025</v>
      </c>
      <c r="Q900" s="1" t="s">
        <v>60</v>
      </c>
      <c r="R900" s="1" t="s">
        <v>40</v>
      </c>
      <c r="S900" s="70">
        <f>DATE(Table2[[#This Row],[Year]],MONTH(DATEVALUE("1-"&amp;Table2[[#This Row],[Month]]&amp;"-2000")),1)</f>
        <v>45717</v>
      </c>
      <c r="T900" s="16">
        <f t="shared" si="147"/>
        <v>7.2249851523410484</v>
      </c>
      <c r="U900" s="16">
        <f t="shared" si="148"/>
        <v>2.0639576312547936</v>
      </c>
      <c r="V900" s="16">
        <f t="shared" si="149"/>
        <v>3379.2530769230771</v>
      </c>
      <c r="W900" s="16">
        <f t="shared" si="150"/>
        <v>13662.446923076923</v>
      </c>
      <c r="X900" s="16">
        <f t="shared" si="151"/>
        <v>1891</v>
      </c>
      <c r="Y900" s="16">
        <f t="shared" si="152"/>
        <v>6619.5384615384619</v>
      </c>
      <c r="Z900" s="7" t="str" cm="1">
        <f t="array" ref="Z900">_xlfn.IFS(K900&lt;2%,"Low",K900&lt;5%,"Medium",K900&lt;10%,"Good",K900&gt;10%,"Excellent")</f>
        <v>Excellent</v>
      </c>
      <c r="AA900" s="16" t="str">
        <f>Data_Validation!N898</f>
        <v>Pass</v>
      </c>
    </row>
    <row r="901" spans="1:27" x14ac:dyDescent="0.35">
      <c r="A901" s="17" t="s">
        <v>68</v>
      </c>
      <c r="B901" s="3" t="s">
        <v>48</v>
      </c>
      <c r="C901" s="3" t="s">
        <v>58</v>
      </c>
      <c r="D901" s="3" t="s">
        <v>21</v>
      </c>
      <c r="E901" s="3" t="s">
        <v>38</v>
      </c>
      <c r="F901" s="3">
        <v>20711.16</v>
      </c>
      <c r="G901" s="3">
        <v>398368</v>
      </c>
      <c r="H901" s="3">
        <v>2946</v>
      </c>
      <c r="I901" s="3">
        <v>175922.49</v>
      </c>
      <c r="J901" s="3">
        <v>49</v>
      </c>
      <c r="K901" s="15">
        <f t="shared" si="143"/>
        <v>7.3951723029962247E-3</v>
      </c>
      <c r="L901" s="16">
        <f t="shared" si="153"/>
        <v>7.0302647657841142</v>
      </c>
      <c r="M901" s="16">
        <f t="shared" si="144"/>
        <v>51.990019278656924</v>
      </c>
      <c r="N901" s="16">
        <f t="shared" si="145"/>
        <v>8.4940915912001067</v>
      </c>
      <c r="O901" s="16">
        <f t="shared" si="146"/>
        <v>7.4940915912001058</v>
      </c>
      <c r="P901" s="1">
        <v>2025</v>
      </c>
      <c r="Q901" s="1" t="s">
        <v>60</v>
      </c>
      <c r="R901" s="1" t="s">
        <v>40</v>
      </c>
      <c r="S901" s="70">
        <f>DATE(Table2[[#This Row],[Year]],MONTH(DATEVALUE("1-"&amp;Table2[[#This Row],[Month]]&amp;"-2000")),1)</f>
        <v>45717</v>
      </c>
      <c r="T901" s="16">
        <f t="shared" si="147"/>
        <v>59.71571283095723</v>
      </c>
      <c r="U901" s="16">
        <f t="shared" si="148"/>
        <v>0.44160798558117115</v>
      </c>
      <c r="V901" s="16">
        <f t="shared" si="149"/>
        <v>422.67673469387756</v>
      </c>
      <c r="W901" s="16">
        <f t="shared" si="150"/>
        <v>3590.2548979591834</v>
      </c>
      <c r="X901" s="16">
        <f t="shared" si="151"/>
        <v>60.122448979591837</v>
      </c>
      <c r="Y901" s="16">
        <f t="shared" si="152"/>
        <v>8129.9591836734689</v>
      </c>
      <c r="Z901" s="7" t="str" cm="1">
        <f t="array" ref="Z901">_xlfn.IFS(K901&lt;2%,"Low",K901&lt;5%,"Medium",K901&lt;10%,"Good",K901&gt;10%,"Excellent")</f>
        <v>Low</v>
      </c>
      <c r="AA901" s="16" t="str">
        <f>Data_Validation!N899</f>
        <v>Pass</v>
      </c>
    </row>
    <row r="902" spans="1:27" x14ac:dyDescent="0.35">
      <c r="A902" s="17" t="s">
        <v>77</v>
      </c>
      <c r="B902" s="3" t="s">
        <v>19</v>
      </c>
      <c r="C902" s="3" t="s">
        <v>58</v>
      </c>
      <c r="D902" s="3" t="s">
        <v>37</v>
      </c>
      <c r="E902" s="3" t="s">
        <v>38</v>
      </c>
      <c r="F902" s="3">
        <v>2309.4299999999998</v>
      </c>
      <c r="G902" s="3">
        <v>123054</v>
      </c>
      <c r="H902" s="3">
        <v>2249</v>
      </c>
      <c r="I902" s="3">
        <v>199298.52</v>
      </c>
      <c r="J902" s="3">
        <v>36</v>
      </c>
      <c r="K902" s="15">
        <f t="shared" si="143"/>
        <v>1.8276529003526908E-2</v>
      </c>
      <c r="L902" s="16">
        <f t="shared" si="153"/>
        <v>1.0268697198755001</v>
      </c>
      <c r="M902" s="16">
        <f t="shared" si="144"/>
        <v>18.767614218148129</v>
      </c>
      <c r="N902" s="16">
        <f t="shared" si="145"/>
        <v>86.297709824502149</v>
      </c>
      <c r="O902" s="16">
        <f t="shared" si="146"/>
        <v>85.297709824502149</v>
      </c>
      <c r="P902" s="1">
        <v>2025</v>
      </c>
      <c r="Q902" s="1" t="s">
        <v>60</v>
      </c>
      <c r="R902" s="1" t="s">
        <v>40</v>
      </c>
      <c r="S902" s="70">
        <f>DATE(Table2[[#This Row],[Year]],MONTH(DATEVALUE("1-"&amp;Table2[[#This Row],[Month]]&amp;"-2000")),1)</f>
        <v>45717</v>
      </c>
      <c r="T902" s="16">
        <f t="shared" si="147"/>
        <v>88.616505113383724</v>
      </c>
      <c r="U902" s="16">
        <f t="shared" si="148"/>
        <v>1.6196021258959481</v>
      </c>
      <c r="V902" s="16">
        <f t="shared" si="149"/>
        <v>64.150833333333324</v>
      </c>
      <c r="W902" s="16">
        <f t="shared" si="150"/>
        <v>5536.07</v>
      </c>
      <c r="X902" s="16">
        <f t="shared" si="151"/>
        <v>62.472222222222221</v>
      </c>
      <c r="Y902" s="16">
        <f t="shared" si="152"/>
        <v>3418.1666666666665</v>
      </c>
      <c r="Z902" s="7" t="str" cm="1">
        <f t="array" ref="Z902">_xlfn.IFS(K902&lt;2%,"Low",K902&lt;5%,"Medium",K902&lt;10%,"Good",K902&gt;10%,"Excellent")</f>
        <v>Low</v>
      </c>
      <c r="AA902" s="16" t="str">
        <f>Data_Validation!N900</f>
        <v>Pass</v>
      </c>
    </row>
    <row r="903" spans="1:27" x14ac:dyDescent="0.35">
      <c r="A903" s="17" t="s">
        <v>70</v>
      </c>
      <c r="B903" s="3" t="s">
        <v>28</v>
      </c>
      <c r="C903" s="3" t="s">
        <v>69</v>
      </c>
      <c r="D903" s="3" t="s">
        <v>59</v>
      </c>
      <c r="E903" s="3" t="s">
        <v>30</v>
      </c>
      <c r="F903" s="3">
        <v>1156.0999999999999</v>
      </c>
      <c r="G903" s="3">
        <v>694578</v>
      </c>
      <c r="H903" s="3">
        <v>42065</v>
      </c>
      <c r="I903" s="3">
        <v>5212.57</v>
      </c>
      <c r="J903" s="3">
        <v>34</v>
      </c>
      <c r="K903" s="15">
        <f t="shared" si="143"/>
        <v>6.0561952725251882E-2</v>
      </c>
      <c r="L903" s="16">
        <f t="shared" si="153"/>
        <v>2.7483656246285508E-2</v>
      </c>
      <c r="M903" s="16">
        <f t="shared" si="144"/>
        <v>1.6644638903046165</v>
      </c>
      <c r="N903" s="16">
        <f t="shared" si="145"/>
        <v>4.5087535680304471</v>
      </c>
      <c r="O903" s="16">
        <f t="shared" si="146"/>
        <v>3.5087535680304471</v>
      </c>
      <c r="P903" s="1">
        <v>2025</v>
      </c>
      <c r="Q903" s="1" t="s">
        <v>60</v>
      </c>
      <c r="R903" s="1" t="s">
        <v>40</v>
      </c>
      <c r="S903" s="70">
        <f>DATE(Table2[[#This Row],[Year]],MONTH(DATEVALUE("1-"&amp;Table2[[#This Row],[Month]]&amp;"-2000")),1)</f>
        <v>45717</v>
      </c>
      <c r="T903" s="16">
        <f t="shared" si="147"/>
        <v>0.12391703316296207</v>
      </c>
      <c r="U903" s="16">
        <f t="shared" si="148"/>
        <v>7.5046575042687783E-3</v>
      </c>
      <c r="V903" s="16">
        <f t="shared" si="149"/>
        <v>34.002941176470586</v>
      </c>
      <c r="W903" s="16">
        <f t="shared" si="150"/>
        <v>153.31088235294118</v>
      </c>
      <c r="X903" s="16">
        <f t="shared" si="151"/>
        <v>1237.2058823529412</v>
      </c>
      <c r="Y903" s="16">
        <f t="shared" si="152"/>
        <v>20428.764705882353</v>
      </c>
      <c r="Z903" s="7" t="str" cm="1">
        <f t="array" ref="Z903">_xlfn.IFS(K903&lt;2%,"Low",K903&lt;5%,"Medium",K903&lt;10%,"Good",K903&gt;10%,"Excellent")</f>
        <v>Good</v>
      </c>
      <c r="AA903" s="16" t="str">
        <f>Data_Validation!N901</f>
        <v>Pass</v>
      </c>
    </row>
    <row r="904" spans="1:27" x14ac:dyDescent="0.35">
      <c r="A904" s="17" t="s">
        <v>102</v>
      </c>
      <c r="B904" s="3" t="s">
        <v>35</v>
      </c>
      <c r="C904" s="3" t="s">
        <v>36</v>
      </c>
      <c r="D904" s="3" t="s">
        <v>37</v>
      </c>
      <c r="E904" s="3" t="s">
        <v>38</v>
      </c>
      <c r="F904" s="3">
        <v>27306.59</v>
      </c>
      <c r="G904" s="3">
        <v>644960</v>
      </c>
      <c r="H904" s="3">
        <v>17157</v>
      </c>
      <c r="I904" s="3">
        <v>199984.71</v>
      </c>
      <c r="J904" s="3">
        <v>32</v>
      </c>
      <c r="K904" s="15">
        <f t="shared" si="143"/>
        <v>2.660164971471099E-2</v>
      </c>
      <c r="L904" s="16">
        <f t="shared" si="153"/>
        <v>1.5915713702861807</v>
      </c>
      <c r="M904" s="16">
        <f t="shared" si="144"/>
        <v>42.338424088315556</v>
      </c>
      <c r="N904" s="16">
        <f t="shared" si="145"/>
        <v>7.3236793755646525</v>
      </c>
      <c r="O904" s="16">
        <f t="shared" si="146"/>
        <v>6.3236793755646525</v>
      </c>
      <c r="P904" s="1">
        <v>2025</v>
      </c>
      <c r="Q904" s="1" t="s">
        <v>60</v>
      </c>
      <c r="R904" s="1" t="s">
        <v>40</v>
      </c>
      <c r="S904" s="70">
        <f>DATE(Table2[[#This Row],[Year]],MONTH(DATEVALUE("1-"&amp;Table2[[#This Row],[Month]]&amp;"-2000")),1)</f>
        <v>45717</v>
      </c>
      <c r="T904" s="16">
        <f t="shared" si="147"/>
        <v>11.656158419304074</v>
      </c>
      <c r="U904" s="16">
        <f t="shared" si="148"/>
        <v>0.3100730432895063</v>
      </c>
      <c r="V904" s="16">
        <f t="shared" si="149"/>
        <v>853.3309375</v>
      </c>
      <c r="W904" s="16">
        <f t="shared" si="150"/>
        <v>6249.5221874999997</v>
      </c>
      <c r="X904" s="16">
        <f t="shared" si="151"/>
        <v>536.15625</v>
      </c>
      <c r="Y904" s="16">
        <f t="shared" si="152"/>
        <v>20155</v>
      </c>
      <c r="Z904" s="7" t="str" cm="1">
        <f t="array" ref="Z904">_xlfn.IFS(K904&lt;2%,"Low",K904&lt;5%,"Medium",K904&lt;10%,"Good",K904&gt;10%,"Excellent")</f>
        <v>Medium</v>
      </c>
      <c r="AA904" s="16" t="str">
        <f>Data_Validation!N902</f>
        <v>Pass</v>
      </c>
    </row>
    <row r="905" spans="1:27" x14ac:dyDescent="0.35">
      <c r="A905" s="17" t="s">
        <v>62</v>
      </c>
      <c r="B905" s="3" t="s">
        <v>28</v>
      </c>
      <c r="C905" s="3" t="s">
        <v>36</v>
      </c>
      <c r="D905" s="3" t="s">
        <v>37</v>
      </c>
      <c r="E905" s="3" t="s">
        <v>22</v>
      </c>
      <c r="F905" s="3">
        <v>7840.89</v>
      </c>
      <c r="G905" s="3">
        <v>296939</v>
      </c>
      <c r="H905" s="3">
        <v>746</v>
      </c>
      <c r="I905" s="3">
        <v>28996.98</v>
      </c>
      <c r="J905" s="3">
        <v>23</v>
      </c>
      <c r="K905" s="15">
        <f t="shared" ref="K905:K968" si="154">H905/G905</f>
        <v>2.5123005061645659E-3</v>
      </c>
      <c r="L905" s="16">
        <f t="shared" si="153"/>
        <v>10.510576407506703</v>
      </c>
      <c r="M905" s="16">
        <f t="shared" ref="M905:M968" si="155">F905/G905*1000</f>
        <v>26.405726428660433</v>
      </c>
      <c r="N905" s="16">
        <f t="shared" ref="N905:N968" si="156">I905/F905</f>
        <v>3.6981745694685166</v>
      </c>
      <c r="O905" s="16">
        <f t="shared" ref="O905:O968" si="157">(I905-F905)/F905</f>
        <v>2.6981745694685171</v>
      </c>
      <c r="P905" s="1">
        <v>2025</v>
      </c>
      <c r="Q905" s="1" t="s">
        <v>60</v>
      </c>
      <c r="R905" s="1" t="s">
        <v>40</v>
      </c>
      <c r="S905" s="70">
        <f>DATE(Table2[[#This Row],[Year]],MONTH(DATEVALUE("1-"&amp;Table2[[#This Row],[Month]]&amp;"-2000")),1)</f>
        <v>45717</v>
      </c>
      <c r="T905" s="16">
        <f t="shared" ref="T905:T968" si="158">I905/H905</f>
        <v>38.869946380697051</v>
      </c>
      <c r="U905" s="16">
        <f t="shared" ref="U905:U968" si="159">I905/G905</f>
        <v>9.7652985966814737E-2</v>
      </c>
      <c r="V905" s="16">
        <f t="shared" ref="V905:V968" si="160">F905/J905</f>
        <v>340.90826086956525</v>
      </c>
      <c r="W905" s="16">
        <f t="shared" ref="W905:W968" si="161">I905/J905</f>
        <v>1260.7382608695652</v>
      </c>
      <c r="X905" s="16">
        <f t="shared" ref="X905:X968" si="162">H905/J905</f>
        <v>32.434782608695649</v>
      </c>
      <c r="Y905" s="16">
        <f t="shared" ref="Y905:Y968" si="163">G905/J905</f>
        <v>12910.391304347826</v>
      </c>
      <c r="Z905" s="7" t="str" cm="1">
        <f t="array" ref="Z905">_xlfn.IFS(K905&lt;2%,"Low",K905&lt;5%,"Medium",K905&lt;10%,"Good",K905&gt;10%,"Excellent")</f>
        <v>Low</v>
      </c>
      <c r="AA905" s="16" t="str">
        <f>Data_Validation!N903</f>
        <v>Pass</v>
      </c>
    </row>
    <row r="906" spans="1:27" x14ac:dyDescent="0.35">
      <c r="A906" s="17" t="s">
        <v>78</v>
      </c>
      <c r="B906" s="3" t="s">
        <v>35</v>
      </c>
      <c r="C906" s="3" t="s">
        <v>58</v>
      </c>
      <c r="D906" s="3" t="s">
        <v>51</v>
      </c>
      <c r="E906" s="3" t="s">
        <v>38</v>
      </c>
      <c r="F906" s="3">
        <v>1040.99</v>
      </c>
      <c r="G906" s="3">
        <v>16658</v>
      </c>
      <c r="H906" s="3">
        <v>573</v>
      </c>
      <c r="I906" s="3">
        <v>48956.15</v>
      </c>
      <c r="J906" s="3">
        <v>16</v>
      </c>
      <c r="K906" s="15">
        <f t="shared" si="154"/>
        <v>3.4397886901188619E-2</v>
      </c>
      <c r="L906" s="16">
        <f t="shared" ref="L906:L969" si="164">F906/H906</f>
        <v>1.81673647469459</v>
      </c>
      <c r="M906" s="16">
        <f t="shared" si="155"/>
        <v>62.491895785808616</v>
      </c>
      <c r="N906" s="16">
        <f t="shared" si="156"/>
        <v>47.028453683512808</v>
      </c>
      <c r="O906" s="16">
        <f t="shared" si="157"/>
        <v>46.028453683512815</v>
      </c>
      <c r="P906" s="1">
        <v>2025</v>
      </c>
      <c r="Q906" s="1" t="s">
        <v>60</v>
      </c>
      <c r="R906" s="1" t="s">
        <v>40</v>
      </c>
      <c r="S906" s="70">
        <f>DATE(Table2[[#This Row],[Year]],MONTH(DATEVALUE("1-"&amp;Table2[[#This Row],[Month]]&amp;"-2000")),1)</f>
        <v>45717</v>
      </c>
      <c r="T906" s="16">
        <f t="shared" si="158"/>
        <v>85.43830715532286</v>
      </c>
      <c r="U906" s="16">
        <f t="shared" si="159"/>
        <v>2.9388972265578102</v>
      </c>
      <c r="V906" s="16">
        <f t="shared" si="160"/>
        <v>65.061875000000001</v>
      </c>
      <c r="W906" s="16">
        <f t="shared" si="161"/>
        <v>3059.7593750000001</v>
      </c>
      <c r="X906" s="16">
        <f t="shared" si="162"/>
        <v>35.8125</v>
      </c>
      <c r="Y906" s="16">
        <f t="shared" si="163"/>
        <v>1041.125</v>
      </c>
      <c r="Z906" s="7" t="str" cm="1">
        <f t="array" ref="Z906">_xlfn.IFS(K906&lt;2%,"Low",K906&lt;5%,"Medium",K906&lt;10%,"Good",K906&gt;10%,"Excellent")</f>
        <v>Medium</v>
      </c>
      <c r="AA906" s="16" t="str">
        <f>Data_Validation!N904</f>
        <v>Pass</v>
      </c>
    </row>
    <row r="907" spans="1:27" x14ac:dyDescent="0.35">
      <c r="A907" s="17" t="s">
        <v>84</v>
      </c>
      <c r="B907" s="3" t="s">
        <v>48</v>
      </c>
      <c r="C907" s="3" t="s">
        <v>36</v>
      </c>
      <c r="D907" s="3" t="s">
        <v>21</v>
      </c>
      <c r="E907" s="3" t="s">
        <v>22</v>
      </c>
      <c r="F907" s="3">
        <v>11335.18</v>
      </c>
      <c r="G907" s="3">
        <v>739716</v>
      </c>
      <c r="H907" s="3">
        <v>34044</v>
      </c>
      <c r="I907" s="3">
        <v>118814.72</v>
      </c>
      <c r="J907" s="3">
        <v>33</v>
      </c>
      <c r="K907" s="15">
        <f t="shared" si="154"/>
        <v>4.6023068312703794E-2</v>
      </c>
      <c r="L907" s="16">
        <f t="shared" si="164"/>
        <v>0.33295676183762191</v>
      </c>
      <c r="M907" s="16">
        <f t="shared" si="155"/>
        <v>15.323691795229522</v>
      </c>
      <c r="N907" s="16">
        <f t="shared" si="156"/>
        <v>10.481943824447429</v>
      </c>
      <c r="O907" s="16">
        <f t="shared" si="157"/>
        <v>9.4819438244474288</v>
      </c>
      <c r="P907" s="1">
        <v>2025</v>
      </c>
      <c r="Q907" s="1" t="s">
        <v>60</v>
      </c>
      <c r="R907" s="1" t="s">
        <v>40</v>
      </c>
      <c r="S907" s="70">
        <f>DATE(Table2[[#This Row],[Year]],MONTH(DATEVALUE("1-"&amp;Table2[[#This Row],[Month]]&amp;"-2000")),1)</f>
        <v>45717</v>
      </c>
      <c r="T907" s="16">
        <f t="shared" si="158"/>
        <v>3.490034073551874</v>
      </c>
      <c r="U907" s="16">
        <f t="shared" si="159"/>
        <v>0.16062207658074179</v>
      </c>
      <c r="V907" s="16">
        <f t="shared" si="160"/>
        <v>343.49030303030304</v>
      </c>
      <c r="W907" s="16">
        <f t="shared" si="161"/>
        <v>3600.4460606060607</v>
      </c>
      <c r="X907" s="16">
        <f t="shared" si="162"/>
        <v>1031.6363636363637</v>
      </c>
      <c r="Y907" s="16">
        <f t="shared" si="163"/>
        <v>22415.636363636364</v>
      </c>
      <c r="Z907" s="7" t="str" cm="1">
        <f t="array" ref="Z907">_xlfn.IFS(K907&lt;2%,"Low",K907&lt;5%,"Medium",K907&lt;10%,"Good",K907&gt;10%,"Excellent")</f>
        <v>Medium</v>
      </c>
      <c r="AA907" s="16" t="str">
        <f>Data_Validation!N905</f>
        <v>Pass</v>
      </c>
    </row>
    <row r="908" spans="1:27" x14ac:dyDescent="0.35">
      <c r="A908" s="17" t="s">
        <v>50</v>
      </c>
      <c r="B908" s="3" t="s">
        <v>48</v>
      </c>
      <c r="C908" s="3" t="s">
        <v>20</v>
      </c>
      <c r="D908" s="3" t="s">
        <v>59</v>
      </c>
      <c r="E908" s="3" t="s">
        <v>22</v>
      </c>
      <c r="F908" s="3">
        <v>1432.07</v>
      </c>
      <c r="G908" s="3">
        <v>809484</v>
      </c>
      <c r="H908" s="3">
        <v>40206</v>
      </c>
      <c r="I908" s="3">
        <v>156151.89000000001</v>
      </c>
      <c r="J908" s="3">
        <v>18</v>
      </c>
      <c r="K908" s="15">
        <f t="shared" si="154"/>
        <v>4.9668677824391834E-2</v>
      </c>
      <c r="L908" s="16">
        <f t="shared" si="164"/>
        <v>3.5618315674277472E-2</v>
      </c>
      <c r="M908" s="16">
        <f t="shared" si="155"/>
        <v>1.7691146458731735</v>
      </c>
      <c r="N908" s="16">
        <f t="shared" si="156"/>
        <v>109.03928578910251</v>
      </c>
      <c r="O908" s="16">
        <f t="shared" si="157"/>
        <v>108.03928578910249</v>
      </c>
      <c r="P908" s="1">
        <v>2025</v>
      </c>
      <c r="Q908" s="1" t="s">
        <v>60</v>
      </c>
      <c r="R908" s="1" t="s">
        <v>40</v>
      </c>
      <c r="S908" s="70">
        <f>DATE(Table2[[#This Row],[Year]],MONTH(DATEVALUE("1-"&amp;Table2[[#This Row],[Month]]&amp;"-2000")),1)</f>
        <v>45717</v>
      </c>
      <c r="T908" s="16">
        <f t="shared" si="158"/>
        <v>3.8837957021340102</v>
      </c>
      <c r="U908" s="16">
        <f t="shared" si="159"/>
        <v>0.19290299746505182</v>
      </c>
      <c r="V908" s="16">
        <f t="shared" si="160"/>
        <v>79.559444444444438</v>
      </c>
      <c r="W908" s="16">
        <f t="shared" si="161"/>
        <v>8675.1050000000014</v>
      </c>
      <c r="X908" s="16">
        <f t="shared" si="162"/>
        <v>2233.6666666666665</v>
      </c>
      <c r="Y908" s="16">
        <f t="shared" si="163"/>
        <v>44971.333333333336</v>
      </c>
      <c r="Z908" s="7" t="str" cm="1">
        <f t="array" ref="Z908">_xlfn.IFS(K908&lt;2%,"Low",K908&lt;5%,"Medium",K908&lt;10%,"Good",K908&gt;10%,"Excellent")</f>
        <v>Medium</v>
      </c>
      <c r="AA908" s="16" t="str">
        <f>Data_Validation!N906</f>
        <v>Pass</v>
      </c>
    </row>
    <row r="909" spans="1:27" x14ac:dyDescent="0.35">
      <c r="A909" s="17" t="s">
        <v>27</v>
      </c>
      <c r="B909" s="3" t="s">
        <v>19</v>
      </c>
      <c r="C909" s="3" t="s">
        <v>36</v>
      </c>
      <c r="D909" s="3" t="s">
        <v>63</v>
      </c>
      <c r="E909" s="3" t="s">
        <v>38</v>
      </c>
      <c r="F909" s="3">
        <v>12086.03</v>
      </c>
      <c r="G909" s="3">
        <v>562436</v>
      </c>
      <c r="H909" s="3">
        <v>17633</v>
      </c>
      <c r="I909" s="3">
        <v>83120.44</v>
      </c>
      <c r="J909" s="3">
        <v>41</v>
      </c>
      <c r="K909" s="15">
        <f t="shared" si="154"/>
        <v>3.135112261661771E-2</v>
      </c>
      <c r="L909" s="16">
        <f t="shared" si="164"/>
        <v>0.68542108546475367</v>
      </c>
      <c r="M909" s="16">
        <f t="shared" si="155"/>
        <v>21.488720494420697</v>
      </c>
      <c r="N909" s="16">
        <f t="shared" si="156"/>
        <v>6.8773981199781895</v>
      </c>
      <c r="O909" s="16">
        <f t="shared" si="157"/>
        <v>5.8773981199781895</v>
      </c>
      <c r="P909" s="1">
        <v>2025</v>
      </c>
      <c r="Q909" s="1" t="s">
        <v>60</v>
      </c>
      <c r="R909" s="1" t="s">
        <v>40</v>
      </c>
      <c r="S909" s="70">
        <f>DATE(Table2[[#This Row],[Year]],MONTH(DATEVALUE("1-"&amp;Table2[[#This Row],[Month]]&amp;"-2000")),1)</f>
        <v>45717</v>
      </c>
      <c r="T909" s="16">
        <f t="shared" si="158"/>
        <v>4.7139136845687064</v>
      </c>
      <c r="U909" s="16">
        <f t="shared" si="159"/>
        <v>0.14778648592906571</v>
      </c>
      <c r="V909" s="16">
        <f t="shared" si="160"/>
        <v>294.78121951219515</v>
      </c>
      <c r="W909" s="16">
        <f t="shared" si="161"/>
        <v>2027.3278048780489</v>
      </c>
      <c r="X909" s="16">
        <f t="shared" si="162"/>
        <v>430.07317073170731</v>
      </c>
      <c r="Y909" s="16">
        <f t="shared" si="163"/>
        <v>13717.951219512195</v>
      </c>
      <c r="Z909" s="7" t="str" cm="1">
        <f t="array" ref="Z909">_xlfn.IFS(K909&lt;2%,"Low",K909&lt;5%,"Medium",K909&lt;10%,"Good",K909&gt;10%,"Excellent")</f>
        <v>Medium</v>
      </c>
      <c r="AA909" s="16" t="str">
        <f>Data_Validation!N907</f>
        <v>Pass</v>
      </c>
    </row>
    <row r="910" spans="1:27" x14ac:dyDescent="0.35">
      <c r="A910" s="17" t="s">
        <v>78</v>
      </c>
      <c r="B910" s="3" t="s">
        <v>28</v>
      </c>
      <c r="C910" s="3" t="s">
        <v>20</v>
      </c>
      <c r="D910" s="3" t="s">
        <v>63</v>
      </c>
      <c r="E910" s="3" t="s">
        <v>38</v>
      </c>
      <c r="F910" s="3">
        <v>14924.52</v>
      </c>
      <c r="G910" s="3">
        <v>521174</v>
      </c>
      <c r="H910" s="3">
        <v>48368</v>
      </c>
      <c r="I910" s="3">
        <v>114497.88</v>
      </c>
      <c r="J910" s="3">
        <v>24</v>
      </c>
      <c r="K910" s="15">
        <f t="shared" si="154"/>
        <v>9.2805857544697168E-2</v>
      </c>
      <c r="L910" s="16">
        <f t="shared" si="164"/>
        <v>0.30856185908038375</v>
      </c>
      <c r="M910" s="16">
        <f t="shared" si="155"/>
        <v>28.636347937541014</v>
      </c>
      <c r="N910" s="16">
        <f t="shared" si="156"/>
        <v>7.6717964798867904</v>
      </c>
      <c r="O910" s="16">
        <f t="shared" si="157"/>
        <v>6.6717964798867904</v>
      </c>
      <c r="P910" s="1">
        <v>2025</v>
      </c>
      <c r="Q910" s="1" t="s">
        <v>60</v>
      </c>
      <c r="R910" s="1" t="s">
        <v>40</v>
      </c>
      <c r="S910" s="70">
        <f>DATE(Table2[[#This Row],[Year]],MONTH(DATEVALUE("1-"&amp;Table2[[#This Row],[Month]]&amp;"-2000")),1)</f>
        <v>45717</v>
      </c>
      <c r="T910" s="16">
        <f t="shared" si="158"/>
        <v>2.367223784320212</v>
      </c>
      <c r="U910" s="16">
        <f t="shared" si="159"/>
        <v>0.2196922333040405</v>
      </c>
      <c r="V910" s="16">
        <f t="shared" si="160"/>
        <v>621.85500000000002</v>
      </c>
      <c r="W910" s="16">
        <f t="shared" si="161"/>
        <v>4770.7449999999999</v>
      </c>
      <c r="X910" s="16">
        <f t="shared" si="162"/>
        <v>2015.3333333333333</v>
      </c>
      <c r="Y910" s="16">
        <f t="shared" si="163"/>
        <v>21715.583333333332</v>
      </c>
      <c r="Z910" s="7" t="str" cm="1">
        <f t="array" ref="Z910">_xlfn.IFS(K910&lt;2%,"Low",K910&lt;5%,"Medium",K910&lt;10%,"Good",K910&gt;10%,"Excellent")</f>
        <v>Good</v>
      </c>
      <c r="AA910" s="16" t="str">
        <f>Data_Validation!N908</f>
        <v>Pass</v>
      </c>
    </row>
    <row r="911" spans="1:27" x14ac:dyDescent="0.35">
      <c r="A911" s="17" t="s">
        <v>70</v>
      </c>
      <c r="B911" s="3" t="s">
        <v>48</v>
      </c>
      <c r="C911" s="3" t="s">
        <v>20</v>
      </c>
      <c r="D911" s="3" t="s">
        <v>59</v>
      </c>
      <c r="E911" s="3" t="s">
        <v>22</v>
      </c>
      <c r="F911" s="3">
        <v>12319.07</v>
      </c>
      <c r="G911" s="3">
        <v>173459</v>
      </c>
      <c r="H911" s="3">
        <v>4032</v>
      </c>
      <c r="I911" s="3">
        <v>220883.5</v>
      </c>
      <c r="J911" s="3">
        <v>47</v>
      </c>
      <c r="K911" s="15">
        <f t="shared" si="154"/>
        <v>2.324468606414196E-2</v>
      </c>
      <c r="L911" s="16">
        <f t="shared" si="164"/>
        <v>3.0553249007936509</v>
      </c>
      <c r="M911" s="16">
        <f t="shared" si="155"/>
        <v>71.02006814290408</v>
      </c>
      <c r="N911" s="16">
        <f t="shared" si="156"/>
        <v>17.930209017401477</v>
      </c>
      <c r="O911" s="16">
        <f t="shared" si="157"/>
        <v>16.930209017401477</v>
      </c>
      <c r="P911" s="1">
        <v>2025</v>
      </c>
      <c r="Q911" s="1" t="s">
        <v>60</v>
      </c>
      <c r="R911" s="1" t="s">
        <v>40</v>
      </c>
      <c r="S911" s="70">
        <f>DATE(Table2[[#This Row],[Year]],MONTH(DATEVALUE("1-"&amp;Table2[[#This Row],[Month]]&amp;"-2000")),1)</f>
        <v>45717</v>
      </c>
      <c r="T911" s="16">
        <f t="shared" si="158"/>
        <v>54.782614087301589</v>
      </c>
      <c r="U911" s="16">
        <f t="shared" si="159"/>
        <v>1.2734046662323661</v>
      </c>
      <c r="V911" s="16">
        <f t="shared" si="160"/>
        <v>262.1078723404255</v>
      </c>
      <c r="W911" s="16">
        <f t="shared" si="161"/>
        <v>4699.6489361702124</v>
      </c>
      <c r="X911" s="16">
        <f t="shared" si="162"/>
        <v>85.787234042553195</v>
      </c>
      <c r="Y911" s="16">
        <f t="shared" si="163"/>
        <v>3690.6170212765956</v>
      </c>
      <c r="Z911" s="7" t="str" cm="1">
        <f t="array" ref="Z911">_xlfn.IFS(K911&lt;2%,"Low",K911&lt;5%,"Medium",K911&lt;10%,"Good",K911&gt;10%,"Excellent")</f>
        <v>Medium</v>
      </c>
      <c r="AA911" s="16" t="str">
        <f>Data_Validation!N909</f>
        <v>Pass</v>
      </c>
    </row>
    <row r="912" spans="1:27" x14ac:dyDescent="0.35">
      <c r="A912" s="17" t="s">
        <v>57</v>
      </c>
      <c r="B912" s="3" t="s">
        <v>48</v>
      </c>
      <c r="C912" s="3" t="s">
        <v>29</v>
      </c>
      <c r="D912" s="3" t="s">
        <v>63</v>
      </c>
      <c r="E912" s="3" t="s">
        <v>22</v>
      </c>
      <c r="F912" s="3">
        <v>11959.86</v>
      </c>
      <c r="G912" s="3">
        <v>775990</v>
      </c>
      <c r="H912" s="3">
        <v>36522</v>
      </c>
      <c r="I912" s="3">
        <v>167158.47</v>
      </c>
      <c r="J912" s="3">
        <v>56</v>
      </c>
      <c r="K912" s="15">
        <f t="shared" si="154"/>
        <v>4.7065039497931671E-2</v>
      </c>
      <c r="L912" s="16">
        <f t="shared" si="164"/>
        <v>0.3274700180712995</v>
      </c>
      <c r="M912" s="16">
        <f t="shared" si="155"/>
        <v>15.41238933491411</v>
      </c>
      <c r="N912" s="16">
        <f t="shared" si="156"/>
        <v>13.976624308311301</v>
      </c>
      <c r="O912" s="16">
        <f t="shared" si="157"/>
        <v>12.976624308311299</v>
      </c>
      <c r="P912" s="1">
        <v>2025</v>
      </c>
      <c r="Q912" s="1" t="s">
        <v>60</v>
      </c>
      <c r="R912" s="1" t="s">
        <v>40</v>
      </c>
      <c r="S912" s="70">
        <f>DATE(Table2[[#This Row],[Year]],MONTH(DATEVALUE("1-"&amp;Table2[[#This Row],[Month]]&amp;"-2000")),1)</f>
        <v>45717</v>
      </c>
      <c r="T912" s="16">
        <f t="shared" si="158"/>
        <v>4.5769254148184659</v>
      </c>
      <c r="U912" s="16">
        <f t="shared" si="159"/>
        <v>0.21541317542751839</v>
      </c>
      <c r="V912" s="16">
        <f t="shared" si="160"/>
        <v>213.56892857142859</v>
      </c>
      <c r="W912" s="16">
        <f t="shared" si="161"/>
        <v>2984.9726785714288</v>
      </c>
      <c r="X912" s="16">
        <f t="shared" si="162"/>
        <v>652.17857142857144</v>
      </c>
      <c r="Y912" s="16">
        <f t="shared" si="163"/>
        <v>13856.964285714286</v>
      </c>
      <c r="Z912" s="7" t="str" cm="1">
        <f t="array" ref="Z912">_xlfn.IFS(K912&lt;2%,"Low",K912&lt;5%,"Medium",K912&lt;10%,"Good",K912&gt;10%,"Excellent")</f>
        <v>Medium</v>
      </c>
      <c r="AA912" s="16" t="str">
        <f>Data_Validation!N910</f>
        <v>Pass</v>
      </c>
    </row>
    <row r="913" spans="1:27" x14ac:dyDescent="0.35">
      <c r="A913" s="17" t="s">
        <v>77</v>
      </c>
      <c r="B913" s="3" t="s">
        <v>48</v>
      </c>
      <c r="C913" s="3" t="s">
        <v>58</v>
      </c>
      <c r="D913" s="3" t="s">
        <v>43</v>
      </c>
      <c r="E913" s="3" t="s">
        <v>30</v>
      </c>
      <c r="F913" s="3">
        <v>4505.1099999999997</v>
      </c>
      <c r="G913" s="3">
        <v>202800</v>
      </c>
      <c r="H913" s="3">
        <v>34218</v>
      </c>
      <c r="I913" s="3">
        <v>21703.23</v>
      </c>
      <c r="J913" s="3">
        <v>51</v>
      </c>
      <c r="K913" s="15">
        <f t="shared" si="154"/>
        <v>0.16872781065088757</v>
      </c>
      <c r="L913" s="16">
        <f t="shared" si="164"/>
        <v>0.13165906832661173</v>
      </c>
      <c r="M913" s="16">
        <f t="shared" si="155"/>
        <v>22.214546351084813</v>
      </c>
      <c r="N913" s="16">
        <f t="shared" si="156"/>
        <v>4.8174694957503812</v>
      </c>
      <c r="O913" s="16">
        <f t="shared" si="157"/>
        <v>3.8174694957503812</v>
      </c>
      <c r="P913" s="1">
        <v>2025</v>
      </c>
      <c r="Q913" s="1" t="s">
        <v>60</v>
      </c>
      <c r="R913" s="1" t="s">
        <v>40</v>
      </c>
      <c r="S913" s="70">
        <f>DATE(Table2[[#This Row],[Year]],MONTH(DATEVALUE("1-"&amp;Table2[[#This Row],[Month]]&amp;"-2000")),1)</f>
        <v>45717</v>
      </c>
      <c r="T913" s="16">
        <f t="shared" si="158"/>
        <v>0.63426354550236719</v>
      </c>
      <c r="U913" s="16">
        <f t="shared" si="159"/>
        <v>0.10701789940828402</v>
      </c>
      <c r="V913" s="16">
        <f t="shared" si="160"/>
        <v>88.335490196078425</v>
      </c>
      <c r="W913" s="16">
        <f t="shared" si="161"/>
        <v>425.55352941176471</v>
      </c>
      <c r="X913" s="16">
        <f t="shared" si="162"/>
        <v>670.94117647058829</v>
      </c>
      <c r="Y913" s="16">
        <f t="shared" si="163"/>
        <v>3976.4705882352941</v>
      </c>
      <c r="Z913" s="7" t="str" cm="1">
        <f t="array" ref="Z913">_xlfn.IFS(K913&lt;2%,"Low",K913&lt;5%,"Medium",K913&lt;10%,"Good",K913&gt;10%,"Excellent")</f>
        <v>Excellent</v>
      </c>
      <c r="AA913" s="16" t="str">
        <f>Data_Validation!N911</f>
        <v>Pass</v>
      </c>
    </row>
    <row r="914" spans="1:27" x14ac:dyDescent="0.35">
      <c r="A914" s="17" t="s">
        <v>82</v>
      </c>
      <c r="B914" s="3" t="s">
        <v>19</v>
      </c>
      <c r="C914" s="3" t="s">
        <v>20</v>
      </c>
      <c r="D914" s="3" t="s">
        <v>21</v>
      </c>
      <c r="E914" s="3" t="s">
        <v>22</v>
      </c>
      <c r="F914" s="3">
        <v>12012.59</v>
      </c>
      <c r="G914" s="3">
        <v>737851</v>
      </c>
      <c r="H914" s="3">
        <v>15576</v>
      </c>
      <c r="I914" s="3">
        <v>47405.94</v>
      </c>
      <c r="J914" s="3">
        <v>33</v>
      </c>
      <c r="K914" s="15">
        <f t="shared" si="154"/>
        <v>2.1109953093510749E-2</v>
      </c>
      <c r="L914" s="16">
        <f t="shared" si="164"/>
        <v>0.77122431946584491</v>
      </c>
      <c r="M914" s="16">
        <f t="shared" si="155"/>
        <v>16.280509208498735</v>
      </c>
      <c r="N914" s="16">
        <f t="shared" si="156"/>
        <v>3.9463546162817513</v>
      </c>
      <c r="O914" s="16">
        <f t="shared" si="157"/>
        <v>2.9463546162817513</v>
      </c>
      <c r="P914" s="1">
        <v>2025</v>
      </c>
      <c r="Q914" s="1" t="s">
        <v>60</v>
      </c>
      <c r="R914" s="1" t="s">
        <v>40</v>
      </c>
      <c r="S914" s="70">
        <f>DATE(Table2[[#This Row],[Year]],MONTH(DATEVALUE("1-"&amp;Table2[[#This Row],[Month]]&amp;"-2000")),1)</f>
        <v>45717</v>
      </c>
      <c r="T914" s="16">
        <f t="shared" si="158"/>
        <v>3.0435246533127889</v>
      </c>
      <c r="U914" s="16">
        <f t="shared" si="159"/>
        <v>6.4248662670376544E-2</v>
      </c>
      <c r="V914" s="16">
        <f t="shared" si="160"/>
        <v>364.01787878787877</v>
      </c>
      <c r="W914" s="16">
        <f t="shared" si="161"/>
        <v>1436.5436363636363</v>
      </c>
      <c r="X914" s="16">
        <f t="shared" si="162"/>
        <v>472</v>
      </c>
      <c r="Y914" s="16">
        <f t="shared" si="163"/>
        <v>22359.121212121212</v>
      </c>
      <c r="Z914" s="7" t="str" cm="1">
        <f t="array" ref="Z914">_xlfn.IFS(K914&lt;2%,"Low",K914&lt;5%,"Medium",K914&lt;10%,"Good",K914&gt;10%,"Excellent")</f>
        <v>Medium</v>
      </c>
      <c r="AA914" s="16" t="str">
        <f>Data_Validation!N912</f>
        <v>Pass</v>
      </c>
    </row>
    <row r="915" spans="1:27" x14ac:dyDescent="0.35">
      <c r="A915" s="17" t="s">
        <v>34</v>
      </c>
      <c r="B915" s="3" t="s">
        <v>28</v>
      </c>
      <c r="C915" s="3" t="s">
        <v>29</v>
      </c>
      <c r="D915" s="3" t="s">
        <v>59</v>
      </c>
      <c r="E915" s="3" t="s">
        <v>38</v>
      </c>
      <c r="F915" s="3">
        <v>8398.73</v>
      </c>
      <c r="G915" s="3">
        <v>166466</v>
      </c>
      <c r="H915" s="3">
        <v>19753</v>
      </c>
      <c r="I915" s="3">
        <v>97232.75</v>
      </c>
      <c r="J915" s="3">
        <v>39</v>
      </c>
      <c r="K915" s="15">
        <f t="shared" si="154"/>
        <v>0.11866086768469238</v>
      </c>
      <c r="L915" s="16">
        <f t="shared" si="164"/>
        <v>0.42518756644560318</v>
      </c>
      <c r="M915" s="16">
        <f t="shared" si="155"/>
        <v>50.453125563178062</v>
      </c>
      <c r="N915" s="16">
        <f t="shared" si="156"/>
        <v>11.577077724846495</v>
      </c>
      <c r="O915" s="16">
        <f t="shared" si="157"/>
        <v>10.577077724846495</v>
      </c>
      <c r="P915" s="1">
        <v>2025</v>
      </c>
      <c r="Q915" s="1" t="s">
        <v>60</v>
      </c>
      <c r="R915" s="1" t="s">
        <v>40</v>
      </c>
      <c r="S915" s="70">
        <f>DATE(Table2[[#This Row],[Year]],MONTH(DATEVALUE("1-"&amp;Table2[[#This Row],[Month]]&amp;"-2000")),1)</f>
        <v>45717</v>
      </c>
      <c r="T915" s="16">
        <f t="shared" si="158"/>
        <v>4.9224295043790818</v>
      </c>
      <c r="U915" s="16">
        <f t="shared" si="159"/>
        <v>0.58409975610635201</v>
      </c>
      <c r="V915" s="16">
        <f t="shared" si="160"/>
        <v>215.35205128205126</v>
      </c>
      <c r="W915" s="16">
        <f t="shared" si="161"/>
        <v>2493.147435897436</v>
      </c>
      <c r="X915" s="16">
        <f t="shared" si="162"/>
        <v>506.4871794871795</v>
      </c>
      <c r="Y915" s="16">
        <f t="shared" si="163"/>
        <v>4268.3589743589746</v>
      </c>
      <c r="Z915" s="7" t="str" cm="1">
        <f t="array" ref="Z915">_xlfn.IFS(K915&lt;2%,"Low",K915&lt;5%,"Medium",K915&lt;10%,"Good",K915&gt;10%,"Excellent")</f>
        <v>Excellent</v>
      </c>
      <c r="AA915" s="16" t="str">
        <f>Data_Validation!N913</f>
        <v>Pass</v>
      </c>
    </row>
    <row r="916" spans="1:27" x14ac:dyDescent="0.35">
      <c r="A916" s="17" t="s">
        <v>114</v>
      </c>
      <c r="B916" s="3" t="s">
        <v>35</v>
      </c>
      <c r="C916" s="3" t="s">
        <v>29</v>
      </c>
      <c r="D916" s="3" t="s">
        <v>51</v>
      </c>
      <c r="E916" s="3" t="s">
        <v>38</v>
      </c>
      <c r="F916" s="3">
        <v>5897.91</v>
      </c>
      <c r="G916" s="3">
        <v>84814</v>
      </c>
      <c r="H916" s="3">
        <v>23708</v>
      </c>
      <c r="I916" s="3">
        <v>14378.94</v>
      </c>
      <c r="J916" s="3">
        <v>23</v>
      </c>
      <c r="K916" s="15">
        <f t="shared" si="154"/>
        <v>0.27952932298912914</v>
      </c>
      <c r="L916" s="16">
        <f t="shared" si="164"/>
        <v>0.24877298802092121</v>
      </c>
      <c r="M916" s="16">
        <f t="shared" si="155"/>
        <v>69.539344919470835</v>
      </c>
      <c r="N916" s="16">
        <f t="shared" si="156"/>
        <v>2.4379720951998252</v>
      </c>
      <c r="O916" s="16">
        <f t="shared" si="157"/>
        <v>1.4379720951998252</v>
      </c>
      <c r="P916" s="1">
        <v>2025</v>
      </c>
      <c r="Q916" s="1" t="s">
        <v>60</v>
      </c>
      <c r="R916" s="1" t="s">
        <v>40</v>
      </c>
      <c r="S916" s="70">
        <f>DATE(Table2[[#This Row],[Year]],MONTH(DATEVALUE("1-"&amp;Table2[[#This Row],[Month]]&amp;"-2000")),1)</f>
        <v>45717</v>
      </c>
      <c r="T916" s="16">
        <f t="shared" si="158"/>
        <v>0.60650160283448629</v>
      </c>
      <c r="U916" s="16">
        <f t="shared" si="159"/>
        <v>0.16953498243214565</v>
      </c>
      <c r="V916" s="16">
        <f t="shared" si="160"/>
        <v>256.43086956521739</v>
      </c>
      <c r="W916" s="16">
        <f t="shared" si="161"/>
        <v>625.17130434782609</v>
      </c>
      <c r="X916" s="16">
        <f t="shared" si="162"/>
        <v>1030.7826086956522</v>
      </c>
      <c r="Y916" s="16">
        <f t="shared" si="163"/>
        <v>3687.5652173913045</v>
      </c>
      <c r="Z916" s="7" t="str" cm="1">
        <f t="array" ref="Z916">_xlfn.IFS(K916&lt;2%,"Low",K916&lt;5%,"Medium",K916&lt;10%,"Good",K916&gt;10%,"Excellent")</f>
        <v>Excellent</v>
      </c>
      <c r="AA916" s="16" t="str">
        <f>Data_Validation!N914</f>
        <v>Pass</v>
      </c>
    </row>
    <row r="917" spans="1:27" x14ac:dyDescent="0.35">
      <c r="A917" s="17" t="s">
        <v>97</v>
      </c>
      <c r="B917" s="3" t="s">
        <v>35</v>
      </c>
      <c r="C917" s="3" t="s">
        <v>20</v>
      </c>
      <c r="D917" s="3" t="s">
        <v>59</v>
      </c>
      <c r="E917" s="3" t="s">
        <v>38</v>
      </c>
      <c r="F917" s="3">
        <v>2892.27</v>
      </c>
      <c r="G917" s="3">
        <v>109096</v>
      </c>
      <c r="H917" s="3">
        <v>36666</v>
      </c>
      <c r="I917" s="3">
        <v>171202.94</v>
      </c>
      <c r="J917" s="3">
        <v>46</v>
      </c>
      <c r="K917" s="15">
        <f t="shared" si="154"/>
        <v>0.33608931583192786</v>
      </c>
      <c r="L917" s="16">
        <f t="shared" si="164"/>
        <v>7.8881525118638524E-2</v>
      </c>
      <c r="M917" s="16">
        <f t="shared" si="155"/>
        <v>26.511237808902251</v>
      </c>
      <c r="N917" s="16">
        <f t="shared" si="156"/>
        <v>59.193277252815264</v>
      </c>
      <c r="O917" s="16">
        <f t="shared" si="157"/>
        <v>58.193277252815271</v>
      </c>
      <c r="P917" s="1">
        <v>2025</v>
      </c>
      <c r="Q917" s="1" t="s">
        <v>60</v>
      </c>
      <c r="R917" s="1" t="s">
        <v>40</v>
      </c>
      <c r="S917" s="70">
        <f>DATE(Table2[[#This Row],[Year]],MONTH(DATEVALUE("1-"&amp;Table2[[#This Row],[Month]]&amp;"-2000")),1)</f>
        <v>45717</v>
      </c>
      <c r="T917" s="16">
        <f t="shared" si="158"/>
        <v>4.6692559864724812</v>
      </c>
      <c r="U917" s="16">
        <f t="shared" si="159"/>
        <v>1.5692870499376697</v>
      </c>
      <c r="V917" s="16">
        <f t="shared" si="160"/>
        <v>62.875434782608693</v>
      </c>
      <c r="W917" s="16">
        <f t="shared" si="161"/>
        <v>3721.8030434782609</v>
      </c>
      <c r="X917" s="16">
        <f t="shared" si="162"/>
        <v>797.08695652173913</v>
      </c>
      <c r="Y917" s="16">
        <f t="shared" si="163"/>
        <v>2371.6521739130435</v>
      </c>
      <c r="Z917" s="7" t="str" cm="1">
        <f t="array" ref="Z917">_xlfn.IFS(K917&lt;2%,"Low",K917&lt;5%,"Medium",K917&lt;10%,"Good",K917&gt;10%,"Excellent")</f>
        <v>Excellent</v>
      </c>
      <c r="AA917" s="16" t="str">
        <f>Data_Validation!N915</f>
        <v>Pass</v>
      </c>
    </row>
    <row r="918" spans="1:27" x14ac:dyDescent="0.35">
      <c r="A918" s="17" t="s">
        <v>50</v>
      </c>
      <c r="B918" s="3" t="s">
        <v>48</v>
      </c>
      <c r="C918" s="3" t="s">
        <v>69</v>
      </c>
      <c r="D918" s="3" t="s">
        <v>37</v>
      </c>
      <c r="E918" s="3" t="s">
        <v>22</v>
      </c>
      <c r="F918" s="3">
        <v>86.25</v>
      </c>
      <c r="G918" s="3">
        <v>831533</v>
      </c>
      <c r="H918" s="3">
        <v>45369</v>
      </c>
      <c r="I918" s="3">
        <v>121441.32</v>
      </c>
      <c r="J918" s="3">
        <v>21</v>
      </c>
      <c r="K918" s="15">
        <f t="shared" si="154"/>
        <v>5.456067287768495E-2</v>
      </c>
      <c r="L918" s="16">
        <f t="shared" si="164"/>
        <v>1.9010778284731865E-3</v>
      </c>
      <c r="M918" s="16">
        <f t="shared" si="155"/>
        <v>0.1037240855143452</v>
      </c>
      <c r="N918" s="16">
        <f t="shared" si="156"/>
        <v>1408.0153043478263</v>
      </c>
      <c r="O918" s="16">
        <f t="shared" si="157"/>
        <v>1407.0153043478263</v>
      </c>
      <c r="P918" s="1">
        <v>2025</v>
      </c>
      <c r="Q918" s="1" t="s">
        <v>60</v>
      </c>
      <c r="R918" s="1" t="s">
        <v>40</v>
      </c>
      <c r="S918" s="70">
        <f>DATE(Table2[[#This Row],[Year]],MONTH(DATEVALUE("1-"&amp;Table2[[#This Row],[Month]]&amp;"-2000")),1)</f>
        <v>45717</v>
      </c>
      <c r="T918" s="16">
        <f t="shared" si="158"/>
        <v>2.676746677246578</v>
      </c>
      <c r="U918" s="16">
        <f t="shared" si="159"/>
        <v>0.14604509983368069</v>
      </c>
      <c r="V918" s="16">
        <f t="shared" si="160"/>
        <v>4.1071428571428568</v>
      </c>
      <c r="W918" s="16">
        <f t="shared" si="161"/>
        <v>5782.92</v>
      </c>
      <c r="X918" s="16">
        <f t="shared" si="162"/>
        <v>2160.4285714285716</v>
      </c>
      <c r="Y918" s="16">
        <f t="shared" si="163"/>
        <v>39596.809523809527</v>
      </c>
      <c r="Z918" s="7" t="str" cm="1">
        <f t="array" ref="Z918">_xlfn.IFS(K918&lt;2%,"Low",K918&lt;5%,"Medium",K918&lt;10%,"Good",K918&gt;10%,"Excellent")</f>
        <v>Good</v>
      </c>
      <c r="AA918" s="16" t="str">
        <f>Data_Validation!N916</f>
        <v>Pass</v>
      </c>
    </row>
    <row r="919" spans="1:27" x14ac:dyDescent="0.35">
      <c r="A919" s="17" t="s">
        <v>108</v>
      </c>
      <c r="B919" s="3" t="s">
        <v>28</v>
      </c>
      <c r="C919" s="3" t="s">
        <v>58</v>
      </c>
      <c r="D919" s="3" t="s">
        <v>43</v>
      </c>
      <c r="E919" s="3" t="s">
        <v>38</v>
      </c>
      <c r="F919" s="3">
        <v>26261.95</v>
      </c>
      <c r="G919" s="3">
        <v>194019</v>
      </c>
      <c r="H919" s="3">
        <v>40139</v>
      </c>
      <c r="I919" s="3">
        <v>214755.89</v>
      </c>
      <c r="J919" s="3">
        <v>24</v>
      </c>
      <c r="K919" s="15">
        <f t="shared" si="154"/>
        <v>0.20688180023605934</v>
      </c>
      <c r="L919" s="16">
        <f t="shared" si="164"/>
        <v>0.65427514387503427</v>
      </c>
      <c r="M919" s="16">
        <f t="shared" si="155"/>
        <v>135.35761961457382</v>
      </c>
      <c r="N919" s="16">
        <f t="shared" si="156"/>
        <v>8.1774540732885406</v>
      </c>
      <c r="O919" s="16">
        <f t="shared" si="157"/>
        <v>7.1774540732885406</v>
      </c>
      <c r="P919" s="1">
        <v>2025</v>
      </c>
      <c r="Q919" s="1" t="s">
        <v>60</v>
      </c>
      <c r="R919" s="1" t="s">
        <v>40</v>
      </c>
      <c r="S919" s="70">
        <f>DATE(Table2[[#This Row],[Year]],MONTH(DATEVALUE("1-"&amp;Table2[[#This Row],[Month]]&amp;"-2000")),1)</f>
        <v>45717</v>
      </c>
      <c r="T919" s="16">
        <f t="shared" si="158"/>
        <v>5.3503049403323457</v>
      </c>
      <c r="U919" s="16">
        <f t="shared" si="159"/>
        <v>1.1068807178678377</v>
      </c>
      <c r="V919" s="16">
        <f t="shared" si="160"/>
        <v>1094.2479166666667</v>
      </c>
      <c r="W919" s="16">
        <f t="shared" si="161"/>
        <v>8948.1620833333345</v>
      </c>
      <c r="X919" s="16">
        <f t="shared" si="162"/>
        <v>1672.4583333333333</v>
      </c>
      <c r="Y919" s="16">
        <f t="shared" si="163"/>
        <v>8084.125</v>
      </c>
      <c r="Z919" s="7" t="str" cm="1">
        <f t="array" ref="Z919">_xlfn.IFS(K919&lt;2%,"Low",K919&lt;5%,"Medium",K919&lt;10%,"Good",K919&gt;10%,"Excellent")</f>
        <v>Excellent</v>
      </c>
      <c r="AA919" s="16" t="str">
        <f>Data_Validation!N917</f>
        <v>Pass</v>
      </c>
    </row>
    <row r="920" spans="1:27" x14ac:dyDescent="0.35">
      <c r="A920" s="17" t="s">
        <v>89</v>
      </c>
      <c r="B920" s="3" t="s">
        <v>48</v>
      </c>
      <c r="C920" s="3" t="s">
        <v>36</v>
      </c>
      <c r="D920" s="3" t="s">
        <v>63</v>
      </c>
      <c r="E920" s="3" t="s">
        <v>30</v>
      </c>
      <c r="F920" s="3">
        <v>1065.67</v>
      </c>
      <c r="G920" s="3">
        <v>35422</v>
      </c>
      <c r="H920" s="3">
        <v>15173</v>
      </c>
      <c r="I920" s="3">
        <v>159731.1</v>
      </c>
      <c r="J920" s="3">
        <v>37</v>
      </c>
      <c r="K920" s="15">
        <f t="shared" si="154"/>
        <v>0.42834961323471288</v>
      </c>
      <c r="L920" s="16">
        <f t="shared" si="164"/>
        <v>7.023462729849074E-2</v>
      </c>
      <c r="M920" s="16">
        <f t="shared" si="155"/>
        <v>30.084975438992718</v>
      </c>
      <c r="N920" s="16">
        <f t="shared" si="156"/>
        <v>149.88795781057925</v>
      </c>
      <c r="O920" s="16">
        <f t="shared" si="157"/>
        <v>148.88795781057925</v>
      </c>
      <c r="P920" s="1">
        <v>2025</v>
      </c>
      <c r="Q920" s="1" t="s">
        <v>60</v>
      </c>
      <c r="R920" s="1" t="s">
        <v>40</v>
      </c>
      <c r="S920" s="70">
        <f>DATE(Table2[[#This Row],[Year]],MONTH(DATEVALUE("1-"&amp;Table2[[#This Row],[Month]]&amp;"-2000")),1)</f>
        <v>45717</v>
      </c>
      <c r="T920" s="16">
        <f t="shared" si="158"/>
        <v>10.527324853357939</v>
      </c>
      <c r="U920" s="16">
        <f t="shared" si="159"/>
        <v>4.5093755293320541</v>
      </c>
      <c r="V920" s="16">
        <f t="shared" si="160"/>
        <v>28.801891891891895</v>
      </c>
      <c r="W920" s="16">
        <f t="shared" si="161"/>
        <v>4317.0567567567568</v>
      </c>
      <c r="X920" s="16">
        <f t="shared" si="162"/>
        <v>410.08108108108109</v>
      </c>
      <c r="Y920" s="16">
        <f t="shared" si="163"/>
        <v>957.35135135135135</v>
      </c>
      <c r="Z920" s="7" t="str" cm="1">
        <f t="array" ref="Z920">_xlfn.IFS(K920&lt;2%,"Low",K920&lt;5%,"Medium",K920&lt;10%,"Good",K920&gt;10%,"Excellent")</f>
        <v>Excellent</v>
      </c>
      <c r="AA920" s="16" t="str">
        <f>Data_Validation!N918</f>
        <v>Pass</v>
      </c>
    </row>
    <row r="921" spans="1:27" x14ac:dyDescent="0.35">
      <c r="A921" s="17" t="s">
        <v>62</v>
      </c>
      <c r="B921" s="3" t="s">
        <v>19</v>
      </c>
      <c r="C921" s="3" t="s">
        <v>20</v>
      </c>
      <c r="D921" s="3" t="s">
        <v>51</v>
      </c>
      <c r="E921" s="3" t="s">
        <v>38</v>
      </c>
      <c r="F921" s="3">
        <v>796.04</v>
      </c>
      <c r="G921" s="3">
        <v>934879</v>
      </c>
      <c r="H921" s="3">
        <v>9207</v>
      </c>
      <c r="I921" s="3">
        <v>112775.18</v>
      </c>
      <c r="J921" s="3">
        <v>36</v>
      </c>
      <c r="K921" s="15">
        <f t="shared" si="154"/>
        <v>9.8483333137229529E-3</v>
      </c>
      <c r="L921" s="16">
        <f t="shared" si="164"/>
        <v>8.646030194417291E-2</v>
      </c>
      <c r="M921" s="16">
        <f t="shared" si="155"/>
        <v>0.8514898719513434</v>
      </c>
      <c r="N921" s="16">
        <f t="shared" si="156"/>
        <v>141.67024270137179</v>
      </c>
      <c r="O921" s="16">
        <f t="shared" si="157"/>
        <v>140.67024270137179</v>
      </c>
      <c r="P921" s="1">
        <v>2025</v>
      </c>
      <c r="Q921" s="1" t="s">
        <v>60</v>
      </c>
      <c r="R921" s="1" t="s">
        <v>40</v>
      </c>
      <c r="S921" s="70">
        <f>DATE(Table2[[#This Row],[Year]],MONTH(DATEVALUE("1-"&amp;Table2[[#This Row],[Month]]&amp;"-2000")),1)</f>
        <v>45717</v>
      </c>
      <c r="T921" s="16">
        <f t="shared" si="158"/>
        <v>12.248851960464863</v>
      </c>
      <c r="U921" s="16">
        <f t="shared" si="159"/>
        <v>0.12063077681710681</v>
      </c>
      <c r="V921" s="16">
        <f t="shared" si="160"/>
        <v>22.112222222222222</v>
      </c>
      <c r="W921" s="16">
        <f t="shared" si="161"/>
        <v>3132.6438888888888</v>
      </c>
      <c r="X921" s="16">
        <f t="shared" si="162"/>
        <v>255.75</v>
      </c>
      <c r="Y921" s="16">
        <f t="shared" si="163"/>
        <v>25968.861111111109</v>
      </c>
      <c r="Z921" s="7" t="str" cm="1">
        <f t="array" ref="Z921">_xlfn.IFS(K921&lt;2%,"Low",K921&lt;5%,"Medium",K921&lt;10%,"Good",K921&gt;10%,"Excellent")</f>
        <v>Low</v>
      </c>
      <c r="AA921" s="16" t="str">
        <f>Data_Validation!N919</f>
        <v>Pass</v>
      </c>
    </row>
    <row r="922" spans="1:27" x14ac:dyDescent="0.35">
      <c r="A922" s="17" t="s">
        <v>55</v>
      </c>
      <c r="B922" s="3" t="s">
        <v>35</v>
      </c>
      <c r="C922" s="3" t="s">
        <v>36</v>
      </c>
      <c r="D922" s="3" t="s">
        <v>59</v>
      </c>
      <c r="E922" s="3" t="s">
        <v>30</v>
      </c>
      <c r="F922" s="3">
        <v>2870.16</v>
      </c>
      <c r="G922" s="3">
        <v>564718</v>
      </c>
      <c r="H922" s="3">
        <v>2764</v>
      </c>
      <c r="I922" s="3">
        <v>184903.58</v>
      </c>
      <c r="J922" s="3">
        <v>51</v>
      </c>
      <c r="K922" s="15">
        <f t="shared" si="154"/>
        <v>4.8944783059863507E-3</v>
      </c>
      <c r="L922" s="16">
        <f t="shared" si="164"/>
        <v>1.0384081041968161</v>
      </c>
      <c r="M922" s="16">
        <f t="shared" si="155"/>
        <v>5.0824659387517306</v>
      </c>
      <c r="N922" s="16">
        <f t="shared" si="156"/>
        <v>64.422742982969595</v>
      </c>
      <c r="O922" s="16">
        <f t="shared" si="157"/>
        <v>63.422742982969588</v>
      </c>
      <c r="P922" s="1">
        <v>2025</v>
      </c>
      <c r="Q922" s="1" t="s">
        <v>60</v>
      </c>
      <c r="R922" s="1" t="s">
        <v>40</v>
      </c>
      <c r="S922" s="70">
        <f>DATE(Table2[[#This Row],[Year]],MONTH(DATEVALUE("1-"&amp;Table2[[#This Row],[Month]]&amp;"-2000")),1)</f>
        <v>45717</v>
      </c>
      <c r="T922" s="16">
        <f t="shared" si="158"/>
        <v>66.897098408104199</v>
      </c>
      <c r="U922" s="16">
        <f t="shared" si="159"/>
        <v>0.32742639689190001</v>
      </c>
      <c r="V922" s="16">
        <f t="shared" si="160"/>
        <v>56.277647058823526</v>
      </c>
      <c r="W922" s="16">
        <f t="shared" si="161"/>
        <v>3625.5603921568627</v>
      </c>
      <c r="X922" s="16">
        <f t="shared" si="162"/>
        <v>54.196078431372548</v>
      </c>
      <c r="Y922" s="16">
        <f t="shared" si="163"/>
        <v>11072.901960784313</v>
      </c>
      <c r="Z922" s="7" t="str" cm="1">
        <f t="array" ref="Z922">_xlfn.IFS(K922&lt;2%,"Low",K922&lt;5%,"Medium",K922&lt;10%,"Good",K922&gt;10%,"Excellent")</f>
        <v>Low</v>
      </c>
      <c r="AA922" s="16" t="str">
        <f>Data_Validation!N920</f>
        <v>Pass</v>
      </c>
    </row>
    <row r="923" spans="1:27" x14ac:dyDescent="0.35">
      <c r="A923" s="17" t="s">
        <v>81</v>
      </c>
      <c r="B923" s="3" t="s">
        <v>35</v>
      </c>
      <c r="C923" s="3" t="s">
        <v>36</v>
      </c>
      <c r="D923" s="3" t="s">
        <v>43</v>
      </c>
      <c r="E923" s="3" t="s">
        <v>30</v>
      </c>
      <c r="F923" s="3">
        <v>15387.23</v>
      </c>
      <c r="G923" s="3">
        <v>674845</v>
      </c>
      <c r="H923" s="3">
        <v>9542</v>
      </c>
      <c r="I923" s="3">
        <v>78023.839999999997</v>
      </c>
      <c r="J923" s="3">
        <v>57</v>
      </c>
      <c r="K923" s="15">
        <f t="shared" si="154"/>
        <v>1.4139543154353963E-2</v>
      </c>
      <c r="L923" s="16">
        <f t="shared" si="164"/>
        <v>1.6125791238734017</v>
      </c>
      <c r="M923" s="16">
        <f t="shared" si="155"/>
        <v>22.801132111818269</v>
      </c>
      <c r="N923" s="16">
        <f t="shared" si="156"/>
        <v>5.0706878366021693</v>
      </c>
      <c r="O923" s="16">
        <f t="shared" si="157"/>
        <v>4.0706878366021693</v>
      </c>
      <c r="P923" s="1">
        <v>2025</v>
      </c>
      <c r="Q923" s="1" t="s">
        <v>60</v>
      </c>
      <c r="R923" s="1" t="s">
        <v>40</v>
      </c>
      <c r="S923" s="70">
        <f>DATE(Table2[[#This Row],[Year]],MONTH(DATEVALUE("1-"&amp;Table2[[#This Row],[Month]]&amp;"-2000")),1)</f>
        <v>45717</v>
      </c>
      <c r="T923" s="16">
        <f t="shared" si="158"/>
        <v>8.1768853489834417</v>
      </c>
      <c r="U923" s="16">
        <f t="shared" si="159"/>
        <v>0.11561742326015603</v>
      </c>
      <c r="V923" s="16">
        <f t="shared" si="160"/>
        <v>269.95140350877193</v>
      </c>
      <c r="W923" s="16">
        <f t="shared" si="161"/>
        <v>1368.8392982456139</v>
      </c>
      <c r="X923" s="16">
        <f t="shared" si="162"/>
        <v>167.40350877192984</v>
      </c>
      <c r="Y923" s="16">
        <f t="shared" si="163"/>
        <v>11839.385964912281</v>
      </c>
      <c r="Z923" s="7" t="str" cm="1">
        <f t="array" ref="Z923">_xlfn.IFS(K923&lt;2%,"Low",K923&lt;5%,"Medium",K923&lt;10%,"Good",K923&gt;10%,"Excellent")</f>
        <v>Low</v>
      </c>
      <c r="AA923" s="16" t="str">
        <f>Data_Validation!N921</f>
        <v>Pass</v>
      </c>
    </row>
    <row r="924" spans="1:27" x14ac:dyDescent="0.35">
      <c r="A924" s="17" t="s">
        <v>87</v>
      </c>
      <c r="B924" s="3" t="s">
        <v>48</v>
      </c>
      <c r="C924" s="3" t="s">
        <v>58</v>
      </c>
      <c r="D924" s="3" t="s">
        <v>43</v>
      </c>
      <c r="E924" s="3" t="s">
        <v>38</v>
      </c>
      <c r="F924" s="3">
        <v>7384.74</v>
      </c>
      <c r="G924" s="3">
        <v>699237</v>
      </c>
      <c r="H924" s="3">
        <v>28420</v>
      </c>
      <c r="I924" s="3">
        <v>101917.68</v>
      </c>
      <c r="J924" s="3">
        <v>31</v>
      </c>
      <c r="K924" s="15">
        <f t="shared" si="154"/>
        <v>4.0644302289495553E-2</v>
      </c>
      <c r="L924" s="16">
        <f t="shared" si="164"/>
        <v>0.25984306826178749</v>
      </c>
      <c r="M924" s="16">
        <f t="shared" si="155"/>
        <v>10.561140214262117</v>
      </c>
      <c r="N924" s="16">
        <f t="shared" si="156"/>
        <v>13.801119606106646</v>
      </c>
      <c r="O924" s="16">
        <f t="shared" si="157"/>
        <v>12.801119606106646</v>
      </c>
      <c r="P924" s="1">
        <v>2025</v>
      </c>
      <c r="Q924" s="1" t="s">
        <v>60</v>
      </c>
      <c r="R924" s="1" t="s">
        <v>40</v>
      </c>
      <c r="S924" s="70">
        <f>DATE(Table2[[#This Row],[Year]],MONTH(DATEVALUE("1-"&amp;Table2[[#This Row],[Month]]&amp;"-2000")),1)</f>
        <v>45717</v>
      </c>
      <c r="T924" s="16">
        <f t="shared" si="158"/>
        <v>3.5861252638986625</v>
      </c>
      <c r="U924" s="16">
        <f t="shared" si="159"/>
        <v>0.14575555927389425</v>
      </c>
      <c r="V924" s="16">
        <f t="shared" si="160"/>
        <v>238.21741935483871</v>
      </c>
      <c r="W924" s="16">
        <f t="shared" si="161"/>
        <v>3287.6670967741934</v>
      </c>
      <c r="X924" s="16">
        <f t="shared" si="162"/>
        <v>916.77419354838707</v>
      </c>
      <c r="Y924" s="16">
        <f t="shared" si="163"/>
        <v>22556.032258064515</v>
      </c>
      <c r="Z924" s="7" t="str" cm="1">
        <f t="array" ref="Z924">_xlfn.IFS(K924&lt;2%,"Low",K924&lt;5%,"Medium",K924&lt;10%,"Good",K924&gt;10%,"Excellent")</f>
        <v>Medium</v>
      </c>
      <c r="AA924" s="16" t="str">
        <f>Data_Validation!N922</f>
        <v>Pass</v>
      </c>
    </row>
    <row r="925" spans="1:27" x14ac:dyDescent="0.35">
      <c r="A925" s="17" t="s">
        <v>27</v>
      </c>
      <c r="B925" s="3" t="s">
        <v>35</v>
      </c>
      <c r="C925" s="3" t="s">
        <v>58</v>
      </c>
      <c r="D925" s="3" t="s">
        <v>21</v>
      </c>
      <c r="E925" s="3" t="s">
        <v>30</v>
      </c>
      <c r="F925" s="3">
        <v>19027.349999999999</v>
      </c>
      <c r="G925" s="3">
        <v>667667</v>
      </c>
      <c r="H925" s="3">
        <v>30287</v>
      </c>
      <c r="I925" s="3">
        <v>223554.29</v>
      </c>
      <c r="J925" s="3">
        <v>8</v>
      </c>
      <c r="K925" s="15">
        <f t="shared" si="154"/>
        <v>4.5362433668280744E-2</v>
      </c>
      <c r="L925" s="16">
        <f t="shared" si="164"/>
        <v>0.62823488625482871</v>
      </c>
      <c r="M925" s="16">
        <f t="shared" si="155"/>
        <v>28.49826335583457</v>
      </c>
      <c r="N925" s="16">
        <f t="shared" si="156"/>
        <v>11.749102738952089</v>
      </c>
      <c r="O925" s="16">
        <f t="shared" si="157"/>
        <v>10.749102738952088</v>
      </c>
      <c r="P925" s="1">
        <v>2025</v>
      </c>
      <c r="Q925" s="1" t="s">
        <v>60</v>
      </c>
      <c r="R925" s="1" t="s">
        <v>40</v>
      </c>
      <c r="S925" s="70">
        <f>DATE(Table2[[#This Row],[Year]],MONTH(DATEVALUE("1-"&amp;Table2[[#This Row],[Month]]&amp;"-2000")),1)</f>
        <v>45717</v>
      </c>
      <c r="T925" s="16">
        <f t="shared" si="158"/>
        <v>7.3811962228018624</v>
      </c>
      <c r="U925" s="16">
        <f t="shared" si="159"/>
        <v>0.33482902404941389</v>
      </c>
      <c r="V925" s="16">
        <f t="shared" si="160"/>
        <v>2378.4187499999998</v>
      </c>
      <c r="W925" s="16">
        <f t="shared" si="161"/>
        <v>27944.286250000001</v>
      </c>
      <c r="X925" s="16">
        <f t="shared" si="162"/>
        <v>3785.875</v>
      </c>
      <c r="Y925" s="16">
        <f t="shared" si="163"/>
        <v>83458.375</v>
      </c>
      <c r="Z925" s="7" t="str" cm="1">
        <f t="array" ref="Z925">_xlfn.IFS(K925&lt;2%,"Low",K925&lt;5%,"Medium",K925&lt;10%,"Good",K925&gt;10%,"Excellent")</f>
        <v>Medium</v>
      </c>
      <c r="AA925" s="16" t="str">
        <f>Data_Validation!N923</f>
        <v>Pass</v>
      </c>
    </row>
    <row r="926" spans="1:27" x14ac:dyDescent="0.35">
      <c r="A926" s="17" t="s">
        <v>81</v>
      </c>
      <c r="B926" s="3" t="s">
        <v>28</v>
      </c>
      <c r="C926" s="3" t="s">
        <v>58</v>
      </c>
      <c r="D926" s="3" t="s">
        <v>59</v>
      </c>
      <c r="E926" s="3" t="s">
        <v>22</v>
      </c>
      <c r="F926" s="3">
        <v>28988.6</v>
      </c>
      <c r="G926" s="3">
        <v>584842</v>
      </c>
      <c r="H926" s="3">
        <v>24587</v>
      </c>
      <c r="I926" s="3">
        <v>51199.89</v>
      </c>
      <c r="J926" s="3">
        <v>24</v>
      </c>
      <c r="K926" s="15">
        <f t="shared" si="154"/>
        <v>4.2040414334127849E-2</v>
      </c>
      <c r="L926" s="16">
        <f t="shared" si="164"/>
        <v>1.1790214340911864</v>
      </c>
      <c r="M926" s="16">
        <f t="shared" si="155"/>
        <v>49.566549598011086</v>
      </c>
      <c r="N926" s="16">
        <f t="shared" si="156"/>
        <v>1.7662077506330076</v>
      </c>
      <c r="O926" s="16">
        <f t="shared" si="157"/>
        <v>0.7662077506330075</v>
      </c>
      <c r="P926" s="1">
        <v>2025</v>
      </c>
      <c r="Q926" s="1" t="s">
        <v>60</v>
      </c>
      <c r="R926" s="1" t="s">
        <v>40</v>
      </c>
      <c r="S926" s="70">
        <f>DATE(Table2[[#This Row],[Year]],MONTH(DATEVALUE("1-"&amp;Table2[[#This Row],[Month]]&amp;"-2000")),1)</f>
        <v>45717</v>
      </c>
      <c r="T926" s="16">
        <f t="shared" si="158"/>
        <v>2.0823967950542968</v>
      </c>
      <c r="U926" s="16">
        <f t="shared" si="159"/>
        <v>8.7544824072142563E-2</v>
      </c>
      <c r="V926" s="16">
        <f t="shared" si="160"/>
        <v>1207.8583333333333</v>
      </c>
      <c r="W926" s="16">
        <f t="shared" si="161"/>
        <v>2133.3287500000001</v>
      </c>
      <c r="X926" s="16">
        <f t="shared" si="162"/>
        <v>1024.4583333333333</v>
      </c>
      <c r="Y926" s="16">
        <f t="shared" si="163"/>
        <v>24368.416666666668</v>
      </c>
      <c r="Z926" s="7" t="str" cm="1">
        <f t="array" ref="Z926">_xlfn.IFS(K926&lt;2%,"Low",K926&lt;5%,"Medium",K926&lt;10%,"Good",K926&gt;10%,"Excellent")</f>
        <v>Medium</v>
      </c>
      <c r="AA926" s="16" t="str">
        <f>Data_Validation!N924</f>
        <v>Pass</v>
      </c>
    </row>
    <row r="927" spans="1:27" x14ac:dyDescent="0.35">
      <c r="A927" s="17" t="s">
        <v>115</v>
      </c>
      <c r="B927" s="3" t="s">
        <v>35</v>
      </c>
      <c r="C927" s="3" t="s">
        <v>36</v>
      </c>
      <c r="D927" s="3" t="s">
        <v>51</v>
      </c>
      <c r="E927" s="3" t="s">
        <v>38</v>
      </c>
      <c r="F927" s="3">
        <v>788.9</v>
      </c>
      <c r="G927" s="3">
        <v>977693</v>
      </c>
      <c r="H927" s="3">
        <v>39266</v>
      </c>
      <c r="I927" s="3">
        <v>188609.19</v>
      </c>
      <c r="J927" s="3">
        <v>24</v>
      </c>
      <c r="K927" s="15">
        <f t="shared" si="154"/>
        <v>4.0161891309439673E-2</v>
      </c>
      <c r="L927" s="16">
        <f t="shared" si="164"/>
        <v>2.0091173025008912E-2</v>
      </c>
      <c r="M927" s="16">
        <f t="shared" si="155"/>
        <v>0.80689950730955418</v>
      </c>
      <c r="N927" s="16">
        <f t="shared" si="156"/>
        <v>239.07870452528837</v>
      </c>
      <c r="O927" s="16">
        <f t="shared" si="157"/>
        <v>238.0787045252884</v>
      </c>
      <c r="P927" s="1">
        <v>2025</v>
      </c>
      <c r="Q927" s="1" t="s">
        <v>60</v>
      </c>
      <c r="R927" s="1" t="s">
        <v>40</v>
      </c>
      <c r="S927" s="70">
        <f>DATE(Table2[[#This Row],[Year]],MONTH(DATEVALUE("1-"&amp;Table2[[#This Row],[Month]]&amp;"-2000")),1)</f>
        <v>45717</v>
      </c>
      <c r="T927" s="16">
        <f t="shared" si="158"/>
        <v>4.80337161921255</v>
      </c>
      <c r="U927" s="16">
        <f t="shared" si="159"/>
        <v>0.1929124888896617</v>
      </c>
      <c r="V927" s="16">
        <f t="shared" si="160"/>
        <v>32.87083333333333</v>
      </c>
      <c r="W927" s="16">
        <f t="shared" si="161"/>
        <v>7858.7162500000004</v>
      </c>
      <c r="X927" s="16">
        <f t="shared" si="162"/>
        <v>1636.0833333333333</v>
      </c>
      <c r="Y927" s="16">
        <f t="shared" si="163"/>
        <v>40737.208333333336</v>
      </c>
      <c r="Z927" s="7" t="str" cm="1">
        <f t="array" ref="Z927">_xlfn.IFS(K927&lt;2%,"Low",K927&lt;5%,"Medium",K927&lt;10%,"Good",K927&gt;10%,"Excellent")</f>
        <v>Medium</v>
      </c>
      <c r="AA927" s="16" t="str">
        <f>Data_Validation!N925</f>
        <v>Pass</v>
      </c>
    </row>
    <row r="928" spans="1:27" x14ac:dyDescent="0.35">
      <c r="A928" s="17" t="s">
        <v>71</v>
      </c>
      <c r="B928" s="3" t="s">
        <v>48</v>
      </c>
      <c r="C928" s="3" t="s">
        <v>20</v>
      </c>
      <c r="D928" s="3" t="s">
        <v>63</v>
      </c>
      <c r="E928" s="3" t="s">
        <v>22</v>
      </c>
      <c r="F928" s="3">
        <v>6648.87</v>
      </c>
      <c r="G928" s="3">
        <v>148205</v>
      </c>
      <c r="H928" s="3">
        <v>1073</v>
      </c>
      <c r="I928" s="3">
        <v>92769.36</v>
      </c>
      <c r="J928" s="3">
        <v>17</v>
      </c>
      <c r="K928" s="15">
        <f t="shared" si="154"/>
        <v>7.2399716608751389E-3</v>
      </c>
      <c r="L928" s="16">
        <f t="shared" si="164"/>
        <v>6.1965237651444545</v>
      </c>
      <c r="M928" s="16">
        <f t="shared" si="155"/>
        <v>44.862656455585167</v>
      </c>
      <c r="N928" s="16">
        <f t="shared" si="156"/>
        <v>13.95265060077878</v>
      </c>
      <c r="O928" s="16">
        <f t="shared" si="157"/>
        <v>12.95265060077878</v>
      </c>
      <c r="P928" s="1">
        <v>2025</v>
      </c>
      <c r="Q928" s="1" t="s">
        <v>60</v>
      </c>
      <c r="R928" s="1" t="s">
        <v>40</v>
      </c>
      <c r="S928" s="70">
        <f>DATE(Table2[[#This Row],[Year]],MONTH(DATEVALUE("1-"&amp;Table2[[#This Row],[Month]]&amp;"-2000")),1)</f>
        <v>45717</v>
      </c>
      <c r="T928" s="16">
        <f t="shared" si="158"/>
        <v>86.457931034482755</v>
      </c>
      <c r="U928" s="16">
        <f t="shared" si="159"/>
        <v>0.62595297054755239</v>
      </c>
      <c r="V928" s="16">
        <f t="shared" si="160"/>
        <v>391.11</v>
      </c>
      <c r="W928" s="16">
        <f t="shared" si="161"/>
        <v>5457.0211764705882</v>
      </c>
      <c r="X928" s="16">
        <f t="shared" si="162"/>
        <v>63.117647058823529</v>
      </c>
      <c r="Y928" s="16">
        <f t="shared" si="163"/>
        <v>8717.9411764705874</v>
      </c>
      <c r="Z928" s="7" t="str" cm="1">
        <f t="array" ref="Z928">_xlfn.IFS(K928&lt;2%,"Low",K928&lt;5%,"Medium",K928&lt;10%,"Good",K928&gt;10%,"Excellent")</f>
        <v>Low</v>
      </c>
      <c r="AA928" s="16" t="str">
        <f>Data_Validation!N926</f>
        <v>Pass</v>
      </c>
    </row>
    <row r="929" spans="1:27" x14ac:dyDescent="0.35">
      <c r="A929" s="17" t="s">
        <v>83</v>
      </c>
      <c r="B929" s="3" t="s">
        <v>48</v>
      </c>
      <c r="C929" s="3" t="s">
        <v>69</v>
      </c>
      <c r="D929" s="3" t="s">
        <v>37</v>
      </c>
      <c r="E929" s="3" t="s">
        <v>38</v>
      </c>
      <c r="F929" s="3">
        <v>9124.06</v>
      </c>
      <c r="G929" s="3">
        <v>571671</v>
      </c>
      <c r="H929" s="3">
        <v>737</v>
      </c>
      <c r="I929" s="3">
        <v>176700.55</v>
      </c>
      <c r="J929" s="3">
        <v>26</v>
      </c>
      <c r="K929" s="15">
        <f t="shared" si="154"/>
        <v>1.2892030556036602E-3</v>
      </c>
      <c r="L929" s="16">
        <f t="shared" si="164"/>
        <v>12.379999999999999</v>
      </c>
      <c r="M929" s="16">
        <f t="shared" si="155"/>
        <v>15.960333828373312</v>
      </c>
      <c r="N929" s="16">
        <f t="shared" si="156"/>
        <v>19.366438844111066</v>
      </c>
      <c r="O929" s="16">
        <f t="shared" si="157"/>
        <v>18.366438844111066</v>
      </c>
      <c r="P929" s="1">
        <v>2025</v>
      </c>
      <c r="Q929" s="1" t="s">
        <v>60</v>
      </c>
      <c r="R929" s="1" t="s">
        <v>40</v>
      </c>
      <c r="S929" s="70">
        <f>DATE(Table2[[#This Row],[Year]],MONTH(DATEVALUE("1-"&amp;Table2[[#This Row],[Month]]&amp;"-2000")),1)</f>
        <v>45717</v>
      </c>
      <c r="T929" s="16">
        <f t="shared" si="158"/>
        <v>239.75651289009497</v>
      </c>
      <c r="U929" s="16">
        <f t="shared" si="159"/>
        <v>0.30909482901878876</v>
      </c>
      <c r="V929" s="16">
        <f t="shared" si="160"/>
        <v>350.92538461538459</v>
      </c>
      <c r="W929" s="16">
        <f t="shared" si="161"/>
        <v>6796.1749999999993</v>
      </c>
      <c r="X929" s="16">
        <f t="shared" si="162"/>
        <v>28.346153846153847</v>
      </c>
      <c r="Y929" s="16">
        <f t="shared" si="163"/>
        <v>21987.346153846152</v>
      </c>
      <c r="Z929" s="7" t="str" cm="1">
        <f t="array" ref="Z929">_xlfn.IFS(K929&lt;2%,"Low",K929&lt;5%,"Medium",K929&lt;10%,"Good",K929&gt;10%,"Excellent")</f>
        <v>Low</v>
      </c>
      <c r="AA929" s="16" t="str">
        <f>Data_Validation!N927</f>
        <v>Pass</v>
      </c>
    </row>
    <row r="930" spans="1:27" x14ac:dyDescent="0.35">
      <c r="A930" s="17" t="s">
        <v>120</v>
      </c>
      <c r="B930" s="3" t="s">
        <v>19</v>
      </c>
      <c r="C930" s="3" t="s">
        <v>36</v>
      </c>
      <c r="D930" s="3" t="s">
        <v>43</v>
      </c>
      <c r="E930" s="3" t="s">
        <v>22</v>
      </c>
      <c r="F930" s="3">
        <v>18454.12</v>
      </c>
      <c r="G930" s="3">
        <v>236088</v>
      </c>
      <c r="H930" s="3">
        <v>36338</v>
      </c>
      <c r="I930" s="3">
        <v>184666.92</v>
      </c>
      <c r="J930" s="3">
        <v>16</v>
      </c>
      <c r="K930" s="15">
        <f t="shared" si="154"/>
        <v>0.15391718342313035</v>
      </c>
      <c r="L930" s="16">
        <f t="shared" si="164"/>
        <v>0.50784633166382298</v>
      </c>
      <c r="M930" s="16">
        <f t="shared" si="155"/>
        <v>78.166276981464534</v>
      </c>
      <c r="N930" s="16">
        <f t="shared" si="156"/>
        <v>10.006812570851388</v>
      </c>
      <c r="O930" s="16">
        <f t="shared" si="157"/>
        <v>9.0068125708513893</v>
      </c>
      <c r="P930" s="1">
        <v>2025</v>
      </c>
      <c r="Q930" s="1" t="s">
        <v>60</v>
      </c>
      <c r="R930" s="1" t="s">
        <v>40</v>
      </c>
      <c r="S930" s="70">
        <f>DATE(Table2[[#This Row],[Year]],MONTH(DATEVALUE("1-"&amp;Table2[[#This Row],[Month]]&amp;"-2000")),1)</f>
        <v>45717</v>
      </c>
      <c r="T930" s="16">
        <f t="shared" si="158"/>
        <v>5.0819230557543067</v>
      </c>
      <c r="U930" s="16">
        <f t="shared" si="159"/>
        <v>0.78219528311477082</v>
      </c>
      <c r="V930" s="16">
        <f t="shared" si="160"/>
        <v>1153.3824999999999</v>
      </c>
      <c r="W930" s="16">
        <f t="shared" si="161"/>
        <v>11541.682500000001</v>
      </c>
      <c r="X930" s="16">
        <f t="shared" si="162"/>
        <v>2271.125</v>
      </c>
      <c r="Y930" s="16">
        <f t="shared" si="163"/>
        <v>14755.5</v>
      </c>
      <c r="Z930" s="7" t="str" cm="1">
        <f t="array" ref="Z930">_xlfn.IFS(K930&lt;2%,"Low",K930&lt;5%,"Medium",K930&lt;10%,"Good",K930&gt;10%,"Excellent")</f>
        <v>Excellent</v>
      </c>
      <c r="AA930" s="16" t="str">
        <f>Data_Validation!N928</f>
        <v>Pass</v>
      </c>
    </row>
    <row r="931" spans="1:27" x14ac:dyDescent="0.35">
      <c r="A931" s="17" t="s">
        <v>89</v>
      </c>
      <c r="B931" s="3" t="s">
        <v>48</v>
      </c>
      <c r="C931" s="3" t="s">
        <v>36</v>
      </c>
      <c r="D931" s="3" t="s">
        <v>59</v>
      </c>
      <c r="E931" s="3" t="s">
        <v>38</v>
      </c>
      <c r="F931" s="3">
        <v>904.24</v>
      </c>
      <c r="G931" s="3">
        <v>210070</v>
      </c>
      <c r="H931" s="3">
        <v>7434</v>
      </c>
      <c r="I931" s="3">
        <v>204912.21</v>
      </c>
      <c r="J931" s="3">
        <v>25</v>
      </c>
      <c r="K931" s="15">
        <f t="shared" si="154"/>
        <v>3.538820393202266E-2</v>
      </c>
      <c r="L931" s="16">
        <f t="shared" si="164"/>
        <v>0.12163572773742265</v>
      </c>
      <c r="M931" s="16">
        <f t="shared" si="155"/>
        <v>4.3044699385918976</v>
      </c>
      <c r="N931" s="16">
        <f t="shared" si="156"/>
        <v>226.61263602583384</v>
      </c>
      <c r="O931" s="16">
        <f t="shared" si="157"/>
        <v>225.61263602583384</v>
      </c>
      <c r="P931" s="1">
        <v>2025</v>
      </c>
      <c r="Q931" s="1" t="s">
        <v>76</v>
      </c>
      <c r="R931" s="1" t="s">
        <v>46</v>
      </c>
      <c r="S931" s="70">
        <f>DATE(Table2[[#This Row],[Year]],MONTH(DATEVALUE("1-"&amp;Table2[[#This Row],[Month]]&amp;"-2000")),1)</f>
        <v>45748</v>
      </c>
      <c r="T931" s="16">
        <f t="shared" si="158"/>
        <v>27.564192897497982</v>
      </c>
      <c r="U931" s="16">
        <f t="shared" si="159"/>
        <v>0.97544727947826915</v>
      </c>
      <c r="V931" s="16">
        <f t="shared" si="160"/>
        <v>36.169600000000003</v>
      </c>
      <c r="W931" s="16">
        <f t="shared" si="161"/>
        <v>8196.4884000000002</v>
      </c>
      <c r="X931" s="16">
        <f t="shared" si="162"/>
        <v>297.36</v>
      </c>
      <c r="Y931" s="16">
        <f t="shared" si="163"/>
        <v>8402.7999999999993</v>
      </c>
      <c r="Z931" s="7" t="str" cm="1">
        <f t="array" ref="Z931">_xlfn.IFS(K931&lt;2%,"Low",K931&lt;5%,"Medium",K931&lt;10%,"Good",K931&gt;10%,"Excellent")</f>
        <v>Medium</v>
      </c>
      <c r="AA931" s="16" t="str">
        <f>Data_Validation!N929</f>
        <v>Pass</v>
      </c>
    </row>
    <row r="932" spans="1:27" x14ac:dyDescent="0.35">
      <c r="A932" s="17" t="s">
        <v>55</v>
      </c>
      <c r="B932" s="3" t="s">
        <v>35</v>
      </c>
      <c r="C932" s="3" t="s">
        <v>20</v>
      </c>
      <c r="D932" s="3" t="s">
        <v>51</v>
      </c>
      <c r="E932" s="3" t="s">
        <v>22</v>
      </c>
      <c r="F932" s="3">
        <v>5649.39</v>
      </c>
      <c r="G932" s="3">
        <v>939496</v>
      </c>
      <c r="H932" s="3">
        <v>49148</v>
      </c>
      <c r="I932" s="3">
        <v>130512.18</v>
      </c>
      <c r="J932" s="3">
        <v>14</v>
      </c>
      <c r="K932" s="15">
        <f t="shared" si="154"/>
        <v>5.2313155138499788E-2</v>
      </c>
      <c r="L932" s="16">
        <f t="shared" si="164"/>
        <v>0.11494648815821601</v>
      </c>
      <c r="M932" s="16">
        <f t="shared" si="155"/>
        <v>6.0132134676464828</v>
      </c>
      <c r="N932" s="16">
        <f t="shared" si="156"/>
        <v>23.101995082654938</v>
      </c>
      <c r="O932" s="16">
        <f t="shared" si="157"/>
        <v>22.101995082654938</v>
      </c>
      <c r="P932" s="1">
        <v>2025</v>
      </c>
      <c r="Q932" s="1" t="s">
        <v>76</v>
      </c>
      <c r="R932" s="1" t="s">
        <v>46</v>
      </c>
      <c r="S932" s="70">
        <f>DATE(Table2[[#This Row],[Year]],MONTH(DATEVALUE("1-"&amp;Table2[[#This Row],[Month]]&amp;"-2000")),1)</f>
        <v>45748</v>
      </c>
      <c r="T932" s="16">
        <f t="shared" si="158"/>
        <v>2.6554932041995603</v>
      </c>
      <c r="U932" s="16">
        <f t="shared" si="159"/>
        <v>0.1389172279605235</v>
      </c>
      <c r="V932" s="16">
        <f t="shared" si="160"/>
        <v>403.52785714285716</v>
      </c>
      <c r="W932" s="16">
        <f t="shared" si="161"/>
        <v>9322.2985714285714</v>
      </c>
      <c r="X932" s="16">
        <f t="shared" si="162"/>
        <v>3510.5714285714284</v>
      </c>
      <c r="Y932" s="16">
        <f t="shared" si="163"/>
        <v>67106.857142857145</v>
      </c>
      <c r="Z932" s="7" t="str" cm="1">
        <f t="array" ref="Z932">_xlfn.IFS(K932&lt;2%,"Low",K932&lt;5%,"Medium",K932&lt;10%,"Good",K932&gt;10%,"Excellent")</f>
        <v>Good</v>
      </c>
      <c r="AA932" s="16" t="str">
        <f>Data_Validation!N930</f>
        <v>Pass</v>
      </c>
    </row>
    <row r="933" spans="1:27" x14ac:dyDescent="0.35">
      <c r="A933" s="17" t="s">
        <v>87</v>
      </c>
      <c r="B933" s="3" t="s">
        <v>19</v>
      </c>
      <c r="C933" s="3" t="s">
        <v>58</v>
      </c>
      <c r="D933" s="3" t="s">
        <v>43</v>
      </c>
      <c r="E933" s="3" t="s">
        <v>30</v>
      </c>
      <c r="F933" s="3">
        <v>4766.57</v>
      </c>
      <c r="G933" s="3">
        <v>656195</v>
      </c>
      <c r="H933" s="3">
        <v>27053</v>
      </c>
      <c r="I933" s="3">
        <v>30400.45</v>
      </c>
      <c r="J933" s="3">
        <v>59</v>
      </c>
      <c r="K933" s="15">
        <f t="shared" si="154"/>
        <v>4.12270742690816E-2</v>
      </c>
      <c r="L933" s="16">
        <f t="shared" si="164"/>
        <v>0.1761937677891546</v>
      </c>
      <c r="M933" s="16">
        <f t="shared" si="155"/>
        <v>7.2639535503927952</v>
      </c>
      <c r="N933" s="16">
        <f t="shared" si="156"/>
        <v>6.3778461241521684</v>
      </c>
      <c r="O933" s="16">
        <f t="shared" si="157"/>
        <v>5.3778461241521684</v>
      </c>
      <c r="P933" s="1">
        <v>2025</v>
      </c>
      <c r="Q933" s="1" t="s">
        <v>76</v>
      </c>
      <c r="R933" s="1" t="s">
        <v>46</v>
      </c>
      <c r="S933" s="70">
        <f>DATE(Table2[[#This Row],[Year]],MONTH(DATEVALUE("1-"&amp;Table2[[#This Row],[Month]]&amp;"-2000")),1)</f>
        <v>45748</v>
      </c>
      <c r="T933" s="16">
        <f t="shared" si="158"/>
        <v>1.1237367389938269</v>
      </c>
      <c r="U933" s="16">
        <f t="shared" si="159"/>
        <v>4.6328377997394067E-2</v>
      </c>
      <c r="V933" s="16">
        <f t="shared" si="160"/>
        <v>80.789322033898301</v>
      </c>
      <c r="W933" s="16">
        <f t="shared" si="161"/>
        <v>515.26186440677964</v>
      </c>
      <c r="X933" s="16">
        <f t="shared" si="162"/>
        <v>458.52542372881356</v>
      </c>
      <c r="Y933" s="16">
        <f t="shared" si="163"/>
        <v>11121.949152542373</v>
      </c>
      <c r="Z933" s="7" t="str" cm="1">
        <f t="array" ref="Z933">_xlfn.IFS(K933&lt;2%,"Low",K933&lt;5%,"Medium",K933&lt;10%,"Good",K933&gt;10%,"Excellent")</f>
        <v>Medium</v>
      </c>
      <c r="AA933" s="16" t="str">
        <f>Data_Validation!N931</f>
        <v>Pass</v>
      </c>
    </row>
    <row r="934" spans="1:27" x14ac:dyDescent="0.35">
      <c r="A934" s="17" t="s">
        <v>104</v>
      </c>
      <c r="B934" s="3" t="s">
        <v>35</v>
      </c>
      <c r="C934" s="3" t="s">
        <v>69</v>
      </c>
      <c r="D934" s="3" t="s">
        <v>63</v>
      </c>
      <c r="E934" s="3" t="s">
        <v>38</v>
      </c>
      <c r="F934" s="3">
        <v>777.98</v>
      </c>
      <c r="G934" s="3">
        <v>166130</v>
      </c>
      <c r="H934" s="3">
        <v>15892</v>
      </c>
      <c r="I934" s="3">
        <v>52023.35</v>
      </c>
      <c r="J934" s="3">
        <v>17</v>
      </c>
      <c r="K934" s="15">
        <f t="shared" si="154"/>
        <v>9.566002528140613E-2</v>
      </c>
      <c r="L934" s="16">
        <f t="shared" si="164"/>
        <v>4.8954190787817771E-2</v>
      </c>
      <c r="M934" s="16">
        <f t="shared" si="155"/>
        <v>4.6829591283934269</v>
      </c>
      <c r="N934" s="16">
        <f t="shared" si="156"/>
        <v>66.869778143396999</v>
      </c>
      <c r="O934" s="16">
        <f t="shared" si="157"/>
        <v>65.869778143396999</v>
      </c>
      <c r="P934" s="1">
        <v>2025</v>
      </c>
      <c r="Q934" s="1" t="s">
        <v>76</v>
      </c>
      <c r="R934" s="1" t="s">
        <v>46</v>
      </c>
      <c r="S934" s="70">
        <f>DATE(Table2[[#This Row],[Year]],MONTH(DATEVALUE("1-"&amp;Table2[[#This Row],[Month]]&amp;"-2000")),1)</f>
        <v>45748</v>
      </c>
      <c r="T934" s="16">
        <f t="shared" si="158"/>
        <v>3.2735558771709035</v>
      </c>
      <c r="U934" s="16">
        <f t="shared" si="159"/>
        <v>0.31314843797026426</v>
      </c>
      <c r="V934" s="16">
        <f t="shared" si="160"/>
        <v>45.763529411764708</v>
      </c>
      <c r="W934" s="16">
        <f t="shared" si="161"/>
        <v>3060.1970588235295</v>
      </c>
      <c r="X934" s="16">
        <f t="shared" si="162"/>
        <v>934.82352941176475</v>
      </c>
      <c r="Y934" s="16">
        <f t="shared" si="163"/>
        <v>9772.3529411764703</v>
      </c>
      <c r="Z934" s="7" t="str" cm="1">
        <f t="array" ref="Z934">_xlfn.IFS(K934&lt;2%,"Low",K934&lt;5%,"Medium",K934&lt;10%,"Good",K934&gt;10%,"Excellent")</f>
        <v>Good</v>
      </c>
      <c r="AA934" s="16" t="str">
        <f>Data_Validation!N932</f>
        <v>Pass</v>
      </c>
    </row>
    <row r="935" spans="1:27" x14ac:dyDescent="0.35">
      <c r="A935" s="17" t="s">
        <v>57</v>
      </c>
      <c r="B935" s="3" t="s">
        <v>28</v>
      </c>
      <c r="C935" s="3" t="s">
        <v>20</v>
      </c>
      <c r="D935" s="3" t="s">
        <v>63</v>
      </c>
      <c r="E935" s="3" t="s">
        <v>22</v>
      </c>
      <c r="F935" s="3">
        <v>1232.1300000000001</v>
      </c>
      <c r="G935" s="3">
        <v>756925</v>
      </c>
      <c r="H935" s="3">
        <v>37891</v>
      </c>
      <c r="I935" s="3">
        <v>158745.54</v>
      </c>
      <c r="J935" s="3">
        <v>33</v>
      </c>
      <c r="K935" s="15">
        <f t="shared" si="154"/>
        <v>5.0059120784754101E-2</v>
      </c>
      <c r="L935" s="16">
        <f t="shared" si="164"/>
        <v>3.2517748277955193E-2</v>
      </c>
      <c r="M935" s="16">
        <f t="shared" si="155"/>
        <v>1.6278098886943888</v>
      </c>
      <c r="N935" s="16">
        <f t="shared" si="156"/>
        <v>128.83830439969807</v>
      </c>
      <c r="O935" s="16">
        <f t="shared" si="157"/>
        <v>127.83830439969807</v>
      </c>
      <c r="P935" s="1">
        <v>2025</v>
      </c>
      <c r="Q935" s="1" t="s">
        <v>76</v>
      </c>
      <c r="R935" s="1" t="s">
        <v>46</v>
      </c>
      <c r="S935" s="70">
        <f>DATE(Table2[[#This Row],[Year]],MONTH(DATEVALUE("1-"&amp;Table2[[#This Row],[Month]]&amp;"-2000")),1)</f>
        <v>45748</v>
      </c>
      <c r="T935" s="16">
        <f t="shared" si="158"/>
        <v>4.1895315510279492</v>
      </c>
      <c r="U935" s="16">
        <f t="shared" si="159"/>
        <v>0.20972426594444629</v>
      </c>
      <c r="V935" s="16">
        <f t="shared" si="160"/>
        <v>37.337272727272733</v>
      </c>
      <c r="W935" s="16">
        <f t="shared" si="161"/>
        <v>4810.4709090909091</v>
      </c>
      <c r="X935" s="16">
        <f t="shared" si="162"/>
        <v>1148.2121212121212</v>
      </c>
      <c r="Y935" s="16">
        <f t="shared" si="163"/>
        <v>22937.121212121212</v>
      </c>
      <c r="Z935" s="7" t="str" cm="1">
        <f t="array" ref="Z935">_xlfn.IFS(K935&lt;2%,"Low",K935&lt;5%,"Medium",K935&lt;10%,"Good",K935&gt;10%,"Excellent")</f>
        <v>Good</v>
      </c>
      <c r="AA935" s="16" t="str">
        <f>Data_Validation!N933</f>
        <v>Pass</v>
      </c>
    </row>
    <row r="936" spans="1:27" x14ac:dyDescent="0.35">
      <c r="A936" s="17" t="s">
        <v>109</v>
      </c>
      <c r="B936" s="3" t="s">
        <v>28</v>
      </c>
      <c r="C936" s="3" t="s">
        <v>69</v>
      </c>
      <c r="D936" s="3" t="s">
        <v>63</v>
      </c>
      <c r="E936" s="3" t="s">
        <v>22</v>
      </c>
      <c r="F936" s="3">
        <v>10108.18</v>
      </c>
      <c r="G936" s="3">
        <v>338429</v>
      </c>
      <c r="H936" s="3">
        <v>16233</v>
      </c>
      <c r="I936" s="3">
        <v>197486.73</v>
      </c>
      <c r="J936" s="3">
        <v>26</v>
      </c>
      <c r="K936" s="15">
        <f t="shared" si="154"/>
        <v>4.7965747616191282E-2</v>
      </c>
      <c r="L936" s="16">
        <f t="shared" si="164"/>
        <v>0.62269327912277461</v>
      </c>
      <c r="M936" s="16">
        <f t="shared" si="155"/>
        <v>29.867948668701562</v>
      </c>
      <c r="N936" s="16">
        <f t="shared" si="156"/>
        <v>19.537318290730873</v>
      </c>
      <c r="O936" s="16">
        <f t="shared" si="157"/>
        <v>18.537318290730873</v>
      </c>
      <c r="P936" s="1">
        <v>2025</v>
      </c>
      <c r="Q936" s="1" t="s">
        <v>76</v>
      </c>
      <c r="R936" s="1" t="s">
        <v>46</v>
      </c>
      <c r="S936" s="70">
        <f>DATE(Table2[[#This Row],[Year]],MONTH(DATEVALUE("1-"&amp;Table2[[#This Row],[Month]]&amp;"-2000")),1)</f>
        <v>45748</v>
      </c>
      <c r="T936" s="16">
        <f t="shared" si="158"/>
        <v>12.16575679172057</v>
      </c>
      <c r="U936" s="16">
        <f t="shared" si="159"/>
        <v>0.58353961983163383</v>
      </c>
      <c r="V936" s="16">
        <f t="shared" si="160"/>
        <v>388.77615384615387</v>
      </c>
      <c r="W936" s="16">
        <f t="shared" si="161"/>
        <v>7595.6434615384624</v>
      </c>
      <c r="X936" s="16">
        <f t="shared" si="162"/>
        <v>624.34615384615381</v>
      </c>
      <c r="Y936" s="16">
        <f t="shared" si="163"/>
        <v>13016.5</v>
      </c>
      <c r="Z936" s="7" t="str" cm="1">
        <f t="array" ref="Z936">_xlfn.IFS(K936&lt;2%,"Low",K936&lt;5%,"Medium",K936&lt;10%,"Good",K936&gt;10%,"Excellent")</f>
        <v>Medium</v>
      </c>
      <c r="AA936" s="16" t="str">
        <f>Data_Validation!N934</f>
        <v>Pass</v>
      </c>
    </row>
    <row r="937" spans="1:27" x14ac:dyDescent="0.35">
      <c r="A937" s="17" t="s">
        <v>86</v>
      </c>
      <c r="B937" s="3" t="s">
        <v>28</v>
      </c>
      <c r="C937" s="3" t="s">
        <v>36</v>
      </c>
      <c r="D937" s="3" t="s">
        <v>51</v>
      </c>
      <c r="E937" s="3" t="s">
        <v>22</v>
      </c>
      <c r="F937" s="3">
        <v>12709.53</v>
      </c>
      <c r="G937" s="3">
        <v>314598</v>
      </c>
      <c r="H937" s="3">
        <v>12784</v>
      </c>
      <c r="I937" s="3">
        <v>5387.32</v>
      </c>
      <c r="J937" s="3">
        <v>17</v>
      </c>
      <c r="K937" s="15">
        <f t="shared" si="154"/>
        <v>4.0635986242760602E-2</v>
      </c>
      <c r="L937" s="16">
        <f t="shared" si="164"/>
        <v>0.99417474968710895</v>
      </c>
      <c r="M937" s="16">
        <f t="shared" si="155"/>
        <v>40.399271451185328</v>
      </c>
      <c r="N937" s="16">
        <f t="shared" si="156"/>
        <v>0.42388034805378322</v>
      </c>
      <c r="O937" s="16">
        <f t="shared" si="157"/>
        <v>-0.57611965194621673</v>
      </c>
      <c r="P937" s="1">
        <v>2025</v>
      </c>
      <c r="Q937" s="1" t="s">
        <v>76</v>
      </c>
      <c r="R937" s="1" t="s">
        <v>46</v>
      </c>
      <c r="S937" s="70">
        <f>DATE(Table2[[#This Row],[Year]],MONTH(DATEVALUE("1-"&amp;Table2[[#This Row],[Month]]&amp;"-2000")),1)</f>
        <v>45748</v>
      </c>
      <c r="T937" s="16">
        <f t="shared" si="158"/>
        <v>0.42141113892365456</v>
      </c>
      <c r="U937" s="16">
        <f t="shared" si="159"/>
        <v>1.7124457243847702E-2</v>
      </c>
      <c r="V937" s="16">
        <f t="shared" si="160"/>
        <v>747.61941176470589</v>
      </c>
      <c r="W937" s="16">
        <f t="shared" si="161"/>
        <v>316.90117647058821</v>
      </c>
      <c r="X937" s="16">
        <f t="shared" si="162"/>
        <v>752</v>
      </c>
      <c r="Y937" s="16">
        <f t="shared" si="163"/>
        <v>18505.764705882353</v>
      </c>
      <c r="Z937" s="7" t="str" cm="1">
        <f t="array" ref="Z937">_xlfn.IFS(K937&lt;2%,"Low",K937&lt;5%,"Medium",K937&lt;10%,"Good",K937&gt;10%,"Excellent")</f>
        <v>Medium</v>
      </c>
      <c r="AA937" s="16" t="str">
        <f>Data_Validation!N935</f>
        <v>Pass</v>
      </c>
    </row>
    <row r="938" spans="1:27" x14ac:dyDescent="0.35">
      <c r="A938" s="17" t="s">
        <v>87</v>
      </c>
      <c r="B938" s="3" t="s">
        <v>19</v>
      </c>
      <c r="C938" s="3" t="s">
        <v>29</v>
      </c>
      <c r="D938" s="3" t="s">
        <v>63</v>
      </c>
      <c r="E938" s="3" t="s">
        <v>38</v>
      </c>
      <c r="F938" s="3">
        <v>8075.7</v>
      </c>
      <c r="G938" s="3">
        <v>992188</v>
      </c>
      <c r="H938" s="3">
        <v>32617</v>
      </c>
      <c r="I938" s="3">
        <v>39457.629999999997</v>
      </c>
      <c r="J938" s="3">
        <v>45</v>
      </c>
      <c r="K938" s="15">
        <f t="shared" si="154"/>
        <v>3.287381020532399E-2</v>
      </c>
      <c r="L938" s="16">
        <f t="shared" si="164"/>
        <v>0.24759174663519024</v>
      </c>
      <c r="M938" s="16">
        <f t="shared" si="155"/>
        <v>8.1392840872899086</v>
      </c>
      <c r="N938" s="16">
        <f t="shared" si="156"/>
        <v>4.8859702564483571</v>
      </c>
      <c r="O938" s="16">
        <f t="shared" si="157"/>
        <v>3.8859702564483571</v>
      </c>
      <c r="P938" s="1">
        <v>2025</v>
      </c>
      <c r="Q938" s="1" t="s">
        <v>76</v>
      </c>
      <c r="R938" s="1" t="s">
        <v>46</v>
      </c>
      <c r="S938" s="70">
        <f>DATE(Table2[[#This Row],[Year]],MONTH(DATEVALUE("1-"&amp;Table2[[#This Row],[Month]]&amp;"-2000")),1)</f>
        <v>45748</v>
      </c>
      <c r="T938" s="16">
        <f t="shared" si="158"/>
        <v>1.2097259098016371</v>
      </c>
      <c r="U938" s="16">
        <f t="shared" si="159"/>
        <v>3.9768299959281911E-2</v>
      </c>
      <c r="V938" s="16">
        <f t="shared" si="160"/>
        <v>179.46</v>
      </c>
      <c r="W938" s="16">
        <f t="shared" si="161"/>
        <v>876.8362222222222</v>
      </c>
      <c r="X938" s="16">
        <f t="shared" si="162"/>
        <v>724.82222222222219</v>
      </c>
      <c r="Y938" s="16">
        <f t="shared" si="163"/>
        <v>22048.62222222222</v>
      </c>
      <c r="Z938" s="7" t="str" cm="1">
        <f t="array" ref="Z938">_xlfn.IFS(K938&lt;2%,"Low",K938&lt;5%,"Medium",K938&lt;10%,"Good",K938&gt;10%,"Excellent")</f>
        <v>Medium</v>
      </c>
      <c r="AA938" s="16" t="str">
        <f>Data_Validation!N936</f>
        <v>Pass</v>
      </c>
    </row>
    <row r="939" spans="1:27" x14ac:dyDescent="0.35">
      <c r="A939" s="17" t="s">
        <v>62</v>
      </c>
      <c r="B939" s="3" t="s">
        <v>35</v>
      </c>
      <c r="C939" s="3" t="s">
        <v>36</v>
      </c>
      <c r="D939" s="3" t="s">
        <v>63</v>
      </c>
      <c r="E939" s="3" t="s">
        <v>38</v>
      </c>
      <c r="F939" s="3">
        <v>6991.49</v>
      </c>
      <c r="G939" s="3">
        <v>67287</v>
      </c>
      <c r="H939" s="3">
        <v>17684</v>
      </c>
      <c r="I939" s="3">
        <v>123948.82</v>
      </c>
      <c r="J939" s="3">
        <v>34</v>
      </c>
      <c r="K939" s="15">
        <f t="shared" si="154"/>
        <v>0.26281451097537412</v>
      </c>
      <c r="L939" s="16">
        <f t="shared" si="164"/>
        <v>0.39535681972404429</v>
      </c>
      <c r="M939" s="16">
        <f t="shared" si="155"/>
        <v>103.90550923655387</v>
      </c>
      <c r="N939" s="16">
        <f t="shared" si="156"/>
        <v>17.728527109385841</v>
      </c>
      <c r="O939" s="16">
        <f t="shared" si="157"/>
        <v>16.728527109385841</v>
      </c>
      <c r="P939" s="1">
        <v>2025</v>
      </c>
      <c r="Q939" s="1" t="s">
        <v>76</v>
      </c>
      <c r="R939" s="1" t="s">
        <v>46</v>
      </c>
      <c r="S939" s="70">
        <f>DATE(Table2[[#This Row],[Year]],MONTH(DATEVALUE("1-"&amp;Table2[[#This Row],[Month]]&amp;"-2000")),1)</f>
        <v>45748</v>
      </c>
      <c r="T939" s="16">
        <f t="shared" si="158"/>
        <v>7.0090940963582904</v>
      </c>
      <c r="U939" s="16">
        <f t="shared" si="159"/>
        <v>1.842091637314786</v>
      </c>
      <c r="V939" s="16">
        <f t="shared" si="160"/>
        <v>205.63205882352941</v>
      </c>
      <c r="W939" s="16">
        <f t="shared" si="161"/>
        <v>3645.5535294117649</v>
      </c>
      <c r="X939" s="16">
        <f t="shared" si="162"/>
        <v>520.11764705882354</v>
      </c>
      <c r="Y939" s="16">
        <f t="shared" si="163"/>
        <v>1979.0294117647059</v>
      </c>
      <c r="Z939" s="7" t="str" cm="1">
        <f t="array" ref="Z939">_xlfn.IFS(K939&lt;2%,"Low",K939&lt;5%,"Medium",K939&lt;10%,"Good",K939&gt;10%,"Excellent")</f>
        <v>Excellent</v>
      </c>
      <c r="AA939" s="16" t="str">
        <f>Data_Validation!N937</f>
        <v>Pass</v>
      </c>
    </row>
    <row r="940" spans="1:27" x14ac:dyDescent="0.35">
      <c r="A940" s="17" t="s">
        <v>106</v>
      </c>
      <c r="B940" s="3" t="s">
        <v>19</v>
      </c>
      <c r="C940" s="3" t="s">
        <v>69</v>
      </c>
      <c r="D940" s="3" t="s">
        <v>37</v>
      </c>
      <c r="E940" s="3" t="s">
        <v>22</v>
      </c>
      <c r="F940" s="3">
        <v>179.31</v>
      </c>
      <c r="G940" s="3">
        <v>956335</v>
      </c>
      <c r="H940" s="3">
        <v>42435</v>
      </c>
      <c r="I940" s="3">
        <v>113640.67</v>
      </c>
      <c r="J940" s="3">
        <v>10</v>
      </c>
      <c r="K940" s="15">
        <f t="shared" si="154"/>
        <v>4.4372526363669632E-2</v>
      </c>
      <c r="L940" s="16">
        <f t="shared" si="164"/>
        <v>4.2255213856486392E-3</v>
      </c>
      <c r="M940" s="16">
        <f t="shared" si="155"/>
        <v>0.1874970590849441</v>
      </c>
      <c r="N940" s="16">
        <f t="shared" si="156"/>
        <v>633.76649378171874</v>
      </c>
      <c r="O940" s="16">
        <f t="shared" si="157"/>
        <v>632.76649378171885</v>
      </c>
      <c r="P940" s="1">
        <v>2025</v>
      </c>
      <c r="Q940" s="1" t="s">
        <v>76</v>
      </c>
      <c r="R940" s="1" t="s">
        <v>46</v>
      </c>
      <c r="S940" s="70">
        <f>DATE(Table2[[#This Row],[Year]],MONTH(DATEVALUE("1-"&amp;Table2[[#This Row],[Month]]&amp;"-2000")),1)</f>
        <v>45748</v>
      </c>
      <c r="T940" s="16">
        <f t="shared" si="158"/>
        <v>2.6779938729822081</v>
      </c>
      <c r="U940" s="16">
        <f t="shared" si="159"/>
        <v>0.11882935373064878</v>
      </c>
      <c r="V940" s="16">
        <f t="shared" si="160"/>
        <v>17.931000000000001</v>
      </c>
      <c r="W940" s="16">
        <f t="shared" si="161"/>
        <v>11364.066999999999</v>
      </c>
      <c r="X940" s="16">
        <f t="shared" si="162"/>
        <v>4243.5</v>
      </c>
      <c r="Y940" s="16">
        <f t="shared" si="163"/>
        <v>95633.5</v>
      </c>
      <c r="Z940" s="7" t="str" cm="1">
        <f t="array" ref="Z940">_xlfn.IFS(K940&lt;2%,"Low",K940&lt;5%,"Medium",K940&lt;10%,"Good",K940&gt;10%,"Excellent")</f>
        <v>Medium</v>
      </c>
      <c r="AA940" s="16" t="str">
        <f>Data_Validation!N938</f>
        <v>Pass</v>
      </c>
    </row>
    <row r="941" spans="1:27" x14ac:dyDescent="0.35">
      <c r="A941" s="17" t="s">
        <v>110</v>
      </c>
      <c r="B941" s="3" t="s">
        <v>48</v>
      </c>
      <c r="C941" s="3" t="s">
        <v>36</v>
      </c>
      <c r="D941" s="3" t="s">
        <v>51</v>
      </c>
      <c r="E941" s="3" t="s">
        <v>38</v>
      </c>
      <c r="F941" s="3">
        <v>8977.7900000000009</v>
      </c>
      <c r="G941" s="3">
        <v>497192</v>
      </c>
      <c r="H941" s="3">
        <v>45673</v>
      </c>
      <c r="I941" s="3">
        <v>122240.14</v>
      </c>
      <c r="J941" s="3">
        <v>47</v>
      </c>
      <c r="K941" s="15">
        <f t="shared" si="154"/>
        <v>9.186189641023991E-2</v>
      </c>
      <c r="L941" s="16">
        <f t="shared" si="164"/>
        <v>0.19656668053335671</v>
      </c>
      <c r="M941" s="16">
        <f t="shared" si="155"/>
        <v>18.056988044859935</v>
      </c>
      <c r="N941" s="16">
        <f t="shared" si="156"/>
        <v>13.615838641803828</v>
      </c>
      <c r="O941" s="16">
        <f t="shared" si="157"/>
        <v>12.615838641803828</v>
      </c>
      <c r="P941" s="1">
        <v>2025</v>
      </c>
      <c r="Q941" s="1" t="s">
        <v>76</v>
      </c>
      <c r="R941" s="1" t="s">
        <v>46</v>
      </c>
      <c r="S941" s="70">
        <f>DATE(Table2[[#This Row],[Year]],MONTH(DATEVALUE("1-"&amp;Table2[[#This Row],[Month]]&amp;"-2000")),1)</f>
        <v>45748</v>
      </c>
      <c r="T941" s="16">
        <f t="shared" si="158"/>
        <v>2.6764202044971865</v>
      </c>
      <c r="U941" s="16">
        <f t="shared" si="159"/>
        <v>0.24586103557579367</v>
      </c>
      <c r="V941" s="16">
        <f t="shared" si="160"/>
        <v>191.01680851063833</v>
      </c>
      <c r="W941" s="16">
        <f t="shared" si="161"/>
        <v>2600.8540425531914</v>
      </c>
      <c r="X941" s="16">
        <f t="shared" si="162"/>
        <v>971.76595744680856</v>
      </c>
      <c r="Y941" s="16">
        <f t="shared" si="163"/>
        <v>10578.553191489362</v>
      </c>
      <c r="Z941" s="7" t="str" cm="1">
        <f t="array" ref="Z941">_xlfn.IFS(K941&lt;2%,"Low",K941&lt;5%,"Medium",K941&lt;10%,"Good",K941&gt;10%,"Excellent")</f>
        <v>Good</v>
      </c>
      <c r="AA941" s="16" t="str">
        <f>Data_Validation!N939</f>
        <v>Pass</v>
      </c>
    </row>
    <row r="942" spans="1:27" x14ac:dyDescent="0.35">
      <c r="A942" s="17" t="s">
        <v>75</v>
      </c>
      <c r="B942" s="3" t="s">
        <v>48</v>
      </c>
      <c r="C942" s="3" t="s">
        <v>36</v>
      </c>
      <c r="D942" s="3" t="s">
        <v>51</v>
      </c>
      <c r="E942" s="3" t="s">
        <v>38</v>
      </c>
      <c r="F942" s="3">
        <v>53851.12</v>
      </c>
      <c r="G942" s="3">
        <v>246540</v>
      </c>
      <c r="H942" s="3">
        <v>10042</v>
      </c>
      <c r="I942" s="3">
        <v>88737.61</v>
      </c>
      <c r="J942" s="3">
        <v>7</v>
      </c>
      <c r="K942" s="15">
        <f t="shared" si="154"/>
        <v>4.0731727103106997E-2</v>
      </c>
      <c r="L942" s="16">
        <f t="shared" si="164"/>
        <v>5.3625891256721774</v>
      </c>
      <c r="M942" s="16">
        <f t="shared" si="155"/>
        <v>218.42751683296828</v>
      </c>
      <c r="N942" s="16">
        <f t="shared" si="156"/>
        <v>1.6478322085037413</v>
      </c>
      <c r="O942" s="16">
        <f t="shared" si="157"/>
        <v>0.64783220850374135</v>
      </c>
      <c r="P942" s="1">
        <v>2025</v>
      </c>
      <c r="Q942" s="1" t="s">
        <v>76</v>
      </c>
      <c r="R942" s="1" t="s">
        <v>46</v>
      </c>
      <c r="S942" s="70">
        <f>DATE(Table2[[#This Row],[Year]],MONTH(DATEVALUE("1-"&amp;Table2[[#This Row],[Month]]&amp;"-2000")),1)</f>
        <v>45748</v>
      </c>
      <c r="T942" s="16">
        <f t="shared" si="158"/>
        <v>8.8366470822545313</v>
      </c>
      <c r="U942" s="16">
        <f t="shared" si="159"/>
        <v>0.3599318974608583</v>
      </c>
      <c r="V942" s="16">
        <f t="shared" si="160"/>
        <v>7693.017142857143</v>
      </c>
      <c r="W942" s="16">
        <f t="shared" si="161"/>
        <v>12676.801428571429</v>
      </c>
      <c r="X942" s="16">
        <f t="shared" si="162"/>
        <v>1434.5714285714287</v>
      </c>
      <c r="Y942" s="16">
        <f t="shared" si="163"/>
        <v>35220</v>
      </c>
      <c r="Z942" s="7" t="str" cm="1">
        <f t="array" ref="Z942">_xlfn.IFS(K942&lt;2%,"Low",K942&lt;5%,"Medium",K942&lt;10%,"Good",K942&gt;10%,"Excellent")</f>
        <v>Medium</v>
      </c>
      <c r="AA942" s="16" t="str">
        <f>Data_Validation!N940</f>
        <v>Pass</v>
      </c>
    </row>
    <row r="943" spans="1:27" x14ac:dyDescent="0.35">
      <c r="A943" s="17" t="s">
        <v>85</v>
      </c>
      <c r="B943" s="3" t="s">
        <v>19</v>
      </c>
      <c r="C943" s="3" t="s">
        <v>36</v>
      </c>
      <c r="D943" s="3" t="s">
        <v>37</v>
      </c>
      <c r="E943" s="3" t="s">
        <v>22</v>
      </c>
      <c r="F943" s="3">
        <v>9314.27</v>
      </c>
      <c r="G943" s="3">
        <v>265652</v>
      </c>
      <c r="H943" s="3">
        <v>3761</v>
      </c>
      <c r="I943" s="3">
        <v>138163.98000000001</v>
      </c>
      <c r="J943" s="3">
        <v>16</v>
      </c>
      <c r="K943" s="15">
        <f t="shared" si="154"/>
        <v>1.4157619743122581E-2</v>
      </c>
      <c r="L943" s="16">
        <f t="shared" si="164"/>
        <v>2.4765408136134006</v>
      </c>
      <c r="M943" s="16">
        <f t="shared" si="155"/>
        <v>35.061923117461944</v>
      </c>
      <c r="N943" s="16">
        <f t="shared" si="156"/>
        <v>14.833581160949812</v>
      </c>
      <c r="O943" s="16">
        <f t="shared" si="157"/>
        <v>13.833581160949812</v>
      </c>
      <c r="P943" s="1">
        <v>2025</v>
      </c>
      <c r="Q943" s="1" t="s">
        <v>76</v>
      </c>
      <c r="R943" s="1" t="s">
        <v>46</v>
      </c>
      <c r="S943" s="70">
        <f>DATE(Table2[[#This Row],[Year]],MONTH(DATEVALUE("1-"&amp;Table2[[#This Row],[Month]]&amp;"-2000")),1)</f>
        <v>45748</v>
      </c>
      <c r="T943" s="16">
        <f t="shared" si="158"/>
        <v>36.73596915713906</v>
      </c>
      <c r="U943" s="16">
        <f t="shared" si="159"/>
        <v>0.52009388222185415</v>
      </c>
      <c r="V943" s="16">
        <f t="shared" si="160"/>
        <v>582.14187500000003</v>
      </c>
      <c r="W943" s="16">
        <f t="shared" si="161"/>
        <v>8635.2487500000007</v>
      </c>
      <c r="X943" s="16">
        <f t="shared" si="162"/>
        <v>235.0625</v>
      </c>
      <c r="Y943" s="16">
        <f t="shared" si="163"/>
        <v>16603.25</v>
      </c>
      <c r="Z943" s="7" t="str" cm="1">
        <f t="array" ref="Z943">_xlfn.IFS(K943&lt;2%,"Low",K943&lt;5%,"Medium",K943&lt;10%,"Good",K943&gt;10%,"Excellent")</f>
        <v>Low</v>
      </c>
      <c r="AA943" s="16" t="str">
        <f>Data_Validation!N941</f>
        <v>Pass</v>
      </c>
    </row>
    <row r="944" spans="1:27" x14ac:dyDescent="0.35">
      <c r="A944" s="17" t="s">
        <v>34</v>
      </c>
      <c r="B944" s="3" t="s">
        <v>28</v>
      </c>
      <c r="C944" s="3" t="s">
        <v>29</v>
      </c>
      <c r="D944" s="3" t="s">
        <v>21</v>
      </c>
      <c r="E944" s="3" t="s">
        <v>22</v>
      </c>
      <c r="F944" s="3">
        <v>3896.55</v>
      </c>
      <c r="G944" s="3">
        <v>619918</v>
      </c>
      <c r="H944" s="3">
        <v>41374</v>
      </c>
      <c r="I944" s="3">
        <v>202894.58</v>
      </c>
      <c r="J944" s="3">
        <v>34</v>
      </c>
      <c r="K944" s="15">
        <f t="shared" si="154"/>
        <v>6.6741085111256648E-2</v>
      </c>
      <c r="L944" s="16">
        <f t="shared" si="164"/>
        <v>9.4178711267946053E-2</v>
      </c>
      <c r="M944" s="16">
        <f t="shared" si="155"/>
        <v>6.2855893844024537</v>
      </c>
      <c r="N944" s="16">
        <f t="shared" si="156"/>
        <v>52.070313482439587</v>
      </c>
      <c r="O944" s="16">
        <f t="shared" si="157"/>
        <v>51.070313482439595</v>
      </c>
      <c r="P944" s="1">
        <v>2025</v>
      </c>
      <c r="Q944" s="1" t="s">
        <v>76</v>
      </c>
      <c r="R944" s="1" t="s">
        <v>46</v>
      </c>
      <c r="S944" s="70">
        <f>DATE(Table2[[#This Row],[Year]],MONTH(DATEVALUE("1-"&amp;Table2[[#This Row],[Month]]&amp;"-2000")),1)</f>
        <v>45748</v>
      </c>
      <c r="T944" s="16">
        <f t="shared" si="158"/>
        <v>4.903915019094117</v>
      </c>
      <c r="U944" s="16">
        <f t="shared" si="159"/>
        <v>0.32729260966773022</v>
      </c>
      <c r="V944" s="16">
        <f t="shared" si="160"/>
        <v>114.60441176470589</v>
      </c>
      <c r="W944" s="16">
        <f t="shared" si="161"/>
        <v>5967.4876470588233</v>
      </c>
      <c r="X944" s="16">
        <f t="shared" si="162"/>
        <v>1216.8823529411766</v>
      </c>
      <c r="Y944" s="16">
        <f t="shared" si="163"/>
        <v>18232.882352941175</v>
      </c>
      <c r="Z944" s="7" t="str" cm="1">
        <f t="array" ref="Z944">_xlfn.IFS(K944&lt;2%,"Low",K944&lt;5%,"Medium",K944&lt;10%,"Good",K944&gt;10%,"Excellent")</f>
        <v>Good</v>
      </c>
      <c r="AA944" s="16" t="str">
        <f>Data_Validation!N942</f>
        <v>Pass</v>
      </c>
    </row>
    <row r="945" spans="1:27" x14ac:dyDescent="0.35">
      <c r="A945" s="17" t="s">
        <v>57</v>
      </c>
      <c r="B945" s="3" t="s">
        <v>28</v>
      </c>
      <c r="C945" s="3" t="s">
        <v>69</v>
      </c>
      <c r="D945" s="3" t="s">
        <v>37</v>
      </c>
      <c r="E945" s="3" t="s">
        <v>38</v>
      </c>
      <c r="F945" s="3">
        <v>2619.0500000000002</v>
      </c>
      <c r="G945" s="3">
        <v>610870</v>
      </c>
      <c r="H945" s="3">
        <v>29466</v>
      </c>
      <c r="I945" s="3">
        <v>26564.87</v>
      </c>
      <c r="J945" s="3">
        <v>21</v>
      </c>
      <c r="K945" s="15">
        <f t="shared" si="154"/>
        <v>4.8236122251870281E-2</v>
      </c>
      <c r="L945" s="16">
        <f t="shared" si="164"/>
        <v>8.8883798275979101E-2</v>
      </c>
      <c r="M945" s="16">
        <f t="shared" si="155"/>
        <v>4.2874097598507044</v>
      </c>
      <c r="N945" s="16">
        <f t="shared" si="156"/>
        <v>10.142941142780778</v>
      </c>
      <c r="O945" s="16">
        <f t="shared" si="157"/>
        <v>9.1429411427807779</v>
      </c>
      <c r="P945" s="1">
        <v>2025</v>
      </c>
      <c r="Q945" s="1" t="s">
        <v>76</v>
      </c>
      <c r="R945" s="1" t="s">
        <v>46</v>
      </c>
      <c r="S945" s="70">
        <f>DATE(Table2[[#This Row],[Year]],MONTH(DATEVALUE("1-"&amp;Table2[[#This Row],[Month]]&amp;"-2000")),1)</f>
        <v>45748</v>
      </c>
      <c r="T945" s="16">
        <f t="shared" si="158"/>
        <v>0.90154313446005563</v>
      </c>
      <c r="U945" s="16">
        <f t="shared" si="159"/>
        <v>4.348694484914957E-2</v>
      </c>
      <c r="V945" s="16">
        <f t="shared" si="160"/>
        <v>124.71666666666667</v>
      </c>
      <c r="W945" s="16">
        <f t="shared" si="161"/>
        <v>1264.9938095238094</v>
      </c>
      <c r="X945" s="16">
        <f t="shared" si="162"/>
        <v>1403.1428571428571</v>
      </c>
      <c r="Y945" s="16">
        <f t="shared" si="163"/>
        <v>29089.047619047618</v>
      </c>
      <c r="Z945" s="7" t="str" cm="1">
        <f t="array" ref="Z945">_xlfn.IFS(K945&lt;2%,"Low",K945&lt;5%,"Medium",K945&lt;10%,"Good",K945&gt;10%,"Excellent")</f>
        <v>Medium</v>
      </c>
      <c r="AA945" s="16" t="str">
        <f>Data_Validation!N943</f>
        <v>Pass</v>
      </c>
    </row>
    <row r="946" spans="1:27" x14ac:dyDescent="0.35">
      <c r="A946" s="17" t="s">
        <v>118</v>
      </c>
      <c r="B946" s="3" t="s">
        <v>48</v>
      </c>
      <c r="C946" s="3" t="s">
        <v>58</v>
      </c>
      <c r="D946" s="3" t="s">
        <v>63</v>
      </c>
      <c r="E946" s="3" t="s">
        <v>30</v>
      </c>
      <c r="F946" s="3">
        <v>3736.07</v>
      </c>
      <c r="G946" s="3">
        <v>847995</v>
      </c>
      <c r="H946" s="3">
        <v>40445</v>
      </c>
      <c r="I946" s="3">
        <v>59040.27</v>
      </c>
      <c r="J946" s="3">
        <v>58</v>
      </c>
      <c r="K946" s="15">
        <f t="shared" si="154"/>
        <v>4.7694856691372002E-2</v>
      </c>
      <c r="L946" s="16">
        <f t="shared" si="164"/>
        <v>9.2374088268018295E-2</v>
      </c>
      <c r="M946" s="16">
        <f t="shared" si="155"/>
        <v>4.4057689019392798</v>
      </c>
      <c r="N946" s="16">
        <f t="shared" si="156"/>
        <v>15.802774037959672</v>
      </c>
      <c r="O946" s="16">
        <f t="shared" si="157"/>
        <v>14.802774037959672</v>
      </c>
      <c r="P946" s="1">
        <v>2025</v>
      </c>
      <c r="Q946" s="1" t="s">
        <v>76</v>
      </c>
      <c r="R946" s="1" t="s">
        <v>46</v>
      </c>
      <c r="S946" s="70">
        <f>DATE(Table2[[#This Row],[Year]],MONTH(DATEVALUE("1-"&amp;Table2[[#This Row],[Month]]&amp;"-2000")),1)</f>
        <v>45748</v>
      </c>
      <c r="T946" s="16">
        <f t="shared" si="158"/>
        <v>1.4597668438620348</v>
      </c>
      <c r="U946" s="16">
        <f t="shared" si="159"/>
        <v>6.9623370420816164E-2</v>
      </c>
      <c r="V946" s="16">
        <f t="shared" si="160"/>
        <v>64.415000000000006</v>
      </c>
      <c r="W946" s="16">
        <f t="shared" si="161"/>
        <v>1017.9356896551724</v>
      </c>
      <c r="X946" s="16">
        <f t="shared" si="162"/>
        <v>697.32758620689651</v>
      </c>
      <c r="Y946" s="16">
        <f t="shared" si="163"/>
        <v>14620.603448275862</v>
      </c>
      <c r="Z946" s="7" t="str" cm="1">
        <f t="array" ref="Z946">_xlfn.IFS(K946&lt;2%,"Low",K946&lt;5%,"Medium",K946&lt;10%,"Good",K946&gt;10%,"Excellent")</f>
        <v>Medium</v>
      </c>
      <c r="AA946" s="16" t="str">
        <f>Data_Validation!N944</f>
        <v>Pass</v>
      </c>
    </row>
    <row r="947" spans="1:27" x14ac:dyDescent="0.35">
      <c r="A947" s="17" t="s">
        <v>91</v>
      </c>
      <c r="B947" s="3" t="s">
        <v>28</v>
      </c>
      <c r="C947" s="3" t="s">
        <v>36</v>
      </c>
      <c r="D947" s="3" t="s">
        <v>51</v>
      </c>
      <c r="E947" s="3" t="s">
        <v>30</v>
      </c>
      <c r="F947" s="3">
        <v>8098.01</v>
      </c>
      <c r="G947" s="3">
        <v>160494</v>
      </c>
      <c r="H947" s="3">
        <v>4821</v>
      </c>
      <c r="I947" s="3">
        <v>109466.78</v>
      </c>
      <c r="J947" s="3">
        <v>31</v>
      </c>
      <c r="K947" s="15">
        <f t="shared" si="154"/>
        <v>3.0038506112378034E-2</v>
      </c>
      <c r="L947" s="16">
        <f t="shared" si="164"/>
        <v>1.6797365691765194</v>
      </c>
      <c r="M947" s="16">
        <f t="shared" si="155"/>
        <v>50.456777200393788</v>
      </c>
      <c r="N947" s="16">
        <f t="shared" si="156"/>
        <v>13.517738308547408</v>
      </c>
      <c r="O947" s="16">
        <f t="shared" si="157"/>
        <v>12.517738308547409</v>
      </c>
      <c r="P947" s="1">
        <v>2025</v>
      </c>
      <c r="Q947" s="1" t="s">
        <v>76</v>
      </c>
      <c r="R947" s="1" t="s">
        <v>46</v>
      </c>
      <c r="S947" s="70">
        <f>DATE(Table2[[#This Row],[Year]],MONTH(DATEVALUE("1-"&amp;Table2[[#This Row],[Month]]&amp;"-2000")),1)</f>
        <v>45748</v>
      </c>
      <c r="T947" s="16">
        <f t="shared" si="158"/>
        <v>22.706239369425429</v>
      </c>
      <c r="U947" s="16">
        <f t="shared" si="159"/>
        <v>0.68206151008760452</v>
      </c>
      <c r="V947" s="16">
        <f t="shared" si="160"/>
        <v>261.22612903225809</v>
      </c>
      <c r="W947" s="16">
        <f t="shared" si="161"/>
        <v>3531.1864516129031</v>
      </c>
      <c r="X947" s="16">
        <f t="shared" si="162"/>
        <v>155.51612903225808</v>
      </c>
      <c r="Y947" s="16">
        <f t="shared" si="163"/>
        <v>5177.2258064516127</v>
      </c>
      <c r="Z947" s="7" t="str" cm="1">
        <f t="array" ref="Z947">_xlfn.IFS(K947&lt;2%,"Low",K947&lt;5%,"Medium",K947&lt;10%,"Good",K947&gt;10%,"Excellent")</f>
        <v>Medium</v>
      </c>
      <c r="AA947" s="16" t="str">
        <f>Data_Validation!N945</f>
        <v>Pass</v>
      </c>
    </row>
    <row r="948" spans="1:27" x14ac:dyDescent="0.35">
      <c r="A948" s="17" t="s">
        <v>118</v>
      </c>
      <c r="B948" s="3" t="s">
        <v>28</v>
      </c>
      <c r="C948" s="3" t="s">
        <v>69</v>
      </c>
      <c r="D948" s="3" t="s">
        <v>63</v>
      </c>
      <c r="E948" s="3" t="s">
        <v>30</v>
      </c>
      <c r="F948" s="3">
        <v>1757.95</v>
      </c>
      <c r="G948" s="3">
        <v>445945</v>
      </c>
      <c r="H948" s="3">
        <v>531</v>
      </c>
      <c r="I948" s="3">
        <v>65102.44</v>
      </c>
      <c r="J948" s="3">
        <v>14</v>
      </c>
      <c r="K948" s="15">
        <f t="shared" si="154"/>
        <v>1.1907297985177545E-3</v>
      </c>
      <c r="L948" s="16">
        <f t="shared" si="164"/>
        <v>3.3106403013182675</v>
      </c>
      <c r="M948" s="16">
        <f t="shared" si="155"/>
        <v>3.9420780589534585</v>
      </c>
      <c r="N948" s="16">
        <f t="shared" si="156"/>
        <v>37.033157939645612</v>
      </c>
      <c r="O948" s="16">
        <f t="shared" si="157"/>
        <v>36.033157939645612</v>
      </c>
      <c r="P948" s="1">
        <v>2025</v>
      </c>
      <c r="Q948" s="1" t="s">
        <v>76</v>
      </c>
      <c r="R948" s="1" t="s">
        <v>46</v>
      </c>
      <c r="S948" s="70">
        <f>DATE(Table2[[#This Row],[Year]],MONTH(DATEVALUE("1-"&amp;Table2[[#This Row],[Month]]&amp;"-2000")),1)</f>
        <v>45748</v>
      </c>
      <c r="T948" s="16">
        <f t="shared" si="158"/>
        <v>122.60346516007533</v>
      </c>
      <c r="U948" s="16">
        <f t="shared" si="159"/>
        <v>0.14598759936763503</v>
      </c>
      <c r="V948" s="16">
        <f t="shared" si="160"/>
        <v>125.56785714285715</v>
      </c>
      <c r="W948" s="16">
        <f t="shared" si="161"/>
        <v>4650.1742857142863</v>
      </c>
      <c r="X948" s="16">
        <f t="shared" si="162"/>
        <v>37.928571428571431</v>
      </c>
      <c r="Y948" s="16">
        <f t="shared" si="163"/>
        <v>31853.214285714286</v>
      </c>
      <c r="Z948" s="7" t="str" cm="1">
        <f t="array" ref="Z948">_xlfn.IFS(K948&lt;2%,"Low",K948&lt;5%,"Medium",K948&lt;10%,"Good",K948&gt;10%,"Excellent")</f>
        <v>Low</v>
      </c>
      <c r="AA948" s="16" t="str">
        <f>Data_Validation!N946</f>
        <v>Pass</v>
      </c>
    </row>
    <row r="949" spans="1:27" x14ac:dyDescent="0.35">
      <c r="A949" s="17" t="s">
        <v>57</v>
      </c>
      <c r="B949" s="3" t="s">
        <v>48</v>
      </c>
      <c r="C949" s="3" t="s">
        <v>58</v>
      </c>
      <c r="D949" s="3" t="s">
        <v>43</v>
      </c>
      <c r="E949" s="3" t="s">
        <v>38</v>
      </c>
      <c r="F949" s="3">
        <v>5428.03</v>
      </c>
      <c r="G949" s="3">
        <v>625448</v>
      </c>
      <c r="H949" s="3">
        <v>38105</v>
      </c>
      <c r="I949" s="3">
        <v>249731.07</v>
      </c>
      <c r="J949" s="3">
        <v>6</v>
      </c>
      <c r="K949" s="15">
        <f t="shared" si="154"/>
        <v>6.0924329440656934E-2</v>
      </c>
      <c r="L949" s="16">
        <f t="shared" si="164"/>
        <v>0.14244928487075187</v>
      </c>
      <c r="M949" s="16">
        <f t="shared" si="155"/>
        <v>8.6786271600516738</v>
      </c>
      <c r="N949" s="16">
        <f t="shared" si="156"/>
        <v>46.00768050287121</v>
      </c>
      <c r="O949" s="16">
        <f t="shared" si="157"/>
        <v>45.00768050287121</v>
      </c>
      <c r="P949" s="1">
        <v>2025</v>
      </c>
      <c r="Q949" s="1" t="s">
        <v>76</v>
      </c>
      <c r="R949" s="1" t="s">
        <v>46</v>
      </c>
      <c r="S949" s="70">
        <f>DATE(Table2[[#This Row],[Year]],MONTH(DATEVALUE("1-"&amp;Table2[[#This Row],[Month]]&amp;"-2000")),1)</f>
        <v>45748</v>
      </c>
      <c r="T949" s="16">
        <f t="shared" si="158"/>
        <v>6.5537611861960379</v>
      </c>
      <c r="U949" s="16">
        <f t="shared" si="159"/>
        <v>0.39928350558319797</v>
      </c>
      <c r="V949" s="16">
        <f t="shared" si="160"/>
        <v>904.67166666666662</v>
      </c>
      <c r="W949" s="16">
        <f t="shared" si="161"/>
        <v>41621.845000000001</v>
      </c>
      <c r="X949" s="16">
        <f t="shared" si="162"/>
        <v>6350.833333333333</v>
      </c>
      <c r="Y949" s="16">
        <f t="shared" si="163"/>
        <v>104241.33333333333</v>
      </c>
      <c r="Z949" s="7" t="str" cm="1">
        <f t="array" ref="Z949">_xlfn.IFS(K949&lt;2%,"Low",K949&lt;5%,"Medium",K949&lt;10%,"Good",K949&gt;10%,"Excellent")</f>
        <v>Good</v>
      </c>
      <c r="AA949" s="16" t="str">
        <f>Data_Validation!N947</f>
        <v>Pass</v>
      </c>
    </row>
    <row r="950" spans="1:27" x14ac:dyDescent="0.35">
      <c r="A950" s="17" t="s">
        <v>116</v>
      </c>
      <c r="B950" s="3" t="s">
        <v>48</v>
      </c>
      <c r="C950" s="3" t="s">
        <v>36</v>
      </c>
      <c r="D950" s="3" t="s">
        <v>63</v>
      </c>
      <c r="E950" s="3" t="s">
        <v>38</v>
      </c>
      <c r="F950" s="3">
        <v>29700.41</v>
      </c>
      <c r="G950" s="3">
        <v>362058</v>
      </c>
      <c r="H950" s="3">
        <v>29370</v>
      </c>
      <c r="I950" s="3">
        <v>7791.93</v>
      </c>
      <c r="J950" s="3">
        <v>51</v>
      </c>
      <c r="K950" s="15">
        <f t="shared" si="154"/>
        <v>8.1119599622159991E-2</v>
      </c>
      <c r="L950" s="16">
        <f t="shared" si="164"/>
        <v>1.0112499148791283</v>
      </c>
      <c r="M950" s="16">
        <f t="shared" si="155"/>
        <v>82.032188212938252</v>
      </c>
      <c r="N950" s="16">
        <f t="shared" si="156"/>
        <v>0.26235092377512637</v>
      </c>
      <c r="O950" s="16">
        <f t="shared" si="157"/>
        <v>-0.73764907622487363</v>
      </c>
      <c r="P950" s="1">
        <v>2025</v>
      </c>
      <c r="Q950" s="1" t="s">
        <v>76</v>
      </c>
      <c r="R950" s="1" t="s">
        <v>46</v>
      </c>
      <c r="S950" s="70">
        <f>DATE(Table2[[#This Row],[Year]],MONTH(DATEVALUE("1-"&amp;Table2[[#This Row],[Month]]&amp;"-2000")),1)</f>
        <v>45748</v>
      </c>
      <c r="T950" s="16">
        <f t="shared" si="158"/>
        <v>0.26530234933605723</v>
      </c>
      <c r="U950" s="16">
        <f t="shared" si="159"/>
        <v>2.1521220356959383E-2</v>
      </c>
      <c r="V950" s="16">
        <f t="shared" si="160"/>
        <v>582.36098039215688</v>
      </c>
      <c r="W950" s="16">
        <f t="shared" si="161"/>
        <v>152.78294117647059</v>
      </c>
      <c r="X950" s="16">
        <f t="shared" si="162"/>
        <v>575.88235294117646</v>
      </c>
      <c r="Y950" s="16">
        <f t="shared" si="163"/>
        <v>7099.1764705882351</v>
      </c>
      <c r="Z950" s="7" t="str" cm="1">
        <f t="array" ref="Z950">_xlfn.IFS(K950&lt;2%,"Low",K950&lt;5%,"Medium",K950&lt;10%,"Good",K950&gt;10%,"Excellent")</f>
        <v>Good</v>
      </c>
      <c r="AA950" s="16" t="str">
        <f>Data_Validation!N948</f>
        <v>Pass</v>
      </c>
    </row>
    <row r="951" spans="1:27" x14ac:dyDescent="0.35">
      <c r="A951" s="17" t="s">
        <v>93</v>
      </c>
      <c r="B951" s="3" t="s">
        <v>28</v>
      </c>
      <c r="C951" s="3" t="s">
        <v>29</v>
      </c>
      <c r="D951" s="3" t="s">
        <v>21</v>
      </c>
      <c r="E951" s="3" t="s">
        <v>22</v>
      </c>
      <c r="F951" s="3">
        <v>18579.37</v>
      </c>
      <c r="G951" s="3">
        <v>276641</v>
      </c>
      <c r="H951" s="3">
        <v>40132</v>
      </c>
      <c r="I951" s="3">
        <v>53000.76</v>
      </c>
      <c r="J951" s="3">
        <v>51</v>
      </c>
      <c r="K951" s="15">
        <f t="shared" si="154"/>
        <v>0.14506887988403744</v>
      </c>
      <c r="L951" s="16">
        <f t="shared" si="164"/>
        <v>0.46295649357121499</v>
      </c>
      <c r="M951" s="16">
        <f t="shared" si="155"/>
        <v>67.160579957417724</v>
      </c>
      <c r="N951" s="16">
        <f t="shared" si="156"/>
        <v>2.8526672325272604</v>
      </c>
      <c r="O951" s="16">
        <f t="shared" si="157"/>
        <v>1.8526672325272602</v>
      </c>
      <c r="P951" s="1">
        <v>2025</v>
      </c>
      <c r="Q951" s="1" t="s">
        <v>76</v>
      </c>
      <c r="R951" s="1" t="s">
        <v>46</v>
      </c>
      <c r="S951" s="70">
        <f>DATE(Table2[[#This Row],[Year]],MONTH(DATEVALUE("1-"&amp;Table2[[#This Row],[Month]]&amp;"-2000")),1)</f>
        <v>45748</v>
      </c>
      <c r="T951" s="16">
        <f t="shared" si="158"/>
        <v>1.3206608192963223</v>
      </c>
      <c r="U951" s="16">
        <f t="shared" si="159"/>
        <v>0.19158678576205262</v>
      </c>
      <c r="V951" s="16">
        <f t="shared" si="160"/>
        <v>364.30137254901956</v>
      </c>
      <c r="W951" s="16">
        <f t="shared" si="161"/>
        <v>1039.2305882352941</v>
      </c>
      <c r="X951" s="16">
        <f t="shared" si="162"/>
        <v>786.9019607843137</v>
      </c>
      <c r="Y951" s="16">
        <f t="shared" si="163"/>
        <v>5424.333333333333</v>
      </c>
      <c r="Z951" s="7" t="str" cm="1">
        <f t="array" ref="Z951">_xlfn.IFS(K951&lt;2%,"Low",K951&lt;5%,"Medium",K951&lt;10%,"Good",K951&gt;10%,"Excellent")</f>
        <v>Excellent</v>
      </c>
      <c r="AA951" s="16" t="str">
        <f>Data_Validation!N949</f>
        <v>Pass</v>
      </c>
    </row>
    <row r="952" spans="1:27" x14ac:dyDescent="0.35">
      <c r="A952" s="17" t="s">
        <v>109</v>
      </c>
      <c r="B952" s="3" t="s">
        <v>19</v>
      </c>
      <c r="C952" s="3" t="s">
        <v>36</v>
      </c>
      <c r="D952" s="3" t="s">
        <v>63</v>
      </c>
      <c r="E952" s="3" t="s">
        <v>22</v>
      </c>
      <c r="F952" s="3">
        <v>5735.32</v>
      </c>
      <c r="G952" s="3">
        <v>769767</v>
      </c>
      <c r="H952" s="3">
        <v>2495</v>
      </c>
      <c r="I952" s="3">
        <v>117545.26</v>
      </c>
      <c r="J952" s="3">
        <v>39</v>
      </c>
      <c r="K952" s="15">
        <f t="shared" si="154"/>
        <v>3.2412405312256826E-3</v>
      </c>
      <c r="L952" s="16">
        <f t="shared" si="164"/>
        <v>2.2987254509018036</v>
      </c>
      <c r="M952" s="16">
        <f t="shared" si="155"/>
        <v>7.4507221016229579</v>
      </c>
      <c r="N952" s="16">
        <f t="shared" si="156"/>
        <v>20.49497848419966</v>
      </c>
      <c r="O952" s="16">
        <f t="shared" si="157"/>
        <v>19.494978484199663</v>
      </c>
      <c r="P952" s="1">
        <v>2025</v>
      </c>
      <c r="Q952" s="1" t="s">
        <v>76</v>
      </c>
      <c r="R952" s="1" t="s">
        <v>46</v>
      </c>
      <c r="S952" s="70">
        <f>DATE(Table2[[#This Row],[Year]],MONTH(DATEVALUE("1-"&amp;Table2[[#This Row],[Month]]&amp;"-2000")),1)</f>
        <v>45748</v>
      </c>
      <c r="T952" s="16">
        <f t="shared" si="158"/>
        <v>47.112328657314627</v>
      </c>
      <c r="U952" s="16">
        <f t="shared" si="159"/>
        <v>0.15270238916451342</v>
      </c>
      <c r="V952" s="16">
        <f t="shared" si="160"/>
        <v>147.05948717948718</v>
      </c>
      <c r="W952" s="16">
        <f t="shared" si="161"/>
        <v>3013.9810256410256</v>
      </c>
      <c r="X952" s="16">
        <f t="shared" si="162"/>
        <v>63.974358974358971</v>
      </c>
      <c r="Y952" s="16">
        <f t="shared" si="163"/>
        <v>19737.615384615383</v>
      </c>
      <c r="Z952" s="7" t="str" cm="1">
        <f t="array" ref="Z952">_xlfn.IFS(K952&lt;2%,"Low",K952&lt;5%,"Medium",K952&lt;10%,"Good",K952&gt;10%,"Excellent")</f>
        <v>Low</v>
      </c>
      <c r="AA952" s="16" t="str">
        <f>Data_Validation!N950</f>
        <v>Pass</v>
      </c>
    </row>
    <row r="953" spans="1:27" x14ac:dyDescent="0.35">
      <c r="A953" s="17" t="s">
        <v>98</v>
      </c>
      <c r="B953" s="3" t="s">
        <v>19</v>
      </c>
      <c r="C953" s="3" t="s">
        <v>58</v>
      </c>
      <c r="D953" s="3" t="s">
        <v>43</v>
      </c>
      <c r="E953" s="3" t="s">
        <v>38</v>
      </c>
      <c r="F953" s="3">
        <v>5921.47</v>
      </c>
      <c r="G953" s="3">
        <v>345281</v>
      </c>
      <c r="H953" s="3">
        <v>47751</v>
      </c>
      <c r="I953" s="3">
        <v>228972.61</v>
      </c>
      <c r="J953" s="3">
        <v>46</v>
      </c>
      <c r="K953" s="15">
        <f t="shared" si="154"/>
        <v>0.13829605451791441</v>
      </c>
      <c r="L953" s="16">
        <f t="shared" si="164"/>
        <v>0.12400724592155139</v>
      </c>
      <c r="M953" s="16">
        <f t="shared" si="155"/>
        <v>17.149712842583288</v>
      </c>
      <c r="N953" s="16">
        <f t="shared" si="156"/>
        <v>38.668204010152877</v>
      </c>
      <c r="O953" s="16">
        <f t="shared" si="157"/>
        <v>37.668204010152877</v>
      </c>
      <c r="P953" s="1">
        <v>2025</v>
      </c>
      <c r="Q953" s="1" t="s">
        <v>76</v>
      </c>
      <c r="R953" s="1" t="s">
        <v>46</v>
      </c>
      <c r="S953" s="70">
        <f>DATE(Table2[[#This Row],[Year]],MONTH(DATEVALUE("1-"&amp;Table2[[#This Row],[Month]]&amp;"-2000")),1)</f>
        <v>45748</v>
      </c>
      <c r="T953" s="16">
        <f t="shared" si="158"/>
        <v>4.7951374840317476</v>
      </c>
      <c r="U953" s="16">
        <f t="shared" si="159"/>
        <v>0.66314859491254941</v>
      </c>
      <c r="V953" s="16">
        <f t="shared" si="160"/>
        <v>128.72760869565218</v>
      </c>
      <c r="W953" s="16">
        <f t="shared" si="161"/>
        <v>4977.6654347826088</v>
      </c>
      <c r="X953" s="16">
        <f t="shared" si="162"/>
        <v>1038.0652173913043</v>
      </c>
      <c r="Y953" s="16">
        <f t="shared" si="163"/>
        <v>7506.108695652174</v>
      </c>
      <c r="Z953" s="7" t="str" cm="1">
        <f t="array" ref="Z953">_xlfn.IFS(K953&lt;2%,"Low",K953&lt;5%,"Medium",K953&lt;10%,"Good",K953&gt;10%,"Excellent")</f>
        <v>Excellent</v>
      </c>
      <c r="AA953" s="16" t="str">
        <f>Data_Validation!N951</f>
        <v>Pass</v>
      </c>
    </row>
    <row r="954" spans="1:27" x14ac:dyDescent="0.35">
      <c r="A954" s="17" t="s">
        <v>90</v>
      </c>
      <c r="B954" s="3" t="s">
        <v>48</v>
      </c>
      <c r="C954" s="3" t="s">
        <v>69</v>
      </c>
      <c r="D954" s="3" t="s">
        <v>51</v>
      </c>
      <c r="E954" s="3" t="s">
        <v>30</v>
      </c>
      <c r="F954" s="3">
        <v>30580.97</v>
      </c>
      <c r="G954" s="3">
        <v>218205</v>
      </c>
      <c r="H954" s="3">
        <v>5199</v>
      </c>
      <c r="I954" s="3">
        <v>182067.3</v>
      </c>
      <c r="J954" s="3">
        <v>6</v>
      </c>
      <c r="K954" s="15">
        <f t="shared" si="154"/>
        <v>2.382621846428817E-2</v>
      </c>
      <c r="L954" s="16">
        <f t="shared" si="164"/>
        <v>5.8820869397961149</v>
      </c>
      <c r="M954" s="16">
        <f t="shared" si="155"/>
        <v>140.1478884535185</v>
      </c>
      <c r="N954" s="16">
        <f t="shared" si="156"/>
        <v>5.9536142901941957</v>
      </c>
      <c r="O954" s="16">
        <f t="shared" si="157"/>
        <v>4.9536142901941957</v>
      </c>
      <c r="P954" s="1">
        <v>2025</v>
      </c>
      <c r="Q954" s="1" t="s">
        <v>76</v>
      </c>
      <c r="R954" s="1" t="s">
        <v>46</v>
      </c>
      <c r="S954" s="70">
        <f>DATE(Table2[[#This Row],[Year]],MONTH(DATEVALUE("1-"&amp;Table2[[#This Row],[Month]]&amp;"-2000")),1)</f>
        <v>45748</v>
      </c>
      <c r="T954" s="16">
        <f t="shared" si="158"/>
        <v>35.019676860934794</v>
      </c>
      <c r="U954" s="16">
        <f t="shared" si="159"/>
        <v>0.83438647143740974</v>
      </c>
      <c r="V954" s="16">
        <f t="shared" si="160"/>
        <v>5096.8283333333338</v>
      </c>
      <c r="W954" s="16">
        <f t="shared" si="161"/>
        <v>30344.55</v>
      </c>
      <c r="X954" s="16">
        <f t="shared" si="162"/>
        <v>866.5</v>
      </c>
      <c r="Y954" s="16">
        <f t="shared" si="163"/>
        <v>36367.5</v>
      </c>
      <c r="Z954" s="7" t="str" cm="1">
        <f t="array" ref="Z954">_xlfn.IFS(K954&lt;2%,"Low",K954&lt;5%,"Medium",K954&lt;10%,"Good",K954&gt;10%,"Excellent")</f>
        <v>Medium</v>
      </c>
      <c r="AA954" s="16" t="str">
        <f>Data_Validation!N952</f>
        <v>Pass</v>
      </c>
    </row>
    <row r="955" spans="1:27" x14ac:dyDescent="0.35">
      <c r="A955" s="17" t="s">
        <v>93</v>
      </c>
      <c r="B955" s="3" t="s">
        <v>48</v>
      </c>
      <c r="C955" s="3" t="s">
        <v>29</v>
      </c>
      <c r="D955" s="3" t="s">
        <v>37</v>
      </c>
      <c r="E955" s="3" t="s">
        <v>22</v>
      </c>
      <c r="F955" s="3">
        <v>10293.200000000001</v>
      </c>
      <c r="G955" s="3">
        <v>640437</v>
      </c>
      <c r="H955" s="3">
        <v>15575</v>
      </c>
      <c r="I955" s="3">
        <v>104437.16</v>
      </c>
      <c r="J955" s="3">
        <v>24</v>
      </c>
      <c r="K955" s="15">
        <f t="shared" si="154"/>
        <v>2.4319331956148691E-2</v>
      </c>
      <c r="L955" s="16">
        <f t="shared" si="164"/>
        <v>0.66087961476725521</v>
      </c>
      <c r="M955" s="16">
        <f t="shared" si="155"/>
        <v>16.07215073457655</v>
      </c>
      <c r="N955" s="16">
        <f t="shared" si="156"/>
        <v>10.146228578090389</v>
      </c>
      <c r="O955" s="16">
        <f t="shared" si="157"/>
        <v>9.1462285780903905</v>
      </c>
      <c r="P955" s="1">
        <v>2025</v>
      </c>
      <c r="Q955" s="1" t="s">
        <v>76</v>
      </c>
      <c r="R955" s="1" t="s">
        <v>46</v>
      </c>
      <c r="S955" s="70">
        <f>DATE(Table2[[#This Row],[Year]],MONTH(DATEVALUE("1-"&amp;Table2[[#This Row],[Month]]&amp;"-2000")),1)</f>
        <v>45748</v>
      </c>
      <c r="T955" s="16">
        <f t="shared" si="158"/>
        <v>6.705435634028893</v>
      </c>
      <c r="U955" s="16">
        <f t="shared" si="159"/>
        <v>0.16307171509453702</v>
      </c>
      <c r="V955" s="16">
        <f t="shared" si="160"/>
        <v>428.88333333333338</v>
      </c>
      <c r="W955" s="16">
        <f t="shared" si="161"/>
        <v>4351.5483333333332</v>
      </c>
      <c r="X955" s="16">
        <f t="shared" si="162"/>
        <v>648.95833333333337</v>
      </c>
      <c r="Y955" s="16">
        <f t="shared" si="163"/>
        <v>26684.875</v>
      </c>
      <c r="Z955" s="7" t="str" cm="1">
        <f t="array" ref="Z955">_xlfn.IFS(K955&lt;2%,"Low",K955&lt;5%,"Medium",K955&lt;10%,"Good",K955&gt;10%,"Excellent")</f>
        <v>Medium</v>
      </c>
      <c r="AA955" s="16" t="str">
        <f>Data_Validation!N953</f>
        <v>Pass</v>
      </c>
    </row>
    <row r="956" spans="1:27" x14ac:dyDescent="0.35">
      <c r="A956" s="17" t="s">
        <v>86</v>
      </c>
      <c r="B956" s="3" t="s">
        <v>35</v>
      </c>
      <c r="C956" s="3" t="s">
        <v>69</v>
      </c>
      <c r="D956" s="3" t="s">
        <v>59</v>
      </c>
      <c r="E956" s="3" t="s">
        <v>30</v>
      </c>
      <c r="F956" s="3">
        <v>8614.0300000000007</v>
      </c>
      <c r="G956" s="3">
        <v>199131</v>
      </c>
      <c r="H956" s="3">
        <v>26873</v>
      </c>
      <c r="I956" s="3">
        <v>199153.57</v>
      </c>
      <c r="J956" s="3">
        <v>24</v>
      </c>
      <c r="K956" s="15">
        <f t="shared" si="154"/>
        <v>0.13495136367516861</v>
      </c>
      <c r="L956" s="16">
        <f t="shared" si="164"/>
        <v>0.32054590109031372</v>
      </c>
      <c r="M956" s="16">
        <f t="shared" si="155"/>
        <v>43.258106472623552</v>
      </c>
      <c r="N956" s="16">
        <f t="shared" si="156"/>
        <v>23.119674530968663</v>
      </c>
      <c r="O956" s="16">
        <f t="shared" si="157"/>
        <v>22.119674530968663</v>
      </c>
      <c r="P956" s="1">
        <v>2025</v>
      </c>
      <c r="Q956" s="1" t="s">
        <v>76</v>
      </c>
      <c r="R956" s="1" t="s">
        <v>46</v>
      </c>
      <c r="S956" s="70">
        <f>DATE(Table2[[#This Row],[Year]],MONTH(DATEVALUE("1-"&amp;Table2[[#This Row],[Month]]&amp;"-2000")),1)</f>
        <v>45748</v>
      </c>
      <c r="T956" s="16">
        <f t="shared" si="158"/>
        <v>7.4109169054441262</v>
      </c>
      <c r="U956" s="16">
        <f t="shared" si="159"/>
        <v>1.0001133424730455</v>
      </c>
      <c r="V956" s="16">
        <f t="shared" si="160"/>
        <v>358.91791666666671</v>
      </c>
      <c r="W956" s="16">
        <f t="shared" si="161"/>
        <v>8298.0654166666664</v>
      </c>
      <c r="X956" s="16">
        <f t="shared" si="162"/>
        <v>1119.7083333333333</v>
      </c>
      <c r="Y956" s="16">
        <f t="shared" si="163"/>
        <v>8297.125</v>
      </c>
      <c r="Z956" s="7" t="str" cm="1">
        <f t="array" ref="Z956">_xlfn.IFS(K956&lt;2%,"Low",K956&lt;5%,"Medium",K956&lt;10%,"Good",K956&gt;10%,"Excellent")</f>
        <v>Excellent</v>
      </c>
      <c r="AA956" s="16" t="str">
        <f>Data_Validation!N954</f>
        <v>Pass</v>
      </c>
    </row>
    <row r="957" spans="1:27" x14ac:dyDescent="0.35">
      <c r="A957" s="17" t="s">
        <v>111</v>
      </c>
      <c r="B957" s="3" t="s">
        <v>19</v>
      </c>
      <c r="C957" s="3" t="s">
        <v>20</v>
      </c>
      <c r="D957" s="3" t="s">
        <v>37</v>
      </c>
      <c r="E957" s="3" t="s">
        <v>30</v>
      </c>
      <c r="F957" s="3">
        <v>17464.150000000001</v>
      </c>
      <c r="G957" s="3">
        <v>102422</v>
      </c>
      <c r="H957" s="3">
        <v>4299</v>
      </c>
      <c r="I957" s="3">
        <v>69457.539999999994</v>
      </c>
      <c r="J957" s="3">
        <v>15</v>
      </c>
      <c r="K957" s="15">
        <f t="shared" si="154"/>
        <v>4.1973404151451836E-2</v>
      </c>
      <c r="L957" s="16">
        <f t="shared" si="164"/>
        <v>4.0623749709234707</v>
      </c>
      <c r="M957" s="16">
        <f t="shared" si="155"/>
        <v>170.51170646931325</v>
      </c>
      <c r="N957" s="16">
        <f t="shared" si="156"/>
        <v>3.9771497610819875</v>
      </c>
      <c r="O957" s="16">
        <f t="shared" si="157"/>
        <v>2.9771497610819875</v>
      </c>
      <c r="P957" s="1">
        <v>2025</v>
      </c>
      <c r="Q957" s="1" t="s">
        <v>76</v>
      </c>
      <c r="R957" s="1" t="s">
        <v>46</v>
      </c>
      <c r="S957" s="70">
        <f>DATE(Table2[[#This Row],[Year]],MONTH(DATEVALUE("1-"&amp;Table2[[#This Row],[Month]]&amp;"-2000")),1)</f>
        <v>45748</v>
      </c>
      <c r="T957" s="16">
        <f t="shared" si="158"/>
        <v>16.156673645033727</v>
      </c>
      <c r="U957" s="16">
        <f t="shared" si="159"/>
        <v>0.67815059264611111</v>
      </c>
      <c r="V957" s="16">
        <f t="shared" si="160"/>
        <v>1164.2766666666669</v>
      </c>
      <c r="W957" s="16">
        <f t="shared" si="161"/>
        <v>4630.5026666666663</v>
      </c>
      <c r="X957" s="16">
        <f t="shared" si="162"/>
        <v>286.60000000000002</v>
      </c>
      <c r="Y957" s="16">
        <f t="shared" si="163"/>
        <v>6828.1333333333332</v>
      </c>
      <c r="Z957" s="7" t="str" cm="1">
        <f t="array" ref="Z957">_xlfn.IFS(K957&lt;2%,"Low",K957&lt;5%,"Medium",K957&lt;10%,"Good",K957&gt;10%,"Excellent")</f>
        <v>Medium</v>
      </c>
      <c r="AA957" s="16" t="str">
        <f>Data_Validation!N955</f>
        <v>Pass</v>
      </c>
    </row>
    <row r="958" spans="1:27" x14ac:dyDescent="0.35">
      <c r="A958" s="17" t="s">
        <v>91</v>
      </c>
      <c r="B958" s="3" t="s">
        <v>19</v>
      </c>
      <c r="C958" s="3" t="s">
        <v>29</v>
      </c>
      <c r="D958" s="3" t="s">
        <v>59</v>
      </c>
      <c r="E958" s="3" t="s">
        <v>30</v>
      </c>
      <c r="F958" s="3">
        <v>17482.740000000002</v>
      </c>
      <c r="G958" s="3">
        <v>922677</v>
      </c>
      <c r="H958" s="3">
        <v>22298</v>
      </c>
      <c r="I958" s="3">
        <v>202036.97</v>
      </c>
      <c r="J958" s="3">
        <v>36</v>
      </c>
      <c r="K958" s="15">
        <f t="shared" si="154"/>
        <v>2.4166636862087167E-2</v>
      </c>
      <c r="L958" s="16">
        <f t="shared" si="164"/>
        <v>0.78404969055520679</v>
      </c>
      <c r="M958" s="16">
        <f t="shared" si="155"/>
        <v>18.947844153479497</v>
      </c>
      <c r="N958" s="16">
        <f t="shared" si="156"/>
        <v>11.556367594553256</v>
      </c>
      <c r="O958" s="16">
        <f t="shared" si="157"/>
        <v>10.556367594553256</v>
      </c>
      <c r="P958" s="1">
        <v>2025</v>
      </c>
      <c r="Q958" s="1" t="s">
        <v>76</v>
      </c>
      <c r="R958" s="1" t="s">
        <v>46</v>
      </c>
      <c r="S958" s="70">
        <f>DATE(Table2[[#This Row],[Year]],MONTH(DATEVALUE("1-"&amp;Table2[[#This Row],[Month]]&amp;"-2000")),1)</f>
        <v>45748</v>
      </c>
      <c r="T958" s="16">
        <f t="shared" si="158"/>
        <v>9.0607664364516989</v>
      </c>
      <c r="U958" s="16">
        <f t="shared" si="159"/>
        <v>0.21896825216191582</v>
      </c>
      <c r="V958" s="16">
        <f t="shared" si="160"/>
        <v>485.63166666666672</v>
      </c>
      <c r="W958" s="16">
        <f t="shared" si="161"/>
        <v>5612.1380555555552</v>
      </c>
      <c r="X958" s="16">
        <f t="shared" si="162"/>
        <v>619.38888888888891</v>
      </c>
      <c r="Y958" s="16">
        <f t="shared" si="163"/>
        <v>25629.916666666668</v>
      </c>
      <c r="Z958" s="7" t="str" cm="1">
        <f t="array" ref="Z958">_xlfn.IFS(K958&lt;2%,"Low",K958&lt;5%,"Medium",K958&lt;10%,"Good",K958&gt;10%,"Excellent")</f>
        <v>Medium</v>
      </c>
      <c r="AA958" s="16" t="str">
        <f>Data_Validation!N956</f>
        <v>Pass</v>
      </c>
    </row>
    <row r="959" spans="1:27" x14ac:dyDescent="0.35">
      <c r="A959" s="17" t="s">
        <v>81</v>
      </c>
      <c r="B959" s="3" t="s">
        <v>19</v>
      </c>
      <c r="C959" s="3" t="s">
        <v>36</v>
      </c>
      <c r="D959" s="3" t="s">
        <v>21</v>
      </c>
      <c r="E959" s="3" t="s">
        <v>30</v>
      </c>
      <c r="F959" s="3">
        <v>6781.15</v>
      </c>
      <c r="G959" s="3">
        <v>955404</v>
      </c>
      <c r="H959" s="3">
        <v>40388</v>
      </c>
      <c r="I959" s="3">
        <v>151954.38</v>
      </c>
      <c r="J959" s="3">
        <v>15</v>
      </c>
      <c r="K959" s="15">
        <f t="shared" si="154"/>
        <v>4.2273216356640754E-2</v>
      </c>
      <c r="L959" s="16">
        <f t="shared" si="164"/>
        <v>0.16790011884718231</v>
      </c>
      <c r="M959" s="16">
        <f t="shared" si="155"/>
        <v>7.0976780503326333</v>
      </c>
      <c r="N959" s="16">
        <f t="shared" si="156"/>
        <v>22.408349616215542</v>
      </c>
      <c r="O959" s="16">
        <f t="shared" si="157"/>
        <v>21.408349616215542</v>
      </c>
      <c r="P959" s="1">
        <v>2025</v>
      </c>
      <c r="Q959" s="1" t="s">
        <v>76</v>
      </c>
      <c r="R959" s="1" t="s">
        <v>46</v>
      </c>
      <c r="S959" s="70">
        <f>DATE(Table2[[#This Row],[Year]],MONTH(DATEVALUE("1-"&amp;Table2[[#This Row],[Month]]&amp;"-2000")),1)</f>
        <v>45748</v>
      </c>
      <c r="T959" s="16">
        <f t="shared" si="158"/>
        <v>3.7623645637318015</v>
      </c>
      <c r="U959" s="16">
        <f t="shared" si="159"/>
        <v>0.15904725121519275</v>
      </c>
      <c r="V959" s="16">
        <f t="shared" si="160"/>
        <v>452.07666666666665</v>
      </c>
      <c r="W959" s="16">
        <f t="shared" si="161"/>
        <v>10130.291999999999</v>
      </c>
      <c r="X959" s="16">
        <f t="shared" si="162"/>
        <v>2692.5333333333333</v>
      </c>
      <c r="Y959" s="16">
        <f t="shared" si="163"/>
        <v>63693.599999999999</v>
      </c>
      <c r="Z959" s="7" t="str" cm="1">
        <f t="array" ref="Z959">_xlfn.IFS(K959&lt;2%,"Low",K959&lt;5%,"Medium",K959&lt;10%,"Good",K959&gt;10%,"Excellent")</f>
        <v>Medium</v>
      </c>
      <c r="AA959" s="16" t="str">
        <f>Data_Validation!N957</f>
        <v>Pass</v>
      </c>
    </row>
    <row r="960" spans="1:27" x14ac:dyDescent="0.35">
      <c r="A960" s="17" t="s">
        <v>108</v>
      </c>
      <c r="B960" s="3" t="s">
        <v>28</v>
      </c>
      <c r="C960" s="3" t="s">
        <v>36</v>
      </c>
      <c r="D960" s="3" t="s">
        <v>63</v>
      </c>
      <c r="E960" s="3" t="s">
        <v>30</v>
      </c>
      <c r="F960" s="3">
        <v>6414.09</v>
      </c>
      <c r="G960" s="3">
        <v>552985</v>
      </c>
      <c r="H960" s="3">
        <v>43611</v>
      </c>
      <c r="I960" s="3">
        <v>214954.26</v>
      </c>
      <c r="J960" s="3">
        <v>28</v>
      </c>
      <c r="K960" s="15">
        <f t="shared" si="154"/>
        <v>7.8864706999285689E-2</v>
      </c>
      <c r="L960" s="16">
        <f t="shared" si="164"/>
        <v>0.14707504987273853</v>
      </c>
      <c r="M960" s="16">
        <f t="shared" si="155"/>
        <v>11.599030715118854</v>
      </c>
      <c r="N960" s="16">
        <f t="shared" si="156"/>
        <v>33.512822551601239</v>
      </c>
      <c r="O960" s="16">
        <f t="shared" si="157"/>
        <v>32.512822551601239</v>
      </c>
      <c r="P960" s="1">
        <v>2025</v>
      </c>
      <c r="Q960" s="1" t="s">
        <v>76</v>
      </c>
      <c r="R960" s="1" t="s">
        <v>46</v>
      </c>
      <c r="S960" s="70">
        <f>DATE(Table2[[#This Row],[Year]],MONTH(DATEVALUE("1-"&amp;Table2[[#This Row],[Month]]&amp;"-2000")),1)</f>
        <v>45748</v>
      </c>
      <c r="T960" s="16">
        <f t="shared" si="158"/>
        <v>4.9289000481529888</v>
      </c>
      <c r="U960" s="16">
        <f t="shared" si="159"/>
        <v>0.38871625812635063</v>
      </c>
      <c r="V960" s="16">
        <f t="shared" si="160"/>
        <v>229.07464285714286</v>
      </c>
      <c r="W960" s="16">
        <f t="shared" si="161"/>
        <v>7676.9378571428579</v>
      </c>
      <c r="X960" s="16">
        <f t="shared" si="162"/>
        <v>1557.5357142857142</v>
      </c>
      <c r="Y960" s="16">
        <f t="shared" si="163"/>
        <v>19749.464285714286</v>
      </c>
      <c r="Z960" s="7" t="str" cm="1">
        <f t="array" ref="Z960">_xlfn.IFS(K960&lt;2%,"Low",K960&lt;5%,"Medium",K960&lt;10%,"Good",K960&gt;10%,"Excellent")</f>
        <v>Good</v>
      </c>
      <c r="AA960" s="16" t="str">
        <f>Data_Validation!N958</f>
        <v>Pass</v>
      </c>
    </row>
    <row r="961" spans="1:27" x14ac:dyDescent="0.35">
      <c r="A961" s="17" t="s">
        <v>92</v>
      </c>
      <c r="B961" s="3" t="s">
        <v>28</v>
      </c>
      <c r="C961" s="3" t="s">
        <v>69</v>
      </c>
      <c r="D961" s="3" t="s">
        <v>59</v>
      </c>
      <c r="E961" s="3" t="s">
        <v>30</v>
      </c>
      <c r="F961" s="3">
        <v>399.73</v>
      </c>
      <c r="G961" s="3">
        <v>917088</v>
      </c>
      <c r="H961" s="3">
        <v>45044</v>
      </c>
      <c r="I961" s="3">
        <v>195686.35</v>
      </c>
      <c r="J961" s="3">
        <v>48</v>
      </c>
      <c r="K961" s="15">
        <f t="shared" si="154"/>
        <v>4.9116333438012492E-2</v>
      </c>
      <c r="L961" s="16">
        <f t="shared" si="164"/>
        <v>8.874211881715657E-3</v>
      </c>
      <c r="M961" s="16">
        <f t="shared" si="155"/>
        <v>0.43586874978191842</v>
      </c>
      <c r="N961" s="16">
        <f t="shared" si="156"/>
        <v>489.54631876516646</v>
      </c>
      <c r="O961" s="16">
        <f t="shared" si="157"/>
        <v>488.54631876516646</v>
      </c>
      <c r="P961" s="1">
        <v>2025</v>
      </c>
      <c r="Q961" s="1" t="s">
        <v>76</v>
      </c>
      <c r="R961" s="1" t="s">
        <v>46</v>
      </c>
      <c r="S961" s="70">
        <f>DATE(Table2[[#This Row],[Year]],MONTH(DATEVALUE("1-"&amp;Table2[[#This Row],[Month]]&amp;"-2000")),1)</f>
        <v>45748</v>
      </c>
      <c r="T961" s="16">
        <f t="shared" si="158"/>
        <v>4.3443377586360006</v>
      </c>
      <c r="U961" s="16">
        <f t="shared" si="159"/>
        <v>0.21337794192051363</v>
      </c>
      <c r="V961" s="16">
        <f t="shared" si="160"/>
        <v>8.3277083333333337</v>
      </c>
      <c r="W961" s="16">
        <f t="shared" si="161"/>
        <v>4076.7989583333333</v>
      </c>
      <c r="X961" s="16">
        <f t="shared" si="162"/>
        <v>938.41666666666663</v>
      </c>
      <c r="Y961" s="16">
        <f t="shared" si="163"/>
        <v>19106</v>
      </c>
      <c r="Z961" s="7" t="str" cm="1">
        <f t="array" ref="Z961">_xlfn.IFS(K961&lt;2%,"Low",K961&lt;5%,"Medium",K961&lt;10%,"Good",K961&gt;10%,"Excellent")</f>
        <v>Medium</v>
      </c>
      <c r="AA961" s="16" t="str">
        <f>Data_Validation!N959</f>
        <v>Pass</v>
      </c>
    </row>
    <row r="962" spans="1:27" x14ac:dyDescent="0.35">
      <c r="A962" s="17" t="s">
        <v>27</v>
      </c>
      <c r="B962" s="3" t="s">
        <v>48</v>
      </c>
      <c r="C962" s="3" t="s">
        <v>29</v>
      </c>
      <c r="D962" s="3" t="s">
        <v>63</v>
      </c>
      <c r="E962" s="3" t="s">
        <v>38</v>
      </c>
      <c r="F962" s="3">
        <v>38744.910000000003</v>
      </c>
      <c r="G962" s="3">
        <v>689091</v>
      </c>
      <c r="H962" s="3">
        <v>24200</v>
      </c>
      <c r="I962" s="3">
        <v>190001.39</v>
      </c>
      <c r="J962" s="3">
        <v>20</v>
      </c>
      <c r="K962" s="15">
        <f t="shared" si="154"/>
        <v>3.5118728876157142E-2</v>
      </c>
      <c r="L962" s="16">
        <f t="shared" si="164"/>
        <v>1.6010293388429753</v>
      </c>
      <c r="M962" s="16">
        <f t="shared" si="155"/>
        <v>56.226115273599575</v>
      </c>
      <c r="N962" s="16">
        <f t="shared" si="156"/>
        <v>4.9039058291785942</v>
      </c>
      <c r="O962" s="16">
        <f t="shared" si="157"/>
        <v>3.9039058291785937</v>
      </c>
      <c r="P962" s="1">
        <v>2025</v>
      </c>
      <c r="Q962" s="1" t="s">
        <v>76</v>
      </c>
      <c r="R962" s="1" t="s">
        <v>46</v>
      </c>
      <c r="S962" s="70">
        <f>DATE(Table2[[#This Row],[Year]],MONTH(DATEVALUE("1-"&amp;Table2[[#This Row],[Month]]&amp;"-2000")),1)</f>
        <v>45748</v>
      </c>
      <c r="T962" s="16">
        <f t="shared" si="158"/>
        <v>7.8512971074380173</v>
      </c>
      <c r="U962" s="16">
        <f t="shared" si="159"/>
        <v>0.27572757444227253</v>
      </c>
      <c r="V962" s="16">
        <f t="shared" si="160"/>
        <v>1937.2455000000002</v>
      </c>
      <c r="W962" s="16">
        <f t="shared" si="161"/>
        <v>9500.0695000000014</v>
      </c>
      <c r="X962" s="16">
        <f t="shared" si="162"/>
        <v>1210</v>
      </c>
      <c r="Y962" s="16">
        <f t="shared" si="163"/>
        <v>34454.550000000003</v>
      </c>
      <c r="Z962" s="7" t="str" cm="1">
        <f t="array" ref="Z962">_xlfn.IFS(K962&lt;2%,"Low",K962&lt;5%,"Medium",K962&lt;10%,"Good",K962&gt;10%,"Excellent")</f>
        <v>Medium</v>
      </c>
      <c r="AA962" s="16" t="str">
        <f>Data_Validation!N960</f>
        <v>Pass</v>
      </c>
    </row>
    <row r="963" spans="1:27" x14ac:dyDescent="0.35">
      <c r="A963" s="17" t="s">
        <v>102</v>
      </c>
      <c r="B963" s="3" t="s">
        <v>19</v>
      </c>
      <c r="C963" s="3" t="s">
        <v>20</v>
      </c>
      <c r="D963" s="3" t="s">
        <v>21</v>
      </c>
      <c r="E963" s="3" t="s">
        <v>38</v>
      </c>
      <c r="F963" s="3">
        <v>18334.580000000002</v>
      </c>
      <c r="G963" s="3">
        <v>292400</v>
      </c>
      <c r="H963" s="3">
        <v>39041</v>
      </c>
      <c r="I963" s="3">
        <v>166211.54</v>
      </c>
      <c r="J963" s="3">
        <v>51</v>
      </c>
      <c r="K963" s="15">
        <f t="shared" si="154"/>
        <v>0.13351915184678523</v>
      </c>
      <c r="L963" s="16">
        <f t="shared" si="164"/>
        <v>0.46962372890038684</v>
      </c>
      <c r="M963" s="16">
        <f t="shared" si="155"/>
        <v>62.703761969904249</v>
      </c>
      <c r="N963" s="16">
        <f t="shared" si="156"/>
        <v>9.0654675482067208</v>
      </c>
      <c r="O963" s="16">
        <f t="shared" si="157"/>
        <v>8.0654675482067226</v>
      </c>
      <c r="P963" s="1">
        <v>2025</v>
      </c>
      <c r="Q963" s="1" t="s">
        <v>76</v>
      </c>
      <c r="R963" s="1" t="s">
        <v>46</v>
      </c>
      <c r="S963" s="70">
        <f>DATE(Table2[[#This Row],[Year]],MONTH(DATEVALUE("1-"&amp;Table2[[#This Row],[Month]]&amp;"-2000")),1)</f>
        <v>45748</v>
      </c>
      <c r="T963" s="16">
        <f t="shared" si="158"/>
        <v>4.2573586742142879</v>
      </c>
      <c r="U963" s="16">
        <f t="shared" si="159"/>
        <v>0.56843891928864576</v>
      </c>
      <c r="V963" s="16">
        <f t="shared" si="160"/>
        <v>359.50156862745104</v>
      </c>
      <c r="W963" s="16">
        <f t="shared" si="161"/>
        <v>3259.0498039215686</v>
      </c>
      <c r="X963" s="16">
        <f t="shared" si="162"/>
        <v>765.50980392156862</v>
      </c>
      <c r="Y963" s="16">
        <f t="shared" si="163"/>
        <v>5733.333333333333</v>
      </c>
      <c r="Z963" s="7" t="str" cm="1">
        <f t="array" ref="Z963">_xlfn.IFS(K963&lt;2%,"Low",K963&lt;5%,"Medium",K963&lt;10%,"Good",K963&gt;10%,"Excellent")</f>
        <v>Excellent</v>
      </c>
      <c r="AA963" s="16" t="str">
        <f>Data_Validation!N961</f>
        <v>Pass</v>
      </c>
    </row>
    <row r="964" spans="1:27" x14ac:dyDescent="0.35">
      <c r="A964" s="17" t="s">
        <v>42</v>
      </c>
      <c r="B964" s="3" t="s">
        <v>19</v>
      </c>
      <c r="C964" s="3" t="s">
        <v>58</v>
      </c>
      <c r="D964" s="3" t="s">
        <v>37</v>
      </c>
      <c r="E964" s="3" t="s">
        <v>38</v>
      </c>
      <c r="F964" s="3">
        <v>6007.65</v>
      </c>
      <c r="G964" s="3">
        <v>866375</v>
      </c>
      <c r="H964" s="3">
        <v>29665</v>
      </c>
      <c r="I964" s="3">
        <v>221734.29</v>
      </c>
      <c r="J964" s="3">
        <v>33</v>
      </c>
      <c r="K964" s="15">
        <f t="shared" si="154"/>
        <v>3.4240369355071416E-2</v>
      </c>
      <c r="L964" s="16">
        <f t="shared" si="164"/>
        <v>0.2025164335075004</v>
      </c>
      <c r="M964" s="16">
        <f t="shared" si="155"/>
        <v>6.9342374837685758</v>
      </c>
      <c r="N964" s="16">
        <f t="shared" si="156"/>
        <v>36.908656463009663</v>
      </c>
      <c r="O964" s="16">
        <f t="shared" si="157"/>
        <v>35.90865646300967</v>
      </c>
      <c r="P964" s="1">
        <v>2025</v>
      </c>
      <c r="Q964" s="1" t="s">
        <v>76</v>
      </c>
      <c r="R964" s="1" t="s">
        <v>46</v>
      </c>
      <c r="S964" s="70">
        <f>DATE(Table2[[#This Row],[Year]],MONTH(DATEVALUE("1-"&amp;Table2[[#This Row],[Month]]&amp;"-2000")),1)</f>
        <v>45748</v>
      </c>
      <c r="T964" s="16">
        <f t="shared" si="158"/>
        <v>7.474609472442272</v>
      </c>
      <c r="U964" s="16">
        <f t="shared" si="159"/>
        <v>0.25593338912133889</v>
      </c>
      <c r="V964" s="16">
        <f t="shared" si="160"/>
        <v>182.04999999999998</v>
      </c>
      <c r="W964" s="16">
        <f t="shared" si="161"/>
        <v>6719.2209090909091</v>
      </c>
      <c r="X964" s="16">
        <f t="shared" si="162"/>
        <v>898.93939393939399</v>
      </c>
      <c r="Y964" s="16">
        <f t="shared" si="163"/>
        <v>26253.78787878788</v>
      </c>
      <c r="Z964" s="7" t="str" cm="1">
        <f t="array" ref="Z964">_xlfn.IFS(K964&lt;2%,"Low",K964&lt;5%,"Medium",K964&lt;10%,"Good",K964&gt;10%,"Excellent")</f>
        <v>Medium</v>
      </c>
      <c r="AA964" s="16" t="str">
        <f>Data_Validation!N962</f>
        <v>Pass</v>
      </c>
    </row>
    <row r="965" spans="1:27" x14ac:dyDescent="0.35">
      <c r="A965" s="17" t="s">
        <v>57</v>
      </c>
      <c r="B965" s="3" t="s">
        <v>48</v>
      </c>
      <c r="C965" s="3" t="s">
        <v>20</v>
      </c>
      <c r="D965" s="3" t="s">
        <v>59</v>
      </c>
      <c r="E965" s="3" t="s">
        <v>38</v>
      </c>
      <c r="F965" s="3">
        <v>19423.009999999998</v>
      </c>
      <c r="G965" s="3">
        <v>306439</v>
      </c>
      <c r="H965" s="3">
        <v>7571</v>
      </c>
      <c r="I965" s="3">
        <v>197266.22</v>
      </c>
      <c r="J965" s="3">
        <v>12</v>
      </c>
      <c r="K965" s="15">
        <f t="shared" si="154"/>
        <v>2.4706385283857473E-2</v>
      </c>
      <c r="L965" s="16">
        <f t="shared" si="164"/>
        <v>2.5654484216087701</v>
      </c>
      <c r="M965" s="16">
        <f t="shared" si="155"/>
        <v>63.382957130130301</v>
      </c>
      <c r="N965" s="16">
        <f t="shared" si="156"/>
        <v>10.156315627701371</v>
      </c>
      <c r="O965" s="16">
        <f t="shared" si="157"/>
        <v>9.1563156277013711</v>
      </c>
      <c r="P965" s="1">
        <v>2025</v>
      </c>
      <c r="Q965" s="1" t="s">
        <v>76</v>
      </c>
      <c r="R965" s="1" t="s">
        <v>46</v>
      </c>
      <c r="S965" s="70">
        <f>DATE(Table2[[#This Row],[Year]],MONTH(DATEVALUE("1-"&amp;Table2[[#This Row],[Month]]&amp;"-2000")),1)</f>
        <v>45748</v>
      </c>
      <c r="T965" s="16">
        <f t="shared" si="158"/>
        <v>26.055503896446968</v>
      </c>
      <c r="U965" s="16">
        <f t="shared" si="159"/>
        <v>0.64373731803066847</v>
      </c>
      <c r="V965" s="16">
        <f t="shared" si="160"/>
        <v>1618.5841666666665</v>
      </c>
      <c r="W965" s="16">
        <f t="shared" si="161"/>
        <v>16438.851666666666</v>
      </c>
      <c r="X965" s="16">
        <f t="shared" si="162"/>
        <v>630.91666666666663</v>
      </c>
      <c r="Y965" s="16">
        <f t="shared" si="163"/>
        <v>25536.583333333332</v>
      </c>
      <c r="Z965" s="7" t="str" cm="1">
        <f t="array" ref="Z965">_xlfn.IFS(K965&lt;2%,"Low",K965&lt;5%,"Medium",K965&lt;10%,"Good",K965&gt;10%,"Excellent")</f>
        <v>Medium</v>
      </c>
      <c r="AA965" s="16" t="str">
        <f>Data_Validation!N963</f>
        <v>Pass</v>
      </c>
    </row>
    <row r="966" spans="1:27" x14ac:dyDescent="0.35">
      <c r="A966" s="17" t="s">
        <v>109</v>
      </c>
      <c r="B966" s="3" t="s">
        <v>19</v>
      </c>
      <c r="C966" s="3" t="s">
        <v>58</v>
      </c>
      <c r="D966" s="3" t="s">
        <v>21</v>
      </c>
      <c r="E966" s="3" t="s">
        <v>22</v>
      </c>
      <c r="F966" s="3">
        <v>26965.16</v>
      </c>
      <c r="G966" s="3">
        <v>733153</v>
      </c>
      <c r="H966" s="3">
        <v>34549</v>
      </c>
      <c r="I966" s="3">
        <v>212287.09</v>
      </c>
      <c r="J966" s="3">
        <v>18</v>
      </c>
      <c r="K966" s="15">
        <f t="shared" si="154"/>
        <v>4.7123860913069984E-2</v>
      </c>
      <c r="L966" s="16">
        <f t="shared" si="164"/>
        <v>0.78049031809893199</v>
      </c>
      <c r="M966" s="16">
        <f t="shared" si="155"/>
        <v>36.779717194091823</v>
      </c>
      <c r="N966" s="16">
        <f t="shared" si="156"/>
        <v>7.8726434406471162</v>
      </c>
      <c r="O966" s="16">
        <f t="shared" si="157"/>
        <v>6.8726434406471162</v>
      </c>
      <c r="P966" s="1">
        <v>2025</v>
      </c>
      <c r="Q966" s="1" t="s">
        <v>45</v>
      </c>
      <c r="R966" s="1" t="s">
        <v>46</v>
      </c>
      <c r="S966" s="70">
        <f>DATE(Table2[[#This Row],[Year]],MONTH(DATEVALUE("1-"&amp;Table2[[#This Row],[Month]]&amp;"-2000")),1)</f>
        <v>45778</v>
      </c>
      <c r="T966" s="16">
        <f t="shared" si="158"/>
        <v>6.1445219832701383</v>
      </c>
      <c r="U966" s="16">
        <f t="shared" si="159"/>
        <v>0.28955359931692293</v>
      </c>
      <c r="V966" s="16">
        <f t="shared" si="160"/>
        <v>1498.0644444444445</v>
      </c>
      <c r="W966" s="16">
        <f t="shared" si="161"/>
        <v>11793.727222222222</v>
      </c>
      <c r="X966" s="16">
        <f t="shared" si="162"/>
        <v>1919.3888888888889</v>
      </c>
      <c r="Y966" s="16">
        <f t="shared" si="163"/>
        <v>40730.722222222219</v>
      </c>
      <c r="Z966" s="7" t="str" cm="1">
        <f t="array" ref="Z966">_xlfn.IFS(K966&lt;2%,"Low",K966&lt;5%,"Medium",K966&lt;10%,"Good",K966&gt;10%,"Excellent")</f>
        <v>Medium</v>
      </c>
      <c r="AA966" s="16" t="str">
        <f>Data_Validation!N964</f>
        <v>Pass</v>
      </c>
    </row>
    <row r="967" spans="1:27" x14ac:dyDescent="0.35">
      <c r="A967" s="17" t="s">
        <v>87</v>
      </c>
      <c r="B967" s="3" t="s">
        <v>48</v>
      </c>
      <c r="C967" s="3" t="s">
        <v>58</v>
      </c>
      <c r="D967" s="3" t="s">
        <v>51</v>
      </c>
      <c r="E967" s="3" t="s">
        <v>30</v>
      </c>
      <c r="F967" s="3">
        <v>3900.13</v>
      </c>
      <c r="G967" s="3">
        <v>616472</v>
      </c>
      <c r="H967" s="3">
        <v>6486</v>
      </c>
      <c r="I967" s="3">
        <v>13939.06</v>
      </c>
      <c r="J967" s="3">
        <v>60</v>
      </c>
      <c r="K967" s="15">
        <f t="shared" si="154"/>
        <v>1.0521159111849362E-2</v>
      </c>
      <c r="L967" s="16">
        <f t="shared" si="164"/>
        <v>0.60131514030218935</v>
      </c>
      <c r="M967" s="16">
        <f t="shared" si="155"/>
        <v>6.3265322674833566</v>
      </c>
      <c r="N967" s="16">
        <f t="shared" si="156"/>
        <v>3.5739988154241011</v>
      </c>
      <c r="O967" s="16">
        <f t="shared" si="157"/>
        <v>2.5739988154241011</v>
      </c>
      <c r="P967" s="1">
        <v>2025</v>
      </c>
      <c r="Q967" s="1" t="s">
        <v>45</v>
      </c>
      <c r="R967" s="1" t="s">
        <v>46</v>
      </c>
      <c r="S967" s="70">
        <f>DATE(Table2[[#This Row],[Year]],MONTH(DATEVALUE("1-"&amp;Table2[[#This Row],[Month]]&amp;"-2000")),1)</f>
        <v>45778</v>
      </c>
      <c r="T967" s="16">
        <f t="shared" si="158"/>
        <v>2.1490995991366018</v>
      </c>
      <c r="U967" s="16">
        <f t="shared" si="159"/>
        <v>2.261101882972787E-2</v>
      </c>
      <c r="V967" s="16">
        <f t="shared" si="160"/>
        <v>65.002166666666668</v>
      </c>
      <c r="W967" s="16">
        <f t="shared" si="161"/>
        <v>232.31766666666667</v>
      </c>
      <c r="X967" s="16">
        <f t="shared" si="162"/>
        <v>108.1</v>
      </c>
      <c r="Y967" s="16">
        <f t="shared" si="163"/>
        <v>10274.533333333333</v>
      </c>
      <c r="Z967" s="7" t="str" cm="1">
        <f t="array" ref="Z967">_xlfn.IFS(K967&lt;2%,"Low",K967&lt;5%,"Medium",K967&lt;10%,"Good",K967&gt;10%,"Excellent")</f>
        <v>Low</v>
      </c>
      <c r="AA967" s="16" t="str">
        <f>Data_Validation!N965</f>
        <v>Pass</v>
      </c>
    </row>
    <row r="968" spans="1:27" x14ac:dyDescent="0.35">
      <c r="A968" s="17" t="s">
        <v>119</v>
      </c>
      <c r="B968" s="3" t="s">
        <v>48</v>
      </c>
      <c r="C968" s="3" t="s">
        <v>58</v>
      </c>
      <c r="D968" s="3" t="s">
        <v>63</v>
      </c>
      <c r="E968" s="3" t="s">
        <v>22</v>
      </c>
      <c r="F968" s="3">
        <v>569.62</v>
      </c>
      <c r="G968" s="3">
        <v>997555</v>
      </c>
      <c r="H968" s="3">
        <v>37531</v>
      </c>
      <c r="I968" s="3">
        <v>109493.13</v>
      </c>
      <c r="J968" s="3">
        <v>58</v>
      </c>
      <c r="K968" s="15">
        <f t="shared" si="154"/>
        <v>3.7622988206164068E-2</v>
      </c>
      <c r="L968" s="16">
        <f t="shared" si="164"/>
        <v>1.5177320082065493E-2</v>
      </c>
      <c r="M968" s="16">
        <f t="shared" si="155"/>
        <v>0.57101613444872712</v>
      </c>
      <c r="N968" s="16">
        <f t="shared" si="156"/>
        <v>192.22135809838139</v>
      </c>
      <c r="O968" s="16">
        <f t="shared" si="157"/>
        <v>191.22135809838139</v>
      </c>
      <c r="P968" s="1">
        <v>2025</v>
      </c>
      <c r="Q968" s="1" t="s">
        <v>45</v>
      </c>
      <c r="R968" s="1" t="s">
        <v>46</v>
      </c>
      <c r="S968" s="70">
        <f>DATE(Table2[[#This Row],[Year]],MONTH(DATEVALUE("1-"&amp;Table2[[#This Row],[Month]]&amp;"-2000")),1)</f>
        <v>45778</v>
      </c>
      <c r="T968" s="16">
        <f t="shared" si="158"/>
        <v>2.917405078468466</v>
      </c>
      <c r="U968" s="16">
        <f t="shared" si="159"/>
        <v>0.10976149685982227</v>
      </c>
      <c r="V968" s="16">
        <f t="shared" si="160"/>
        <v>9.8210344827586216</v>
      </c>
      <c r="W968" s="16">
        <f t="shared" si="161"/>
        <v>1887.8125862068966</v>
      </c>
      <c r="X968" s="16">
        <f t="shared" si="162"/>
        <v>647.08620689655174</v>
      </c>
      <c r="Y968" s="16">
        <f t="shared" si="163"/>
        <v>17199.224137931036</v>
      </c>
      <c r="Z968" s="7" t="str" cm="1">
        <f t="array" ref="Z968">_xlfn.IFS(K968&lt;2%,"Low",K968&lt;5%,"Medium",K968&lt;10%,"Good",K968&gt;10%,"Excellent")</f>
        <v>Medium</v>
      </c>
      <c r="AA968" s="16" t="str">
        <f>Data_Validation!N966</f>
        <v>Pass</v>
      </c>
    </row>
    <row r="969" spans="1:27" x14ac:dyDescent="0.35">
      <c r="A969" s="17" t="s">
        <v>103</v>
      </c>
      <c r="B969" s="3" t="s">
        <v>48</v>
      </c>
      <c r="C969" s="3" t="s">
        <v>36</v>
      </c>
      <c r="D969" s="3" t="s">
        <v>63</v>
      </c>
      <c r="E969" s="3" t="s">
        <v>38</v>
      </c>
      <c r="F969" s="3">
        <v>14709.6</v>
      </c>
      <c r="G969" s="3">
        <v>588043</v>
      </c>
      <c r="H969" s="3">
        <v>9579</v>
      </c>
      <c r="I969" s="3">
        <v>98978.57</v>
      </c>
      <c r="J969" s="3">
        <v>36</v>
      </c>
      <c r="K969" s="15">
        <f t="shared" ref="K969:K1007" si="165">H969/G969</f>
        <v>1.628962507843814E-2</v>
      </c>
      <c r="L969" s="16">
        <f t="shared" si="164"/>
        <v>1.5356091450046978</v>
      </c>
      <c r="M969" s="16">
        <f t="shared" ref="M969:M1007" si="166">F969/G969*1000</f>
        <v>25.014497239147477</v>
      </c>
      <c r="N969" s="16">
        <f t="shared" ref="N969:N1007" si="167">I969/F969</f>
        <v>6.7288417088160113</v>
      </c>
      <c r="O969" s="16">
        <f t="shared" ref="O969:O1007" si="168">(I969-F969)/F969</f>
        <v>5.7288417088160113</v>
      </c>
      <c r="P969" s="1">
        <v>2025</v>
      </c>
      <c r="Q969" s="1" t="s">
        <v>45</v>
      </c>
      <c r="R969" s="1" t="s">
        <v>46</v>
      </c>
      <c r="S969" s="70">
        <f>DATE(Table2[[#This Row],[Year]],MONTH(DATEVALUE("1-"&amp;Table2[[#This Row],[Month]]&amp;"-2000")),1)</f>
        <v>45778</v>
      </c>
      <c r="T969" s="16">
        <f t="shared" ref="T969:T1007" si="169">I969/H969</f>
        <v>10.332870863346905</v>
      </c>
      <c r="U969" s="16">
        <f t="shared" ref="U969:U1007" si="170">I969/G969</f>
        <v>0.16831859234783852</v>
      </c>
      <c r="V969" s="16">
        <f t="shared" ref="V969:V1007" si="171">F969/J969</f>
        <v>408.6</v>
      </c>
      <c r="W969" s="16">
        <f t="shared" ref="W969:W1007" si="172">I969/J969</f>
        <v>2749.4047222222225</v>
      </c>
      <c r="X969" s="16">
        <f t="shared" ref="X969:X1007" si="173">H969/J969</f>
        <v>266.08333333333331</v>
      </c>
      <c r="Y969" s="16">
        <f t="shared" ref="Y969:Y1007" si="174">G969/J969</f>
        <v>16334.527777777777</v>
      </c>
      <c r="Z969" s="7" t="str" cm="1">
        <f t="array" ref="Z969">_xlfn.IFS(K969&lt;2%,"Low",K969&lt;5%,"Medium",K969&lt;10%,"Good",K969&gt;10%,"Excellent")</f>
        <v>Low</v>
      </c>
      <c r="AA969" s="16" t="str">
        <f>Data_Validation!N967</f>
        <v>Pass</v>
      </c>
    </row>
    <row r="970" spans="1:27" x14ac:dyDescent="0.35">
      <c r="A970" s="17" t="s">
        <v>78</v>
      </c>
      <c r="B970" s="3" t="s">
        <v>19</v>
      </c>
      <c r="C970" s="3" t="s">
        <v>29</v>
      </c>
      <c r="D970" s="3" t="s">
        <v>43</v>
      </c>
      <c r="E970" s="3" t="s">
        <v>22</v>
      </c>
      <c r="F970" s="3">
        <v>26329.759999999998</v>
      </c>
      <c r="G970" s="3">
        <v>334065</v>
      </c>
      <c r="H970" s="3">
        <v>11605</v>
      </c>
      <c r="I970" s="3">
        <v>125156.92</v>
      </c>
      <c r="J970" s="3">
        <v>57</v>
      </c>
      <c r="K970" s="15">
        <f t="shared" si="165"/>
        <v>3.4738748447158484E-2</v>
      </c>
      <c r="L970" s="16">
        <f t="shared" ref="L970:L1007" si="175">F970/H970</f>
        <v>2.2688289530374837</v>
      </c>
      <c r="M970" s="16">
        <f t="shared" si="166"/>
        <v>78.816278269199103</v>
      </c>
      <c r="N970" s="16">
        <f t="shared" si="167"/>
        <v>4.7534394540626277</v>
      </c>
      <c r="O970" s="16">
        <f t="shared" si="168"/>
        <v>3.7534394540626277</v>
      </c>
      <c r="P970" s="1">
        <v>2025</v>
      </c>
      <c r="Q970" s="1" t="s">
        <v>45</v>
      </c>
      <c r="R970" s="1" t="s">
        <v>46</v>
      </c>
      <c r="S970" s="70">
        <f>DATE(Table2[[#This Row],[Year]],MONTH(DATEVALUE("1-"&amp;Table2[[#This Row],[Month]]&amp;"-2000")),1)</f>
        <v>45778</v>
      </c>
      <c r="T970" s="16">
        <f t="shared" si="169"/>
        <v>10.784741059887979</v>
      </c>
      <c r="U970" s="16">
        <f t="shared" si="170"/>
        <v>0.37464840674718991</v>
      </c>
      <c r="V970" s="16">
        <f t="shared" si="171"/>
        <v>461.92561403508768</v>
      </c>
      <c r="W970" s="16">
        <f t="shared" si="172"/>
        <v>2195.7354385964913</v>
      </c>
      <c r="X970" s="16">
        <f t="shared" si="173"/>
        <v>203.59649122807016</v>
      </c>
      <c r="Y970" s="16">
        <f t="shared" si="174"/>
        <v>5860.7894736842109</v>
      </c>
      <c r="Z970" s="7" t="str" cm="1">
        <f t="array" ref="Z970">_xlfn.IFS(K970&lt;2%,"Low",K970&lt;5%,"Medium",K970&lt;10%,"Good",K970&gt;10%,"Excellent")</f>
        <v>Medium</v>
      </c>
      <c r="AA970" s="16" t="str">
        <f>Data_Validation!N968</f>
        <v>Pass</v>
      </c>
    </row>
    <row r="971" spans="1:27" x14ac:dyDescent="0.35">
      <c r="A971" s="17" t="s">
        <v>94</v>
      </c>
      <c r="B971" s="3" t="s">
        <v>28</v>
      </c>
      <c r="C971" s="3" t="s">
        <v>69</v>
      </c>
      <c r="D971" s="3" t="s">
        <v>63</v>
      </c>
      <c r="E971" s="3" t="s">
        <v>38</v>
      </c>
      <c r="F971" s="3">
        <v>16158.8</v>
      </c>
      <c r="G971" s="3">
        <v>38206</v>
      </c>
      <c r="H971" s="3">
        <v>41070</v>
      </c>
      <c r="I971" s="3">
        <v>88607.85</v>
      </c>
      <c r="J971" s="3">
        <v>29</v>
      </c>
      <c r="K971" s="15">
        <f t="shared" si="165"/>
        <v>1.0749620478458881</v>
      </c>
      <c r="L971" s="16">
        <f t="shared" si="175"/>
        <v>0.39344533722912101</v>
      </c>
      <c r="M971" s="16">
        <f t="shared" si="166"/>
        <v>422.93880542323194</v>
      </c>
      <c r="N971" s="16">
        <f t="shared" si="167"/>
        <v>5.4835662301656072</v>
      </c>
      <c r="O971" s="16">
        <f t="shared" si="168"/>
        <v>4.4835662301656072</v>
      </c>
      <c r="P971" s="1">
        <v>2025</v>
      </c>
      <c r="Q971" s="1" t="s">
        <v>45</v>
      </c>
      <c r="R971" s="1" t="s">
        <v>46</v>
      </c>
      <c r="S971" s="70">
        <f>DATE(Table2[[#This Row],[Year]],MONTH(DATEVALUE("1-"&amp;Table2[[#This Row],[Month]]&amp;"-2000")),1)</f>
        <v>45778</v>
      </c>
      <c r="T971" s="16">
        <f t="shared" si="169"/>
        <v>2.1574835646457271</v>
      </c>
      <c r="U971" s="16">
        <f t="shared" si="170"/>
        <v>2.3192129508454169</v>
      </c>
      <c r="V971" s="16">
        <f t="shared" si="171"/>
        <v>557.19999999999993</v>
      </c>
      <c r="W971" s="16">
        <f t="shared" si="172"/>
        <v>3055.4431034482759</v>
      </c>
      <c r="X971" s="16">
        <f t="shared" si="173"/>
        <v>1416.2068965517242</v>
      </c>
      <c r="Y971" s="16">
        <f t="shared" si="174"/>
        <v>1317.4482758620691</v>
      </c>
      <c r="Z971" s="7" t="str" cm="1">
        <f t="array" ref="Z971">_xlfn.IFS(K971&lt;2%,"Low",K971&lt;5%,"Medium",K971&lt;10%,"Good",K971&gt;10%,"Excellent")</f>
        <v>Excellent</v>
      </c>
      <c r="AA971" s="16" t="str">
        <f>Data_Validation!N969</f>
        <v>Fail</v>
      </c>
    </row>
    <row r="972" spans="1:27" x14ac:dyDescent="0.35">
      <c r="A972" s="17" t="s">
        <v>64</v>
      </c>
      <c r="B972" s="3" t="s">
        <v>19</v>
      </c>
      <c r="C972" s="3" t="s">
        <v>36</v>
      </c>
      <c r="D972" s="3" t="s">
        <v>51</v>
      </c>
      <c r="E972" s="3" t="s">
        <v>38</v>
      </c>
      <c r="F972" s="3">
        <v>6791</v>
      </c>
      <c r="G972" s="3">
        <v>140182</v>
      </c>
      <c r="H972" s="3">
        <v>35139</v>
      </c>
      <c r="I972" s="3">
        <v>186654.39</v>
      </c>
      <c r="J972" s="3">
        <v>7</v>
      </c>
      <c r="K972" s="15">
        <f t="shared" si="165"/>
        <v>0.25066699005578463</v>
      </c>
      <c r="L972" s="16">
        <f t="shared" si="175"/>
        <v>0.19326104897692023</v>
      </c>
      <c r="M972" s="16">
        <f t="shared" si="166"/>
        <v>48.444165442068169</v>
      </c>
      <c r="N972" s="16">
        <f t="shared" si="167"/>
        <v>27.485552937711681</v>
      </c>
      <c r="O972" s="16">
        <f t="shared" si="168"/>
        <v>26.485552937711681</v>
      </c>
      <c r="P972" s="1">
        <v>2025</v>
      </c>
      <c r="Q972" s="1" t="s">
        <v>45</v>
      </c>
      <c r="R972" s="1" t="s">
        <v>46</v>
      </c>
      <c r="S972" s="70">
        <f>DATE(Table2[[#This Row],[Year]],MONTH(DATEVALUE("1-"&amp;Table2[[#This Row],[Month]]&amp;"-2000")),1)</f>
        <v>45778</v>
      </c>
      <c r="T972" s="16">
        <f t="shared" si="169"/>
        <v>5.3118867924528308</v>
      </c>
      <c r="U972" s="16">
        <f t="shared" si="170"/>
        <v>1.3315146737812273</v>
      </c>
      <c r="V972" s="16">
        <f t="shared" si="171"/>
        <v>970.14285714285711</v>
      </c>
      <c r="W972" s="16">
        <f t="shared" si="172"/>
        <v>26664.912857142859</v>
      </c>
      <c r="X972" s="16">
        <f t="shared" si="173"/>
        <v>5019.8571428571431</v>
      </c>
      <c r="Y972" s="16">
        <f t="shared" si="174"/>
        <v>20026</v>
      </c>
      <c r="Z972" s="7" t="str" cm="1">
        <f t="array" ref="Z972">_xlfn.IFS(K972&lt;2%,"Low",K972&lt;5%,"Medium",K972&lt;10%,"Good",K972&gt;10%,"Excellent")</f>
        <v>Excellent</v>
      </c>
      <c r="AA972" s="16" t="str">
        <f>Data_Validation!N970</f>
        <v>Pass</v>
      </c>
    </row>
    <row r="973" spans="1:27" x14ac:dyDescent="0.35">
      <c r="A973" s="17" t="s">
        <v>84</v>
      </c>
      <c r="B973" s="3" t="s">
        <v>28</v>
      </c>
      <c r="C973" s="3" t="s">
        <v>69</v>
      </c>
      <c r="D973" s="3" t="s">
        <v>51</v>
      </c>
      <c r="E973" s="3" t="s">
        <v>30</v>
      </c>
      <c r="F973" s="3">
        <v>37783.93</v>
      </c>
      <c r="G973" s="3">
        <v>734233</v>
      </c>
      <c r="H973" s="3">
        <v>44113</v>
      </c>
      <c r="I973" s="3">
        <v>63720.58</v>
      </c>
      <c r="J973" s="3">
        <v>53</v>
      </c>
      <c r="K973" s="15">
        <f t="shared" si="165"/>
        <v>6.0080383202607349E-2</v>
      </c>
      <c r="L973" s="16">
        <f t="shared" si="175"/>
        <v>0.85652596740189968</v>
      </c>
      <c r="M973" s="16">
        <f t="shared" si="166"/>
        <v>51.460408344490105</v>
      </c>
      <c r="N973" s="16">
        <f t="shared" si="167"/>
        <v>1.686446592506391</v>
      </c>
      <c r="O973" s="16">
        <f t="shared" si="168"/>
        <v>0.68644659250639095</v>
      </c>
      <c r="P973" s="1">
        <v>2025</v>
      </c>
      <c r="Q973" s="1" t="s">
        <v>45</v>
      </c>
      <c r="R973" s="1" t="s">
        <v>46</v>
      </c>
      <c r="S973" s="70">
        <f>DATE(Table2[[#This Row],[Year]],MONTH(DATEVALUE("1-"&amp;Table2[[#This Row],[Month]]&amp;"-2000")),1)</f>
        <v>45778</v>
      </c>
      <c r="T973" s="16">
        <f t="shared" si="169"/>
        <v>1.4444852991181738</v>
      </c>
      <c r="U973" s="16">
        <f t="shared" si="170"/>
        <v>8.6785230301552774E-2</v>
      </c>
      <c r="V973" s="16">
        <f t="shared" si="171"/>
        <v>712.90433962264149</v>
      </c>
      <c r="W973" s="16">
        <f t="shared" si="172"/>
        <v>1202.2750943396227</v>
      </c>
      <c r="X973" s="16">
        <f t="shared" si="173"/>
        <v>832.32075471698113</v>
      </c>
      <c r="Y973" s="16">
        <f t="shared" si="174"/>
        <v>13853.452830188678</v>
      </c>
      <c r="Z973" s="7" t="str" cm="1">
        <f t="array" ref="Z973">_xlfn.IFS(K973&lt;2%,"Low",K973&lt;5%,"Medium",K973&lt;10%,"Good",K973&gt;10%,"Excellent")</f>
        <v>Good</v>
      </c>
      <c r="AA973" s="16" t="str">
        <f>Data_Validation!N971</f>
        <v>Pass</v>
      </c>
    </row>
    <row r="974" spans="1:27" x14ac:dyDescent="0.35">
      <c r="A974" s="17" t="s">
        <v>100</v>
      </c>
      <c r="B974" s="3" t="s">
        <v>48</v>
      </c>
      <c r="C974" s="3" t="s">
        <v>69</v>
      </c>
      <c r="D974" s="3" t="s">
        <v>63</v>
      </c>
      <c r="E974" s="3" t="s">
        <v>30</v>
      </c>
      <c r="F974" s="3">
        <v>20320.740000000002</v>
      </c>
      <c r="G974" s="3">
        <v>471607</v>
      </c>
      <c r="H974" s="3">
        <v>22037</v>
      </c>
      <c r="I974" s="3">
        <v>110500.97</v>
      </c>
      <c r="J974" s="3">
        <v>45</v>
      </c>
      <c r="K974" s="15">
        <f t="shared" si="165"/>
        <v>4.672746587730886E-2</v>
      </c>
      <c r="L974" s="16">
        <f t="shared" si="175"/>
        <v>0.92211916322548448</v>
      </c>
      <c r="M974" s="16">
        <f t="shared" si="166"/>
        <v>43.088291734431429</v>
      </c>
      <c r="N974" s="16">
        <f t="shared" si="167"/>
        <v>5.437841830563257</v>
      </c>
      <c r="O974" s="16">
        <f t="shared" si="168"/>
        <v>4.4378418305632561</v>
      </c>
      <c r="P974" s="1">
        <v>2025</v>
      </c>
      <c r="Q974" s="1" t="s">
        <v>45</v>
      </c>
      <c r="R974" s="1" t="s">
        <v>46</v>
      </c>
      <c r="S974" s="70">
        <f>DATE(Table2[[#This Row],[Year]],MONTH(DATEVALUE("1-"&amp;Table2[[#This Row],[Month]]&amp;"-2000")),1)</f>
        <v>45778</v>
      </c>
      <c r="T974" s="16">
        <f t="shared" si="169"/>
        <v>5.014338158551527</v>
      </c>
      <c r="U974" s="16">
        <f t="shared" si="170"/>
        <v>0.23430731520100423</v>
      </c>
      <c r="V974" s="16">
        <f t="shared" si="171"/>
        <v>451.57200000000006</v>
      </c>
      <c r="W974" s="16">
        <f t="shared" si="172"/>
        <v>2455.5771111111112</v>
      </c>
      <c r="X974" s="16">
        <f t="shared" si="173"/>
        <v>489.71111111111111</v>
      </c>
      <c r="Y974" s="16">
        <f t="shared" si="174"/>
        <v>10480.155555555555</v>
      </c>
      <c r="Z974" s="7" t="str" cm="1">
        <f t="array" ref="Z974">_xlfn.IFS(K974&lt;2%,"Low",K974&lt;5%,"Medium",K974&lt;10%,"Good",K974&gt;10%,"Excellent")</f>
        <v>Medium</v>
      </c>
      <c r="AA974" s="16" t="str">
        <f>Data_Validation!N972</f>
        <v>Pass</v>
      </c>
    </row>
    <row r="975" spans="1:27" x14ac:dyDescent="0.35">
      <c r="A975" s="17" t="s">
        <v>117</v>
      </c>
      <c r="B975" s="3" t="s">
        <v>48</v>
      </c>
      <c r="C975" s="3" t="s">
        <v>29</v>
      </c>
      <c r="D975" s="3" t="s">
        <v>63</v>
      </c>
      <c r="E975" s="3" t="s">
        <v>38</v>
      </c>
      <c r="F975" s="3">
        <v>3653.26</v>
      </c>
      <c r="G975" s="3">
        <v>823331</v>
      </c>
      <c r="H975" s="3">
        <v>25817</v>
      </c>
      <c r="I975" s="3">
        <v>22489.25</v>
      </c>
      <c r="J975" s="3">
        <v>54</v>
      </c>
      <c r="K975" s="15">
        <f t="shared" si="165"/>
        <v>3.1356769027280643E-2</v>
      </c>
      <c r="L975" s="16">
        <f t="shared" si="175"/>
        <v>0.14150598442886472</v>
      </c>
      <c r="M975" s="16">
        <f t="shared" si="166"/>
        <v>4.4371704697138821</v>
      </c>
      <c r="N975" s="16">
        <f t="shared" si="167"/>
        <v>6.1559401739815938</v>
      </c>
      <c r="O975" s="16">
        <f t="shared" si="168"/>
        <v>5.1559401739815938</v>
      </c>
      <c r="P975" s="1">
        <v>2025</v>
      </c>
      <c r="Q975" s="1" t="s">
        <v>45</v>
      </c>
      <c r="R975" s="1" t="s">
        <v>46</v>
      </c>
      <c r="S975" s="70">
        <f>DATE(Table2[[#This Row],[Year]],MONTH(DATEVALUE("1-"&amp;Table2[[#This Row],[Month]]&amp;"-2000")),1)</f>
        <v>45778</v>
      </c>
      <c r="T975" s="16">
        <f t="shared" si="169"/>
        <v>0.87110237440446214</v>
      </c>
      <c r="U975" s="16">
        <f t="shared" si="170"/>
        <v>2.7314955953316466E-2</v>
      </c>
      <c r="V975" s="16">
        <f t="shared" si="171"/>
        <v>67.652962962962974</v>
      </c>
      <c r="W975" s="16">
        <f t="shared" si="172"/>
        <v>416.46759259259261</v>
      </c>
      <c r="X975" s="16">
        <f t="shared" si="173"/>
        <v>478.09259259259261</v>
      </c>
      <c r="Y975" s="16">
        <f t="shared" si="174"/>
        <v>15246.87037037037</v>
      </c>
      <c r="Z975" s="7" t="str" cm="1">
        <f t="array" ref="Z975">_xlfn.IFS(K975&lt;2%,"Low",K975&lt;5%,"Medium",K975&lt;10%,"Good",K975&gt;10%,"Excellent")</f>
        <v>Medium</v>
      </c>
      <c r="AA975" s="16" t="str">
        <f>Data_Validation!N973</f>
        <v>Pass</v>
      </c>
    </row>
    <row r="976" spans="1:27" x14ac:dyDescent="0.35">
      <c r="A976" s="17" t="s">
        <v>106</v>
      </c>
      <c r="B976" s="3" t="s">
        <v>35</v>
      </c>
      <c r="C976" s="3" t="s">
        <v>29</v>
      </c>
      <c r="D976" s="3" t="s">
        <v>37</v>
      </c>
      <c r="E976" s="3" t="s">
        <v>38</v>
      </c>
      <c r="F976" s="3">
        <v>714.77</v>
      </c>
      <c r="G976" s="3">
        <v>345209</v>
      </c>
      <c r="H976" s="3">
        <v>30314</v>
      </c>
      <c r="I976" s="3">
        <v>220187.73</v>
      </c>
      <c r="J976" s="3">
        <v>22</v>
      </c>
      <c r="K976" s="15">
        <f t="shared" si="165"/>
        <v>8.7813469521362417E-2</v>
      </c>
      <c r="L976" s="16">
        <f t="shared" si="175"/>
        <v>2.3578874447450021E-2</v>
      </c>
      <c r="M976" s="16">
        <f t="shared" si="166"/>
        <v>2.0705427726391838</v>
      </c>
      <c r="N976" s="16">
        <f t="shared" si="167"/>
        <v>308.05396141416122</v>
      </c>
      <c r="O976" s="16">
        <f t="shared" si="168"/>
        <v>307.05396141416122</v>
      </c>
      <c r="P976" s="1">
        <v>2025</v>
      </c>
      <c r="Q976" s="1" t="s">
        <v>45</v>
      </c>
      <c r="R976" s="1" t="s">
        <v>46</v>
      </c>
      <c r="S976" s="70">
        <f>DATE(Table2[[#This Row],[Year]],MONTH(DATEVALUE("1-"&amp;Table2[[#This Row],[Month]]&amp;"-2000")),1)</f>
        <v>45778</v>
      </c>
      <c r="T976" s="16">
        <f t="shared" si="169"/>
        <v>7.2635656792241212</v>
      </c>
      <c r="U976" s="16">
        <f t="shared" si="170"/>
        <v>0.63783890338896154</v>
      </c>
      <c r="V976" s="16">
        <f t="shared" si="171"/>
        <v>32.489545454545457</v>
      </c>
      <c r="W976" s="16">
        <f t="shared" si="172"/>
        <v>10008.533181818182</v>
      </c>
      <c r="X976" s="16">
        <f t="shared" si="173"/>
        <v>1377.909090909091</v>
      </c>
      <c r="Y976" s="16">
        <f t="shared" si="174"/>
        <v>15691.318181818182</v>
      </c>
      <c r="Z976" s="7" t="str" cm="1">
        <f t="array" ref="Z976">_xlfn.IFS(K976&lt;2%,"Low",K976&lt;5%,"Medium",K976&lt;10%,"Good",K976&gt;10%,"Excellent")</f>
        <v>Good</v>
      </c>
      <c r="AA976" s="16" t="str">
        <f>Data_Validation!N974</f>
        <v>Pass</v>
      </c>
    </row>
    <row r="977" spans="1:27" x14ac:dyDescent="0.35">
      <c r="A977" s="17" t="s">
        <v>106</v>
      </c>
      <c r="B977" s="3" t="s">
        <v>35</v>
      </c>
      <c r="C977" s="3" t="s">
        <v>20</v>
      </c>
      <c r="D977" s="3" t="s">
        <v>59</v>
      </c>
      <c r="E977" s="3" t="s">
        <v>30</v>
      </c>
      <c r="F977" s="3">
        <v>44427.44</v>
      </c>
      <c r="G977" s="3">
        <v>199934</v>
      </c>
      <c r="H977" s="3">
        <v>19353</v>
      </c>
      <c r="I977" s="3">
        <v>28912.75</v>
      </c>
      <c r="J977" s="3">
        <v>16</v>
      </c>
      <c r="K977" s="15">
        <f t="shared" si="165"/>
        <v>9.6796942991187088E-2</v>
      </c>
      <c r="L977" s="16">
        <f t="shared" si="175"/>
        <v>2.2956358187361134</v>
      </c>
      <c r="M977" s="16">
        <f t="shared" si="166"/>
        <v>222.21052947472666</v>
      </c>
      <c r="N977" s="16">
        <f t="shared" si="167"/>
        <v>0.6507858656722062</v>
      </c>
      <c r="O977" s="16">
        <f t="shared" si="168"/>
        <v>-0.34921413432779386</v>
      </c>
      <c r="P977" s="1">
        <v>2025</v>
      </c>
      <c r="Q977" s="1" t="s">
        <v>45</v>
      </c>
      <c r="R977" s="1" t="s">
        <v>46</v>
      </c>
      <c r="S977" s="70">
        <f>DATE(Table2[[#This Row],[Year]],MONTH(DATEVALUE("1-"&amp;Table2[[#This Row],[Month]]&amp;"-2000")),1)</f>
        <v>45778</v>
      </c>
      <c r="T977" s="16">
        <f t="shared" si="169"/>
        <v>1.4939673435643053</v>
      </c>
      <c r="U977" s="16">
        <f t="shared" si="170"/>
        <v>0.14461147178568928</v>
      </c>
      <c r="V977" s="16">
        <f t="shared" si="171"/>
        <v>2776.7150000000001</v>
      </c>
      <c r="W977" s="16">
        <f t="shared" si="172"/>
        <v>1807.046875</v>
      </c>
      <c r="X977" s="16">
        <f t="shared" si="173"/>
        <v>1209.5625</v>
      </c>
      <c r="Y977" s="16">
        <f t="shared" si="174"/>
        <v>12495.875</v>
      </c>
      <c r="Z977" s="7" t="str" cm="1">
        <f t="array" ref="Z977">_xlfn.IFS(K977&lt;2%,"Low",K977&lt;5%,"Medium",K977&lt;10%,"Good",K977&gt;10%,"Excellent")</f>
        <v>Good</v>
      </c>
      <c r="AA977" s="16" t="str">
        <f>Data_Validation!N975</f>
        <v>Pass</v>
      </c>
    </row>
    <row r="978" spans="1:27" x14ac:dyDescent="0.35">
      <c r="A978" s="17" t="s">
        <v>64</v>
      </c>
      <c r="B978" s="3" t="s">
        <v>48</v>
      </c>
      <c r="C978" s="3" t="s">
        <v>20</v>
      </c>
      <c r="D978" s="3" t="s">
        <v>21</v>
      </c>
      <c r="E978" s="3" t="s">
        <v>30</v>
      </c>
      <c r="F978" s="3">
        <v>24030.75</v>
      </c>
      <c r="G978" s="3">
        <v>159282</v>
      </c>
      <c r="H978" s="3">
        <v>24564</v>
      </c>
      <c r="I978" s="3">
        <v>137407.74</v>
      </c>
      <c r="J978" s="3">
        <v>46</v>
      </c>
      <c r="K978" s="15">
        <f t="shared" si="165"/>
        <v>0.15421704900742081</v>
      </c>
      <c r="L978" s="16">
        <f t="shared" si="175"/>
        <v>0.97829140205178311</v>
      </c>
      <c r="M978" s="16">
        <f t="shared" si="166"/>
        <v>150.86921309375825</v>
      </c>
      <c r="N978" s="16">
        <f t="shared" si="167"/>
        <v>5.7179963172185637</v>
      </c>
      <c r="O978" s="16">
        <f t="shared" si="168"/>
        <v>4.7179963172185637</v>
      </c>
      <c r="P978" s="1">
        <v>2025</v>
      </c>
      <c r="Q978" s="1" t="s">
        <v>45</v>
      </c>
      <c r="R978" s="1" t="s">
        <v>46</v>
      </c>
      <c r="S978" s="70">
        <f>DATE(Table2[[#This Row],[Year]],MONTH(DATEVALUE("1-"&amp;Table2[[#This Row],[Month]]&amp;"-2000")),1)</f>
        <v>45778</v>
      </c>
      <c r="T978" s="16">
        <f t="shared" si="169"/>
        <v>5.5938666340986805</v>
      </c>
      <c r="U978" s="16">
        <f t="shared" si="170"/>
        <v>0.86266960485177224</v>
      </c>
      <c r="V978" s="16">
        <f t="shared" si="171"/>
        <v>522.40760869565213</v>
      </c>
      <c r="W978" s="16">
        <f t="shared" si="172"/>
        <v>2987.1247826086956</v>
      </c>
      <c r="X978" s="16">
        <f t="shared" si="173"/>
        <v>534</v>
      </c>
      <c r="Y978" s="16">
        <f t="shared" si="174"/>
        <v>3462.6521739130435</v>
      </c>
      <c r="Z978" s="7" t="str" cm="1">
        <f t="array" ref="Z978">_xlfn.IFS(K978&lt;2%,"Low",K978&lt;5%,"Medium",K978&lt;10%,"Good",K978&gt;10%,"Excellent")</f>
        <v>Excellent</v>
      </c>
      <c r="AA978" s="16" t="str">
        <f>Data_Validation!N976</f>
        <v>Pass</v>
      </c>
    </row>
    <row r="979" spans="1:27" x14ac:dyDescent="0.35">
      <c r="A979" s="17" t="s">
        <v>42</v>
      </c>
      <c r="B979" s="3" t="s">
        <v>28</v>
      </c>
      <c r="C979" s="3" t="s">
        <v>36</v>
      </c>
      <c r="D979" s="3" t="s">
        <v>43</v>
      </c>
      <c r="E979" s="3" t="s">
        <v>38</v>
      </c>
      <c r="F979" s="3">
        <v>29680.39</v>
      </c>
      <c r="G979" s="3">
        <v>775179</v>
      </c>
      <c r="H979" s="3">
        <v>30208</v>
      </c>
      <c r="I979" s="3">
        <v>136375.88</v>
      </c>
      <c r="J979" s="3">
        <v>28</v>
      </c>
      <c r="K979" s="15">
        <f t="shared" si="165"/>
        <v>3.8969063919430225E-2</v>
      </c>
      <c r="L979" s="16">
        <f t="shared" si="175"/>
        <v>0.98253409692796612</v>
      </c>
      <c r="M979" s="16">
        <f t="shared" si="166"/>
        <v>38.288434026205564</v>
      </c>
      <c r="N979" s="16">
        <f t="shared" si="167"/>
        <v>4.5948142864699557</v>
      </c>
      <c r="O979" s="16">
        <f t="shared" si="168"/>
        <v>3.5948142864699557</v>
      </c>
      <c r="P979" s="1">
        <v>2025</v>
      </c>
      <c r="Q979" s="1" t="s">
        <v>45</v>
      </c>
      <c r="R979" s="1" t="s">
        <v>46</v>
      </c>
      <c r="S979" s="70">
        <f>DATE(Table2[[#This Row],[Year]],MONTH(DATEVALUE("1-"&amp;Table2[[#This Row],[Month]]&amp;"-2000")),1)</f>
        <v>45778</v>
      </c>
      <c r="T979" s="16">
        <f t="shared" si="169"/>
        <v>4.5145617055084744</v>
      </c>
      <c r="U979" s="16">
        <f t="shared" si="170"/>
        <v>0.17592824367017168</v>
      </c>
      <c r="V979" s="16">
        <f t="shared" si="171"/>
        <v>1060.0139285714286</v>
      </c>
      <c r="W979" s="16">
        <f t="shared" si="172"/>
        <v>4870.5671428571432</v>
      </c>
      <c r="X979" s="16">
        <f t="shared" si="173"/>
        <v>1078.8571428571429</v>
      </c>
      <c r="Y979" s="16">
        <f t="shared" si="174"/>
        <v>27684.964285714286</v>
      </c>
      <c r="Z979" s="7" t="str" cm="1">
        <f t="array" ref="Z979">_xlfn.IFS(K979&lt;2%,"Low",K979&lt;5%,"Medium",K979&lt;10%,"Good",K979&gt;10%,"Excellent")</f>
        <v>Medium</v>
      </c>
      <c r="AA979" s="16" t="str">
        <f>Data_Validation!N977</f>
        <v>Pass</v>
      </c>
    </row>
    <row r="980" spans="1:27" x14ac:dyDescent="0.35">
      <c r="A980" s="17" t="s">
        <v>86</v>
      </c>
      <c r="B980" s="3" t="s">
        <v>19</v>
      </c>
      <c r="C980" s="3" t="s">
        <v>69</v>
      </c>
      <c r="D980" s="3" t="s">
        <v>59</v>
      </c>
      <c r="E980" s="3" t="s">
        <v>22</v>
      </c>
      <c r="F980" s="3">
        <v>18594.650000000001</v>
      </c>
      <c r="G980" s="3">
        <v>682875</v>
      </c>
      <c r="H980" s="3">
        <v>42009</v>
      </c>
      <c r="I980" s="3">
        <v>151300.76</v>
      </c>
      <c r="J980" s="3">
        <v>58</v>
      </c>
      <c r="K980" s="15">
        <f t="shared" si="165"/>
        <v>6.1517847336628226E-2</v>
      </c>
      <c r="L980" s="16">
        <f t="shared" si="175"/>
        <v>0.44263491156656909</v>
      </c>
      <c r="M980" s="16">
        <f t="shared" si="166"/>
        <v>27.229946915614136</v>
      </c>
      <c r="N980" s="16">
        <f t="shared" si="167"/>
        <v>8.1367898831115397</v>
      </c>
      <c r="O980" s="16">
        <f t="shared" si="168"/>
        <v>7.1367898831115406</v>
      </c>
      <c r="P980" s="1">
        <v>2025</v>
      </c>
      <c r="Q980" s="1" t="s">
        <v>45</v>
      </c>
      <c r="R980" s="1" t="s">
        <v>46</v>
      </c>
      <c r="S980" s="70">
        <f>DATE(Table2[[#This Row],[Year]],MONTH(DATEVALUE("1-"&amp;Table2[[#This Row],[Month]]&amp;"-2000")),1)</f>
        <v>45778</v>
      </c>
      <c r="T980" s="16">
        <f t="shared" si="169"/>
        <v>3.6016272703468308</v>
      </c>
      <c r="U980" s="16">
        <f t="shared" si="170"/>
        <v>0.22156435658063336</v>
      </c>
      <c r="V980" s="16">
        <f t="shared" si="171"/>
        <v>320.5974137931035</v>
      </c>
      <c r="W980" s="16">
        <f t="shared" si="172"/>
        <v>2608.6337931034486</v>
      </c>
      <c r="X980" s="16">
        <f t="shared" si="173"/>
        <v>724.29310344827582</v>
      </c>
      <c r="Y980" s="16">
        <f t="shared" si="174"/>
        <v>11773.706896551725</v>
      </c>
      <c r="Z980" s="7" t="str" cm="1">
        <f t="array" ref="Z980">_xlfn.IFS(K980&lt;2%,"Low",K980&lt;5%,"Medium",K980&lt;10%,"Good",K980&gt;10%,"Excellent")</f>
        <v>Good</v>
      </c>
      <c r="AA980" s="16" t="str">
        <f>Data_Validation!N978</f>
        <v>Pass</v>
      </c>
    </row>
    <row r="981" spans="1:27" x14ac:dyDescent="0.35">
      <c r="A981" s="17" t="s">
        <v>100</v>
      </c>
      <c r="B981" s="3" t="s">
        <v>28</v>
      </c>
      <c r="C981" s="3" t="s">
        <v>36</v>
      </c>
      <c r="D981" s="3" t="s">
        <v>63</v>
      </c>
      <c r="E981" s="3" t="s">
        <v>22</v>
      </c>
      <c r="F981" s="3">
        <v>453.3</v>
      </c>
      <c r="G981" s="3">
        <v>161195</v>
      </c>
      <c r="H981" s="3">
        <v>49399</v>
      </c>
      <c r="I981" s="3">
        <v>206069.23</v>
      </c>
      <c r="J981" s="3">
        <v>26</v>
      </c>
      <c r="K981" s="15">
        <f t="shared" si="165"/>
        <v>0.30645491485467913</v>
      </c>
      <c r="L981" s="16">
        <f t="shared" si="175"/>
        <v>9.1762991153667081E-3</v>
      </c>
      <c r="M981" s="16">
        <f t="shared" si="166"/>
        <v>2.8121219640807715</v>
      </c>
      <c r="N981" s="16">
        <f t="shared" si="167"/>
        <v>454.59790425766602</v>
      </c>
      <c r="O981" s="16">
        <f t="shared" si="168"/>
        <v>453.59790425766602</v>
      </c>
      <c r="P981" s="1">
        <v>2025</v>
      </c>
      <c r="Q981" s="1" t="s">
        <v>45</v>
      </c>
      <c r="R981" s="1" t="s">
        <v>46</v>
      </c>
      <c r="S981" s="70">
        <f>DATE(Table2[[#This Row],[Year]],MONTH(DATEVALUE("1-"&amp;Table2[[#This Row],[Month]]&amp;"-2000")),1)</f>
        <v>45778</v>
      </c>
      <c r="T981" s="16">
        <f t="shared" si="169"/>
        <v>4.1715263466871804</v>
      </c>
      <c r="U981" s="16">
        <f t="shared" si="170"/>
        <v>1.2783847513880704</v>
      </c>
      <c r="V981" s="16">
        <f t="shared" si="171"/>
        <v>17.434615384615384</v>
      </c>
      <c r="W981" s="16">
        <f t="shared" si="172"/>
        <v>7925.7396153846157</v>
      </c>
      <c r="X981" s="16">
        <f t="shared" si="173"/>
        <v>1899.9615384615386</v>
      </c>
      <c r="Y981" s="16">
        <f t="shared" si="174"/>
        <v>6199.8076923076924</v>
      </c>
      <c r="Z981" s="7" t="str" cm="1">
        <f t="array" ref="Z981">_xlfn.IFS(K981&lt;2%,"Low",K981&lt;5%,"Medium",K981&lt;10%,"Good",K981&gt;10%,"Excellent")</f>
        <v>Excellent</v>
      </c>
      <c r="AA981" s="16" t="str">
        <f>Data_Validation!N979</f>
        <v>Pass</v>
      </c>
    </row>
    <row r="982" spans="1:27" x14ac:dyDescent="0.35">
      <c r="A982" s="17" t="s">
        <v>94</v>
      </c>
      <c r="B982" s="3" t="s">
        <v>28</v>
      </c>
      <c r="C982" s="3" t="s">
        <v>36</v>
      </c>
      <c r="D982" s="3" t="s">
        <v>21</v>
      </c>
      <c r="E982" s="3" t="s">
        <v>22</v>
      </c>
      <c r="F982" s="3">
        <v>11765.64</v>
      </c>
      <c r="G982" s="3">
        <v>324186</v>
      </c>
      <c r="H982" s="3">
        <v>27539</v>
      </c>
      <c r="I982" s="3">
        <v>85511.67</v>
      </c>
      <c r="J982" s="3">
        <v>43</v>
      </c>
      <c r="K982" s="15">
        <f t="shared" si="165"/>
        <v>8.4948147051384079E-2</v>
      </c>
      <c r="L982" s="16">
        <f t="shared" si="175"/>
        <v>0.42723555684665382</v>
      </c>
      <c r="M982" s="16">
        <f t="shared" si="166"/>
        <v>36.292868908589512</v>
      </c>
      <c r="N982" s="16">
        <f t="shared" si="167"/>
        <v>7.2679148775587219</v>
      </c>
      <c r="O982" s="16">
        <f t="shared" si="168"/>
        <v>6.2679148775587219</v>
      </c>
      <c r="P982" s="1">
        <v>2025</v>
      </c>
      <c r="Q982" s="1" t="s">
        <v>45</v>
      </c>
      <c r="R982" s="1" t="s">
        <v>46</v>
      </c>
      <c r="S982" s="70">
        <f>DATE(Table2[[#This Row],[Year]],MONTH(DATEVALUE("1-"&amp;Table2[[#This Row],[Month]]&amp;"-2000")),1)</f>
        <v>45778</v>
      </c>
      <c r="T982" s="16">
        <f t="shared" si="169"/>
        <v>3.1051116598278803</v>
      </c>
      <c r="U982" s="16">
        <f t="shared" si="170"/>
        <v>0.26377348189002608</v>
      </c>
      <c r="V982" s="16">
        <f t="shared" si="171"/>
        <v>273.61953488372092</v>
      </c>
      <c r="W982" s="16">
        <f t="shared" si="172"/>
        <v>1988.6434883720931</v>
      </c>
      <c r="X982" s="16">
        <f t="shared" si="173"/>
        <v>640.44186046511629</v>
      </c>
      <c r="Y982" s="16">
        <f t="shared" si="174"/>
        <v>7539.2093023255811</v>
      </c>
      <c r="Z982" s="7" t="str" cm="1">
        <f t="array" ref="Z982">_xlfn.IFS(K982&lt;2%,"Low",K982&lt;5%,"Medium",K982&lt;10%,"Good",K982&gt;10%,"Excellent")</f>
        <v>Good</v>
      </c>
      <c r="AA982" s="16" t="str">
        <f>Data_Validation!N980</f>
        <v>Pass</v>
      </c>
    </row>
    <row r="983" spans="1:27" x14ac:dyDescent="0.35">
      <c r="A983" s="17" t="s">
        <v>85</v>
      </c>
      <c r="B983" s="3" t="s">
        <v>19</v>
      </c>
      <c r="C983" s="3" t="s">
        <v>20</v>
      </c>
      <c r="D983" s="3" t="s">
        <v>59</v>
      </c>
      <c r="E983" s="3" t="s">
        <v>30</v>
      </c>
      <c r="F983" s="3">
        <v>4320.8999999999996</v>
      </c>
      <c r="G983" s="3">
        <v>525530</v>
      </c>
      <c r="H983" s="3">
        <v>21113</v>
      </c>
      <c r="I983" s="3">
        <v>64018.5</v>
      </c>
      <c r="J983" s="3">
        <v>37</v>
      </c>
      <c r="K983" s="15">
        <f t="shared" si="165"/>
        <v>4.0174680798432061E-2</v>
      </c>
      <c r="L983" s="16">
        <f t="shared" si="175"/>
        <v>0.20465589920901811</v>
      </c>
      <c r="M983" s="16">
        <f t="shared" si="166"/>
        <v>8.2219854242383867</v>
      </c>
      <c r="N983" s="16">
        <f t="shared" si="167"/>
        <v>14.816010553356941</v>
      </c>
      <c r="O983" s="16">
        <f t="shared" si="168"/>
        <v>13.816010553356941</v>
      </c>
      <c r="P983" s="1">
        <v>2025</v>
      </c>
      <c r="Q983" s="1" t="s">
        <v>45</v>
      </c>
      <c r="R983" s="1" t="s">
        <v>46</v>
      </c>
      <c r="S983" s="70">
        <f>DATE(Table2[[#This Row],[Year]],MONTH(DATEVALUE("1-"&amp;Table2[[#This Row],[Month]]&amp;"-2000")),1)</f>
        <v>45778</v>
      </c>
      <c r="T983" s="16">
        <f t="shared" si="169"/>
        <v>3.0321839624875668</v>
      </c>
      <c r="U983" s="16">
        <f t="shared" si="170"/>
        <v>0.12181702281506289</v>
      </c>
      <c r="V983" s="16">
        <f t="shared" si="171"/>
        <v>116.78108108108107</v>
      </c>
      <c r="W983" s="16">
        <f t="shared" si="172"/>
        <v>1730.2297297297298</v>
      </c>
      <c r="X983" s="16">
        <f t="shared" si="173"/>
        <v>570.62162162162167</v>
      </c>
      <c r="Y983" s="16">
        <f t="shared" si="174"/>
        <v>14203.513513513513</v>
      </c>
      <c r="Z983" s="7" t="str" cm="1">
        <f t="array" ref="Z983">_xlfn.IFS(K983&lt;2%,"Low",K983&lt;5%,"Medium",K983&lt;10%,"Good",K983&gt;10%,"Excellent")</f>
        <v>Medium</v>
      </c>
      <c r="AA983" s="16" t="str">
        <f>Data_Validation!N981</f>
        <v>Pass</v>
      </c>
    </row>
    <row r="984" spans="1:27" x14ac:dyDescent="0.35">
      <c r="A984" s="17" t="s">
        <v>47</v>
      </c>
      <c r="B984" s="3" t="s">
        <v>28</v>
      </c>
      <c r="C984" s="3" t="s">
        <v>36</v>
      </c>
      <c r="D984" s="3" t="s">
        <v>63</v>
      </c>
      <c r="E984" s="3" t="s">
        <v>38</v>
      </c>
      <c r="F984" s="3">
        <v>10636.19</v>
      </c>
      <c r="G984" s="3">
        <v>588381</v>
      </c>
      <c r="H984" s="3">
        <v>25074</v>
      </c>
      <c r="I984" s="3">
        <v>33052.769999999997</v>
      </c>
      <c r="J984" s="3">
        <v>32</v>
      </c>
      <c r="K984" s="15">
        <f t="shared" si="165"/>
        <v>4.2615244204010666E-2</v>
      </c>
      <c r="L984" s="16">
        <f t="shared" si="175"/>
        <v>0.42419199170455452</v>
      </c>
      <c r="M984" s="16">
        <f t="shared" si="166"/>
        <v>18.07704531587526</v>
      </c>
      <c r="N984" s="16">
        <f t="shared" si="167"/>
        <v>3.1075761151314518</v>
      </c>
      <c r="O984" s="16">
        <f t="shared" si="168"/>
        <v>2.1075761151314514</v>
      </c>
      <c r="P984" s="1">
        <v>2025</v>
      </c>
      <c r="Q984" s="1" t="s">
        <v>45</v>
      </c>
      <c r="R984" s="1" t="s">
        <v>46</v>
      </c>
      <c r="S984" s="70">
        <f>DATE(Table2[[#This Row],[Year]],MONTH(DATEVALUE("1-"&amp;Table2[[#This Row],[Month]]&amp;"-2000")),1)</f>
        <v>45778</v>
      </c>
      <c r="T984" s="16">
        <f t="shared" si="169"/>
        <v>1.3182089016511125</v>
      </c>
      <c r="U984" s="16">
        <f t="shared" si="170"/>
        <v>5.6175794255762843E-2</v>
      </c>
      <c r="V984" s="16">
        <f t="shared" si="171"/>
        <v>332.38093750000002</v>
      </c>
      <c r="W984" s="16">
        <f t="shared" si="172"/>
        <v>1032.8990624999999</v>
      </c>
      <c r="X984" s="16">
        <f t="shared" si="173"/>
        <v>783.5625</v>
      </c>
      <c r="Y984" s="16">
        <f t="shared" si="174"/>
        <v>18386.90625</v>
      </c>
      <c r="Z984" s="7" t="str" cm="1">
        <f t="array" ref="Z984">_xlfn.IFS(K984&lt;2%,"Low",K984&lt;5%,"Medium",K984&lt;10%,"Good",K984&gt;10%,"Excellent")</f>
        <v>Medium</v>
      </c>
      <c r="AA984" s="16" t="str">
        <f>Data_Validation!N982</f>
        <v>Pass</v>
      </c>
    </row>
    <row r="985" spans="1:27" x14ac:dyDescent="0.35">
      <c r="A985" s="17" t="s">
        <v>100</v>
      </c>
      <c r="B985" s="3" t="s">
        <v>19</v>
      </c>
      <c r="C985" s="3" t="s">
        <v>69</v>
      </c>
      <c r="D985" s="3" t="s">
        <v>59</v>
      </c>
      <c r="E985" s="3" t="s">
        <v>30</v>
      </c>
      <c r="F985" s="3">
        <v>3294.68</v>
      </c>
      <c r="G985" s="3">
        <v>147509</v>
      </c>
      <c r="H985" s="3">
        <v>37841</v>
      </c>
      <c r="I985" s="3">
        <v>173072.92</v>
      </c>
      <c r="J985" s="3">
        <v>31</v>
      </c>
      <c r="K985" s="15">
        <f t="shared" si="165"/>
        <v>0.25653349965086875</v>
      </c>
      <c r="L985" s="16">
        <f t="shared" si="175"/>
        <v>8.7066409450067384E-2</v>
      </c>
      <c r="M985" s="16">
        <f t="shared" si="166"/>
        <v>22.33545071826126</v>
      </c>
      <c r="N985" s="16">
        <f t="shared" si="167"/>
        <v>52.531025774885578</v>
      </c>
      <c r="O985" s="16">
        <f t="shared" si="168"/>
        <v>51.531025774885585</v>
      </c>
      <c r="P985" s="1">
        <v>2025</v>
      </c>
      <c r="Q985" s="1" t="s">
        <v>45</v>
      </c>
      <c r="R985" s="1" t="s">
        <v>46</v>
      </c>
      <c r="S985" s="70">
        <f>DATE(Table2[[#This Row],[Year]],MONTH(DATEVALUE("1-"&amp;Table2[[#This Row],[Month]]&amp;"-2000")),1)</f>
        <v>45778</v>
      </c>
      <c r="T985" s="16">
        <f t="shared" si="169"/>
        <v>4.5736877989482307</v>
      </c>
      <c r="U985" s="16">
        <f t="shared" si="170"/>
        <v>1.1733041373746687</v>
      </c>
      <c r="V985" s="16">
        <f t="shared" si="171"/>
        <v>106.28</v>
      </c>
      <c r="W985" s="16">
        <f t="shared" si="172"/>
        <v>5582.9974193548387</v>
      </c>
      <c r="X985" s="16">
        <f t="shared" si="173"/>
        <v>1220.6774193548388</v>
      </c>
      <c r="Y985" s="16">
        <f t="shared" si="174"/>
        <v>4758.3548387096771</v>
      </c>
      <c r="Z985" s="7" t="str" cm="1">
        <f t="array" ref="Z985">_xlfn.IFS(K985&lt;2%,"Low",K985&lt;5%,"Medium",K985&lt;10%,"Good",K985&gt;10%,"Excellent")</f>
        <v>Excellent</v>
      </c>
      <c r="AA985" s="16" t="str">
        <f>Data_Validation!N983</f>
        <v>Pass</v>
      </c>
    </row>
    <row r="986" spans="1:27" x14ac:dyDescent="0.35">
      <c r="A986" s="17" t="s">
        <v>116</v>
      </c>
      <c r="B986" s="3" t="s">
        <v>28</v>
      </c>
      <c r="C986" s="3" t="s">
        <v>20</v>
      </c>
      <c r="D986" s="3" t="s">
        <v>43</v>
      </c>
      <c r="E986" s="3" t="s">
        <v>38</v>
      </c>
      <c r="F986" s="3">
        <v>9682.94</v>
      </c>
      <c r="G986" s="3">
        <v>298946</v>
      </c>
      <c r="H986" s="3">
        <v>44704</v>
      </c>
      <c r="I986" s="3">
        <v>102376.27</v>
      </c>
      <c r="J986" s="3">
        <v>40</v>
      </c>
      <c r="K986" s="15">
        <f t="shared" si="165"/>
        <v>0.14953871267720592</v>
      </c>
      <c r="L986" s="16">
        <f t="shared" si="175"/>
        <v>0.21660119899785255</v>
      </c>
      <c r="M986" s="16">
        <f t="shared" si="166"/>
        <v>32.390264462478179</v>
      </c>
      <c r="N986" s="16">
        <f t="shared" si="167"/>
        <v>10.572849774965041</v>
      </c>
      <c r="O986" s="16">
        <f t="shared" si="168"/>
        <v>9.5728497749650412</v>
      </c>
      <c r="P986" s="1">
        <v>2025</v>
      </c>
      <c r="Q986" s="1" t="s">
        <v>45</v>
      </c>
      <c r="R986" s="1" t="s">
        <v>46</v>
      </c>
      <c r="S986" s="70">
        <f>DATE(Table2[[#This Row],[Year]],MONTH(DATEVALUE("1-"&amp;Table2[[#This Row],[Month]]&amp;"-2000")),1)</f>
        <v>45778</v>
      </c>
      <c r="T986" s="16">
        <f t="shared" si="169"/>
        <v>2.2900919380816034</v>
      </c>
      <c r="U986" s="16">
        <f t="shared" si="170"/>
        <v>0.34245740033317057</v>
      </c>
      <c r="V986" s="16">
        <f t="shared" si="171"/>
        <v>242.07350000000002</v>
      </c>
      <c r="W986" s="16">
        <f t="shared" si="172"/>
        <v>2559.4067500000001</v>
      </c>
      <c r="X986" s="16">
        <f t="shared" si="173"/>
        <v>1117.5999999999999</v>
      </c>
      <c r="Y986" s="16">
        <f t="shared" si="174"/>
        <v>7473.65</v>
      </c>
      <c r="Z986" s="7" t="str" cm="1">
        <f t="array" ref="Z986">_xlfn.IFS(K986&lt;2%,"Low",K986&lt;5%,"Medium",K986&lt;10%,"Good",K986&gt;10%,"Excellent")</f>
        <v>Excellent</v>
      </c>
      <c r="AA986" s="16" t="str">
        <f>Data_Validation!N984</f>
        <v>Pass</v>
      </c>
    </row>
    <row r="987" spans="1:27" x14ac:dyDescent="0.35">
      <c r="A987" s="17" t="s">
        <v>88</v>
      </c>
      <c r="B987" s="3" t="s">
        <v>35</v>
      </c>
      <c r="C987" s="3" t="s">
        <v>36</v>
      </c>
      <c r="D987" s="3" t="s">
        <v>51</v>
      </c>
      <c r="E987" s="3" t="s">
        <v>38</v>
      </c>
      <c r="F987" s="3">
        <v>7511.17</v>
      </c>
      <c r="G987" s="3">
        <v>394546</v>
      </c>
      <c r="H987" s="3">
        <v>33685</v>
      </c>
      <c r="I987" s="3">
        <v>211984.73</v>
      </c>
      <c r="J987" s="3">
        <v>45</v>
      </c>
      <c r="K987" s="15">
        <f t="shared" si="165"/>
        <v>8.5376610078419249E-2</v>
      </c>
      <c r="L987" s="16">
        <f t="shared" si="175"/>
        <v>0.22298263321953393</v>
      </c>
      <c r="M987" s="16">
        <f t="shared" si="166"/>
        <v>19.037501330643323</v>
      </c>
      <c r="N987" s="16">
        <f t="shared" si="167"/>
        <v>28.222597810993495</v>
      </c>
      <c r="O987" s="16">
        <f t="shared" si="168"/>
        <v>27.222597810993491</v>
      </c>
      <c r="P987" s="1">
        <v>2025</v>
      </c>
      <c r="Q987" s="1" t="s">
        <v>45</v>
      </c>
      <c r="R987" s="1" t="s">
        <v>46</v>
      </c>
      <c r="S987" s="70">
        <f>DATE(Table2[[#This Row],[Year]],MONTH(DATEVALUE("1-"&amp;Table2[[#This Row],[Month]]&amp;"-2000")),1)</f>
        <v>45778</v>
      </c>
      <c r="T987" s="16">
        <f t="shared" si="169"/>
        <v>6.2931491761911831</v>
      </c>
      <c r="U987" s="16">
        <f t="shared" si="170"/>
        <v>0.53728774338099994</v>
      </c>
      <c r="V987" s="16">
        <f t="shared" si="171"/>
        <v>166.9148888888889</v>
      </c>
      <c r="W987" s="16">
        <f t="shared" si="172"/>
        <v>4710.771777777778</v>
      </c>
      <c r="X987" s="16">
        <f t="shared" si="173"/>
        <v>748.55555555555554</v>
      </c>
      <c r="Y987" s="16">
        <f t="shared" si="174"/>
        <v>8767.6888888888898</v>
      </c>
      <c r="Z987" s="7" t="str" cm="1">
        <f t="array" ref="Z987">_xlfn.IFS(K987&lt;2%,"Low",K987&lt;5%,"Medium",K987&lt;10%,"Good",K987&gt;10%,"Excellent")</f>
        <v>Good</v>
      </c>
      <c r="AA987" s="16" t="str">
        <f>Data_Validation!N985</f>
        <v>Pass</v>
      </c>
    </row>
    <row r="988" spans="1:27" x14ac:dyDescent="0.35">
      <c r="A988" s="17" t="s">
        <v>64</v>
      </c>
      <c r="B988" s="3" t="s">
        <v>19</v>
      </c>
      <c r="C988" s="3" t="s">
        <v>20</v>
      </c>
      <c r="D988" s="3" t="s">
        <v>21</v>
      </c>
      <c r="E988" s="3" t="s">
        <v>38</v>
      </c>
      <c r="F988" s="3">
        <v>13407.45</v>
      </c>
      <c r="G988" s="3">
        <v>864602</v>
      </c>
      <c r="H988" s="3">
        <v>43304</v>
      </c>
      <c r="I988" s="3">
        <v>228532.21</v>
      </c>
      <c r="J988" s="3">
        <v>37</v>
      </c>
      <c r="K988" s="15">
        <f t="shared" si="165"/>
        <v>5.008547285340538E-2</v>
      </c>
      <c r="L988" s="16">
        <f t="shared" si="175"/>
        <v>0.30961227600221691</v>
      </c>
      <c r="M988" s="16">
        <f t="shared" si="166"/>
        <v>15.507077244790089</v>
      </c>
      <c r="N988" s="16">
        <f t="shared" si="167"/>
        <v>17.045165933865125</v>
      </c>
      <c r="O988" s="16">
        <f t="shared" si="168"/>
        <v>16.045165933865125</v>
      </c>
      <c r="P988" s="1">
        <v>2025</v>
      </c>
      <c r="Q988" s="1" t="s">
        <v>45</v>
      </c>
      <c r="R988" s="1" t="s">
        <v>46</v>
      </c>
      <c r="S988" s="70">
        <f>DATE(Table2[[#This Row],[Year]],MONTH(DATEVALUE("1-"&amp;Table2[[#This Row],[Month]]&amp;"-2000")),1)</f>
        <v>45778</v>
      </c>
      <c r="T988" s="16">
        <f t="shared" si="169"/>
        <v>5.2773926196194347</v>
      </c>
      <c r="U988" s="16">
        <f t="shared" si="170"/>
        <v>0.2643207047867111</v>
      </c>
      <c r="V988" s="16">
        <f t="shared" si="171"/>
        <v>362.36351351351351</v>
      </c>
      <c r="W988" s="16">
        <f t="shared" si="172"/>
        <v>6176.5462162162157</v>
      </c>
      <c r="X988" s="16">
        <f t="shared" si="173"/>
        <v>1170.3783783783783</v>
      </c>
      <c r="Y988" s="16">
        <f t="shared" si="174"/>
        <v>23367.62162162162</v>
      </c>
      <c r="Z988" s="7" t="str" cm="1">
        <f t="array" ref="Z988">_xlfn.IFS(K988&lt;2%,"Low",K988&lt;5%,"Medium",K988&lt;10%,"Good",K988&gt;10%,"Excellent")</f>
        <v>Good</v>
      </c>
      <c r="AA988" s="16" t="str">
        <f>Data_Validation!N986</f>
        <v>Pass</v>
      </c>
    </row>
    <row r="989" spans="1:27" x14ac:dyDescent="0.35">
      <c r="A989" s="17" t="s">
        <v>104</v>
      </c>
      <c r="B989" s="3" t="s">
        <v>28</v>
      </c>
      <c r="C989" s="3" t="s">
        <v>36</v>
      </c>
      <c r="D989" s="3" t="s">
        <v>21</v>
      </c>
      <c r="E989" s="3" t="s">
        <v>22</v>
      </c>
      <c r="F989" s="3">
        <v>29148.240000000002</v>
      </c>
      <c r="G989" s="3">
        <v>22964</v>
      </c>
      <c r="H989" s="3">
        <v>46002</v>
      </c>
      <c r="I989" s="3">
        <v>157649.19</v>
      </c>
      <c r="J989" s="3">
        <v>23</v>
      </c>
      <c r="K989" s="15">
        <f t="shared" si="165"/>
        <v>2.0032224351158336</v>
      </c>
      <c r="L989" s="16">
        <f t="shared" si="175"/>
        <v>0.63362984218077478</v>
      </c>
      <c r="M989" s="16">
        <f t="shared" si="166"/>
        <v>1269.301515415433</v>
      </c>
      <c r="N989" s="16">
        <f t="shared" si="167"/>
        <v>5.4085320417287628</v>
      </c>
      <c r="O989" s="16">
        <f t="shared" si="168"/>
        <v>4.4085320417287628</v>
      </c>
      <c r="P989" s="1">
        <v>2025</v>
      </c>
      <c r="Q989" s="1" t="s">
        <v>45</v>
      </c>
      <c r="R989" s="1" t="s">
        <v>46</v>
      </c>
      <c r="S989" s="70">
        <f>DATE(Table2[[#This Row],[Year]],MONTH(DATEVALUE("1-"&amp;Table2[[#This Row],[Month]]&amp;"-2000")),1)</f>
        <v>45778</v>
      </c>
      <c r="T989" s="16">
        <f t="shared" si="169"/>
        <v>3.4270073040302598</v>
      </c>
      <c r="U989" s="16">
        <f t="shared" si="170"/>
        <v>6.8650579167392438</v>
      </c>
      <c r="V989" s="16">
        <f t="shared" si="171"/>
        <v>1267.3147826086956</v>
      </c>
      <c r="W989" s="16">
        <f t="shared" si="172"/>
        <v>6854.3126086956527</v>
      </c>
      <c r="X989" s="16">
        <f t="shared" si="173"/>
        <v>2000.0869565217392</v>
      </c>
      <c r="Y989" s="16">
        <f t="shared" si="174"/>
        <v>998.43478260869563</v>
      </c>
      <c r="Z989" s="7" t="str" cm="1">
        <f t="array" ref="Z989">_xlfn.IFS(K989&lt;2%,"Low",K989&lt;5%,"Medium",K989&lt;10%,"Good",K989&gt;10%,"Excellent")</f>
        <v>Excellent</v>
      </c>
      <c r="AA989" s="16" t="str">
        <f>Data_Validation!N987</f>
        <v>Fail</v>
      </c>
    </row>
    <row r="990" spans="1:27" x14ac:dyDescent="0.35">
      <c r="A990" s="17" t="s">
        <v>87</v>
      </c>
      <c r="B990" s="3" t="s">
        <v>19</v>
      </c>
      <c r="C990" s="3" t="s">
        <v>29</v>
      </c>
      <c r="D990" s="3" t="s">
        <v>51</v>
      </c>
      <c r="E990" s="3" t="s">
        <v>22</v>
      </c>
      <c r="F990" s="3">
        <v>18487.61</v>
      </c>
      <c r="G990" s="3">
        <v>661194</v>
      </c>
      <c r="H990" s="3">
        <v>4047</v>
      </c>
      <c r="I990" s="3">
        <v>154359.57</v>
      </c>
      <c r="J990" s="3">
        <v>43</v>
      </c>
      <c r="K990" s="15">
        <f t="shared" si="165"/>
        <v>6.12074519732484E-3</v>
      </c>
      <c r="L990" s="16">
        <f t="shared" si="175"/>
        <v>4.5682258463059053</v>
      </c>
      <c r="M990" s="16">
        <f t="shared" si="166"/>
        <v>27.960946409072076</v>
      </c>
      <c r="N990" s="16">
        <f t="shared" si="167"/>
        <v>8.349352350033346</v>
      </c>
      <c r="O990" s="16">
        <f t="shared" si="168"/>
        <v>7.3493523500333477</v>
      </c>
      <c r="P990" s="1">
        <v>2025</v>
      </c>
      <c r="Q990" s="1" t="s">
        <v>45</v>
      </c>
      <c r="R990" s="1" t="s">
        <v>46</v>
      </c>
      <c r="S990" s="70">
        <f>DATE(Table2[[#This Row],[Year]],MONTH(DATEVALUE("1-"&amp;Table2[[#This Row],[Month]]&amp;"-2000")),1)</f>
        <v>45778</v>
      </c>
      <c r="T990" s="16">
        <f t="shared" si="169"/>
        <v>38.14172720533729</v>
      </c>
      <c r="U990" s="16">
        <f t="shared" si="170"/>
        <v>0.23345579360974239</v>
      </c>
      <c r="V990" s="16">
        <f t="shared" si="171"/>
        <v>429.94441860465116</v>
      </c>
      <c r="W990" s="16">
        <f t="shared" si="172"/>
        <v>3589.7574418604654</v>
      </c>
      <c r="X990" s="16">
        <f t="shared" si="173"/>
        <v>94.116279069767444</v>
      </c>
      <c r="Y990" s="16">
        <f t="shared" si="174"/>
        <v>15376.60465116279</v>
      </c>
      <c r="Z990" s="7" t="str" cm="1">
        <f t="array" ref="Z990">_xlfn.IFS(K990&lt;2%,"Low",K990&lt;5%,"Medium",K990&lt;10%,"Good",K990&gt;10%,"Excellent")</f>
        <v>Low</v>
      </c>
      <c r="AA990" s="16" t="str">
        <f>Data_Validation!N988</f>
        <v>Pass</v>
      </c>
    </row>
    <row r="991" spans="1:27" x14ac:dyDescent="0.35">
      <c r="A991" s="17" t="s">
        <v>70</v>
      </c>
      <c r="B991" s="3" t="s">
        <v>35</v>
      </c>
      <c r="C991" s="3" t="s">
        <v>36</v>
      </c>
      <c r="D991" s="3" t="s">
        <v>21</v>
      </c>
      <c r="E991" s="3" t="s">
        <v>38</v>
      </c>
      <c r="F991" s="3">
        <v>34927.42</v>
      </c>
      <c r="G991" s="3">
        <v>932188</v>
      </c>
      <c r="H991" s="3">
        <v>42333</v>
      </c>
      <c r="I991" s="3">
        <v>104540.76</v>
      </c>
      <c r="J991" s="3">
        <v>16</v>
      </c>
      <c r="K991" s="15">
        <f t="shared" si="165"/>
        <v>4.5412513355675033E-2</v>
      </c>
      <c r="L991" s="16">
        <f t="shared" si="175"/>
        <v>0.8250636619185977</v>
      </c>
      <c r="M991" s="16">
        <f t="shared" si="166"/>
        <v>37.468214566160469</v>
      </c>
      <c r="N991" s="16">
        <f t="shared" si="167"/>
        <v>2.9930856616377621</v>
      </c>
      <c r="O991" s="16">
        <f t="shared" si="168"/>
        <v>1.9930856616377619</v>
      </c>
      <c r="P991" s="1">
        <v>2025</v>
      </c>
      <c r="Q991" s="1" t="s">
        <v>45</v>
      </c>
      <c r="R991" s="1" t="s">
        <v>46</v>
      </c>
      <c r="S991" s="70">
        <f>DATE(Table2[[#This Row],[Year]],MONTH(DATEVALUE("1-"&amp;Table2[[#This Row],[Month]]&amp;"-2000")),1)</f>
        <v>45778</v>
      </c>
      <c r="T991" s="16">
        <f t="shared" si="169"/>
        <v>2.4694862164269007</v>
      </c>
      <c r="U991" s="16">
        <f t="shared" si="170"/>
        <v>0.11214557578514205</v>
      </c>
      <c r="V991" s="16">
        <f t="shared" si="171"/>
        <v>2182.9637499999999</v>
      </c>
      <c r="W991" s="16">
        <f t="shared" si="172"/>
        <v>6533.7974999999997</v>
      </c>
      <c r="X991" s="16">
        <f t="shared" si="173"/>
        <v>2645.8125</v>
      </c>
      <c r="Y991" s="16">
        <f t="shared" si="174"/>
        <v>58261.75</v>
      </c>
      <c r="Z991" s="7" t="str" cm="1">
        <f t="array" ref="Z991">_xlfn.IFS(K991&lt;2%,"Low",K991&lt;5%,"Medium",K991&lt;10%,"Good",K991&gt;10%,"Excellent")</f>
        <v>Medium</v>
      </c>
      <c r="AA991" s="16" t="str">
        <f>Data_Validation!N989</f>
        <v>Pass</v>
      </c>
    </row>
    <row r="992" spans="1:27" x14ac:dyDescent="0.35">
      <c r="A992" s="17" t="s">
        <v>88</v>
      </c>
      <c r="B992" s="3" t="s">
        <v>28</v>
      </c>
      <c r="C992" s="3" t="s">
        <v>58</v>
      </c>
      <c r="D992" s="3" t="s">
        <v>21</v>
      </c>
      <c r="E992" s="3" t="s">
        <v>38</v>
      </c>
      <c r="F992" s="3">
        <v>12586.97</v>
      </c>
      <c r="G992" s="3">
        <v>746333</v>
      </c>
      <c r="H992" s="3">
        <v>38776</v>
      </c>
      <c r="I992" s="3">
        <v>101595.74</v>
      </c>
      <c r="J992" s="3">
        <v>24</v>
      </c>
      <c r="K992" s="15">
        <f t="shared" si="165"/>
        <v>5.1955360408825549E-2</v>
      </c>
      <c r="L992" s="16">
        <f t="shared" si="175"/>
        <v>0.32460723127707858</v>
      </c>
      <c r="M992" s="16">
        <f t="shared" si="166"/>
        <v>16.865085692311609</v>
      </c>
      <c r="N992" s="16">
        <f t="shared" si="167"/>
        <v>8.071500925163086</v>
      </c>
      <c r="O992" s="16">
        <f t="shared" si="168"/>
        <v>7.071500925163086</v>
      </c>
      <c r="P992" s="1">
        <v>2025</v>
      </c>
      <c r="Q992" s="1" t="s">
        <v>45</v>
      </c>
      <c r="R992" s="1" t="s">
        <v>46</v>
      </c>
      <c r="S992" s="70">
        <f>DATE(Table2[[#This Row],[Year]],MONTH(DATEVALUE("1-"&amp;Table2[[#This Row],[Month]]&amp;"-2000")),1)</f>
        <v>45778</v>
      </c>
      <c r="T992" s="16">
        <f t="shared" si="169"/>
        <v>2.6200675675675678</v>
      </c>
      <c r="U992" s="16">
        <f t="shared" si="170"/>
        <v>0.13612655476844787</v>
      </c>
      <c r="V992" s="16">
        <f t="shared" si="171"/>
        <v>524.45708333333334</v>
      </c>
      <c r="W992" s="16">
        <f t="shared" si="172"/>
        <v>4233.1558333333332</v>
      </c>
      <c r="X992" s="16">
        <f t="shared" si="173"/>
        <v>1615.6666666666667</v>
      </c>
      <c r="Y992" s="16">
        <f t="shared" si="174"/>
        <v>31097.208333333332</v>
      </c>
      <c r="Z992" s="7" t="str" cm="1">
        <f t="array" ref="Z992">_xlfn.IFS(K992&lt;2%,"Low",K992&lt;5%,"Medium",K992&lt;10%,"Good",K992&gt;10%,"Excellent")</f>
        <v>Good</v>
      </c>
      <c r="AA992" s="16" t="str">
        <f>Data_Validation!N990</f>
        <v>Pass</v>
      </c>
    </row>
    <row r="993" spans="1:27" x14ac:dyDescent="0.35">
      <c r="A993" s="17" t="s">
        <v>71</v>
      </c>
      <c r="B993" s="3" t="s">
        <v>28</v>
      </c>
      <c r="C993" s="3" t="s">
        <v>36</v>
      </c>
      <c r="D993" s="3" t="s">
        <v>37</v>
      </c>
      <c r="E993" s="3" t="s">
        <v>30</v>
      </c>
      <c r="F993" s="3">
        <v>7212.15</v>
      </c>
      <c r="G993" s="3">
        <v>164958</v>
      </c>
      <c r="H993" s="3">
        <v>25698</v>
      </c>
      <c r="I993" s="3">
        <v>114440.37</v>
      </c>
      <c r="J993" s="3">
        <v>15</v>
      </c>
      <c r="K993" s="15">
        <f t="shared" si="165"/>
        <v>0.15578510893682029</v>
      </c>
      <c r="L993" s="16">
        <f t="shared" si="175"/>
        <v>0.28065024515526499</v>
      </c>
      <c r="M993" s="16">
        <f t="shared" si="166"/>
        <v>43.721129014658274</v>
      </c>
      <c r="N993" s="16">
        <f t="shared" si="167"/>
        <v>15.86771905742393</v>
      </c>
      <c r="O993" s="16">
        <f t="shared" si="168"/>
        <v>14.867719057423932</v>
      </c>
      <c r="P993" s="1">
        <v>2025</v>
      </c>
      <c r="Q993" s="1" t="s">
        <v>53</v>
      </c>
      <c r="R993" s="1" t="s">
        <v>46</v>
      </c>
      <c r="S993" s="70">
        <f>DATE(Table2[[#This Row],[Year]],MONTH(DATEVALUE("1-"&amp;Table2[[#This Row],[Month]]&amp;"-2000")),1)</f>
        <v>45809</v>
      </c>
      <c r="T993" s="16">
        <f t="shared" si="169"/>
        <v>4.4532792435208961</v>
      </c>
      <c r="U993" s="16">
        <f t="shared" si="170"/>
        <v>0.69375459207798351</v>
      </c>
      <c r="V993" s="16">
        <f t="shared" si="171"/>
        <v>480.81</v>
      </c>
      <c r="W993" s="16">
        <f t="shared" si="172"/>
        <v>7629.3579999999993</v>
      </c>
      <c r="X993" s="16">
        <f t="shared" si="173"/>
        <v>1713.2</v>
      </c>
      <c r="Y993" s="16">
        <f t="shared" si="174"/>
        <v>10997.2</v>
      </c>
      <c r="Z993" s="7" t="str" cm="1">
        <f t="array" ref="Z993">_xlfn.IFS(K993&lt;2%,"Low",K993&lt;5%,"Medium",K993&lt;10%,"Good",K993&gt;10%,"Excellent")</f>
        <v>Excellent</v>
      </c>
      <c r="AA993" s="16" t="str">
        <f>Data_Validation!N991</f>
        <v>Pass</v>
      </c>
    </row>
    <row r="994" spans="1:27" x14ac:dyDescent="0.35">
      <c r="A994" s="17" t="s">
        <v>103</v>
      </c>
      <c r="B994" s="3" t="s">
        <v>48</v>
      </c>
      <c r="C994" s="3" t="s">
        <v>20</v>
      </c>
      <c r="D994" s="3" t="s">
        <v>59</v>
      </c>
      <c r="E994" s="3" t="s">
        <v>38</v>
      </c>
      <c r="F994" s="3">
        <v>13705.26</v>
      </c>
      <c r="G994" s="3">
        <v>559249</v>
      </c>
      <c r="H994" s="3">
        <v>8963</v>
      </c>
      <c r="I994" s="3">
        <v>110365.75</v>
      </c>
      <c r="J994" s="3">
        <v>14</v>
      </c>
      <c r="K994" s="15">
        <f t="shared" si="165"/>
        <v>1.6026850293876252E-2</v>
      </c>
      <c r="L994" s="16">
        <f t="shared" si="175"/>
        <v>1.5290929376324891</v>
      </c>
      <c r="M994" s="16">
        <f t="shared" si="166"/>
        <v>24.506543596859359</v>
      </c>
      <c r="N994" s="16">
        <f t="shared" si="167"/>
        <v>8.0528023547163645</v>
      </c>
      <c r="O994" s="16">
        <f t="shared" si="168"/>
        <v>7.0528023547163645</v>
      </c>
      <c r="P994" s="1">
        <v>2025</v>
      </c>
      <c r="Q994" s="1" t="s">
        <v>53</v>
      </c>
      <c r="R994" s="1" t="s">
        <v>46</v>
      </c>
      <c r="S994" s="70">
        <f>DATE(Table2[[#This Row],[Year]],MONTH(DATEVALUE("1-"&amp;Table2[[#This Row],[Month]]&amp;"-2000")),1)</f>
        <v>45809</v>
      </c>
      <c r="T994" s="16">
        <f t="shared" si="169"/>
        <v>12.313483208747071</v>
      </c>
      <c r="U994" s="16">
        <f t="shared" si="170"/>
        <v>0.1973463519827483</v>
      </c>
      <c r="V994" s="16">
        <f t="shared" si="171"/>
        <v>978.94714285714292</v>
      </c>
      <c r="W994" s="16">
        <f t="shared" si="172"/>
        <v>7883.2678571428569</v>
      </c>
      <c r="X994" s="16">
        <f t="shared" si="173"/>
        <v>640.21428571428567</v>
      </c>
      <c r="Y994" s="16">
        <f t="shared" si="174"/>
        <v>39946.357142857145</v>
      </c>
      <c r="Z994" s="7" t="str" cm="1">
        <f t="array" ref="Z994">_xlfn.IFS(K994&lt;2%,"Low",K994&lt;5%,"Medium",K994&lt;10%,"Good",K994&gt;10%,"Excellent")</f>
        <v>Low</v>
      </c>
      <c r="AA994" s="16" t="str">
        <f>Data_Validation!N992</f>
        <v>Pass</v>
      </c>
    </row>
    <row r="995" spans="1:27" x14ac:dyDescent="0.35">
      <c r="A995" s="17" t="s">
        <v>106</v>
      </c>
      <c r="B995" s="3" t="s">
        <v>48</v>
      </c>
      <c r="C995" s="3" t="s">
        <v>20</v>
      </c>
      <c r="D995" s="3" t="s">
        <v>43</v>
      </c>
      <c r="E995" s="3" t="s">
        <v>38</v>
      </c>
      <c r="F995" s="3">
        <v>25001.09</v>
      </c>
      <c r="G995" s="3">
        <v>990269</v>
      </c>
      <c r="H995" s="3">
        <v>17952</v>
      </c>
      <c r="I995" s="3">
        <v>139393.59</v>
      </c>
      <c r="J995" s="3">
        <v>36</v>
      </c>
      <c r="K995" s="15">
        <f t="shared" si="165"/>
        <v>1.8128407533710537E-2</v>
      </c>
      <c r="L995" s="16">
        <f t="shared" si="175"/>
        <v>1.3926632130124776</v>
      </c>
      <c r="M995" s="16">
        <f t="shared" si="166"/>
        <v>25.246766282696925</v>
      </c>
      <c r="N995" s="16">
        <f t="shared" si="167"/>
        <v>5.5755005081778437</v>
      </c>
      <c r="O995" s="16">
        <f t="shared" si="168"/>
        <v>4.5755005081778437</v>
      </c>
      <c r="P995" s="1">
        <v>2025</v>
      </c>
      <c r="Q995" s="1" t="s">
        <v>53</v>
      </c>
      <c r="R995" s="1" t="s">
        <v>46</v>
      </c>
      <c r="S995" s="70">
        <f>DATE(Table2[[#This Row],[Year]],MONTH(DATEVALUE("1-"&amp;Table2[[#This Row],[Month]]&amp;"-2000")),1)</f>
        <v>45809</v>
      </c>
      <c r="T995" s="16">
        <f t="shared" si="169"/>
        <v>7.7647944518716576</v>
      </c>
      <c r="U995" s="16">
        <f t="shared" si="170"/>
        <v>0.14076335823902394</v>
      </c>
      <c r="V995" s="16">
        <f t="shared" si="171"/>
        <v>694.47472222222223</v>
      </c>
      <c r="W995" s="16">
        <f t="shared" si="172"/>
        <v>3872.0441666666666</v>
      </c>
      <c r="X995" s="16">
        <f t="shared" si="173"/>
        <v>498.66666666666669</v>
      </c>
      <c r="Y995" s="16">
        <f t="shared" si="174"/>
        <v>27507.472222222223</v>
      </c>
      <c r="Z995" s="7" t="str" cm="1">
        <f t="array" ref="Z995">_xlfn.IFS(K995&lt;2%,"Low",K995&lt;5%,"Medium",K995&lt;10%,"Good",K995&gt;10%,"Excellent")</f>
        <v>Low</v>
      </c>
      <c r="AA995" s="16" t="str">
        <f>Data_Validation!N993</f>
        <v>Pass</v>
      </c>
    </row>
    <row r="996" spans="1:27" x14ac:dyDescent="0.35">
      <c r="A996" s="17" t="s">
        <v>50</v>
      </c>
      <c r="B996" s="3" t="s">
        <v>19</v>
      </c>
      <c r="C996" s="3" t="s">
        <v>29</v>
      </c>
      <c r="D996" s="3" t="s">
        <v>63</v>
      </c>
      <c r="E996" s="3" t="s">
        <v>30</v>
      </c>
      <c r="F996" s="3">
        <v>39766.720000000001</v>
      </c>
      <c r="G996" s="3">
        <v>507126</v>
      </c>
      <c r="H996" s="3">
        <v>8771</v>
      </c>
      <c r="I996" s="3">
        <v>163606.03</v>
      </c>
      <c r="J996" s="3">
        <v>55</v>
      </c>
      <c r="K996" s="15">
        <f t="shared" si="165"/>
        <v>1.7295504470289436E-2</v>
      </c>
      <c r="L996" s="16">
        <f t="shared" si="175"/>
        <v>4.5338866719872311</v>
      </c>
      <c r="M996" s="16">
        <f t="shared" si="166"/>
        <v>78.415857203140845</v>
      </c>
      <c r="N996" s="16">
        <f t="shared" si="167"/>
        <v>4.1141444403762746</v>
      </c>
      <c r="O996" s="16">
        <f t="shared" si="168"/>
        <v>3.1141444403762741</v>
      </c>
      <c r="P996" s="1">
        <v>2025</v>
      </c>
      <c r="Q996" s="1" t="s">
        <v>53</v>
      </c>
      <c r="R996" s="1" t="s">
        <v>46</v>
      </c>
      <c r="S996" s="70">
        <f>DATE(Table2[[#This Row],[Year]],MONTH(DATEVALUE("1-"&amp;Table2[[#This Row],[Month]]&amp;"-2000")),1)</f>
        <v>45809</v>
      </c>
      <c r="T996" s="16">
        <f t="shared" si="169"/>
        <v>18.653064644852353</v>
      </c>
      <c r="U996" s="16">
        <f t="shared" si="170"/>
        <v>0.32261416294964168</v>
      </c>
      <c r="V996" s="16">
        <f t="shared" si="171"/>
        <v>723.03127272727272</v>
      </c>
      <c r="W996" s="16">
        <f t="shared" si="172"/>
        <v>2974.6550909090911</v>
      </c>
      <c r="X996" s="16">
        <f t="shared" si="173"/>
        <v>159.47272727272727</v>
      </c>
      <c r="Y996" s="16">
        <f t="shared" si="174"/>
        <v>9220.4727272727268</v>
      </c>
      <c r="Z996" s="7" t="str" cm="1">
        <f t="array" ref="Z996">_xlfn.IFS(K996&lt;2%,"Low",K996&lt;5%,"Medium",K996&lt;10%,"Good",K996&gt;10%,"Excellent")</f>
        <v>Low</v>
      </c>
      <c r="AA996" s="16" t="str">
        <f>Data_Validation!N994</f>
        <v>Pass</v>
      </c>
    </row>
    <row r="997" spans="1:27" x14ac:dyDescent="0.35">
      <c r="A997" s="17" t="s">
        <v>111</v>
      </c>
      <c r="B997" s="3" t="s">
        <v>48</v>
      </c>
      <c r="C997" s="3" t="s">
        <v>69</v>
      </c>
      <c r="D997" s="3" t="s">
        <v>43</v>
      </c>
      <c r="E997" s="3" t="s">
        <v>38</v>
      </c>
      <c r="F997" s="3">
        <v>14771.41</v>
      </c>
      <c r="G997" s="3">
        <v>100581</v>
      </c>
      <c r="H997" s="3">
        <v>36347</v>
      </c>
      <c r="I997" s="3">
        <v>116902.81</v>
      </c>
      <c r="J997" s="3">
        <v>24</v>
      </c>
      <c r="K997" s="15">
        <f t="shared" si="165"/>
        <v>0.36137043775663397</v>
      </c>
      <c r="L997" s="16">
        <f t="shared" si="175"/>
        <v>0.4063997028640603</v>
      </c>
      <c r="M997" s="16">
        <f t="shared" si="166"/>
        <v>146.86083852815142</v>
      </c>
      <c r="N997" s="16">
        <f t="shared" si="167"/>
        <v>7.9141266812037578</v>
      </c>
      <c r="O997" s="16">
        <f t="shared" si="168"/>
        <v>6.9141266812037578</v>
      </c>
      <c r="P997" s="1">
        <v>2025</v>
      </c>
      <c r="Q997" s="1" t="s">
        <v>53</v>
      </c>
      <c r="R997" s="1" t="s">
        <v>46</v>
      </c>
      <c r="S997" s="70">
        <f>DATE(Table2[[#This Row],[Year]],MONTH(DATEVALUE("1-"&amp;Table2[[#This Row],[Month]]&amp;"-2000")),1)</f>
        <v>45809</v>
      </c>
      <c r="T997" s="16">
        <f t="shared" si="169"/>
        <v>3.2162987316697387</v>
      </c>
      <c r="U997" s="16">
        <f t="shared" si="170"/>
        <v>1.1622752806196002</v>
      </c>
      <c r="V997" s="16">
        <f t="shared" si="171"/>
        <v>615.47541666666666</v>
      </c>
      <c r="W997" s="16">
        <f t="shared" si="172"/>
        <v>4870.9504166666666</v>
      </c>
      <c r="X997" s="16">
        <f t="shared" si="173"/>
        <v>1514.4583333333333</v>
      </c>
      <c r="Y997" s="16">
        <f t="shared" si="174"/>
        <v>4190.875</v>
      </c>
      <c r="Z997" s="7" t="str" cm="1">
        <f t="array" ref="Z997">_xlfn.IFS(K997&lt;2%,"Low",K997&lt;5%,"Medium",K997&lt;10%,"Good",K997&gt;10%,"Excellent")</f>
        <v>Excellent</v>
      </c>
      <c r="AA997" s="16" t="str">
        <f>Data_Validation!N995</f>
        <v>Pass</v>
      </c>
    </row>
    <row r="998" spans="1:27" x14ac:dyDescent="0.35">
      <c r="A998" s="17" t="s">
        <v>100</v>
      </c>
      <c r="B998" s="3" t="s">
        <v>48</v>
      </c>
      <c r="C998" s="3" t="s">
        <v>20</v>
      </c>
      <c r="D998" s="3" t="s">
        <v>51</v>
      </c>
      <c r="E998" s="3" t="s">
        <v>30</v>
      </c>
      <c r="F998" s="3">
        <v>9339.99</v>
      </c>
      <c r="G998" s="3">
        <v>640025</v>
      </c>
      <c r="H998" s="3">
        <v>9452</v>
      </c>
      <c r="I998" s="3">
        <v>199680.94</v>
      </c>
      <c r="J998" s="3">
        <v>36</v>
      </c>
      <c r="K998" s="15">
        <f t="shared" si="165"/>
        <v>1.4768173118237568E-2</v>
      </c>
      <c r="L998" s="16">
        <f t="shared" si="175"/>
        <v>0.98814959796868385</v>
      </c>
      <c r="M998" s="16">
        <f t="shared" si="166"/>
        <v>14.593164329518379</v>
      </c>
      <c r="N998" s="16">
        <f t="shared" si="167"/>
        <v>21.379138521561586</v>
      </c>
      <c r="O998" s="16">
        <f t="shared" si="168"/>
        <v>20.37913852156159</v>
      </c>
      <c r="P998" s="1">
        <v>2025</v>
      </c>
      <c r="Q998" s="1" t="s">
        <v>53</v>
      </c>
      <c r="R998" s="1" t="s">
        <v>46</v>
      </c>
      <c r="S998" s="70">
        <f>DATE(Table2[[#This Row],[Year]],MONTH(DATEVALUE("1-"&amp;Table2[[#This Row],[Month]]&amp;"-2000")),1)</f>
        <v>45809</v>
      </c>
      <c r="T998" s="16">
        <f t="shared" si="169"/>
        <v>21.125787134997886</v>
      </c>
      <c r="U998" s="16">
        <f t="shared" si="170"/>
        <v>0.31198928166868484</v>
      </c>
      <c r="V998" s="16">
        <f t="shared" si="171"/>
        <v>259.44416666666666</v>
      </c>
      <c r="W998" s="16">
        <f t="shared" si="172"/>
        <v>5546.6927777777782</v>
      </c>
      <c r="X998" s="16">
        <f t="shared" si="173"/>
        <v>262.55555555555554</v>
      </c>
      <c r="Y998" s="16">
        <f t="shared" si="174"/>
        <v>17778.472222222223</v>
      </c>
      <c r="Z998" s="7" t="str" cm="1">
        <f t="array" ref="Z998">_xlfn.IFS(K998&lt;2%,"Low",K998&lt;5%,"Medium",K998&lt;10%,"Good",K998&gt;10%,"Excellent")</f>
        <v>Low</v>
      </c>
      <c r="AA998" s="16" t="str">
        <f>Data_Validation!N996</f>
        <v>Pass</v>
      </c>
    </row>
    <row r="999" spans="1:27" x14ac:dyDescent="0.35">
      <c r="A999" s="17" t="s">
        <v>102</v>
      </c>
      <c r="B999" s="3" t="s">
        <v>19</v>
      </c>
      <c r="C999" s="3" t="s">
        <v>20</v>
      </c>
      <c r="D999" s="3" t="s">
        <v>59</v>
      </c>
      <c r="E999" s="3" t="s">
        <v>38</v>
      </c>
      <c r="F999" s="3">
        <v>3279.5</v>
      </c>
      <c r="G999" s="3">
        <v>406077</v>
      </c>
      <c r="H999" s="3">
        <v>8271</v>
      </c>
      <c r="I999" s="3">
        <v>72806.740000000005</v>
      </c>
      <c r="J999" s="3">
        <v>46</v>
      </c>
      <c r="K999" s="15">
        <f t="shared" si="165"/>
        <v>2.0368058274662194E-2</v>
      </c>
      <c r="L999" s="16">
        <f t="shared" si="175"/>
        <v>0.3965058638616854</v>
      </c>
      <c r="M999" s="16">
        <f t="shared" si="166"/>
        <v>8.0760545413800831</v>
      </c>
      <c r="N999" s="16">
        <f t="shared" si="167"/>
        <v>22.200561061137371</v>
      </c>
      <c r="O999" s="16">
        <f t="shared" si="168"/>
        <v>21.200561061137371</v>
      </c>
      <c r="P999" s="1">
        <v>2025</v>
      </c>
      <c r="Q999" s="1" t="s">
        <v>53</v>
      </c>
      <c r="R999" s="1" t="s">
        <v>46</v>
      </c>
      <c r="S999" s="70">
        <f>DATE(Table2[[#This Row],[Year]],MONTH(DATEVALUE("1-"&amp;Table2[[#This Row],[Month]]&amp;"-2000")),1)</f>
        <v>45809</v>
      </c>
      <c r="T999" s="16">
        <f t="shared" si="169"/>
        <v>8.8026526417603677</v>
      </c>
      <c r="U999" s="16">
        <f t="shared" si="170"/>
        <v>0.17929294197898429</v>
      </c>
      <c r="V999" s="16">
        <f t="shared" si="171"/>
        <v>71.293478260869563</v>
      </c>
      <c r="W999" s="16">
        <f t="shared" si="172"/>
        <v>1582.7552173913045</v>
      </c>
      <c r="X999" s="16">
        <f t="shared" si="173"/>
        <v>179.80434782608697</v>
      </c>
      <c r="Y999" s="16">
        <f t="shared" si="174"/>
        <v>8827.7608695652179</v>
      </c>
      <c r="Z999" s="7" t="str" cm="1">
        <f t="array" ref="Z999">_xlfn.IFS(K999&lt;2%,"Low",K999&lt;5%,"Medium",K999&lt;10%,"Good",K999&gt;10%,"Excellent")</f>
        <v>Medium</v>
      </c>
      <c r="AA999" s="16" t="str">
        <f>Data_Validation!N997</f>
        <v>Pass</v>
      </c>
    </row>
    <row r="1000" spans="1:27" x14ac:dyDescent="0.35">
      <c r="A1000" s="17" t="s">
        <v>104</v>
      </c>
      <c r="B1000" s="3" t="s">
        <v>35</v>
      </c>
      <c r="C1000" s="3" t="s">
        <v>58</v>
      </c>
      <c r="D1000" s="3" t="s">
        <v>43</v>
      </c>
      <c r="E1000" s="3" t="s">
        <v>22</v>
      </c>
      <c r="F1000" s="3">
        <v>3081.81</v>
      </c>
      <c r="G1000" s="3">
        <v>570383</v>
      </c>
      <c r="H1000" s="3">
        <v>37806</v>
      </c>
      <c r="I1000" s="3">
        <v>64142.61</v>
      </c>
      <c r="J1000" s="3">
        <v>61</v>
      </c>
      <c r="K1000" s="15">
        <f t="shared" si="165"/>
        <v>6.6281779085281295E-2</v>
      </c>
      <c r="L1000" s="16">
        <f t="shared" si="175"/>
        <v>8.151642596413268E-2</v>
      </c>
      <c r="M1000" s="16">
        <f t="shared" si="166"/>
        <v>5.4030537375763306</v>
      </c>
      <c r="N1000" s="16">
        <f t="shared" si="167"/>
        <v>20.813291539712054</v>
      </c>
      <c r="O1000" s="16">
        <f t="shared" si="168"/>
        <v>19.813291539712054</v>
      </c>
      <c r="P1000" s="1">
        <v>2025</v>
      </c>
      <c r="Q1000" s="1" t="s">
        <v>53</v>
      </c>
      <c r="R1000" s="1" t="s">
        <v>46</v>
      </c>
      <c r="S1000" s="70">
        <f>DATE(Table2[[#This Row],[Year]],MONTH(DATEVALUE("1-"&amp;Table2[[#This Row],[Month]]&amp;"-2000")),1)</f>
        <v>45809</v>
      </c>
      <c r="T1000" s="16">
        <f t="shared" si="169"/>
        <v>1.6966251388668465</v>
      </c>
      <c r="U1000" s="16">
        <f t="shared" si="170"/>
        <v>0.11245533264490702</v>
      </c>
      <c r="V1000" s="16">
        <f t="shared" si="171"/>
        <v>50.521475409836064</v>
      </c>
      <c r="W1000" s="16">
        <f t="shared" si="172"/>
        <v>1051.5181967213116</v>
      </c>
      <c r="X1000" s="16">
        <f t="shared" si="173"/>
        <v>619.77049180327867</v>
      </c>
      <c r="Y1000" s="16">
        <f t="shared" si="174"/>
        <v>9350.5409836065573</v>
      </c>
      <c r="Z1000" s="7" t="str" cm="1">
        <f t="array" ref="Z1000">_xlfn.IFS(K1000&lt;2%,"Low",K1000&lt;5%,"Medium",K1000&lt;10%,"Good",K1000&gt;10%,"Excellent")</f>
        <v>Good</v>
      </c>
      <c r="AA1000" s="16" t="str">
        <f>Data_Validation!N998</f>
        <v>Pass</v>
      </c>
    </row>
    <row r="1001" spans="1:27" x14ac:dyDescent="0.35">
      <c r="A1001" s="17" t="s">
        <v>89</v>
      </c>
      <c r="B1001" s="3" t="s">
        <v>35</v>
      </c>
      <c r="C1001" s="3" t="s">
        <v>36</v>
      </c>
      <c r="D1001" s="3" t="s">
        <v>43</v>
      </c>
      <c r="E1001" s="3" t="s">
        <v>30</v>
      </c>
      <c r="F1001" s="3">
        <v>34253.43</v>
      </c>
      <c r="G1001" s="3">
        <v>325697</v>
      </c>
      <c r="H1001" s="3">
        <v>17890</v>
      </c>
      <c r="I1001" s="3">
        <v>172933.71</v>
      </c>
      <c r="J1001" s="3">
        <v>26</v>
      </c>
      <c r="K1001" s="15">
        <f t="shared" si="165"/>
        <v>5.4928353653856191E-2</v>
      </c>
      <c r="L1001" s="16">
        <f t="shared" si="175"/>
        <v>1.9146690888764673</v>
      </c>
      <c r="M1001" s="16">
        <f t="shared" si="166"/>
        <v>105.16962084391321</v>
      </c>
      <c r="N1001" s="16">
        <f t="shared" si="167"/>
        <v>5.0486538136472756</v>
      </c>
      <c r="O1001" s="16">
        <f t="shared" si="168"/>
        <v>4.0486538136472756</v>
      </c>
      <c r="P1001" s="1">
        <v>2025</v>
      </c>
      <c r="Q1001" s="1" t="s">
        <v>53</v>
      </c>
      <c r="R1001" s="1" t="s">
        <v>46</v>
      </c>
      <c r="S1001" s="70">
        <f>DATE(Table2[[#This Row],[Year]],MONTH(DATEVALUE("1-"&amp;Table2[[#This Row],[Month]]&amp;"-2000")),1)</f>
        <v>45809</v>
      </c>
      <c r="T1001" s="16">
        <f t="shared" si="169"/>
        <v>9.6665013974287302</v>
      </c>
      <c r="U1001" s="16">
        <f t="shared" si="170"/>
        <v>0.53096500735346042</v>
      </c>
      <c r="V1001" s="16">
        <f t="shared" si="171"/>
        <v>1317.4396153846153</v>
      </c>
      <c r="W1001" s="16">
        <f t="shared" si="172"/>
        <v>6651.2965384615381</v>
      </c>
      <c r="X1001" s="16">
        <f t="shared" si="173"/>
        <v>688.07692307692309</v>
      </c>
      <c r="Y1001" s="16">
        <f t="shared" si="174"/>
        <v>12526.807692307691</v>
      </c>
      <c r="Z1001" s="7" t="str" cm="1">
        <f t="array" ref="Z1001">_xlfn.IFS(K1001&lt;2%,"Low",K1001&lt;5%,"Medium",K1001&lt;10%,"Good",K1001&gt;10%,"Excellent")</f>
        <v>Good</v>
      </c>
      <c r="AA1001" s="16" t="str">
        <f>Data_Validation!N999</f>
        <v>Pass</v>
      </c>
    </row>
    <row r="1002" spans="1:27" x14ac:dyDescent="0.35">
      <c r="A1002" s="17" t="s">
        <v>95</v>
      </c>
      <c r="B1002" s="3" t="s">
        <v>19</v>
      </c>
      <c r="C1002" s="3" t="s">
        <v>36</v>
      </c>
      <c r="D1002" s="3" t="s">
        <v>37</v>
      </c>
      <c r="E1002" s="3" t="s">
        <v>30</v>
      </c>
      <c r="F1002" s="3">
        <v>2797.51</v>
      </c>
      <c r="G1002" s="3">
        <v>271824</v>
      </c>
      <c r="H1002" s="3">
        <v>40640</v>
      </c>
      <c r="I1002" s="3">
        <v>92226.71</v>
      </c>
      <c r="J1002" s="3">
        <v>22</v>
      </c>
      <c r="K1002" s="15">
        <f t="shared" si="165"/>
        <v>0.14950850550356112</v>
      </c>
      <c r="L1002" s="16">
        <f t="shared" si="175"/>
        <v>6.8836368110236232E-2</v>
      </c>
      <c r="M1002" s="16">
        <f t="shared" si="166"/>
        <v>10.291622520454412</v>
      </c>
      <c r="N1002" s="16">
        <f t="shared" si="167"/>
        <v>32.967428177200439</v>
      </c>
      <c r="O1002" s="16">
        <f t="shared" si="168"/>
        <v>31.967428177200439</v>
      </c>
      <c r="P1002" s="1">
        <v>2025</v>
      </c>
      <c r="Q1002" s="1" t="s">
        <v>53</v>
      </c>
      <c r="R1002" s="1" t="s">
        <v>46</v>
      </c>
      <c r="S1002" s="70">
        <f>DATE(Table2[[#This Row],[Year]],MONTH(DATEVALUE("1-"&amp;Table2[[#This Row],[Month]]&amp;"-2000")),1)</f>
        <v>45809</v>
      </c>
      <c r="T1002" s="16">
        <f t="shared" si="169"/>
        <v>2.2693580216535434</v>
      </c>
      <c r="U1002" s="16">
        <f t="shared" si="170"/>
        <v>0.33928832626993938</v>
      </c>
      <c r="V1002" s="16">
        <f t="shared" si="171"/>
        <v>127.15954545454547</v>
      </c>
      <c r="W1002" s="16">
        <f t="shared" si="172"/>
        <v>4192.1231818181823</v>
      </c>
      <c r="X1002" s="16">
        <f t="shared" si="173"/>
        <v>1847.2727272727273</v>
      </c>
      <c r="Y1002" s="16">
        <f t="shared" si="174"/>
        <v>12355.636363636364</v>
      </c>
      <c r="Z1002" s="7" t="str" cm="1">
        <f t="array" ref="Z1002">_xlfn.IFS(K1002&lt;2%,"Low",K1002&lt;5%,"Medium",K1002&lt;10%,"Good",K1002&gt;10%,"Excellent")</f>
        <v>Excellent</v>
      </c>
      <c r="AA1002" s="16" t="str">
        <f>Data_Validation!N1000</f>
        <v>Pass</v>
      </c>
    </row>
    <row r="1003" spans="1:27" x14ac:dyDescent="0.35">
      <c r="A1003" s="17" t="s">
        <v>96</v>
      </c>
      <c r="B1003" s="3" t="s">
        <v>48</v>
      </c>
      <c r="C1003" s="3" t="s">
        <v>36</v>
      </c>
      <c r="D1003" s="3" t="s">
        <v>21</v>
      </c>
      <c r="E1003" s="3" t="s">
        <v>38</v>
      </c>
      <c r="F1003" s="3">
        <v>14355.44</v>
      </c>
      <c r="G1003" s="3">
        <v>489123</v>
      </c>
      <c r="H1003" s="3">
        <v>1105</v>
      </c>
      <c r="I1003" s="3">
        <v>181998.74</v>
      </c>
      <c r="J1003" s="3">
        <v>60</v>
      </c>
      <c r="K1003" s="15">
        <f t="shared" si="165"/>
        <v>2.2591454501219529E-3</v>
      </c>
      <c r="L1003" s="16">
        <f t="shared" si="175"/>
        <v>12.991348416289593</v>
      </c>
      <c r="M1003" s="16">
        <f t="shared" si="166"/>
        <v>29.349345665609675</v>
      </c>
      <c r="N1003" s="16">
        <f t="shared" si="167"/>
        <v>12.678032857230429</v>
      </c>
      <c r="O1003" s="16">
        <f t="shared" si="168"/>
        <v>11.678032857230429</v>
      </c>
      <c r="P1003" s="1">
        <v>2025</v>
      </c>
      <c r="Q1003" s="1" t="s">
        <v>53</v>
      </c>
      <c r="R1003" s="1" t="s">
        <v>46</v>
      </c>
      <c r="S1003" s="70">
        <f>DATE(Table2[[#This Row],[Year]],MONTH(DATEVALUE("1-"&amp;Table2[[#This Row],[Month]]&amp;"-2000")),1)</f>
        <v>45809</v>
      </c>
      <c r="T1003" s="16">
        <f t="shared" si="169"/>
        <v>164.70474208144796</v>
      </c>
      <c r="U1003" s="16">
        <f t="shared" si="170"/>
        <v>0.37209196868681294</v>
      </c>
      <c r="V1003" s="16">
        <f t="shared" si="171"/>
        <v>239.25733333333335</v>
      </c>
      <c r="W1003" s="16">
        <f t="shared" si="172"/>
        <v>3033.3123333333333</v>
      </c>
      <c r="X1003" s="16">
        <f t="shared" si="173"/>
        <v>18.416666666666668</v>
      </c>
      <c r="Y1003" s="16">
        <f t="shared" si="174"/>
        <v>8152.05</v>
      </c>
      <c r="Z1003" s="7" t="str" cm="1">
        <f t="array" ref="Z1003">_xlfn.IFS(K1003&lt;2%,"Low",K1003&lt;5%,"Medium",K1003&lt;10%,"Good",K1003&gt;10%,"Excellent")</f>
        <v>Low</v>
      </c>
      <c r="AA1003" s="16" t="str">
        <f>Data_Validation!N1001</f>
        <v>Pass</v>
      </c>
    </row>
    <row r="1004" spans="1:27" x14ac:dyDescent="0.35">
      <c r="A1004" s="17" t="s">
        <v>97</v>
      </c>
      <c r="B1004" s="3" t="s">
        <v>19</v>
      </c>
      <c r="C1004" s="3" t="s">
        <v>29</v>
      </c>
      <c r="D1004" s="3" t="s">
        <v>63</v>
      </c>
      <c r="E1004" s="3" t="s">
        <v>38</v>
      </c>
      <c r="F1004" s="3">
        <v>3721.59</v>
      </c>
      <c r="G1004" s="3">
        <v>896982</v>
      </c>
      <c r="H1004" s="3">
        <v>33910</v>
      </c>
      <c r="I1004" s="3">
        <v>213535.68</v>
      </c>
      <c r="J1004" s="3">
        <v>29</v>
      </c>
      <c r="K1004" s="15">
        <f t="shared" si="165"/>
        <v>3.7804549032199083E-2</v>
      </c>
      <c r="L1004" s="16">
        <f t="shared" si="175"/>
        <v>0.10974904158065468</v>
      </c>
      <c r="M1004" s="16">
        <f t="shared" si="166"/>
        <v>4.1490130236727154</v>
      </c>
      <c r="N1004" s="16">
        <f t="shared" si="167"/>
        <v>57.377540244895322</v>
      </c>
      <c r="O1004" s="16">
        <f t="shared" si="168"/>
        <v>56.377540244895322</v>
      </c>
      <c r="P1004" s="1">
        <v>2025</v>
      </c>
      <c r="Q1004" s="1" t="s">
        <v>53</v>
      </c>
      <c r="R1004" s="1" t="s">
        <v>46</v>
      </c>
      <c r="S1004" s="70">
        <f>DATE(Table2[[#This Row],[Year]],MONTH(DATEVALUE("1-"&amp;Table2[[#This Row],[Month]]&amp;"-2000")),1)</f>
        <v>45809</v>
      </c>
      <c r="T1004" s="16">
        <f t="shared" si="169"/>
        <v>6.2971300501327043</v>
      </c>
      <c r="U1004" s="16">
        <f t="shared" si="170"/>
        <v>0.2380601617423761</v>
      </c>
      <c r="V1004" s="16">
        <f t="shared" si="171"/>
        <v>128.33068965517242</v>
      </c>
      <c r="W1004" s="16">
        <f t="shared" si="172"/>
        <v>7363.2993103448271</v>
      </c>
      <c r="X1004" s="16">
        <f t="shared" si="173"/>
        <v>1169.3103448275863</v>
      </c>
      <c r="Y1004" s="16">
        <f t="shared" si="174"/>
        <v>30930.413793103449</v>
      </c>
      <c r="Z1004" s="7" t="str" cm="1">
        <f t="array" ref="Z1004">_xlfn.IFS(K1004&lt;2%,"Low",K1004&lt;5%,"Medium",K1004&lt;10%,"Good",K1004&gt;10%,"Excellent")</f>
        <v>Medium</v>
      </c>
      <c r="AA1004" s="16" t="str">
        <f>Data_Validation!N1002</f>
        <v>Pass</v>
      </c>
    </row>
    <row r="1005" spans="1:27" x14ac:dyDescent="0.35">
      <c r="A1005" s="17" t="s">
        <v>27</v>
      </c>
      <c r="B1005" s="3" t="s">
        <v>28</v>
      </c>
      <c r="C1005" s="3" t="s">
        <v>20</v>
      </c>
      <c r="D1005" s="3" t="s">
        <v>63</v>
      </c>
      <c r="E1005" s="3" t="s">
        <v>30</v>
      </c>
      <c r="F1005" s="3">
        <v>4726.9399999999996</v>
      </c>
      <c r="G1005" s="3">
        <v>735443</v>
      </c>
      <c r="H1005" s="3">
        <v>19906</v>
      </c>
      <c r="I1005" s="3">
        <v>127658.47</v>
      </c>
      <c r="J1005" s="3">
        <v>33</v>
      </c>
      <c r="K1005" s="15">
        <f t="shared" si="165"/>
        <v>2.7066679538727E-2</v>
      </c>
      <c r="L1005" s="16">
        <f t="shared" si="175"/>
        <v>0.23746307645935896</v>
      </c>
      <c r="M1005" s="16">
        <f t="shared" si="166"/>
        <v>6.4273369928056958</v>
      </c>
      <c r="N1005" s="16">
        <f t="shared" si="167"/>
        <v>27.006577193702483</v>
      </c>
      <c r="O1005" s="16">
        <f t="shared" si="168"/>
        <v>26.006577193702483</v>
      </c>
      <c r="P1005" s="1">
        <v>2025</v>
      </c>
      <c r="Q1005" s="1" t="s">
        <v>53</v>
      </c>
      <c r="R1005" s="1" t="s">
        <v>46</v>
      </c>
      <c r="S1005" s="70">
        <f>DATE(Table2[[#This Row],[Year]],MONTH(DATEVALUE("1-"&amp;Table2[[#This Row],[Month]]&amp;"-2000")),1)</f>
        <v>45809</v>
      </c>
      <c r="T1005" s="16">
        <f t="shared" si="169"/>
        <v>6.4130649050537523</v>
      </c>
      <c r="U1005" s="16">
        <f t="shared" si="170"/>
        <v>0.17358037264614662</v>
      </c>
      <c r="V1005" s="16">
        <f t="shared" si="171"/>
        <v>143.24060606060604</v>
      </c>
      <c r="W1005" s="16">
        <f t="shared" si="172"/>
        <v>3868.4384848484847</v>
      </c>
      <c r="X1005" s="16">
        <f t="shared" si="173"/>
        <v>603.21212121212125</v>
      </c>
      <c r="Y1005" s="16">
        <f t="shared" si="174"/>
        <v>22286.151515151516</v>
      </c>
      <c r="Z1005" s="7" t="str" cm="1">
        <f t="array" ref="Z1005">_xlfn.IFS(K1005&lt;2%,"Low",K1005&lt;5%,"Medium",K1005&lt;10%,"Good",K1005&gt;10%,"Excellent")</f>
        <v>Medium</v>
      </c>
      <c r="AA1005" s="16" t="str">
        <f>Data_Validation!N1003</f>
        <v>Pass</v>
      </c>
    </row>
    <row r="1006" spans="1:27" x14ac:dyDescent="0.35">
      <c r="A1006" s="17" t="s">
        <v>114</v>
      </c>
      <c r="B1006" s="3" t="s">
        <v>28</v>
      </c>
      <c r="C1006" s="3" t="s">
        <v>69</v>
      </c>
      <c r="D1006" s="3" t="s">
        <v>63</v>
      </c>
      <c r="E1006" s="3" t="s">
        <v>30</v>
      </c>
      <c r="F1006" s="3">
        <v>764.62</v>
      </c>
      <c r="G1006" s="3">
        <v>979047</v>
      </c>
      <c r="H1006" s="3">
        <v>8671</v>
      </c>
      <c r="I1006" s="3">
        <v>199750.04</v>
      </c>
      <c r="J1006" s="3">
        <v>51</v>
      </c>
      <c r="K1006" s="15">
        <f t="shared" si="165"/>
        <v>8.8565717478323314E-3</v>
      </c>
      <c r="L1006" s="16">
        <f t="shared" si="175"/>
        <v>8.8181293968400409E-2</v>
      </c>
      <c r="M1006" s="16">
        <f t="shared" si="166"/>
        <v>0.78098395684783262</v>
      </c>
      <c r="N1006" s="16">
        <f t="shared" si="167"/>
        <v>261.2409301352306</v>
      </c>
      <c r="O1006" s="16">
        <f t="shared" si="168"/>
        <v>260.2409301352306</v>
      </c>
      <c r="P1006" s="1">
        <v>2025</v>
      </c>
      <c r="Q1006" s="1" t="s">
        <v>53</v>
      </c>
      <c r="R1006" s="1" t="s">
        <v>46</v>
      </c>
      <c r="S1006" s="70">
        <f>DATE(Table2[[#This Row],[Year]],MONTH(DATEVALUE("1-"&amp;Table2[[#This Row],[Month]]&amp;"-2000")),1)</f>
        <v>45809</v>
      </c>
      <c r="T1006" s="16">
        <f t="shared" si="169"/>
        <v>23.036563256833123</v>
      </c>
      <c r="U1006" s="16">
        <f t="shared" si="170"/>
        <v>0.20402497530762059</v>
      </c>
      <c r="V1006" s="16">
        <f t="shared" si="171"/>
        <v>14.992549019607843</v>
      </c>
      <c r="W1006" s="16">
        <f t="shared" si="172"/>
        <v>3916.6674509803925</v>
      </c>
      <c r="X1006" s="16">
        <f t="shared" si="173"/>
        <v>170.01960784313727</v>
      </c>
      <c r="Y1006" s="16">
        <f t="shared" si="174"/>
        <v>19197</v>
      </c>
      <c r="Z1006" s="7" t="str" cm="1">
        <f t="array" ref="Z1006">_xlfn.IFS(K1006&lt;2%,"Low",K1006&lt;5%,"Medium",K1006&lt;10%,"Good",K1006&gt;10%,"Excellent")</f>
        <v>Low</v>
      </c>
      <c r="AA1006" s="16" t="str">
        <f>Data_Validation!N1004</f>
        <v>Pass</v>
      </c>
    </row>
    <row r="1007" spans="1:27" x14ac:dyDescent="0.35">
      <c r="A1007" s="21" t="s">
        <v>93</v>
      </c>
      <c r="B1007" s="22" t="s">
        <v>48</v>
      </c>
      <c r="C1007" s="22" t="s">
        <v>36</v>
      </c>
      <c r="D1007" s="22" t="s">
        <v>63</v>
      </c>
      <c r="E1007" s="22" t="s">
        <v>38</v>
      </c>
      <c r="F1007" s="22">
        <v>21087.27</v>
      </c>
      <c r="G1007" s="22">
        <v>872752</v>
      </c>
      <c r="H1007" s="22">
        <v>7466</v>
      </c>
      <c r="I1007" s="22">
        <v>125496.04</v>
      </c>
      <c r="J1007" s="22">
        <v>49</v>
      </c>
      <c r="K1007" s="23">
        <f t="shared" si="165"/>
        <v>8.554549287770179E-3</v>
      </c>
      <c r="L1007" s="24">
        <f t="shared" si="175"/>
        <v>2.8244401285829093</v>
      </c>
      <c r="M1007" s="24">
        <f t="shared" si="166"/>
        <v>24.161812290318441</v>
      </c>
      <c r="N1007" s="24">
        <f t="shared" si="167"/>
        <v>5.9512701264791499</v>
      </c>
      <c r="O1007" s="24">
        <f t="shared" si="168"/>
        <v>4.9512701264791499</v>
      </c>
      <c r="P1007" s="12">
        <v>2025</v>
      </c>
      <c r="Q1007" s="12" t="s">
        <v>53</v>
      </c>
      <c r="R1007" s="12" t="s">
        <v>46</v>
      </c>
      <c r="S1007" s="71">
        <f>DATE(Table2[[#This Row],[Year]],MONTH(DATEVALUE("1-"&amp;Table2[[#This Row],[Month]]&amp;"-2000")),1)</f>
        <v>45809</v>
      </c>
      <c r="T1007" s="24">
        <f t="shared" si="169"/>
        <v>16.809006161264399</v>
      </c>
      <c r="U1007" s="24">
        <f t="shared" si="170"/>
        <v>0.14379347168496892</v>
      </c>
      <c r="V1007" s="24">
        <f t="shared" si="171"/>
        <v>430.35244897959183</v>
      </c>
      <c r="W1007" s="24">
        <f t="shared" si="172"/>
        <v>2561.1436734693875</v>
      </c>
      <c r="X1007" s="24">
        <f t="shared" si="173"/>
        <v>152.36734693877551</v>
      </c>
      <c r="Y1007" s="24">
        <f t="shared" si="174"/>
        <v>17811.265306122448</v>
      </c>
      <c r="Z1007" s="14" t="str" cm="1">
        <f t="array" ref="Z1007">_xlfn.IFS(K1007&lt;2%,"Low",K1007&lt;5%,"Medium",K1007&lt;10%,"Good",K1007&gt;10%,"Excellent")</f>
        <v>Low</v>
      </c>
      <c r="AA1007" s="24" t="str">
        <f>Data_Validation!N1005</f>
        <v>Pass</v>
      </c>
    </row>
  </sheetData>
  <mergeCells count="1">
    <mergeCell ref="E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9CB9-335A-478A-B475-D077D4463790}">
  <dimension ref="A1:T1009"/>
  <sheetViews>
    <sheetView zoomScaleNormal="100" workbookViewId="0">
      <pane xSplit="1" ySplit="9" topLeftCell="B10" activePane="bottomRight" state="frozen"/>
      <selection pane="topRight" activeCell="B1" sqref="B1"/>
      <selection pane="bottomLeft" activeCell="A10" sqref="A10"/>
      <selection pane="bottomRight" activeCell="F8" sqref="F8"/>
    </sheetView>
  </sheetViews>
  <sheetFormatPr defaultRowHeight="14.5" x14ac:dyDescent="0.35"/>
  <cols>
    <col min="1" max="1" width="23.08984375" customWidth="1"/>
    <col min="2" max="2" width="18.6328125" customWidth="1"/>
    <col min="3" max="3" width="12.08984375" bestFit="1" customWidth="1"/>
    <col min="4" max="4" width="18.7265625" customWidth="1"/>
    <col min="5" max="5" width="10.54296875" bestFit="1" customWidth="1"/>
    <col min="6" max="6" width="18.26953125" customWidth="1"/>
    <col min="7" max="7" width="11.6328125" customWidth="1"/>
    <col min="8" max="8" width="7.453125" customWidth="1"/>
    <col min="9" max="9" width="9.81640625" bestFit="1" customWidth="1"/>
    <col min="10" max="10" width="10.26953125" customWidth="1"/>
    <col min="11" max="11" width="7.81640625" bestFit="1" customWidth="1"/>
    <col min="12" max="13" width="7.36328125" bestFit="1" customWidth="1"/>
    <col min="14" max="14" width="10.08984375" customWidth="1"/>
    <col min="15" max="15" width="12.08984375" customWidth="1"/>
    <col min="16" max="16" width="12.453125" customWidth="1"/>
    <col min="18" max="18" width="11" customWidth="1"/>
    <col min="19" max="19" width="13.7265625" bestFit="1" customWidth="1"/>
    <col min="20" max="20" width="25" bestFit="1" customWidth="1"/>
  </cols>
  <sheetData>
    <row r="1" spans="1:20" x14ac:dyDescent="0.35">
      <c r="A1" s="114" t="s">
        <v>196</v>
      </c>
      <c r="B1" s="114"/>
      <c r="D1" s="113" t="s">
        <v>189</v>
      </c>
      <c r="E1" s="113"/>
      <c r="F1" s="113"/>
      <c r="G1" s="113"/>
      <c r="H1" s="50"/>
    </row>
    <row r="2" spans="1:20" s="44" customFormat="1" ht="29" x14ac:dyDescent="0.35">
      <c r="A2" s="55" t="s">
        <v>183</v>
      </c>
      <c r="B2" s="56">
        <f>_xlfn.PERCENTILE.INC(F10:F1009,0.95)</f>
        <v>42287.893999999993</v>
      </c>
      <c r="D2" s="53" t="s">
        <v>190</v>
      </c>
      <c r="E2" s="54">
        <f>COUNTIF(Table4[High Spend Flag],"High Spend")</f>
        <v>50</v>
      </c>
      <c r="F2" s="53" t="s">
        <v>191</v>
      </c>
      <c r="G2" s="54">
        <f>COUNTIF(Table4[High Revenue Flag],"High Revenue")</f>
        <v>50</v>
      </c>
    </row>
    <row r="3" spans="1:20" s="44" customFormat="1" ht="29" x14ac:dyDescent="0.35">
      <c r="A3" s="55" t="s">
        <v>184</v>
      </c>
      <c r="B3" s="56">
        <f>_xlfn.PERCENTILE.INC(Table4[Sales],0.95)</f>
        <v>232793.51300000001</v>
      </c>
      <c r="D3" s="53" t="s">
        <v>192</v>
      </c>
      <c r="E3" s="54">
        <f>COUNTIF(Table4[High CTR Flag],"High CTR")</f>
        <v>50</v>
      </c>
      <c r="F3" s="53" t="s">
        <v>193</v>
      </c>
      <c r="G3" s="54">
        <f>COUNTIF(Table4[ROAS Band],"Poor")</f>
        <v>45</v>
      </c>
      <c r="H3" s="47"/>
      <c r="I3" s="46"/>
      <c r="J3" s="47"/>
      <c r="K3" s="46"/>
      <c r="L3" s="45"/>
    </row>
    <row r="4" spans="1:20" s="44" customFormat="1" ht="29" x14ac:dyDescent="0.35">
      <c r="A4" s="55" t="s">
        <v>185</v>
      </c>
      <c r="B4" s="56">
        <f>_xlfn.PERCENTILE.INC(Table4[CTR],0.95)</f>
        <v>0.39633460008179094</v>
      </c>
      <c r="C4" s="49"/>
      <c r="D4" s="53" t="s">
        <v>194</v>
      </c>
      <c r="E4" s="54">
        <f>COUNTIF(Table4[Spend Efficiency Flag],"Wasted Budget")</f>
        <v>180</v>
      </c>
      <c r="F4" s="53" t="s">
        <v>195</v>
      </c>
      <c r="G4" s="54">
        <f>COUNTIF(Table4[Click vs Sales Monitization Flag],"Poor Monetization")</f>
        <v>54</v>
      </c>
      <c r="H4" s="47"/>
      <c r="I4" s="48"/>
      <c r="J4" s="47"/>
      <c r="K4" s="48"/>
      <c r="L4" s="45"/>
    </row>
    <row r="5" spans="1:20" s="44" customFormat="1" x14ac:dyDescent="0.35">
      <c r="A5" s="55" t="s">
        <v>186</v>
      </c>
      <c r="B5" s="56">
        <f>_xlfn.PERCENTILE.INC(Table4[USD_Spend],0.25)</f>
        <v>4601.8175000000001</v>
      </c>
      <c r="F5" s="47"/>
      <c r="G5" s="48"/>
      <c r="H5" s="47"/>
      <c r="I5" s="48"/>
      <c r="J5" s="47"/>
      <c r="K5" s="48"/>
      <c r="L5" s="45"/>
    </row>
    <row r="6" spans="1:20" s="44" customFormat="1" x14ac:dyDescent="0.35">
      <c r="A6" s="55" t="s">
        <v>187</v>
      </c>
      <c r="B6" s="56">
        <f>_xlfn.PERCENTILE.INC(Table4[Sales],0.25)</f>
        <v>69253.507500000007</v>
      </c>
      <c r="F6" s="47"/>
      <c r="G6" s="48"/>
      <c r="H6" s="47"/>
      <c r="I6" s="48"/>
      <c r="J6" s="47"/>
      <c r="K6" s="48"/>
      <c r="L6" s="45"/>
    </row>
    <row r="7" spans="1:20" s="44" customFormat="1" x14ac:dyDescent="0.35">
      <c r="A7" s="55" t="s">
        <v>188</v>
      </c>
      <c r="B7" s="57">
        <f>_xlfn.PERCENTILE.INC(Table4[Clicks],0.75)</f>
        <v>38377</v>
      </c>
      <c r="C7" s="49"/>
      <c r="F7" s="45"/>
      <c r="G7" s="45"/>
      <c r="H7" s="45"/>
      <c r="I7" s="45"/>
      <c r="J7" s="45"/>
      <c r="K7" s="45"/>
      <c r="L7" s="45"/>
    </row>
    <row r="9" spans="1:20" ht="29" x14ac:dyDescent="0.35">
      <c r="A9" s="18" t="s">
        <v>0</v>
      </c>
      <c r="B9" s="19" t="s">
        <v>1</v>
      </c>
      <c r="C9" s="19" t="s">
        <v>2</v>
      </c>
      <c r="D9" s="19" t="s">
        <v>3</v>
      </c>
      <c r="E9" s="19" t="s">
        <v>4</v>
      </c>
      <c r="F9" s="19" t="s">
        <v>10</v>
      </c>
      <c r="G9" s="19" t="s">
        <v>11</v>
      </c>
      <c r="H9" s="19" t="s">
        <v>12</v>
      </c>
      <c r="I9" s="19" t="s">
        <v>13</v>
      </c>
      <c r="J9" s="19" t="s">
        <v>130</v>
      </c>
      <c r="K9" s="19" t="s">
        <v>142</v>
      </c>
      <c r="L9" s="19" t="s">
        <v>145</v>
      </c>
      <c r="M9" s="19" t="s">
        <v>146</v>
      </c>
      <c r="N9" s="52" t="s">
        <v>153</v>
      </c>
      <c r="O9" s="52" t="s">
        <v>178</v>
      </c>
      <c r="P9" s="52" t="s">
        <v>179</v>
      </c>
      <c r="Q9" s="52" t="s">
        <v>180</v>
      </c>
      <c r="R9" s="52" t="s">
        <v>181</v>
      </c>
      <c r="S9" s="52" t="s">
        <v>197</v>
      </c>
      <c r="T9" s="52" t="s">
        <v>182</v>
      </c>
    </row>
    <row r="10" spans="1:20" x14ac:dyDescent="0.35">
      <c r="A10" s="38" t="s">
        <v>103</v>
      </c>
      <c r="B10" s="38" t="s">
        <v>35</v>
      </c>
      <c r="C10" s="38" t="s">
        <v>36</v>
      </c>
      <c r="D10" s="38" t="s">
        <v>37</v>
      </c>
      <c r="E10" s="38" t="s">
        <v>22</v>
      </c>
      <c r="F10" s="38">
        <v>11480.43</v>
      </c>
      <c r="G10" s="38">
        <v>146828</v>
      </c>
      <c r="H10" s="38">
        <v>22431</v>
      </c>
      <c r="I10" s="38">
        <v>180649.72</v>
      </c>
      <c r="J10" s="38">
        <v>27</v>
      </c>
      <c r="K10" s="39">
        <f>H10/G10</f>
        <v>0.15277058871604871</v>
      </c>
      <c r="L10" s="40">
        <f>I10/F10</f>
        <v>15.735448933532977</v>
      </c>
      <c r="M10" s="40">
        <f>(I10-F10)/F10</f>
        <v>14.735448933532977</v>
      </c>
      <c r="N10" s="40">
        <f>I10/H10</f>
        <v>8.0535740715973425</v>
      </c>
      <c r="O10" s="1" t="str">
        <f t="shared" ref="O10:O73" si="0">IF(F10&lt;=$B$2,"Normal","High Spend")</f>
        <v>Normal</v>
      </c>
      <c r="P10" s="51" t="str">
        <f>IF(Table4[[#This Row],[Sales]]&lt;=$B$3,"Normal","High Revenue")</f>
        <v>Normal</v>
      </c>
      <c r="Q10" s="51" t="str">
        <f>IF(Table4[[#This Row],[CTR]]&lt;=$B$4,"Normal","High CTR")</f>
        <v>Normal</v>
      </c>
      <c r="R10" s="51" t="str">
        <f>IF(Table4[[#This Row],[ROAS]]&lt;1,"Poor",IF(Table4[[#This Row],[ROAS]]&lt;3,"Average",IF(Table4[[#This Row],[ROAS]]&lt;5,"Good",
"Excellent")))</f>
        <v>Excellent</v>
      </c>
      <c r="S10" s="51" t="str">
        <f>IF(AND(Table4[[#This Row],[USD_Spend]]&gt;=$B$5,Table4[[#This Row],[Sales]]&lt;=$B$6),"Wasted Budget","Spend Justified")</f>
        <v>Spend Justified</v>
      </c>
      <c r="T10" s="51" t="str">
        <f>IF(AND(Table4[[#This Row],[Clicks]]&gt;=$B$7,Table4[[#This Row],[Sales]]&lt;=$B$6),"Poor Monetization","Normal Monitization")</f>
        <v>Normal Monitization</v>
      </c>
    </row>
    <row r="11" spans="1:20" x14ac:dyDescent="0.35">
      <c r="A11" s="41" t="s">
        <v>120</v>
      </c>
      <c r="B11" s="41" t="s">
        <v>19</v>
      </c>
      <c r="C11" s="41" t="s">
        <v>58</v>
      </c>
      <c r="D11" s="41" t="s">
        <v>63</v>
      </c>
      <c r="E11" s="41" t="s">
        <v>30</v>
      </c>
      <c r="F11" s="41">
        <v>23696.65</v>
      </c>
      <c r="G11" s="41">
        <v>313300</v>
      </c>
      <c r="H11" s="41">
        <v>42898</v>
      </c>
      <c r="I11" s="41">
        <v>243160.04</v>
      </c>
      <c r="J11" s="41">
        <v>58</v>
      </c>
      <c r="K11" s="42">
        <f t="shared" ref="K11:K74" si="1">H11/G11</f>
        <v>0.13692307692307693</v>
      </c>
      <c r="L11" s="43">
        <f t="shared" ref="L11:L74" si="2">I11/F11</f>
        <v>10.261367746073812</v>
      </c>
      <c r="M11" s="43">
        <f t="shared" ref="M11:M74" si="3">(I11-F11)/F11</f>
        <v>9.2613677460738124</v>
      </c>
      <c r="N11" s="43">
        <f t="shared" ref="N11:N74" si="4">I11/H11</f>
        <v>5.668330458296424</v>
      </c>
      <c r="O11" s="1" t="str">
        <f t="shared" si="0"/>
        <v>Normal</v>
      </c>
      <c r="P11" s="51" t="str">
        <f>IF(Table4[[#This Row],[Sales]]&lt;=$B$3,"Normal","High Revenue")</f>
        <v>High Revenue</v>
      </c>
      <c r="Q11" s="51" t="str">
        <f>IF(Table4[[#This Row],[CTR]]&lt;=$B$4,"Normal","High CTR")</f>
        <v>Normal</v>
      </c>
      <c r="R11" s="51" t="str">
        <f>IF(Table4[[#This Row],[ROAS]]&lt;1,"Poor",IF(Table4[[#This Row],[ROAS]]&lt;3,"Average",IF(Table4[[#This Row],[ROAS]]&lt;5,"Good",
"Excellent")))</f>
        <v>Excellent</v>
      </c>
      <c r="S11" s="51" t="str">
        <f>IF(AND(Table4[[#This Row],[USD_Spend]]&gt;=$B$5,Table4[[#This Row],[Sales]]&lt;=$B$6),"Wasted Budget","Spend Justified")</f>
        <v>Spend Justified</v>
      </c>
      <c r="T11" s="51" t="str">
        <f>IF(AND(Table4[[#This Row],[Clicks]]&gt;=$B$7,Table4[[#This Row],[Sales]]&lt;=$B$6),"Poor Monetization","Normal Monitization")</f>
        <v>Normal Monitization</v>
      </c>
    </row>
    <row r="12" spans="1:20" x14ac:dyDescent="0.35">
      <c r="A12" s="38" t="s">
        <v>96</v>
      </c>
      <c r="B12" s="38" t="s">
        <v>35</v>
      </c>
      <c r="C12" s="38" t="s">
        <v>36</v>
      </c>
      <c r="D12" s="38" t="s">
        <v>51</v>
      </c>
      <c r="E12" s="38" t="s">
        <v>30</v>
      </c>
      <c r="F12" s="38">
        <v>36694.839999999997</v>
      </c>
      <c r="G12" s="38">
        <v>64382</v>
      </c>
      <c r="H12" s="38">
        <v>21268</v>
      </c>
      <c r="I12" s="38">
        <v>110974.3</v>
      </c>
      <c r="J12" s="38">
        <v>33</v>
      </c>
      <c r="K12" s="39">
        <f t="shared" si="1"/>
        <v>0.33034077847845672</v>
      </c>
      <c r="L12" s="40">
        <f t="shared" si="2"/>
        <v>3.0242480959175735</v>
      </c>
      <c r="M12" s="40">
        <f t="shared" si="3"/>
        <v>2.0242480959175735</v>
      </c>
      <c r="N12" s="40">
        <f t="shared" si="4"/>
        <v>5.2179001316531881</v>
      </c>
      <c r="O12" s="1" t="str">
        <f t="shared" si="0"/>
        <v>Normal</v>
      </c>
      <c r="P12" s="51" t="str">
        <f>IF(Table4[[#This Row],[Sales]]&lt;=$B$3,"Normal","High Revenue")</f>
        <v>Normal</v>
      </c>
      <c r="Q12" s="51" t="str">
        <f>IF(Table4[[#This Row],[CTR]]&lt;=$B$4,"Normal","High CTR")</f>
        <v>Normal</v>
      </c>
      <c r="R12" s="51" t="str">
        <f>IF(Table4[[#This Row],[ROAS]]&lt;1,"Poor",IF(Table4[[#This Row],[ROAS]]&lt;3,"Average",IF(Table4[[#This Row],[ROAS]]&lt;5,"Good",
"Excellent")))</f>
        <v>Good</v>
      </c>
      <c r="S12" s="51" t="str">
        <f>IF(AND(Table4[[#This Row],[USD_Spend]]&gt;=$B$5,Table4[[#This Row],[Sales]]&lt;=$B$6),"Wasted Budget","Spend Justified")</f>
        <v>Spend Justified</v>
      </c>
      <c r="T12" s="51" t="str">
        <f>IF(AND(Table4[[#This Row],[Clicks]]&gt;=$B$7,Table4[[#This Row],[Sales]]&lt;=$B$6),"Poor Monetization","Normal Monitization")</f>
        <v>Normal Monitization</v>
      </c>
    </row>
    <row r="13" spans="1:20" x14ac:dyDescent="0.35">
      <c r="A13" s="41" t="s">
        <v>96</v>
      </c>
      <c r="B13" s="41" t="s">
        <v>35</v>
      </c>
      <c r="C13" s="41" t="s">
        <v>20</v>
      </c>
      <c r="D13" s="41" t="s">
        <v>21</v>
      </c>
      <c r="E13" s="41" t="s">
        <v>30</v>
      </c>
      <c r="F13" s="41">
        <v>2894.08</v>
      </c>
      <c r="G13" s="41">
        <v>228677</v>
      </c>
      <c r="H13" s="41">
        <v>46629</v>
      </c>
      <c r="I13" s="41">
        <v>48638.18</v>
      </c>
      <c r="J13" s="41">
        <v>33</v>
      </c>
      <c r="K13" s="42">
        <f t="shared" si="1"/>
        <v>0.20390769513331031</v>
      </c>
      <c r="L13" s="43">
        <f t="shared" si="2"/>
        <v>16.806093819106589</v>
      </c>
      <c r="M13" s="43">
        <f t="shared" si="3"/>
        <v>15.806093819106589</v>
      </c>
      <c r="N13" s="43">
        <f t="shared" si="4"/>
        <v>1.0430886358274893</v>
      </c>
      <c r="O13" s="1" t="str">
        <f t="shared" si="0"/>
        <v>Normal</v>
      </c>
      <c r="P13" s="51" t="str">
        <f>IF(Table4[[#This Row],[Sales]]&lt;=$B$3,"Normal","High Revenue")</f>
        <v>Normal</v>
      </c>
      <c r="Q13" s="51" t="str">
        <f>IF(Table4[[#This Row],[CTR]]&lt;=$B$4,"Normal","High CTR")</f>
        <v>Normal</v>
      </c>
      <c r="R13" s="51" t="str">
        <f>IF(Table4[[#This Row],[ROAS]]&lt;1,"Poor",IF(Table4[[#This Row],[ROAS]]&lt;3,"Average",IF(Table4[[#This Row],[ROAS]]&lt;5,"Good",
"Excellent")))</f>
        <v>Excellent</v>
      </c>
      <c r="S13" s="51" t="str">
        <f>IF(AND(Table4[[#This Row],[USD_Spend]]&gt;=$B$5,Table4[[#This Row],[Sales]]&lt;=$B$6),"Wasted Budget","Spend Justified")</f>
        <v>Spend Justified</v>
      </c>
      <c r="T13" s="51" t="str">
        <f>IF(AND(Table4[[#This Row],[Clicks]]&gt;=$B$7,Table4[[#This Row],[Sales]]&lt;=$B$6),"Poor Monetization","Normal Monitization")</f>
        <v>Poor Monetization</v>
      </c>
    </row>
    <row r="14" spans="1:20" x14ac:dyDescent="0.35">
      <c r="A14" s="38" t="s">
        <v>106</v>
      </c>
      <c r="B14" s="38" t="s">
        <v>28</v>
      </c>
      <c r="C14" s="38" t="s">
        <v>58</v>
      </c>
      <c r="D14" s="38" t="s">
        <v>51</v>
      </c>
      <c r="E14" s="38" t="s">
        <v>38</v>
      </c>
      <c r="F14" s="38">
        <v>37828.129999999997</v>
      </c>
      <c r="G14" s="38">
        <v>126041</v>
      </c>
      <c r="H14" s="38">
        <v>12523</v>
      </c>
      <c r="I14" s="38">
        <v>74800.44</v>
      </c>
      <c r="J14" s="38">
        <v>28</v>
      </c>
      <c r="K14" s="39">
        <f t="shared" si="1"/>
        <v>9.9356558580144555E-2</v>
      </c>
      <c r="L14" s="40">
        <f t="shared" si="2"/>
        <v>1.9773760955141058</v>
      </c>
      <c r="M14" s="40">
        <f t="shared" si="3"/>
        <v>0.97737609551410576</v>
      </c>
      <c r="N14" s="40">
        <f t="shared" si="4"/>
        <v>5.9730447975724665</v>
      </c>
      <c r="O14" s="1" t="str">
        <f t="shared" si="0"/>
        <v>Normal</v>
      </c>
      <c r="P14" s="51" t="str">
        <f>IF(Table4[[#This Row],[Sales]]&lt;=$B$3,"Normal","High Revenue")</f>
        <v>Normal</v>
      </c>
      <c r="Q14" s="51" t="str">
        <f>IF(Table4[[#This Row],[CTR]]&lt;=$B$4,"Normal","High CTR")</f>
        <v>Normal</v>
      </c>
      <c r="R14" s="51" t="str">
        <f>IF(Table4[[#This Row],[ROAS]]&lt;1,"Poor",IF(Table4[[#This Row],[ROAS]]&lt;3,"Average",IF(Table4[[#This Row],[ROAS]]&lt;5,"Good",
"Excellent")))</f>
        <v>Average</v>
      </c>
      <c r="S14" s="51" t="str">
        <f>IF(AND(Table4[[#This Row],[USD_Spend]]&gt;=$B$5,Table4[[#This Row],[Sales]]&lt;=$B$6),"Wasted Budget","Spend Justified")</f>
        <v>Spend Justified</v>
      </c>
      <c r="T14" s="51" t="str">
        <f>IF(AND(Table4[[#This Row],[Clicks]]&gt;=$B$7,Table4[[#This Row],[Sales]]&lt;=$B$6),"Poor Monetization","Normal Monitization")</f>
        <v>Normal Monitization</v>
      </c>
    </row>
    <row r="15" spans="1:20" x14ac:dyDescent="0.35">
      <c r="A15" s="41" t="s">
        <v>115</v>
      </c>
      <c r="B15" s="41" t="s">
        <v>48</v>
      </c>
      <c r="C15" s="41" t="s">
        <v>58</v>
      </c>
      <c r="D15" s="41" t="s">
        <v>63</v>
      </c>
      <c r="E15" s="41" t="s">
        <v>22</v>
      </c>
      <c r="F15" s="41">
        <v>8598.43</v>
      </c>
      <c r="G15" s="41">
        <v>122369</v>
      </c>
      <c r="H15" s="41">
        <v>437</v>
      </c>
      <c r="I15" s="41">
        <v>90681.82</v>
      </c>
      <c r="J15" s="41">
        <v>45</v>
      </c>
      <c r="K15" s="42">
        <f t="shared" si="1"/>
        <v>3.5711658998602586E-3</v>
      </c>
      <c r="L15" s="43">
        <f t="shared" si="2"/>
        <v>10.546322991522871</v>
      </c>
      <c r="M15" s="43">
        <f t="shared" si="3"/>
        <v>9.5463229915228727</v>
      </c>
      <c r="N15" s="43">
        <f t="shared" si="4"/>
        <v>207.50988558352404</v>
      </c>
      <c r="O15" s="1" t="str">
        <f t="shared" si="0"/>
        <v>Normal</v>
      </c>
      <c r="P15" s="51" t="str">
        <f>IF(Table4[[#This Row],[Sales]]&lt;=$B$3,"Normal","High Revenue")</f>
        <v>Normal</v>
      </c>
      <c r="Q15" s="51" t="str">
        <f>IF(Table4[[#This Row],[CTR]]&lt;=$B$4,"Normal","High CTR")</f>
        <v>Normal</v>
      </c>
      <c r="R15" s="51" t="str">
        <f>IF(Table4[[#This Row],[ROAS]]&lt;1,"Poor",IF(Table4[[#This Row],[ROAS]]&lt;3,"Average",IF(Table4[[#This Row],[ROAS]]&lt;5,"Good",
"Excellent")))</f>
        <v>Excellent</v>
      </c>
      <c r="S15" s="51" t="str">
        <f>IF(AND(Table4[[#This Row],[USD_Spend]]&gt;=$B$5,Table4[[#This Row],[Sales]]&lt;=$B$6),"Wasted Budget","Spend Justified")</f>
        <v>Spend Justified</v>
      </c>
      <c r="T15" s="51" t="str">
        <f>IF(AND(Table4[[#This Row],[Clicks]]&gt;=$B$7,Table4[[#This Row],[Sales]]&lt;=$B$6),"Poor Monetization","Normal Monitization")</f>
        <v>Normal Monitization</v>
      </c>
    </row>
    <row r="16" spans="1:20" x14ac:dyDescent="0.35">
      <c r="A16" s="38" t="s">
        <v>55</v>
      </c>
      <c r="B16" s="38" t="s">
        <v>28</v>
      </c>
      <c r="C16" s="38" t="s">
        <v>29</v>
      </c>
      <c r="D16" s="38" t="s">
        <v>37</v>
      </c>
      <c r="E16" s="38" t="s">
        <v>38</v>
      </c>
      <c r="F16" s="38">
        <v>24147.15</v>
      </c>
      <c r="G16" s="38">
        <v>290608</v>
      </c>
      <c r="H16" s="38">
        <v>43267</v>
      </c>
      <c r="I16" s="38">
        <v>69802.27</v>
      </c>
      <c r="J16" s="38">
        <v>29</v>
      </c>
      <c r="K16" s="39">
        <f t="shared" si="1"/>
        <v>0.1488844078621373</v>
      </c>
      <c r="L16" s="40">
        <f t="shared" si="2"/>
        <v>2.8907042860130492</v>
      </c>
      <c r="M16" s="40">
        <f t="shared" si="3"/>
        <v>1.8907042860130492</v>
      </c>
      <c r="N16" s="40">
        <f t="shared" si="4"/>
        <v>1.6132911919014492</v>
      </c>
      <c r="O16" s="1" t="str">
        <f t="shared" si="0"/>
        <v>Normal</v>
      </c>
      <c r="P16" s="51" t="str">
        <f>IF(Table4[[#This Row],[Sales]]&lt;=$B$3,"Normal","High Revenue")</f>
        <v>Normal</v>
      </c>
      <c r="Q16" s="51" t="str">
        <f>IF(Table4[[#This Row],[CTR]]&lt;=$B$4,"Normal","High CTR")</f>
        <v>Normal</v>
      </c>
      <c r="R16" s="51" t="str">
        <f>IF(Table4[[#This Row],[ROAS]]&lt;1,"Poor",IF(Table4[[#This Row],[ROAS]]&lt;3,"Average",IF(Table4[[#This Row],[ROAS]]&lt;5,"Good",
"Excellent")))</f>
        <v>Average</v>
      </c>
      <c r="S16" s="51" t="str">
        <f>IF(AND(Table4[[#This Row],[USD_Spend]]&gt;=$B$5,Table4[[#This Row],[Sales]]&lt;=$B$6),"Wasted Budget","Spend Justified")</f>
        <v>Spend Justified</v>
      </c>
      <c r="T16" s="51" t="str">
        <f>IF(AND(Table4[[#This Row],[Clicks]]&gt;=$B$7,Table4[[#This Row],[Sales]]&lt;=$B$6),"Poor Monetization","Normal Monitization")</f>
        <v>Normal Monitization</v>
      </c>
    </row>
    <row r="17" spans="1:20" x14ac:dyDescent="0.35">
      <c r="A17" s="41" t="s">
        <v>107</v>
      </c>
      <c r="B17" s="41" t="s">
        <v>35</v>
      </c>
      <c r="C17" s="41" t="s">
        <v>36</v>
      </c>
      <c r="D17" s="41" t="s">
        <v>63</v>
      </c>
      <c r="E17" s="41" t="s">
        <v>38</v>
      </c>
      <c r="F17" s="41">
        <v>6070.99</v>
      </c>
      <c r="G17" s="41">
        <v>354625</v>
      </c>
      <c r="H17" s="41">
        <v>23530</v>
      </c>
      <c r="I17" s="41">
        <v>224159.27</v>
      </c>
      <c r="J17" s="41">
        <v>60</v>
      </c>
      <c r="K17" s="42">
        <f t="shared" si="1"/>
        <v>6.63517800493479E-2</v>
      </c>
      <c r="L17" s="43">
        <f t="shared" si="2"/>
        <v>36.923017497969852</v>
      </c>
      <c r="M17" s="43">
        <f t="shared" si="3"/>
        <v>35.923017497969852</v>
      </c>
      <c r="N17" s="43">
        <f t="shared" si="4"/>
        <v>9.5265308117297067</v>
      </c>
      <c r="O17" s="1" t="str">
        <f t="shared" si="0"/>
        <v>Normal</v>
      </c>
      <c r="P17" s="51" t="str">
        <f>IF(Table4[[#This Row],[Sales]]&lt;=$B$3,"Normal","High Revenue")</f>
        <v>Normal</v>
      </c>
      <c r="Q17" s="51" t="str">
        <f>IF(Table4[[#This Row],[CTR]]&lt;=$B$4,"Normal","High CTR")</f>
        <v>Normal</v>
      </c>
      <c r="R17" s="51" t="str">
        <f>IF(Table4[[#This Row],[ROAS]]&lt;1,"Poor",IF(Table4[[#This Row],[ROAS]]&lt;3,"Average",IF(Table4[[#This Row],[ROAS]]&lt;5,"Good",
"Excellent")))</f>
        <v>Excellent</v>
      </c>
      <c r="S17" s="51" t="str">
        <f>IF(AND(Table4[[#This Row],[USD_Spend]]&gt;=$B$5,Table4[[#This Row],[Sales]]&lt;=$B$6),"Wasted Budget","Spend Justified")</f>
        <v>Spend Justified</v>
      </c>
      <c r="T17" s="51" t="str">
        <f>IF(AND(Table4[[#This Row],[Clicks]]&gt;=$B$7,Table4[[#This Row],[Sales]]&lt;=$B$6),"Poor Monetization","Normal Monitization")</f>
        <v>Normal Monitization</v>
      </c>
    </row>
    <row r="18" spans="1:20" x14ac:dyDescent="0.35">
      <c r="A18" s="38" t="s">
        <v>78</v>
      </c>
      <c r="B18" s="38" t="s">
        <v>35</v>
      </c>
      <c r="C18" s="38" t="s">
        <v>29</v>
      </c>
      <c r="D18" s="38" t="s">
        <v>59</v>
      </c>
      <c r="E18" s="38" t="s">
        <v>38</v>
      </c>
      <c r="F18" s="38">
        <v>34140.35</v>
      </c>
      <c r="G18" s="38">
        <v>723612</v>
      </c>
      <c r="H18" s="38">
        <v>46577</v>
      </c>
      <c r="I18" s="38">
        <v>92666.15</v>
      </c>
      <c r="J18" s="38">
        <v>20</v>
      </c>
      <c r="K18" s="39">
        <f t="shared" si="1"/>
        <v>6.4367368147570797E-2</v>
      </c>
      <c r="L18" s="40">
        <f t="shared" si="2"/>
        <v>2.7142706504180536</v>
      </c>
      <c r="M18" s="40">
        <f t="shared" si="3"/>
        <v>1.7142706504180536</v>
      </c>
      <c r="N18" s="40">
        <f t="shared" si="4"/>
        <v>1.9895259462824999</v>
      </c>
      <c r="O18" s="1" t="str">
        <f t="shared" si="0"/>
        <v>Normal</v>
      </c>
      <c r="P18" s="51" t="str">
        <f>IF(Table4[[#This Row],[Sales]]&lt;=$B$3,"Normal","High Revenue")</f>
        <v>Normal</v>
      </c>
      <c r="Q18" s="51" t="str">
        <f>IF(Table4[[#This Row],[CTR]]&lt;=$B$4,"Normal","High CTR")</f>
        <v>Normal</v>
      </c>
      <c r="R18" s="51" t="str">
        <f>IF(Table4[[#This Row],[ROAS]]&lt;1,"Poor",IF(Table4[[#This Row],[ROAS]]&lt;3,"Average",IF(Table4[[#This Row],[ROAS]]&lt;5,"Good",
"Excellent")))</f>
        <v>Average</v>
      </c>
      <c r="S18" s="51" t="str">
        <f>IF(AND(Table4[[#This Row],[USD_Spend]]&gt;=$B$5,Table4[[#This Row],[Sales]]&lt;=$B$6),"Wasted Budget","Spend Justified")</f>
        <v>Spend Justified</v>
      </c>
      <c r="T18" s="51" t="str">
        <f>IF(AND(Table4[[#This Row],[Clicks]]&gt;=$B$7,Table4[[#This Row],[Sales]]&lt;=$B$6),"Poor Monetization","Normal Monitization")</f>
        <v>Normal Monitization</v>
      </c>
    </row>
    <row r="19" spans="1:20" x14ac:dyDescent="0.35">
      <c r="A19" s="41" t="s">
        <v>70</v>
      </c>
      <c r="B19" s="41" t="s">
        <v>19</v>
      </c>
      <c r="C19" s="41" t="s">
        <v>29</v>
      </c>
      <c r="D19" s="41" t="s">
        <v>43</v>
      </c>
      <c r="E19" s="41" t="s">
        <v>22</v>
      </c>
      <c r="F19" s="41">
        <v>16097.33</v>
      </c>
      <c r="G19" s="41">
        <v>707640</v>
      </c>
      <c r="H19" s="41">
        <v>38271</v>
      </c>
      <c r="I19" s="41">
        <v>198355.76</v>
      </c>
      <c r="J19" s="41">
        <v>9</v>
      </c>
      <c r="K19" s="42">
        <f t="shared" si="1"/>
        <v>5.4082584364931324E-2</v>
      </c>
      <c r="L19" s="43">
        <f t="shared" si="2"/>
        <v>12.322277048429772</v>
      </c>
      <c r="M19" s="43">
        <f t="shared" si="3"/>
        <v>11.322277048429772</v>
      </c>
      <c r="N19" s="43">
        <f t="shared" si="4"/>
        <v>5.1829259752815453</v>
      </c>
      <c r="O19" s="1" t="str">
        <f t="shared" si="0"/>
        <v>Normal</v>
      </c>
      <c r="P19" s="51" t="str">
        <f>IF(Table4[[#This Row],[Sales]]&lt;=$B$3,"Normal","High Revenue")</f>
        <v>Normal</v>
      </c>
      <c r="Q19" s="51" t="str">
        <f>IF(Table4[[#This Row],[CTR]]&lt;=$B$4,"Normal","High CTR")</f>
        <v>Normal</v>
      </c>
      <c r="R19" s="51" t="str">
        <f>IF(Table4[[#This Row],[ROAS]]&lt;1,"Poor",IF(Table4[[#This Row],[ROAS]]&lt;3,"Average",IF(Table4[[#This Row],[ROAS]]&lt;5,"Good",
"Excellent")))</f>
        <v>Excellent</v>
      </c>
      <c r="S19" s="51" t="str">
        <f>IF(AND(Table4[[#This Row],[USD_Spend]]&gt;=$B$5,Table4[[#This Row],[Sales]]&lt;=$B$6),"Wasted Budget","Spend Justified")</f>
        <v>Spend Justified</v>
      </c>
      <c r="T19" s="51" t="str">
        <f>IF(AND(Table4[[#This Row],[Clicks]]&gt;=$B$7,Table4[[#This Row],[Sales]]&lt;=$B$6),"Poor Monetization","Normal Monitization")</f>
        <v>Normal Monitization</v>
      </c>
    </row>
    <row r="20" spans="1:20" x14ac:dyDescent="0.35">
      <c r="A20" s="38" t="s">
        <v>106</v>
      </c>
      <c r="B20" s="38" t="s">
        <v>35</v>
      </c>
      <c r="C20" s="38" t="s">
        <v>58</v>
      </c>
      <c r="D20" s="38" t="s">
        <v>21</v>
      </c>
      <c r="E20" s="38" t="s">
        <v>30</v>
      </c>
      <c r="F20" s="38">
        <v>21094.81</v>
      </c>
      <c r="G20" s="38">
        <v>812598</v>
      </c>
      <c r="H20" s="38">
        <v>12055</v>
      </c>
      <c r="I20" s="38">
        <v>120092.36</v>
      </c>
      <c r="J20" s="38">
        <v>42</v>
      </c>
      <c r="K20" s="39">
        <f t="shared" si="1"/>
        <v>1.4835133731562224E-2</v>
      </c>
      <c r="L20" s="40">
        <f t="shared" si="2"/>
        <v>5.6929813541814314</v>
      </c>
      <c r="M20" s="40">
        <f t="shared" si="3"/>
        <v>4.6929813541814314</v>
      </c>
      <c r="N20" s="40">
        <f t="shared" si="4"/>
        <v>9.962037328909167</v>
      </c>
      <c r="O20" s="1" t="str">
        <f t="shared" si="0"/>
        <v>Normal</v>
      </c>
      <c r="P20" s="51" t="str">
        <f>IF(Table4[[#This Row],[Sales]]&lt;=$B$3,"Normal","High Revenue")</f>
        <v>Normal</v>
      </c>
      <c r="Q20" s="51" t="str">
        <f>IF(Table4[[#This Row],[CTR]]&lt;=$B$4,"Normal","High CTR")</f>
        <v>Normal</v>
      </c>
      <c r="R20" s="51" t="str">
        <f>IF(Table4[[#This Row],[ROAS]]&lt;1,"Poor",IF(Table4[[#This Row],[ROAS]]&lt;3,"Average",IF(Table4[[#This Row],[ROAS]]&lt;5,"Good",
"Excellent")))</f>
        <v>Excellent</v>
      </c>
      <c r="S20" s="51" t="str">
        <f>IF(AND(Table4[[#This Row],[USD_Spend]]&gt;=$B$5,Table4[[#This Row],[Sales]]&lt;=$B$6),"Wasted Budget","Spend Justified")</f>
        <v>Spend Justified</v>
      </c>
      <c r="T20" s="51" t="str">
        <f>IF(AND(Table4[[#This Row],[Clicks]]&gt;=$B$7,Table4[[#This Row],[Sales]]&lt;=$B$6),"Poor Monetization","Normal Monitization")</f>
        <v>Normal Monitization</v>
      </c>
    </row>
    <row r="21" spans="1:20" x14ac:dyDescent="0.35">
      <c r="A21" s="41" t="s">
        <v>18</v>
      </c>
      <c r="B21" s="41" t="s">
        <v>19</v>
      </c>
      <c r="C21" s="41" t="s">
        <v>36</v>
      </c>
      <c r="D21" s="41" t="s">
        <v>43</v>
      </c>
      <c r="E21" s="41" t="s">
        <v>30</v>
      </c>
      <c r="F21" s="41">
        <v>25264.68</v>
      </c>
      <c r="G21" s="41">
        <v>721451</v>
      </c>
      <c r="H21" s="41">
        <v>20788</v>
      </c>
      <c r="I21" s="41">
        <v>240631.87</v>
      </c>
      <c r="J21" s="41">
        <v>24</v>
      </c>
      <c r="K21" s="42">
        <f t="shared" si="1"/>
        <v>2.8814153698587985E-2</v>
      </c>
      <c r="L21" s="43">
        <f t="shared" si="2"/>
        <v>9.5244376734635061</v>
      </c>
      <c r="M21" s="43">
        <f t="shared" si="3"/>
        <v>8.5244376734635079</v>
      </c>
      <c r="N21" s="43">
        <f t="shared" si="4"/>
        <v>11.575518087358091</v>
      </c>
      <c r="O21" s="1" t="str">
        <f t="shared" si="0"/>
        <v>Normal</v>
      </c>
      <c r="P21" s="51" t="str">
        <f>IF(Table4[[#This Row],[Sales]]&lt;=$B$3,"Normal","High Revenue")</f>
        <v>High Revenue</v>
      </c>
      <c r="Q21" s="51" t="str">
        <f>IF(Table4[[#This Row],[CTR]]&lt;=$B$4,"Normal","High CTR")</f>
        <v>Normal</v>
      </c>
      <c r="R21" s="51" t="str">
        <f>IF(Table4[[#This Row],[ROAS]]&lt;1,"Poor",IF(Table4[[#This Row],[ROAS]]&lt;3,"Average",IF(Table4[[#This Row],[ROAS]]&lt;5,"Good",
"Excellent")))</f>
        <v>Excellent</v>
      </c>
      <c r="S21" s="51" t="str">
        <f>IF(AND(Table4[[#This Row],[USD_Spend]]&gt;=$B$5,Table4[[#This Row],[Sales]]&lt;=$B$6),"Wasted Budget","Spend Justified")</f>
        <v>Spend Justified</v>
      </c>
      <c r="T21" s="51" t="str">
        <f>IF(AND(Table4[[#This Row],[Clicks]]&gt;=$B$7,Table4[[#This Row],[Sales]]&lt;=$B$6),"Poor Monetization","Normal Monitization")</f>
        <v>Normal Monitization</v>
      </c>
    </row>
    <row r="22" spans="1:20" x14ac:dyDescent="0.35">
      <c r="A22" s="38" t="s">
        <v>99</v>
      </c>
      <c r="B22" s="38" t="s">
        <v>19</v>
      </c>
      <c r="C22" s="38" t="s">
        <v>69</v>
      </c>
      <c r="D22" s="38" t="s">
        <v>43</v>
      </c>
      <c r="E22" s="38" t="s">
        <v>30</v>
      </c>
      <c r="F22" s="38">
        <v>36935.24</v>
      </c>
      <c r="G22" s="38">
        <v>882496</v>
      </c>
      <c r="H22" s="38">
        <v>5340</v>
      </c>
      <c r="I22" s="38">
        <v>119674.49</v>
      </c>
      <c r="J22" s="38">
        <v>19</v>
      </c>
      <c r="K22" s="39">
        <f t="shared" si="1"/>
        <v>6.0510189281311189E-3</v>
      </c>
      <c r="L22" s="40">
        <f t="shared" si="2"/>
        <v>3.2401167557053916</v>
      </c>
      <c r="M22" s="40">
        <f t="shared" si="3"/>
        <v>2.2401167557053916</v>
      </c>
      <c r="N22" s="40">
        <f t="shared" si="4"/>
        <v>22.410953183520601</v>
      </c>
      <c r="O22" s="1" t="str">
        <f t="shared" si="0"/>
        <v>Normal</v>
      </c>
      <c r="P22" s="51" t="str">
        <f>IF(Table4[[#This Row],[Sales]]&lt;=$B$3,"Normal","High Revenue")</f>
        <v>Normal</v>
      </c>
      <c r="Q22" s="51" t="str">
        <f>IF(Table4[[#This Row],[CTR]]&lt;=$B$4,"Normal","High CTR")</f>
        <v>Normal</v>
      </c>
      <c r="R22" s="51" t="str">
        <f>IF(Table4[[#This Row],[ROAS]]&lt;1,"Poor",IF(Table4[[#This Row],[ROAS]]&lt;3,"Average",IF(Table4[[#This Row],[ROAS]]&lt;5,"Good",
"Excellent")))</f>
        <v>Good</v>
      </c>
      <c r="S22" s="51" t="str">
        <f>IF(AND(Table4[[#This Row],[USD_Spend]]&gt;=$B$5,Table4[[#This Row],[Sales]]&lt;=$B$6),"Wasted Budget","Spend Justified")</f>
        <v>Spend Justified</v>
      </c>
      <c r="T22" s="51" t="str">
        <f>IF(AND(Table4[[#This Row],[Clicks]]&gt;=$B$7,Table4[[#This Row],[Sales]]&lt;=$B$6),"Poor Monetization","Normal Monitization")</f>
        <v>Normal Monitization</v>
      </c>
    </row>
    <row r="23" spans="1:20" x14ac:dyDescent="0.35">
      <c r="A23" s="41" t="s">
        <v>103</v>
      </c>
      <c r="B23" s="41" t="s">
        <v>48</v>
      </c>
      <c r="C23" s="41" t="s">
        <v>36</v>
      </c>
      <c r="D23" s="41" t="s">
        <v>59</v>
      </c>
      <c r="E23" s="41" t="s">
        <v>22</v>
      </c>
      <c r="F23" s="41">
        <v>11978.59</v>
      </c>
      <c r="G23" s="41">
        <v>518453</v>
      </c>
      <c r="H23" s="41">
        <v>27100</v>
      </c>
      <c r="I23" s="41">
        <v>88376.71</v>
      </c>
      <c r="J23" s="41">
        <v>14</v>
      </c>
      <c r="K23" s="42">
        <f t="shared" si="1"/>
        <v>5.2270890514665748E-2</v>
      </c>
      <c r="L23" s="43">
        <f t="shared" si="2"/>
        <v>7.377889217345281</v>
      </c>
      <c r="M23" s="43">
        <f t="shared" si="3"/>
        <v>6.377889217345281</v>
      </c>
      <c r="N23" s="43">
        <f t="shared" si="4"/>
        <v>3.2611332103321033</v>
      </c>
      <c r="O23" s="1" t="str">
        <f t="shared" si="0"/>
        <v>Normal</v>
      </c>
      <c r="P23" s="51" t="str">
        <f>IF(Table4[[#This Row],[Sales]]&lt;=$B$3,"Normal","High Revenue")</f>
        <v>Normal</v>
      </c>
      <c r="Q23" s="51" t="str">
        <f>IF(Table4[[#This Row],[CTR]]&lt;=$B$4,"Normal","High CTR")</f>
        <v>Normal</v>
      </c>
      <c r="R23" s="51" t="str">
        <f>IF(Table4[[#This Row],[ROAS]]&lt;1,"Poor",IF(Table4[[#This Row],[ROAS]]&lt;3,"Average",IF(Table4[[#This Row],[ROAS]]&lt;5,"Good",
"Excellent")))</f>
        <v>Excellent</v>
      </c>
      <c r="S23" s="51" t="str">
        <f>IF(AND(Table4[[#This Row],[USD_Spend]]&gt;=$B$5,Table4[[#This Row],[Sales]]&lt;=$B$6),"Wasted Budget","Spend Justified")</f>
        <v>Spend Justified</v>
      </c>
      <c r="T23" s="51" t="str">
        <f>IF(AND(Table4[[#This Row],[Clicks]]&gt;=$B$7,Table4[[#This Row],[Sales]]&lt;=$B$6),"Poor Monetization","Normal Monitization")</f>
        <v>Normal Monitization</v>
      </c>
    </row>
    <row r="24" spans="1:20" x14ac:dyDescent="0.35">
      <c r="A24" s="38" t="s">
        <v>99</v>
      </c>
      <c r="B24" s="38" t="s">
        <v>28</v>
      </c>
      <c r="C24" s="38" t="s">
        <v>58</v>
      </c>
      <c r="D24" s="38" t="s">
        <v>51</v>
      </c>
      <c r="E24" s="38" t="s">
        <v>38</v>
      </c>
      <c r="F24" s="38">
        <v>12819.95</v>
      </c>
      <c r="G24" s="38">
        <v>837630</v>
      </c>
      <c r="H24" s="38">
        <v>26181</v>
      </c>
      <c r="I24" s="38">
        <v>129119.6</v>
      </c>
      <c r="J24" s="38">
        <v>22</v>
      </c>
      <c r="K24" s="39">
        <f t="shared" si="1"/>
        <v>3.1256043837971419E-2</v>
      </c>
      <c r="L24" s="40">
        <f t="shared" si="2"/>
        <v>10.071770950744737</v>
      </c>
      <c r="M24" s="40">
        <f t="shared" si="3"/>
        <v>9.071770950744737</v>
      </c>
      <c r="N24" s="40">
        <f t="shared" si="4"/>
        <v>4.9318055078110081</v>
      </c>
      <c r="O24" s="1" t="str">
        <f t="shared" si="0"/>
        <v>Normal</v>
      </c>
      <c r="P24" s="51" t="str">
        <f>IF(Table4[[#This Row],[Sales]]&lt;=$B$3,"Normal","High Revenue")</f>
        <v>Normal</v>
      </c>
      <c r="Q24" s="51" t="str">
        <f>IF(Table4[[#This Row],[CTR]]&lt;=$B$4,"Normal","High CTR")</f>
        <v>Normal</v>
      </c>
      <c r="R24" s="51" t="str">
        <f>IF(Table4[[#This Row],[ROAS]]&lt;1,"Poor",IF(Table4[[#This Row],[ROAS]]&lt;3,"Average",IF(Table4[[#This Row],[ROAS]]&lt;5,"Good",
"Excellent")))</f>
        <v>Excellent</v>
      </c>
      <c r="S24" s="51" t="str">
        <f>IF(AND(Table4[[#This Row],[USD_Spend]]&gt;=$B$5,Table4[[#This Row],[Sales]]&lt;=$B$6),"Wasted Budget","Spend Justified")</f>
        <v>Spend Justified</v>
      </c>
      <c r="T24" s="51" t="str">
        <f>IF(AND(Table4[[#This Row],[Clicks]]&gt;=$B$7,Table4[[#This Row],[Sales]]&lt;=$B$6),"Poor Monetization","Normal Monitization")</f>
        <v>Normal Monitization</v>
      </c>
    </row>
    <row r="25" spans="1:20" x14ac:dyDescent="0.35">
      <c r="A25" s="41" t="s">
        <v>87</v>
      </c>
      <c r="B25" s="41" t="s">
        <v>28</v>
      </c>
      <c r="C25" s="41" t="s">
        <v>69</v>
      </c>
      <c r="D25" s="41" t="s">
        <v>51</v>
      </c>
      <c r="E25" s="41" t="s">
        <v>30</v>
      </c>
      <c r="F25" s="41">
        <v>34633.21</v>
      </c>
      <c r="G25" s="41">
        <v>994630</v>
      </c>
      <c r="H25" s="41">
        <v>38324</v>
      </c>
      <c r="I25" s="41">
        <v>31078.47</v>
      </c>
      <c r="J25" s="41">
        <v>40</v>
      </c>
      <c r="K25" s="42">
        <f t="shared" si="1"/>
        <v>3.8530910992027184E-2</v>
      </c>
      <c r="L25" s="43">
        <f t="shared" si="2"/>
        <v>0.89736036596087976</v>
      </c>
      <c r="M25" s="43">
        <f t="shared" si="3"/>
        <v>-0.1026396340391202</v>
      </c>
      <c r="N25" s="43">
        <f t="shared" si="4"/>
        <v>0.81094014194760466</v>
      </c>
      <c r="O25" s="1" t="str">
        <f t="shared" si="0"/>
        <v>Normal</v>
      </c>
      <c r="P25" s="51" t="str">
        <f>IF(Table4[[#This Row],[Sales]]&lt;=$B$3,"Normal","High Revenue")</f>
        <v>Normal</v>
      </c>
      <c r="Q25" s="51" t="str">
        <f>IF(Table4[[#This Row],[CTR]]&lt;=$B$4,"Normal","High CTR")</f>
        <v>Normal</v>
      </c>
      <c r="R25" s="51" t="str">
        <f>IF(Table4[[#This Row],[ROAS]]&lt;1,"Poor",IF(Table4[[#This Row],[ROAS]]&lt;3,"Average",IF(Table4[[#This Row],[ROAS]]&lt;5,"Good",
"Excellent")))</f>
        <v>Poor</v>
      </c>
      <c r="S25" s="51" t="str">
        <f>IF(AND(Table4[[#This Row],[USD_Spend]]&gt;=$B$5,Table4[[#This Row],[Sales]]&lt;=$B$6),"Wasted Budget","Spend Justified")</f>
        <v>Wasted Budget</v>
      </c>
      <c r="T25" s="51" t="str">
        <f>IF(AND(Table4[[#This Row],[Clicks]]&gt;=$B$7,Table4[[#This Row],[Sales]]&lt;=$B$6),"Poor Monetization","Normal Monitization")</f>
        <v>Normal Monitization</v>
      </c>
    </row>
    <row r="26" spans="1:20" x14ac:dyDescent="0.35">
      <c r="A26" s="38" t="s">
        <v>114</v>
      </c>
      <c r="B26" s="38" t="s">
        <v>35</v>
      </c>
      <c r="C26" s="38" t="s">
        <v>29</v>
      </c>
      <c r="D26" s="38" t="s">
        <v>21</v>
      </c>
      <c r="E26" s="38" t="s">
        <v>30</v>
      </c>
      <c r="F26" s="38">
        <v>19819.150000000001</v>
      </c>
      <c r="G26" s="38">
        <v>764987</v>
      </c>
      <c r="H26" s="38">
        <v>27466</v>
      </c>
      <c r="I26" s="38">
        <v>77322.11</v>
      </c>
      <c r="J26" s="38">
        <v>22</v>
      </c>
      <c r="K26" s="39">
        <f t="shared" si="1"/>
        <v>3.5903878105118123E-2</v>
      </c>
      <c r="L26" s="40">
        <f t="shared" si="2"/>
        <v>3.9013837626739791</v>
      </c>
      <c r="M26" s="40">
        <f t="shared" si="3"/>
        <v>2.9013837626739791</v>
      </c>
      <c r="N26" s="40">
        <f t="shared" si="4"/>
        <v>2.8151936940216995</v>
      </c>
      <c r="O26" s="1" t="str">
        <f t="shared" si="0"/>
        <v>Normal</v>
      </c>
      <c r="P26" s="51" t="str">
        <f>IF(Table4[[#This Row],[Sales]]&lt;=$B$3,"Normal","High Revenue")</f>
        <v>Normal</v>
      </c>
      <c r="Q26" s="51" t="str">
        <f>IF(Table4[[#This Row],[CTR]]&lt;=$B$4,"Normal","High CTR")</f>
        <v>Normal</v>
      </c>
      <c r="R26" s="51" t="str">
        <f>IF(Table4[[#This Row],[ROAS]]&lt;1,"Poor",IF(Table4[[#This Row],[ROAS]]&lt;3,"Average",IF(Table4[[#This Row],[ROAS]]&lt;5,"Good",
"Excellent")))</f>
        <v>Good</v>
      </c>
      <c r="S26" s="51" t="str">
        <f>IF(AND(Table4[[#This Row],[USD_Spend]]&gt;=$B$5,Table4[[#This Row],[Sales]]&lt;=$B$6),"Wasted Budget","Spend Justified")</f>
        <v>Spend Justified</v>
      </c>
      <c r="T26" s="51" t="str">
        <f>IF(AND(Table4[[#This Row],[Clicks]]&gt;=$B$7,Table4[[#This Row],[Sales]]&lt;=$B$6),"Poor Monetization","Normal Monitization")</f>
        <v>Normal Monitization</v>
      </c>
    </row>
    <row r="27" spans="1:20" x14ac:dyDescent="0.35">
      <c r="A27" s="41" t="s">
        <v>50</v>
      </c>
      <c r="B27" s="41" t="s">
        <v>35</v>
      </c>
      <c r="C27" s="41" t="s">
        <v>29</v>
      </c>
      <c r="D27" s="41" t="s">
        <v>51</v>
      </c>
      <c r="E27" s="41" t="s">
        <v>38</v>
      </c>
      <c r="F27" s="41">
        <v>15035.05</v>
      </c>
      <c r="G27" s="41">
        <v>155766</v>
      </c>
      <c r="H27" s="41">
        <v>29062</v>
      </c>
      <c r="I27" s="41">
        <v>222982.96</v>
      </c>
      <c r="J27" s="41">
        <v>36</v>
      </c>
      <c r="K27" s="42">
        <f t="shared" si="1"/>
        <v>0.18657473389571536</v>
      </c>
      <c r="L27" s="43">
        <f t="shared" si="2"/>
        <v>14.830875853422503</v>
      </c>
      <c r="M27" s="43">
        <f t="shared" si="3"/>
        <v>13.830875853422503</v>
      </c>
      <c r="N27" s="43">
        <f t="shared" si="4"/>
        <v>7.6726639598100608</v>
      </c>
      <c r="O27" s="1" t="str">
        <f t="shared" si="0"/>
        <v>Normal</v>
      </c>
      <c r="P27" s="51" t="str">
        <f>IF(Table4[[#This Row],[Sales]]&lt;=$B$3,"Normal","High Revenue")</f>
        <v>Normal</v>
      </c>
      <c r="Q27" s="51" t="str">
        <f>IF(Table4[[#This Row],[CTR]]&lt;=$B$4,"Normal","High CTR")</f>
        <v>Normal</v>
      </c>
      <c r="R27" s="51" t="str">
        <f>IF(Table4[[#This Row],[ROAS]]&lt;1,"Poor",IF(Table4[[#This Row],[ROAS]]&lt;3,"Average",IF(Table4[[#This Row],[ROAS]]&lt;5,"Good",
"Excellent")))</f>
        <v>Excellent</v>
      </c>
      <c r="S27" s="51" t="str">
        <f>IF(AND(Table4[[#This Row],[USD_Spend]]&gt;=$B$5,Table4[[#This Row],[Sales]]&lt;=$B$6),"Wasted Budget","Spend Justified")</f>
        <v>Spend Justified</v>
      </c>
      <c r="T27" s="51" t="str">
        <f>IF(AND(Table4[[#This Row],[Clicks]]&gt;=$B$7,Table4[[#This Row],[Sales]]&lt;=$B$6),"Poor Monetization","Normal Monitization")</f>
        <v>Normal Monitization</v>
      </c>
    </row>
    <row r="28" spans="1:20" x14ac:dyDescent="0.35">
      <c r="A28" s="38" t="s">
        <v>108</v>
      </c>
      <c r="B28" s="38" t="s">
        <v>19</v>
      </c>
      <c r="C28" s="38" t="s">
        <v>36</v>
      </c>
      <c r="D28" s="38" t="s">
        <v>63</v>
      </c>
      <c r="E28" s="38" t="s">
        <v>38</v>
      </c>
      <c r="F28" s="38">
        <v>19207.099999999999</v>
      </c>
      <c r="G28" s="38">
        <v>176309</v>
      </c>
      <c r="H28" s="38">
        <v>11550</v>
      </c>
      <c r="I28" s="38">
        <v>207847.43</v>
      </c>
      <c r="J28" s="38">
        <v>28</v>
      </c>
      <c r="K28" s="39">
        <f t="shared" si="1"/>
        <v>6.5509985309882085E-2</v>
      </c>
      <c r="L28" s="40">
        <f t="shared" si="2"/>
        <v>10.821385321053153</v>
      </c>
      <c r="M28" s="40">
        <f t="shared" si="3"/>
        <v>9.8213853210531514</v>
      </c>
      <c r="N28" s="40">
        <f t="shared" si="4"/>
        <v>17.995448484848485</v>
      </c>
      <c r="O28" s="1" t="str">
        <f t="shared" si="0"/>
        <v>Normal</v>
      </c>
      <c r="P28" s="51" t="str">
        <f>IF(Table4[[#This Row],[Sales]]&lt;=$B$3,"Normal","High Revenue")</f>
        <v>Normal</v>
      </c>
      <c r="Q28" s="51" t="str">
        <f>IF(Table4[[#This Row],[CTR]]&lt;=$B$4,"Normal","High CTR")</f>
        <v>Normal</v>
      </c>
      <c r="R28" s="51" t="str">
        <f>IF(Table4[[#This Row],[ROAS]]&lt;1,"Poor",IF(Table4[[#This Row],[ROAS]]&lt;3,"Average",IF(Table4[[#This Row],[ROAS]]&lt;5,"Good",
"Excellent")))</f>
        <v>Excellent</v>
      </c>
      <c r="S28" s="51" t="str">
        <f>IF(AND(Table4[[#This Row],[USD_Spend]]&gt;=$B$5,Table4[[#This Row],[Sales]]&lt;=$B$6),"Wasted Budget","Spend Justified")</f>
        <v>Spend Justified</v>
      </c>
      <c r="T28" s="51" t="str">
        <f>IF(AND(Table4[[#This Row],[Clicks]]&gt;=$B$7,Table4[[#This Row],[Sales]]&lt;=$B$6),"Poor Monetization","Normal Monitization")</f>
        <v>Normal Monitization</v>
      </c>
    </row>
    <row r="29" spans="1:20" x14ac:dyDescent="0.35">
      <c r="A29" s="41" t="s">
        <v>109</v>
      </c>
      <c r="B29" s="41" t="s">
        <v>28</v>
      </c>
      <c r="C29" s="41" t="s">
        <v>69</v>
      </c>
      <c r="D29" s="41" t="s">
        <v>37</v>
      </c>
      <c r="E29" s="41" t="s">
        <v>38</v>
      </c>
      <c r="F29" s="41">
        <v>47793.279999999999</v>
      </c>
      <c r="G29" s="41">
        <v>613727</v>
      </c>
      <c r="H29" s="41">
        <v>28233</v>
      </c>
      <c r="I29" s="41">
        <v>145482.92000000001</v>
      </c>
      <c r="J29" s="41">
        <v>35</v>
      </c>
      <c r="K29" s="42">
        <f t="shared" si="1"/>
        <v>4.6002538588004113E-2</v>
      </c>
      <c r="L29" s="43">
        <f t="shared" si="2"/>
        <v>3.0440036758305773</v>
      </c>
      <c r="M29" s="43">
        <f t="shared" si="3"/>
        <v>2.0440036758305773</v>
      </c>
      <c r="N29" s="43">
        <f t="shared" si="4"/>
        <v>5.1529387596075518</v>
      </c>
      <c r="O29" s="1" t="str">
        <f t="shared" si="0"/>
        <v>High Spend</v>
      </c>
      <c r="P29" s="51" t="str">
        <f>IF(Table4[[#This Row],[Sales]]&lt;=$B$3,"Normal","High Revenue")</f>
        <v>Normal</v>
      </c>
      <c r="Q29" s="51" t="str">
        <f>IF(Table4[[#This Row],[CTR]]&lt;=$B$4,"Normal","High CTR")</f>
        <v>Normal</v>
      </c>
      <c r="R29" s="51" t="str">
        <f>IF(Table4[[#This Row],[ROAS]]&lt;1,"Poor",IF(Table4[[#This Row],[ROAS]]&lt;3,"Average",IF(Table4[[#This Row],[ROAS]]&lt;5,"Good",
"Excellent")))</f>
        <v>Good</v>
      </c>
      <c r="S29" s="51" t="str">
        <f>IF(AND(Table4[[#This Row],[USD_Spend]]&gt;=$B$5,Table4[[#This Row],[Sales]]&lt;=$B$6),"Wasted Budget","Spend Justified")</f>
        <v>Spend Justified</v>
      </c>
      <c r="T29" s="51" t="str">
        <f>IF(AND(Table4[[#This Row],[Clicks]]&gt;=$B$7,Table4[[#This Row],[Sales]]&lt;=$B$6),"Poor Monetization","Normal Monitization")</f>
        <v>Normal Monitization</v>
      </c>
    </row>
    <row r="30" spans="1:20" x14ac:dyDescent="0.35">
      <c r="A30" s="38" t="s">
        <v>72</v>
      </c>
      <c r="B30" s="38" t="s">
        <v>48</v>
      </c>
      <c r="C30" s="38" t="s">
        <v>69</v>
      </c>
      <c r="D30" s="38" t="s">
        <v>43</v>
      </c>
      <c r="E30" s="38" t="s">
        <v>38</v>
      </c>
      <c r="F30" s="38">
        <v>19915.91</v>
      </c>
      <c r="G30" s="38">
        <v>116440</v>
      </c>
      <c r="H30" s="38">
        <v>16242</v>
      </c>
      <c r="I30" s="38">
        <v>191929.68</v>
      </c>
      <c r="J30" s="38">
        <v>23</v>
      </c>
      <c r="K30" s="39">
        <f t="shared" si="1"/>
        <v>0.13948814840261078</v>
      </c>
      <c r="L30" s="40">
        <f t="shared" si="2"/>
        <v>9.6370027781808609</v>
      </c>
      <c r="M30" s="40">
        <f t="shared" si="3"/>
        <v>8.6370027781808609</v>
      </c>
      <c r="N30" s="40">
        <f t="shared" si="4"/>
        <v>11.816874769117103</v>
      </c>
      <c r="O30" s="1" t="str">
        <f t="shared" si="0"/>
        <v>Normal</v>
      </c>
      <c r="P30" s="51" t="str">
        <f>IF(Table4[[#This Row],[Sales]]&lt;=$B$3,"Normal","High Revenue")</f>
        <v>Normal</v>
      </c>
      <c r="Q30" s="51" t="str">
        <f>IF(Table4[[#This Row],[CTR]]&lt;=$B$4,"Normal","High CTR")</f>
        <v>Normal</v>
      </c>
      <c r="R30" s="51" t="str">
        <f>IF(Table4[[#This Row],[ROAS]]&lt;1,"Poor",IF(Table4[[#This Row],[ROAS]]&lt;3,"Average",IF(Table4[[#This Row],[ROAS]]&lt;5,"Good",
"Excellent")))</f>
        <v>Excellent</v>
      </c>
      <c r="S30" s="51" t="str">
        <f>IF(AND(Table4[[#This Row],[USD_Spend]]&gt;=$B$5,Table4[[#This Row],[Sales]]&lt;=$B$6),"Wasted Budget","Spend Justified")</f>
        <v>Spend Justified</v>
      </c>
      <c r="T30" s="51" t="str">
        <f>IF(AND(Table4[[#This Row],[Clicks]]&gt;=$B$7,Table4[[#This Row],[Sales]]&lt;=$B$6),"Poor Monetization","Normal Monitization")</f>
        <v>Normal Monitization</v>
      </c>
    </row>
    <row r="31" spans="1:20" x14ac:dyDescent="0.35">
      <c r="A31" s="41" t="s">
        <v>105</v>
      </c>
      <c r="B31" s="41" t="s">
        <v>19</v>
      </c>
      <c r="C31" s="41" t="s">
        <v>20</v>
      </c>
      <c r="D31" s="41" t="s">
        <v>21</v>
      </c>
      <c r="E31" s="41" t="s">
        <v>22</v>
      </c>
      <c r="F31" s="41">
        <v>2154.7800000000002</v>
      </c>
      <c r="G31" s="41">
        <v>215703</v>
      </c>
      <c r="H31" s="41">
        <v>35108</v>
      </c>
      <c r="I31" s="41">
        <v>153994.03</v>
      </c>
      <c r="J31" s="41">
        <v>9</v>
      </c>
      <c r="K31" s="42">
        <f t="shared" si="1"/>
        <v>0.16276083318266321</v>
      </c>
      <c r="L31" s="43">
        <f t="shared" si="2"/>
        <v>71.466242493433199</v>
      </c>
      <c r="M31" s="43">
        <f t="shared" si="3"/>
        <v>70.466242493433199</v>
      </c>
      <c r="N31" s="43">
        <f t="shared" si="4"/>
        <v>4.3862945767346471</v>
      </c>
      <c r="O31" s="1" t="str">
        <f t="shared" si="0"/>
        <v>Normal</v>
      </c>
      <c r="P31" s="51" t="str">
        <f>IF(Table4[[#This Row],[Sales]]&lt;=$B$3,"Normal","High Revenue")</f>
        <v>Normal</v>
      </c>
      <c r="Q31" s="51" t="str">
        <f>IF(Table4[[#This Row],[CTR]]&lt;=$B$4,"Normal","High CTR")</f>
        <v>Normal</v>
      </c>
      <c r="R31" s="51" t="str">
        <f>IF(Table4[[#This Row],[ROAS]]&lt;1,"Poor",IF(Table4[[#This Row],[ROAS]]&lt;3,"Average",IF(Table4[[#This Row],[ROAS]]&lt;5,"Good",
"Excellent")))</f>
        <v>Excellent</v>
      </c>
      <c r="S31" s="51" t="str">
        <f>IF(AND(Table4[[#This Row],[USD_Spend]]&gt;=$B$5,Table4[[#This Row],[Sales]]&lt;=$B$6),"Wasted Budget","Spend Justified")</f>
        <v>Spend Justified</v>
      </c>
      <c r="T31" s="51" t="str">
        <f>IF(AND(Table4[[#This Row],[Clicks]]&gt;=$B$7,Table4[[#This Row],[Sales]]&lt;=$B$6),"Poor Monetization","Normal Monitization")</f>
        <v>Normal Monitization</v>
      </c>
    </row>
    <row r="32" spans="1:20" x14ac:dyDescent="0.35">
      <c r="A32" s="38" t="s">
        <v>114</v>
      </c>
      <c r="B32" s="38" t="s">
        <v>35</v>
      </c>
      <c r="C32" s="38" t="s">
        <v>29</v>
      </c>
      <c r="D32" s="38" t="s">
        <v>37</v>
      </c>
      <c r="E32" s="38" t="s">
        <v>38</v>
      </c>
      <c r="F32" s="38">
        <v>24717.61</v>
      </c>
      <c r="G32" s="38">
        <v>960895</v>
      </c>
      <c r="H32" s="38">
        <v>5931</v>
      </c>
      <c r="I32" s="38">
        <v>243661.26</v>
      </c>
      <c r="J32" s="38">
        <v>41</v>
      </c>
      <c r="K32" s="39">
        <f t="shared" si="1"/>
        <v>6.1723705503723093E-3</v>
      </c>
      <c r="L32" s="40">
        <f t="shared" si="2"/>
        <v>9.8578001675728366</v>
      </c>
      <c r="M32" s="40">
        <f t="shared" si="3"/>
        <v>8.8578001675728366</v>
      </c>
      <c r="N32" s="40">
        <f t="shared" si="4"/>
        <v>41.082660596863938</v>
      </c>
      <c r="O32" s="1" t="str">
        <f t="shared" si="0"/>
        <v>Normal</v>
      </c>
      <c r="P32" s="51" t="str">
        <f>IF(Table4[[#This Row],[Sales]]&lt;=$B$3,"Normal","High Revenue")</f>
        <v>High Revenue</v>
      </c>
      <c r="Q32" s="51" t="str">
        <f>IF(Table4[[#This Row],[CTR]]&lt;=$B$4,"Normal","High CTR")</f>
        <v>Normal</v>
      </c>
      <c r="R32" s="51" t="str">
        <f>IF(Table4[[#This Row],[ROAS]]&lt;1,"Poor",IF(Table4[[#This Row],[ROAS]]&lt;3,"Average",IF(Table4[[#This Row],[ROAS]]&lt;5,"Good",
"Excellent")))</f>
        <v>Excellent</v>
      </c>
      <c r="S32" s="51" t="str">
        <f>IF(AND(Table4[[#This Row],[USD_Spend]]&gt;=$B$5,Table4[[#This Row],[Sales]]&lt;=$B$6),"Wasted Budget","Spend Justified")</f>
        <v>Spend Justified</v>
      </c>
      <c r="T32" s="51" t="str">
        <f>IF(AND(Table4[[#This Row],[Clicks]]&gt;=$B$7,Table4[[#This Row],[Sales]]&lt;=$B$6),"Poor Monetization","Normal Monitization")</f>
        <v>Normal Monitization</v>
      </c>
    </row>
    <row r="33" spans="1:20" x14ac:dyDescent="0.35">
      <c r="A33" s="41" t="s">
        <v>70</v>
      </c>
      <c r="B33" s="41" t="s">
        <v>35</v>
      </c>
      <c r="C33" s="41" t="s">
        <v>29</v>
      </c>
      <c r="D33" s="41" t="s">
        <v>63</v>
      </c>
      <c r="E33" s="41" t="s">
        <v>30</v>
      </c>
      <c r="F33" s="41">
        <v>18833.46</v>
      </c>
      <c r="G33" s="41">
        <v>851814</v>
      </c>
      <c r="H33" s="41">
        <v>33440</v>
      </c>
      <c r="I33" s="41">
        <v>114161.44</v>
      </c>
      <c r="J33" s="41">
        <v>39</v>
      </c>
      <c r="K33" s="42">
        <f t="shared" si="1"/>
        <v>3.9257396567795318E-2</v>
      </c>
      <c r="L33" s="43">
        <f t="shared" si="2"/>
        <v>6.0616286120553529</v>
      </c>
      <c r="M33" s="43">
        <f t="shared" si="3"/>
        <v>5.0616286120553537</v>
      </c>
      <c r="N33" s="43">
        <f t="shared" si="4"/>
        <v>3.4139186602870812</v>
      </c>
      <c r="O33" s="1" t="str">
        <f t="shared" si="0"/>
        <v>Normal</v>
      </c>
      <c r="P33" s="51" t="str">
        <f>IF(Table4[[#This Row],[Sales]]&lt;=$B$3,"Normal","High Revenue")</f>
        <v>Normal</v>
      </c>
      <c r="Q33" s="51" t="str">
        <f>IF(Table4[[#This Row],[CTR]]&lt;=$B$4,"Normal","High CTR")</f>
        <v>Normal</v>
      </c>
      <c r="R33" s="51" t="str">
        <f>IF(Table4[[#This Row],[ROAS]]&lt;1,"Poor",IF(Table4[[#This Row],[ROAS]]&lt;3,"Average",IF(Table4[[#This Row],[ROAS]]&lt;5,"Good",
"Excellent")))</f>
        <v>Excellent</v>
      </c>
      <c r="S33" s="51" t="str">
        <f>IF(AND(Table4[[#This Row],[USD_Spend]]&gt;=$B$5,Table4[[#This Row],[Sales]]&lt;=$B$6),"Wasted Budget","Spend Justified")</f>
        <v>Spend Justified</v>
      </c>
      <c r="T33" s="51" t="str">
        <f>IF(AND(Table4[[#This Row],[Clicks]]&gt;=$B$7,Table4[[#This Row],[Sales]]&lt;=$B$6),"Poor Monetization","Normal Monitization")</f>
        <v>Normal Monitization</v>
      </c>
    </row>
    <row r="34" spans="1:20" x14ac:dyDescent="0.35">
      <c r="A34" s="38" t="s">
        <v>96</v>
      </c>
      <c r="B34" s="38" t="s">
        <v>19</v>
      </c>
      <c r="C34" s="38" t="s">
        <v>69</v>
      </c>
      <c r="D34" s="38" t="s">
        <v>51</v>
      </c>
      <c r="E34" s="38" t="s">
        <v>22</v>
      </c>
      <c r="F34" s="38">
        <v>4350.42</v>
      </c>
      <c r="G34" s="38">
        <v>567286</v>
      </c>
      <c r="H34" s="38">
        <v>7308</v>
      </c>
      <c r="I34" s="38">
        <v>172574.92</v>
      </c>
      <c r="J34" s="38">
        <v>44</v>
      </c>
      <c r="K34" s="39">
        <f t="shared" si="1"/>
        <v>1.2882390892777188E-2</v>
      </c>
      <c r="L34" s="40">
        <f t="shared" si="2"/>
        <v>39.668565333921784</v>
      </c>
      <c r="M34" s="40">
        <f t="shared" si="3"/>
        <v>38.668565333921784</v>
      </c>
      <c r="N34" s="40">
        <f t="shared" si="4"/>
        <v>23.614521072796936</v>
      </c>
      <c r="O34" s="1" t="str">
        <f t="shared" si="0"/>
        <v>Normal</v>
      </c>
      <c r="P34" s="51" t="str">
        <f>IF(Table4[[#This Row],[Sales]]&lt;=$B$3,"Normal","High Revenue")</f>
        <v>Normal</v>
      </c>
      <c r="Q34" s="51" t="str">
        <f>IF(Table4[[#This Row],[CTR]]&lt;=$B$4,"Normal","High CTR")</f>
        <v>Normal</v>
      </c>
      <c r="R34" s="51" t="str">
        <f>IF(Table4[[#This Row],[ROAS]]&lt;1,"Poor",IF(Table4[[#This Row],[ROAS]]&lt;3,"Average",IF(Table4[[#This Row],[ROAS]]&lt;5,"Good",
"Excellent")))</f>
        <v>Excellent</v>
      </c>
      <c r="S34" s="51" t="str">
        <f>IF(AND(Table4[[#This Row],[USD_Spend]]&gt;=$B$5,Table4[[#This Row],[Sales]]&lt;=$B$6),"Wasted Budget","Spend Justified")</f>
        <v>Spend Justified</v>
      </c>
      <c r="T34" s="51" t="str">
        <f>IF(AND(Table4[[#This Row],[Clicks]]&gt;=$B$7,Table4[[#This Row],[Sales]]&lt;=$B$6),"Poor Monetization","Normal Monitization")</f>
        <v>Normal Monitization</v>
      </c>
    </row>
    <row r="35" spans="1:20" x14ac:dyDescent="0.35">
      <c r="A35" s="41" t="s">
        <v>81</v>
      </c>
      <c r="B35" s="41" t="s">
        <v>19</v>
      </c>
      <c r="C35" s="41" t="s">
        <v>36</v>
      </c>
      <c r="D35" s="41" t="s">
        <v>63</v>
      </c>
      <c r="E35" s="41" t="s">
        <v>38</v>
      </c>
      <c r="F35" s="41">
        <v>12638.03</v>
      </c>
      <c r="G35" s="41">
        <v>852700</v>
      </c>
      <c r="H35" s="41">
        <v>36252</v>
      </c>
      <c r="I35" s="41">
        <v>36793.949999999997</v>
      </c>
      <c r="J35" s="41">
        <v>29</v>
      </c>
      <c r="K35" s="42">
        <f t="shared" si="1"/>
        <v>4.2514366131112938E-2</v>
      </c>
      <c r="L35" s="43">
        <f t="shared" si="2"/>
        <v>2.9113675153485152</v>
      </c>
      <c r="M35" s="43">
        <f t="shared" si="3"/>
        <v>1.9113675153485152</v>
      </c>
      <c r="N35" s="43">
        <f t="shared" si="4"/>
        <v>1.0149495200264813</v>
      </c>
      <c r="O35" s="1" t="str">
        <f t="shared" si="0"/>
        <v>Normal</v>
      </c>
      <c r="P35" s="51" t="str">
        <f>IF(Table4[[#This Row],[Sales]]&lt;=$B$3,"Normal","High Revenue")</f>
        <v>Normal</v>
      </c>
      <c r="Q35" s="51" t="str">
        <f>IF(Table4[[#This Row],[CTR]]&lt;=$B$4,"Normal","High CTR")</f>
        <v>Normal</v>
      </c>
      <c r="R35" s="51" t="str">
        <f>IF(Table4[[#This Row],[ROAS]]&lt;1,"Poor",IF(Table4[[#This Row],[ROAS]]&lt;3,"Average",IF(Table4[[#This Row],[ROAS]]&lt;5,"Good",
"Excellent")))</f>
        <v>Average</v>
      </c>
      <c r="S35" s="51" t="str">
        <f>IF(AND(Table4[[#This Row],[USD_Spend]]&gt;=$B$5,Table4[[#This Row],[Sales]]&lt;=$B$6),"Wasted Budget","Spend Justified")</f>
        <v>Wasted Budget</v>
      </c>
      <c r="T35" s="51" t="str">
        <f>IF(AND(Table4[[#This Row],[Clicks]]&gt;=$B$7,Table4[[#This Row],[Sales]]&lt;=$B$6),"Poor Monetization","Normal Monitization")</f>
        <v>Normal Monitization</v>
      </c>
    </row>
    <row r="36" spans="1:20" x14ac:dyDescent="0.35">
      <c r="A36" s="38" t="s">
        <v>102</v>
      </c>
      <c r="B36" s="38" t="s">
        <v>48</v>
      </c>
      <c r="C36" s="38" t="s">
        <v>20</v>
      </c>
      <c r="D36" s="38" t="s">
        <v>21</v>
      </c>
      <c r="E36" s="38" t="s">
        <v>22</v>
      </c>
      <c r="F36" s="38">
        <v>40152.22</v>
      </c>
      <c r="G36" s="38">
        <v>554172</v>
      </c>
      <c r="H36" s="38">
        <v>48678</v>
      </c>
      <c r="I36" s="38">
        <v>151986.69</v>
      </c>
      <c r="J36" s="38">
        <v>15</v>
      </c>
      <c r="K36" s="39">
        <f t="shared" si="1"/>
        <v>8.7839154630692279E-2</v>
      </c>
      <c r="L36" s="40">
        <f t="shared" si="2"/>
        <v>3.7852624338081431</v>
      </c>
      <c r="M36" s="40">
        <f t="shared" si="3"/>
        <v>2.7852624338081431</v>
      </c>
      <c r="N36" s="40">
        <f t="shared" si="4"/>
        <v>3.1222870701343521</v>
      </c>
      <c r="O36" s="1" t="str">
        <f t="shared" si="0"/>
        <v>Normal</v>
      </c>
      <c r="P36" s="51" t="str">
        <f>IF(Table4[[#This Row],[Sales]]&lt;=$B$3,"Normal","High Revenue")</f>
        <v>Normal</v>
      </c>
      <c r="Q36" s="51" t="str">
        <f>IF(Table4[[#This Row],[CTR]]&lt;=$B$4,"Normal","High CTR")</f>
        <v>Normal</v>
      </c>
      <c r="R36" s="51" t="str">
        <f>IF(Table4[[#This Row],[ROAS]]&lt;1,"Poor",IF(Table4[[#This Row],[ROAS]]&lt;3,"Average",IF(Table4[[#This Row],[ROAS]]&lt;5,"Good",
"Excellent")))</f>
        <v>Good</v>
      </c>
      <c r="S36" s="51" t="str">
        <f>IF(AND(Table4[[#This Row],[USD_Spend]]&gt;=$B$5,Table4[[#This Row],[Sales]]&lt;=$B$6),"Wasted Budget","Spend Justified")</f>
        <v>Spend Justified</v>
      </c>
      <c r="T36" s="51" t="str">
        <f>IF(AND(Table4[[#This Row],[Clicks]]&gt;=$B$7,Table4[[#This Row],[Sales]]&lt;=$B$6),"Poor Monetization","Normal Monitization")</f>
        <v>Normal Monitization</v>
      </c>
    </row>
    <row r="37" spans="1:20" x14ac:dyDescent="0.35">
      <c r="A37" s="41" t="s">
        <v>72</v>
      </c>
      <c r="B37" s="41" t="s">
        <v>48</v>
      </c>
      <c r="C37" s="41" t="s">
        <v>29</v>
      </c>
      <c r="D37" s="41" t="s">
        <v>63</v>
      </c>
      <c r="E37" s="41" t="s">
        <v>30</v>
      </c>
      <c r="F37" s="41">
        <v>3522.16</v>
      </c>
      <c r="G37" s="41">
        <v>827711</v>
      </c>
      <c r="H37" s="41">
        <v>14145</v>
      </c>
      <c r="I37" s="41">
        <v>214992.24</v>
      </c>
      <c r="J37" s="41">
        <v>30</v>
      </c>
      <c r="K37" s="42">
        <f t="shared" si="1"/>
        <v>1.7089298076260917E-2</v>
      </c>
      <c r="L37" s="43">
        <f t="shared" si="2"/>
        <v>61.039884616258206</v>
      </c>
      <c r="M37" s="43">
        <f t="shared" si="3"/>
        <v>60.039884616258206</v>
      </c>
      <c r="N37" s="43">
        <f t="shared" si="4"/>
        <v>15.199168610816542</v>
      </c>
      <c r="O37" s="1" t="str">
        <f t="shared" si="0"/>
        <v>Normal</v>
      </c>
      <c r="P37" s="51" t="str">
        <f>IF(Table4[[#This Row],[Sales]]&lt;=$B$3,"Normal","High Revenue")</f>
        <v>Normal</v>
      </c>
      <c r="Q37" s="51" t="str">
        <f>IF(Table4[[#This Row],[CTR]]&lt;=$B$4,"Normal","High CTR")</f>
        <v>Normal</v>
      </c>
      <c r="R37" s="51" t="str">
        <f>IF(Table4[[#This Row],[ROAS]]&lt;1,"Poor",IF(Table4[[#This Row],[ROAS]]&lt;3,"Average",IF(Table4[[#This Row],[ROAS]]&lt;5,"Good",
"Excellent")))</f>
        <v>Excellent</v>
      </c>
      <c r="S37" s="51" t="str">
        <f>IF(AND(Table4[[#This Row],[USD_Spend]]&gt;=$B$5,Table4[[#This Row],[Sales]]&lt;=$B$6),"Wasted Budget","Spend Justified")</f>
        <v>Spend Justified</v>
      </c>
      <c r="T37" s="51" t="str">
        <f>IF(AND(Table4[[#This Row],[Clicks]]&gt;=$B$7,Table4[[#This Row],[Sales]]&lt;=$B$6),"Poor Monetization","Normal Monitization")</f>
        <v>Normal Monitization</v>
      </c>
    </row>
    <row r="38" spans="1:20" x14ac:dyDescent="0.35">
      <c r="A38" s="38" t="s">
        <v>78</v>
      </c>
      <c r="B38" s="38" t="s">
        <v>35</v>
      </c>
      <c r="C38" s="38" t="s">
        <v>58</v>
      </c>
      <c r="D38" s="38" t="s">
        <v>59</v>
      </c>
      <c r="E38" s="38" t="s">
        <v>22</v>
      </c>
      <c r="F38" s="38">
        <v>18341.009999999998</v>
      </c>
      <c r="G38" s="38">
        <v>288479</v>
      </c>
      <c r="H38" s="38">
        <v>7854</v>
      </c>
      <c r="I38" s="38">
        <v>232097.29</v>
      </c>
      <c r="J38" s="38">
        <v>36</v>
      </c>
      <c r="K38" s="39">
        <f t="shared" si="1"/>
        <v>2.7225551946588832E-2</v>
      </c>
      <c r="L38" s="40">
        <f t="shared" si="2"/>
        <v>12.654553375195807</v>
      </c>
      <c r="M38" s="40">
        <f t="shared" si="3"/>
        <v>11.654553375195805</v>
      </c>
      <c r="N38" s="40">
        <f t="shared" si="4"/>
        <v>29.551475681181564</v>
      </c>
      <c r="O38" s="1" t="str">
        <f t="shared" si="0"/>
        <v>Normal</v>
      </c>
      <c r="P38" s="51" t="str">
        <f>IF(Table4[[#This Row],[Sales]]&lt;=$B$3,"Normal","High Revenue")</f>
        <v>Normal</v>
      </c>
      <c r="Q38" s="51" t="str">
        <f>IF(Table4[[#This Row],[CTR]]&lt;=$B$4,"Normal","High CTR")</f>
        <v>Normal</v>
      </c>
      <c r="R38" s="51" t="str">
        <f>IF(Table4[[#This Row],[ROAS]]&lt;1,"Poor",IF(Table4[[#This Row],[ROAS]]&lt;3,"Average",IF(Table4[[#This Row],[ROAS]]&lt;5,"Good",
"Excellent")))</f>
        <v>Excellent</v>
      </c>
      <c r="S38" s="51" t="str">
        <f>IF(AND(Table4[[#This Row],[USD_Spend]]&gt;=$B$5,Table4[[#This Row],[Sales]]&lt;=$B$6),"Wasted Budget","Spend Justified")</f>
        <v>Spend Justified</v>
      </c>
      <c r="T38" s="51" t="str">
        <f>IF(AND(Table4[[#This Row],[Clicks]]&gt;=$B$7,Table4[[#This Row],[Sales]]&lt;=$B$6),"Poor Monetization","Normal Monitization")</f>
        <v>Normal Monitization</v>
      </c>
    </row>
    <row r="39" spans="1:20" x14ac:dyDescent="0.35">
      <c r="A39" s="41" t="s">
        <v>91</v>
      </c>
      <c r="B39" s="41" t="s">
        <v>48</v>
      </c>
      <c r="C39" s="41" t="s">
        <v>20</v>
      </c>
      <c r="D39" s="41" t="s">
        <v>43</v>
      </c>
      <c r="E39" s="41" t="s">
        <v>22</v>
      </c>
      <c r="F39" s="41">
        <v>14294.24</v>
      </c>
      <c r="G39" s="41">
        <v>433956</v>
      </c>
      <c r="H39" s="41">
        <v>47559</v>
      </c>
      <c r="I39" s="41">
        <v>45435.96</v>
      </c>
      <c r="J39" s="41">
        <v>30</v>
      </c>
      <c r="K39" s="42">
        <f t="shared" si="1"/>
        <v>0.10959406022730415</v>
      </c>
      <c r="L39" s="43">
        <f t="shared" si="2"/>
        <v>3.1786201994649592</v>
      </c>
      <c r="M39" s="43">
        <f t="shared" si="3"/>
        <v>2.1786201994649592</v>
      </c>
      <c r="N39" s="43">
        <f t="shared" si="4"/>
        <v>0.95535986879454993</v>
      </c>
      <c r="O39" s="1" t="str">
        <f t="shared" si="0"/>
        <v>Normal</v>
      </c>
      <c r="P39" s="51" t="str">
        <f>IF(Table4[[#This Row],[Sales]]&lt;=$B$3,"Normal","High Revenue")</f>
        <v>Normal</v>
      </c>
      <c r="Q39" s="51" t="str">
        <f>IF(Table4[[#This Row],[CTR]]&lt;=$B$4,"Normal","High CTR")</f>
        <v>Normal</v>
      </c>
      <c r="R39" s="51" t="str">
        <f>IF(Table4[[#This Row],[ROAS]]&lt;1,"Poor",IF(Table4[[#This Row],[ROAS]]&lt;3,"Average",IF(Table4[[#This Row],[ROAS]]&lt;5,"Good",
"Excellent")))</f>
        <v>Good</v>
      </c>
      <c r="S39" s="51" t="str">
        <f>IF(AND(Table4[[#This Row],[USD_Spend]]&gt;=$B$5,Table4[[#This Row],[Sales]]&lt;=$B$6),"Wasted Budget","Spend Justified")</f>
        <v>Wasted Budget</v>
      </c>
      <c r="T39" s="51" t="str">
        <f>IF(AND(Table4[[#This Row],[Clicks]]&gt;=$B$7,Table4[[#This Row],[Sales]]&lt;=$B$6),"Poor Monetization","Normal Monitization")</f>
        <v>Poor Monetization</v>
      </c>
    </row>
    <row r="40" spans="1:20" x14ac:dyDescent="0.35">
      <c r="A40" s="38" t="s">
        <v>72</v>
      </c>
      <c r="B40" s="38" t="s">
        <v>28</v>
      </c>
      <c r="C40" s="38" t="s">
        <v>36</v>
      </c>
      <c r="D40" s="38" t="s">
        <v>21</v>
      </c>
      <c r="E40" s="38" t="s">
        <v>30</v>
      </c>
      <c r="F40" s="38">
        <v>7572.34</v>
      </c>
      <c r="G40" s="38">
        <v>731403</v>
      </c>
      <c r="H40" s="38">
        <v>39169</v>
      </c>
      <c r="I40" s="38">
        <v>238866.06</v>
      </c>
      <c r="J40" s="38">
        <v>13</v>
      </c>
      <c r="K40" s="39">
        <f t="shared" si="1"/>
        <v>5.3553239458957645E-2</v>
      </c>
      <c r="L40" s="40">
        <f t="shared" si="2"/>
        <v>31.544550297530222</v>
      </c>
      <c r="M40" s="40">
        <f t="shared" si="3"/>
        <v>30.544550297530222</v>
      </c>
      <c r="N40" s="40">
        <f t="shared" si="4"/>
        <v>6.098344609257321</v>
      </c>
      <c r="O40" s="1" t="str">
        <f t="shared" si="0"/>
        <v>Normal</v>
      </c>
      <c r="P40" s="51" t="str">
        <f>IF(Table4[[#This Row],[Sales]]&lt;=$B$3,"Normal","High Revenue")</f>
        <v>High Revenue</v>
      </c>
      <c r="Q40" s="51" t="str">
        <f>IF(Table4[[#This Row],[CTR]]&lt;=$B$4,"Normal","High CTR")</f>
        <v>Normal</v>
      </c>
      <c r="R40" s="51" t="str">
        <f>IF(Table4[[#This Row],[ROAS]]&lt;1,"Poor",IF(Table4[[#This Row],[ROAS]]&lt;3,"Average",IF(Table4[[#This Row],[ROAS]]&lt;5,"Good",
"Excellent")))</f>
        <v>Excellent</v>
      </c>
      <c r="S40" s="51" t="str">
        <f>IF(AND(Table4[[#This Row],[USD_Spend]]&gt;=$B$5,Table4[[#This Row],[Sales]]&lt;=$B$6),"Wasted Budget","Spend Justified")</f>
        <v>Spend Justified</v>
      </c>
      <c r="T40" s="51" t="str">
        <f>IF(AND(Table4[[#This Row],[Clicks]]&gt;=$B$7,Table4[[#This Row],[Sales]]&lt;=$B$6),"Poor Monetization","Normal Monitization")</f>
        <v>Normal Monitization</v>
      </c>
    </row>
    <row r="41" spans="1:20" x14ac:dyDescent="0.35">
      <c r="A41" s="41" t="s">
        <v>103</v>
      </c>
      <c r="B41" s="41" t="s">
        <v>19</v>
      </c>
      <c r="C41" s="41" t="s">
        <v>36</v>
      </c>
      <c r="D41" s="41" t="s">
        <v>37</v>
      </c>
      <c r="E41" s="41" t="s">
        <v>38</v>
      </c>
      <c r="F41" s="41">
        <v>34428.61</v>
      </c>
      <c r="G41" s="41">
        <v>888721</v>
      </c>
      <c r="H41" s="41">
        <v>39636</v>
      </c>
      <c r="I41" s="41">
        <v>78118.179999999993</v>
      </c>
      <c r="J41" s="41">
        <v>15</v>
      </c>
      <c r="K41" s="42">
        <f t="shared" si="1"/>
        <v>4.4598923621699045E-2</v>
      </c>
      <c r="L41" s="43">
        <f t="shared" si="2"/>
        <v>2.268990238060729</v>
      </c>
      <c r="M41" s="43">
        <f t="shared" si="3"/>
        <v>1.268990238060729</v>
      </c>
      <c r="N41" s="43">
        <f t="shared" si="4"/>
        <v>1.9708895953173882</v>
      </c>
      <c r="O41" s="1" t="str">
        <f t="shared" si="0"/>
        <v>Normal</v>
      </c>
      <c r="P41" s="51" t="str">
        <f>IF(Table4[[#This Row],[Sales]]&lt;=$B$3,"Normal","High Revenue")</f>
        <v>Normal</v>
      </c>
      <c r="Q41" s="51" t="str">
        <f>IF(Table4[[#This Row],[CTR]]&lt;=$B$4,"Normal","High CTR")</f>
        <v>Normal</v>
      </c>
      <c r="R41" s="51" t="str">
        <f>IF(Table4[[#This Row],[ROAS]]&lt;1,"Poor",IF(Table4[[#This Row],[ROAS]]&lt;3,"Average",IF(Table4[[#This Row],[ROAS]]&lt;5,"Good",
"Excellent")))</f>
        <v>Average</v>
      </c>
      <c r="S41" s="51" t="str">
        <f>IF(AND(Table4[[#This Row],[USD_Spend]]&gt;=$B$5,Table4[[#This Row],[Sales]]&lt;=$B$6),"Wasted Budget","Spend Justified")</f>
        <v>Spend Justified</v>
      </c>
      <c r="T41" s="51" t="str">
        <f>IF(AND(Table4[[#This Row],[Clicks]]&gt;=$B$7,Table4[[#This Row],[Sales]]&lt;=$B$6),"Poor Monetization","Normal Monitization")</f>
        <v>Normal Monitization</v>
      </c>
    </row>
    <row r="42" spans="1:20" x14ac:dyDescent="0.35">
      <c r="A42" s="38" t="s">
        <v>86</v>
      </c>
      <c r="B42" s="38" t="s">
        <v>48</v>
      </c>
      <c r="C42" s="38" t="s">
        <v>69</v>
      </c>
      <c r="D42" s="38" t="s">
        <v>37</v>
      </c>
      <c r="E42" s="38" t="s">
        <v>30</v>
      </c>
      <c r="F42" s="38">
        <v>20209.64</v>
      </c>
      <c r="G42" s="38">
        <v>402505</v>
      </c>
      <c r="H42" s="38">
        <v>39849</v>
      </c>
      <c r="I42" s="38">
        <v>159667.04</v>
      </c>
      <c r="J42" s="38">
        <v>60</v>
      </c>
      <c r="K42" s="39">
        <f t="shared" si="1"/>
        <v>9.9002496863393005E-2</v>
      </c>
      <c r="L42" s="40">
        <f t="shared" si="2"/>
        <v>7.9005385548678753</v>
      </c>
      <c r="M42" s="40">
        <f t="shared" si="3"/>
        <v>6.9005385548678762</v>
      </c>
      <c r="N42" s="40">
        <f t="shared" si="4"/>
        <v>4.0068016763281387</v>
      </c>
      <c r="O42" s="1" t="str">
        <f t="shared" si="0"/>
        <v>Normal</v>
      </c>
      <c r="P42" s="51" t="str">
        <f>IF(Table4[[#This Row],[Sales]]&lt;=$B$3,"Normal","High Revenue")</f>
        <v>Normal</v>
      </c>
      <c r="Q42" s="51" t="str">
        <f>IF(Table4[[#This Row],[CTR]]&lt;=$B$4,"Normal","High CTR")</f>
        <v>Normal</v>
      </c>
      <c r="R42" s="51" t="str">
        <f>IF(Table4[[#This Row],[ROAS]]&lt;1,"Poor",IF(Table4[[#This Row],[ROAS]]&lt;3,"Average",IF(Table4[[#This Row],[ROAS]]&lt;5,"Good",
"Excellent")))</f>
        <v>Excellent</v>
      </c>
      <c r="S42" s="51" t="str">
        <f>IF(AND(Table4[[#This Row],[USD_Spend]]&gt;=$B$5,Table4[[#This Row],[Sales]]&lt;=$B$6),"Wasted Budget","Spend Justified")</f>
        <v>Spend Justified</v>
      </c>
      <c r="T42" s="51" t="str">
        <f>IF(AND(Table4[[#This Row],[Clicks]]&gt;=$B$7,Table4[[#This Row],[Sales]]&lt;=$B$6),"Poor Monetization","Normal Monitization")</f>
        <v>Normal Monitization</v>
      </c>
    </row>
    <row r="43" spans="1:20" x14ac:dyDescent="0.35">
      <c r="A43" s="41" t="s">
        <v>104</v>
      </c>
      <c r="B43" s="41" t="s">
        <v>48</v>
      </c>
      <c r="C43" s="41" t="s">
        <v>36</v>
      </c>
      <c r="D43" s="41" t="s">
        <v>51</v>
      </c>
      <c r="E43" s="41" t="s">
        <v>22</v>
      </c>
      <c r="F43" s="41">
        <v>4890.17</v>
      </c>
      <c r="G43" s="41">
        <v>24760</v>
      </c>
      <c r="H43" s="41">
        <v>21216</v>
      </c>
      <c r="I43" s="41">
        <v>190427.7</v>
      </c>
      <c r="J43" s="41">
        <v>40</v>
      </c>
      <c r="K43" s="42">
        <f t="shared" si="1"/>
        <v>0.85686591276252022</v>
      </c>
      <c r="L43" s="43">
        <f t="shared" si="2"/>
        <v>38.940916164468725</v>
      </c>
      <c r="M43" s="43">
        <f t="shared" si="3"/>
        <v>37.940916164468717</v>
      </c>
      <c r="N43" s="43">
        <f t="shared" si="4"/>
        <v>8.9756645927601824</v>
      </c>
      <c r="O43" s="1" t="str">
        <f t="shared" si="0"/>
        <v>Normal</v>
      </c>
      <c r="P43" s="51" t="str">
        <f>IF(Table4[[#This Row],[Sales]]&lt;=$B$3,"Normal","High Revenue")</f>
        <v>Normal</v>
      </c>
      <c r="Q43" s="51" t="str">
        <f>IF(Table4[[#This Row],[CTR]]&lt;=$B$4,"Normal","High CTR")</f>
        <v>High CTR</v>
      </c>
      <c r="R43" s="51" t="str">
        <f>IF(Table4[[#This Row],[ROAS]]&lt;1,"Poor",IF(Table4[[#This Row],[ROAS]]&lt;3,"Average",IF(Table4[[#This Row],[ROAS]]&lt;5,"Good",
"Excellent")))</f>
        <v>Excellent</v>
      </c>
      <c r="S43" s="51" t="str">
        <f>IF(AND(Table4[[#This Row],[USD_Spend]]&gt;=$B$5,Table4[[#This Row],[Sales]]&lt;=$B$6),"Wasted Budget","Spend Justified")</f>
        <v>Spend Justified</v>
      </c>
      <c r="T43" s="51" t="str">
        <f>IF(AND(Table4[[#This Row],[Clicks]]&gt;=$B$7,Table4[[#This Row],[Sales]]&lt;=$B$6),"Poor Monetization","Normal Monitization")</f>
        <v>Normal Monitization</v>
      </c>
    </row>
    <row r="44" spans="1:20" x14ac:dyDescent="0.35">
      <c r="A44" s="38" t="s">
        <v>89</v>
      </c>
      <c r="B44" s="38" t="s">
        <v>28</v>
      </c>
      <c r="C44" s="38" t="s">
        <v>20</v>
      </c>
      <c r="D44" s="38" t="s">
        <v>37</v>
      </c>
      <c r="E44" s="38" t="s">
        <v>38</v>
      </c>
      <c r="F44" s="38">
        <v>17037.34</v>
      </c>
      <c r="G44" s="38">
        <v>549764</v>
      </c>
      <c r="H44" s="38">
        <v>27701</v>
      </c>
      <c r="I44" s="38">
        <v>70321.63</v>
      </c>
      <c r="J44" s="38">
        <v>35</v>
      </c>
      <c r="K44" s="39">
        <f t="shared" si="1"/>
        <v>5.0387075181350542E-2</v>
      </c>
      <c r="L44" s="40">
        <f t="shared" si="2"/>
        <v>4.127500537055667</v>
      </c>
      <c r="M44" s="40">
        <f t="shared" si="3"/>
        <v>3.1275005370556674</v>
      </c>
      <c r="N44" s="40">
        <f t="shared" si="4"/>
        <v>2.5385953575683189</v>
      </c>
      <c r="O44" s="1" t="str">
        <f t="shared" si="0"/>
        <v>Normal</v>
      </c>
      <c r="P44" s="51" t="str">
        <f>IF(Table4[[#This Row],[Sales]]&lt;=$B$3,"Normal","High Revenue")</f>
        <v>Normal</v>
      </c>
      <c r="Q44" s="51" t="str">
        <f>IF(Table4[[#This Row],[CTR]]&lt;=$B$4,"Normal","High CTR")</f>
        <v>Normal</v>
      </c>
      <c r="R44" s="51" t="str">
        <f>IF(Table4[[#This Row],[ROAS]]&lt;1,"Poor",IF(Table4[[#This Row],[ROAS]]&lt;3,"Average",IF(Table4[[#This Row],[ROAS]]&lt;5,"Good",
"Excellent")))</f>
        <v>Good</v>
      </c>
      <c r="S44" s="51" t="str">
        <f>IF(AND(Table4[[#This Row],[USD_Spend]]&gt;=$B$5,Table4[[#This Row],[Sales]]&lt;=$B$6),"Wasted Budget","Spend Justified")</f>
        <v>Spend Justified</v>
      </c>
      <c r="T44" s="51" t="str">
        <f>IF(AND(Table4[[#This Row],[Clicks]]&gt;=$B$7,Table4[[#This Row],[Sales]]&lt;=$B$6),"Poor Monetization","Normal Monitization")</f>
        <v>Normal Monitization</v>
      </c>
    </row>
    <row r="45" spans="1:20" x14ac:dyDescent="0.35">
      <c r="A45" s="41" t="s">
        <v>70</v>
      </c>
      <c r="B45" s="41" t="s">
        <v>28</v>
      </c>
      <c r="C45" s="41" t="s">
        <v>69</v>
      </c>
      <c r="D45" s="41" t="s">
        <v>51</v>
      </c>
      <c r="E45" s="41" t="s">
        <v>22</v>
      </c>
      <c r="F45" s="41">
        <v>2626.55</v>
      </c>
      <c r="G45" s="41">
        <v>648221</v>
      </c>
      <c r="H45" s="41">
        <v>44717</v>
      </c>
      <c r="I45" s="41">
        <v>174947.01</v>
      </c>
      <c r="J45" s="41">
        <v>17</v>
      </c>
      <c r="K45" s="42">
        <f t="shared" si="1"/>
        <v>6.8984189034295401E-2</v>
      </c>
      <c r="L45" s="43">
        <f t="shared" si="2"/>
        <v>66.607150063771869</v>
      </c>
      <c r="M45" s="43">
        <f t="shared" si="3"/>
        <v>65.607150063771869</v>
      </c>
      <c r="N45" s="43">
        <f t="shared" si="4"/>
        <v>3.9123154504998103</v>
      </c>
      <c r="O45" s="1" t="str">
        <f t="shared" si="0"/>
        <v>Normal</v>
      </c>
      <c r="P45" s="51" t="str">
        <f>IF(Table4[[#This Row],[Sales]]&lt;=$B$3,"Normal","High Revenue")</f>
        <v>Normal</v>
      </c>
      <c r="Q45" s="51" t="str">
        <f>IF(Table4[[#This Row],[CTR]]&lt;=$B$4,"Normal","High CTR")</f>
        <v>Normal</v>
      </c>
      <c r="R45" s="51" t="str">
        <f>IF(Table4[[#This Row],[ROAS]]&lt;1,"Poor",IF(Table4[[#This Row],[ROAS]]&lt;3,"Average",IF(Table4[[#This Row],[ROAS]]&lt;5,"Good",
"Excellent")))</f>
        <v>Excellent</v>
      </c>
      <c r="S45" s="51" t="str">
        <f>IF(AND(Table4[[#This Row],[USD_Spend]]&gt;=$B$5,Table4[[#This Row],[Sales]]&lt;=$B$6),"Wasted Budget","Spend Justified")</f>
        <v>Spend Justified</v>
      </c>
      <c r="T45" s="51" t="str">
        <f>IF(AND(Table4[[#This Row],[Clicks]]&gt;=$B$7,Table4[[#This Row],[Sales]]&lt;=$B$6),"Poor Monetization","Normal Monitization")</f>
        <v>Normal Monitization</v>
      </c>
    </row>
    <row r="46" spans="1:20" x14ac:dyDescent="0.35">
      <c r="A46" s="38" t="s">
        <v>113</v>
      </c>
      <c r="B46" s="38" t="s">
        <v>48</v>
      </c>
      <c r="C46" s="38" t="s">
        <v>36</v>
      </c>
      <c r="D46" s="38" t="s">
        <v>21</v>
      </c>
      <c r="E46" s="38" t="s">
        <v>22</v>
      </c>
      <c r="F46" s="38">
        <v>2592.06</v>
      </c>
      <c r="G46" s="38">
        <v>170633</v>
      </c>
      <c r="H46" s="38">
        <v>46344</v>
      </c>
      <c r="I46" s="38">
        <v>185368.06</v>
      </c>
      <c r="J46" s="38">
        <v>29</v>
      </c>
      <c r="K46" s="39">
        <f t="shared" si="1"/>
        <v>0.27160045243299946</v>
      </c>
      <c r="L46" s="40">
        <f t="shared" si="2"/>
        <v>71.513799834880359</v>
      </c>
      <c r="M46" s="40">
        <f t="shared" si="3"/>
        <v>70.513799834880373</v>
      </c>
      <c r="N46" s="40">
        <f t="shared" si="4"/>
        <v>3.999828672535819</v>
      </c>
      <c r="O46" s="1" t="str">
        <f t="shared" si="0"/>
        <v>Normal</v>
      </c>
      <c r="P46" s="51" t="str">
        <f>IF(Table4[[#This Row],[Sales]]&lt;=$B$3,"Normal","High Revenue")</f>
        <v>Normal</v>
      </c>
      <c r="Q46" s="51" t="str">
        <f>IF(Table4[[#This Row],[CTR]]&lt;=$B$4,"Normal","High CTR")</f>
        <v>Normal</v>
      </c>
      <c r="R46" s="51" t="str">
        <f>IF(Table4[[#This Row],[ROAS]]&lt;1,"Poor",IF(Table4[[#This Row],[ROAS]]&lt;3,"Average",IF(Table4[[#This Row],[ROAS]]&lt;5,"Good",
"Excellent")))</f>
        <v>Excellent</v>
      </c>
      <c r="S46" s="51" t="str">
        <f>IF(AND(Table4[[#This Row],[USD_Spend]]&gt;=$B$5,Table4[[#This Row],[Sales]]&lt;=$B$6),"Wasted Budget","Spend Justified")</f>
        <v>Spend Justified</v>
      </c>
      <c r="T46" s="51" t="str">
        <f>IF(AND(Table4[[#This Row],[Clicks]]&gt;=$B$7,Table4[[#This Row],[Sales]]&lt;=$B$6),"Poor Monetization","Normal Monitization")</f>
        <v>Normal Monitization</v>
      </c>
    </row>
    <row r="47" spans="1:20" x14ac:dyDescent="0.35">
      <c r="A47" s="41" t="s">
        <v>119</v>
      </c>
      <c r="B47" s="41" t="s">
        <v>19</v>
      </c>
      <c r="C47" s="41" t="s">
        <v>36</v>
      </c>
      <c r="D47" s="41" t="s">
        <v>43</v>
      </c>
      <c r="E47" s="41" t="s">
        <v>30</v>
      </c>
      <c r="F47" s="41">
        <v>51451.97</v>
      </c>
      <c r="G47" s="41">
        <v>867115</v>
      </c>
      <c r="H47" s="41">
        <v>12580</v>
      </c>
      <c r="I47" s="41">
        <v>52267.24</v>
      </c>
      <c r="J47" s="41">
        <v>43</v>
      </c>
      <c r="K47" s="42">
        <f t="shared" si="1"/>
        <v>1.4507879577680008E-2</v>
      </c>
      <c r="L47" s="43">
        <f t="shared" si="2"/>
        <v>1.0158452630676726</v>
      </c>
      <c r="M47" s="43">
        <f t="shared" si="3"/>
        <v>1.5845263067672564E-2</v>
      </c>
      <c r="N47" s="43">
        <f t="shared" si="4"/>
        <v>4.1547885532591415</v>
      </c>
      <c r="O47" s="1" t="str">
        <f t="shared" si="0"/>
        <v>High Spend</v>
      </c>
      <c r="P47" s="51" t="str">
        <f>IF(Table4[[#This Row],[Sales]]&lt;=$B$3,"Normal","High Revenue")</f>
        <v>Normal</v>
      </c>
      <c r="Q47" s="51" t="str">
        <f>IF(Table4[[#This Row],[CTR]]&lt;=$B$4,"Normal","High CTR")</f>
        <v>Normal</v>
      </c>
      <c r="R47" s="51" t="str">
        <f>IF(Table4[[#This Row],[ROAS]]&lt;1,"Poor",IF(Table4[[#This Row],[ROAS]]&lt;3,"Average",IF(Table4[[#This Row],[ROAS]]&lt;5,"Good",
"Excellent")))</f>
        <v>Average</v>
      </c>
      <c r="S47" s="51" t="str">
        <f>IF(AND(Table4[[#This Row],[USD_Spend]]&gt;=$B$5,Table4[[#This Row],[Sales]]&lt;=$B$6),"Wasted Budget","Spend Justified")</f>
        <v>Wasted Budget</v>
      </c>
      <c r="T47" s="51" t="str">
        <f>IF(AND(Table4[[#This Row],[Clicks]]&gt;=$B$7,Table4[[#This Row],[Sales]]&lt;=$B$6),"Poor Monetization","Normal Monitization")</f>
        <v>Normal Monitization</v>
      </c>
    </row>
    <row r="48" spans="1:20" x14ac:dyDescent="0.35">
      <c r="A48" s="38" t="s">
        <v>87</v>
      </c>
      <c r="B48" s="38" t="s">
        <v>35</v>
      </c>
      <c r="C48" s="38" t="s">
        <v>29</v>
      </c>
      <c r="D48" s="38" t="s">
        <v>21</v>
      </c>
      <c r="E48" s="38" t="s">
        <v>30</v>
      </c>
      <c r="F48" s="38">
        <v>13921.28</v>
      </c>
      <c r="G48" s="38">
        <v>584122</v>
      </c>
      <c r="H48" s="38">
        <v>5678</v>
      </c>
      <c r="I48" s="38">
        <v>79649.33</v>
      </c>
      <c r="J48" s="38">
        <v>6</v>
      </c>
      <c r="K48" s="39">
        <f t="shared" si="1"/>
        <v>9.7205720722725736E-3</v>
      </c>
      <c r="L48" s="40">
        <f t="shared" si="2"/>
        <v>5.7214085199062152</v>
      </c>
      <c r="M48" s="40">
        <f t="shared" si="3"/>
        <v>4.7214085199062152</v>
      </c>
      <c r="N48" s="40">
        <f t="shared" si="4"/>
        <v>14.027708700246565</v>
      </c>
      <c r="O48" s="1" t="str">
        <f t="shared" si="0"/>
        <v>Normal</v>
      </c>
      <c r="P48" s="51" t="str">
        <f>IF(Table4[[#This Row],[Sales]]&lt;=$B$3,"Normal","High Revenue")</f>
        <v>Normal</v>
      </c>
      <c r="Q48" s="51" t="str">
        <f>IF(Table4[[#This Row],[CTR]]&lt;=$B$4,"Normal","High CTR")</f>
        <v>Normal</v>
      </c>
      <c r="R48" s="51" t="str">
        <f>IF(Table4[[#This Row],[ROAS]]&lt;1,"Poor",IF(Table4[[#This Row],[ROAS]]&lt;3,"Average",IF(Table4[[#This Row],[ROAS]]&lt;5,"Good",
"Excellent")))</f>
        <v>Excellent</v>
      </c>
      <c r="S48" s="51" t="str">
        <f>IF(AND(Table4[[#This Row],[USD_Spend]]&gt;=$B$5,Table4[[#This Row],[Sales]]&lt;=$B$6),"Wasted Budget","Spend Justified")</f>
        <v>Spend Justified</v>
      </c>
      <c r="T48" s="51" t="str">
        <f>IF(AND(Table4[[#This Row],[Clicks]]&gt;=$B$7,Table4[[#This Row],[Sales]]&lt;=$B$6),"Poor Monetization","Normal Monitization")</f>
        <v>Normal Monitization</v>
      </c>
    </row>
    <row r="49" spans="1:20" x14ac:dyDescent="0.35">
      <c r="A49" s="41" t="s">
        <v>91</v>
      </c>
      <c r="B49" s="41" t="s">
        <v>48</v>
      </c>
      <c r="C49" s="41" t="s">
        <v>36</v>
      </c>
      <c r="D49" s="41" t="s">
        <v>37</v>
      </c>
      <c r="E49" s="41" t="s">
        <v>22</v>
      </c>
      <c r="F49" s="41">
        <v>41618.93</v>
      </c>
      <c r="G49" s="41">
        <v>328677</v>
      </c>
      <c r="H49" s="41">
        <v>32481</v>
      </c>
      <c r="I49" s="41">
        <v>142023.85999999999</v>
      </c>
      <c r="J49" s="41">
        <v>58</v>
      </c>
      <c r="K49" s="42">
        <f t="shared" si="1"/>
        <v>9.882346498233828E-2</v>
      </c>
      <c r="L49" s="43">
        <f t="shared" si="2"/>
        <v>3.4124822526672354</v>
      </c>
      <c r="M49" s="43">
        <f t="shared" si="3"/>
        <v>2.4124822526672358</v>
      </c>
      <c r="N49" s="43">
        <f t="shared" si="4"/>
        <v>4.3725211662202517</v>
      </c>
      <c r="O49" s="1" t="str">
        <f t="shared" si="0"/>
        <v>Normal</v>
      </c>
      <c r="P49" s="51" t="str">
        <f>IF(Table4[[#This Row],[Sales]]&lt;=$B$3,"Normal","High Revenue")</f>
        <v>Normal</v>
      </c>
      <c r="Q49" s="51" t="str">
        <f>IF(Table4[[#This Row],[CTR]]&lt;=$B$4,"Normal","High CTR")</f>
        <v>Normal</v>
      </c>
      <c r="R49" s="51" t="str">
        <f>IF(Table4[[#This Row],[ROAS]]&lt;1,"Poor",IF(Table4[[#This Row],[ROAS]]&lt;3,"Average",IF(Table4[[#This Row],[ROAS]]&lt;5,"Good",
"Excellent")))</f>
        <v>Good</v>
      </c>
      <c r="S49" s="51" t="str">
        <f>IF(AND(Table4[[#This Row],[USD_Spend]]&gt;=$B$5,Table4[[#This Row],[Sales]]&lt;=$B$6),"Wasted Budget","Spend Justified")</f>
        <v>Spend Justified</v>
      </c>
      <c r="T49" s="51" t="str">
        <f>IF(AND(Table4[[#This Row],[Clicks]]&gt;=$B$7,Table4[[#This Row],[Sales]]&lt;=$B$6),"Poor Monetization","Normal Monitization")</f>
        <v>Normal Monitization</v>
      </c>
    </row>
    <row r="50" spans="1:20" x14ac:dyDescent="0.35">
      <c r="A50" s="38" t="s">
        <v>94</v>
      </c>
      <c r="B50" s="38" t="s">
        <v>48</v>
      </c>
      <c r="C50" s="38" t="s">
        <v>69</v>
      </c>
      <c r="D50" s="38" t="s">
        <v>37</v>
      </c>
      <c r="E50" s="38" t="s">
        <v>30</v>
      </c>
      <c r="F50" s="38">
        <v>22158.26</v>
      </c>
      <c r="G50" s="38">
        <v>814829</v>
      </c>
      <c r="H50" s="38">
        <v>39347</v>
      </c>
      <c r="I50" s="38">
        <v>127396.13</v>
      </c>
      <c r="J50" s="38">
        <v>10</v>
      </c>
      <c r="K50" s="39">
        <f t="shared" si="1"/>
        <v>4.8288659338339701E-2</v>
      </c>
      <c r="L50" s="40">
        <f t="shared" si="2"/>
        <v>5.7493742739727765</v>
      </c>
      <c r="M50" s="40">
        <f t="shared" si="3"/>
        <v>4.7493742739727765</v>
      </c>
      <c r="N50" s="40">
        <f t="shared" si="4"/>
        <v>3.237759676722495</v>
      </c>
      <c r="O50" s="1" t="str">
        <f t="shared" si="0"/>
        <v>Normal</v>
      </c>
      <c r="P50" s="51" t="str">
        <f>IF(Table4[[#This Row],[Sales]]&lt;=$B$3,"Normal","High Revenue")</f>
        <v>Normal</v>
      </c>
      <c r="Q50" s="51" t="str">
        <f>IF(Table4[[#This Row],[CTR]]&lt;=$B$4,"Normal","High CTR")</f>
        <v>Normal</v>
      </c>
      <c r="R50" s="51" t="str">
        <f>IF(Table4[[#This Row],[ROAS]]&lt;1,"Poor",IF(Table4[[#This Row],[ROAS]]&lt;3,"Average",IF(Table4[[#This Row],[ROAS]]&lt;5,"Good",
"Excellent")))</f>
        <v>Excellent</v>
      </c>
      <c r="S50" s="51" t="str">
        <f>IF(AND(Table4[[#This Row],[USD_Spend]]&gt;=$B$5,Table4[[#This Row],[Sales]]&lt;=$B$6),"Wasted Budget","Spend Justified")</f>
        <v>Spend Justified</v>
      </c>
      <c r="T50" s="51" t="str">
        <f>IF(AND(Table4[[#This Row],[Clicks]]&gt;=$B$7,Table4[[#This Row],[Sales]]&lt;=$B$6),"Poor Monetization","Normal Monitization")</f>
        <v>Normal Monitization</v>
      </c>
    </row>
    <row r="51" spans="1:20" x14ac:dyDescent="0.35">
      <c r="A51" s="41" t="s">
        <v>84</v>
      </c>
      <c r="B51" s="41" t="s">
        <v>28</v>
      </c>
      <c r="C51" s="41" t="s">
        <v>20</v>
      </c>
      <c r="D51" s="41" t="s">
        <v>37</v>
      </c>
      <c r="E51" s="41" t="s">
        <v>22</v>
      </c>
      <c r="F51" s="41">
        <v>2873.95</v>
      </c>
      <c r="G51" s="41">
        <v>284680</v>
      </c>
      <c r="H51" s="41">
        <v>10689</v>
      </c>
      <c r="I51" s="41">
        <v>186601.57</v>
      </c>
      <c r="J51" s="41">
        <v>6</v>
      </c>
      <c r="K51" s="42">
        <f t="shared" si="1"/>
        <v>3.7547421666432483E-2</v>
      </c>
      <c r="L51" s="43">
        <f t="shared" si="2"/>
        <v>64.928606969501914</v>
      </c>
      <c r="M51" s="43">
        <f t="shared" si="3"/>
        <v>63.928606969501907</v>
      </c>
      <c r="N51" s="43">
        <f t="shared" si="4"/>
        <v>17.457345869585556</v>
      </c>
      <c r="O51" s="1" t="str">
        <f t="shared" si="0"/>
        <v>Normal</v>
      </c>
      <c r="P51" s="51" t="str">
        <f>IF(Table4[[#This Row],[Sales]]&lt;=$B$3,"Normal","High Revenue")</f>
        <v>Normal</v>
      </c>
      <c r="Q51" s="51" t="str">
        <f>IF(Table4[[#This Row],[CTR]]&lt;=$B$4,"Normal","High CTR")</f>
        <v>Normal</v>
      </c>
      <c r="R51" s="51" t="str">
        <f>IF(Table4[[#This Row],[ROAS]]&lt;1,"Poor",IF(Table4[[#This Row],[ROAS]]&lt;3,"Average",IF(Table4[[#This Row],[ROAS]]&lt;5,"Good",
"Excellent")))</f>
        <v>Excellent</v>
      </c>
      <c r="S51" s="51" t="str">
        <f>IF(AND(Table4[[#This Row],[USD_Spend]]&gt;=$B$5,Table4[[#This Row],[Sales]]&lt;=$B$6),"Wasted Budget","Spend Justified")</f>
        <v>Spend Justified</v>
      </c>
      <c r="T51" s="51" t="str">
        <f>IF(AND(Table4[[#This Row],[Clicks]]&gt;=$B$7,Table4[[#This Row],[Sales]]&lt;=$B$6),"Poor Monetization","Normal Monitization")</f>
        <v>Normal Monitization</v>
      </c>
    </row>
    <row r="52" spans="1:20" x14ac:dyDescent="0.35">
      <c r="A52" s="38" t="s">
        <v>57</v>
      </c>
      <c r="B52" s="38" t="s">
        <v>19</v>
      </c>
      <c r="C52" s="38" t="s">
        <v>29</v>
      </c>
      <c r="D52" s="38" t="s">
        <v>21</v>
      </c>
      <c r="E52" s="38" t="s">
        <v>30</v>
      </c>
      <c r="F52" s="38">
        <v>4644.1499999999996</v>
      </c>
      <c r="G52" s="38">
        <v>209429</v>
      </c>
      <c r="H52" s="38">
        <v>48643</v>
      </c>
      <c r="I52" s="38">
        <v>204560.71</v>
      </c>
      <c r="J52" s="38">
        <v>42</v>
      </c>
      <c r="K52" s="39">
        <f t="shared" si="1"/>
        <v>0.23226487258211614</v>
      </c>
      <c r="L52" s="40">
        <f t="shared" si="2"/>
        <v>44.046964460665571</v>
      </c>
      <c r="M52" s="40">
        <f t="shared" si="3"/>
        <v>43.046964460665571</v>
      </c>
      <c r="N52" s="40">
        <f t="shared" si="4"/>
        <v>4.2053473264395693</v>
      </c>
      <c r="O52" s="1" t="str">
        <f t="shared" si="0"/>
        <v>Normal</v>
      </c>
      <c r="P52" s="51" t="str">
        <f>IF(Table4[[#This Row],[Sales]]&lt;=$B$3,"Normal","High Revenue")</f>
        <v>Normal</v>
      </c>
      <c r="Q52" s="51" t="str">
        <f>IF(Table4[[#This Row],[CTR]]&lt;=$B$4,"Normal","High CTR")</f>
        <v>Normal</v>
      </c>
      <c r="R52" s="51" t="str">
        <f>IF(Table4[[#This Row],[ROAS]]&lt;1,"Poor",IF(Table4[[#This Row],[ROAS]]&lt;3,"Average",IF(Table4[[#This Row],[ROAS]]&lt;5,"Good",
"Excellent")))</f>
        <v>Excellent</v>
      </c>
      <c r="S52" s="51" t="str">
        <f>IF(AND(Table4[[#This Row],[USD_Spend]]&gt;=$B$5,Table4[[#This Row],[Sales]]&lt;=$B$6),"Wasted Budget","Spend Justified")</f>
        <v>Spend Justified</v>
      </c>
      <c r="T52" s="51" t="str">
        <f>IF(AND(Table4[[#This Row],[Clicks]]&gt;=$B$7,Table4[[#This Row],[Sales]]&lt;=$B$6),"Poor Monetization","Normal Monitization")</f>
        <v>Normal Monitization</v>
      </c>
    </row>
    <row r="53" spans="1:20" x14ac:dyDescent="0.35">
      <c r="A53" s="41" t="s">
        <v>117</v>
      </c>
      <c r="B53" s="41" t="s">
        <v>19</v>
      </c>
      <c r="C53" s="41" t="s">
        <v>69</v>
      </c>
      <c r="D53" s="41" t="s">
        <v>21</v>
      </c>
      <c r="E53" s="41" t="s">
        <v>22</v>
      </c>
      <c r="F53" s="41">
        <v>1536.06</v>
      </c>
      <c r="G53" s="41">
        <v>73182</v>
      </c>
      <c r="H53" s="41">
        <v>4623</v>
      </c>
      <c r="I53" s="41">
        <v>246603.63</v>
      </c>
      <c r="J53" s="41">
        <v>33</v>
      </c>
      <c r="K53" s="42">
        <f t="shared" si="1"/>
        <v>6.3171271624169884E-2</v>
      </c>
      <c r="L53" s="43">
        <f t="shared" si="2"/>
        <v>160.54296707159878</v>
      </c>
      <c r="M53" s="43">
        <f t="shared" si="3"/>
        <v>159.54296707159878</v>
      </c>
      <c r="N53" s="43">
        <f t="shared" si="4"/>
        <v>53.34277092796885</v>
      </c>
      <c r="O53" s="1" t="str">
        <f t="shared" si="0"/>
        <v>Normal</v>
      </c>
      <c r="P53" s="51" t="str">
        <f>IF(Table4[[#This Row],[Sales]]&lt;=$B$3,"Normal","High Revenue")</f>
        <v>High Revenue</v>
      </c>
      <c r="Q53" s="51" t="str">
        <f>IF(Table4[[#This Row],[CTR]]&lt;=$B$4,"Normal","High CTR")</f>
        <v>Normal</v>
      </c>
      <c r="R53" s="51" t="str">
        <f>IF(Table4[[#This Row],[ROAS]]&lt;1,"Poor",IF(Table4[[#This Row],[ROAS]]&lt;3,"Average",IF(Table4[[#This Row],[ROAS]]&lt;5,"Good",
"Excellent")))</f>
        <v>Excellent</v>
      </c>
      <c r="S53" s="51" t="str">
        <f>IF(AND(Table4[[#This Row],[USD_Spend]]&gt;=$B$5,Table4[[#This Row],[Sales]]&lt;=$B$6),"Wasted Budget","Spend Justified")</f>
        <v>Spend Justified</v>
      </c>
      <c r="T53" s="51" t="str">
        <f>IF(AND(Table4[[#This Row],[Clicks]]&gt;=$B$7,Table4[[#This Row],[Sales]]&lt;=$B$6),"Poor Monetization","Normal Monitization")</f>
        <v>Normal Monitization</v>
      </c>
    </row>
    <row r="54" spans="1:20" x14ac:dyDescent="0.35">
      <c r="A54" s="38" t="s">
        <v>50</v>
      </c>
      <c r="B54" s="38" t="s">
        <v>48</v>
      </c>
      <c r="C54" s="38" t="s">
        <v>69</v>
      </c>
      <c r="D54" s="38" t="s">
        <v>43</v>
      </c>
      <c r="E54" s="38" t="s">
        <v>38</v>
      </c>
      <c r="F54" s="38">
        <v>3134.52</v>
      </c>
      <c r="G54" s="38">
        <v>506756</v>
      </c>
      <c r="H54" s="38">
        <v>34134</v>
      </c>
      <c r="I54" s="38">
        <v>116962.2</v>
      </c>
      <c r="J54" s="38">
        <v>8</v>
      </c>
      <c r="K54" s="39">
        <f t="shared" si="1"/>
        <v>6.7357860587738475E-2</v>
      </c>
      <c r="L54" s="40">
        <f t="shared" si="2"/>
        <v>37.314229929941426</v>
      </c>
      <c r="M54" s="40">
        <f t="shared" si="3"/>
        <v>36.314229929941426</v>
      </c>
      <c r="N54" s="40">
        <f t="shared" si="4"/>
        <v>3.4265600281244506</v>
      </c>
      <c r="O54" s="1" t="str">
        <f t="shared" si="0"/>
        <v>Normal</v>
      </c>
      <c r="P54" s="51" t="str">
        <f>IF(Table4[[#This Row],[Sales]]&lt;=$B$3,"Normal","High Revenue")</f>
        <v>Normal</v>
      </c>
      <c r="Q54" s="51" t="str">
        <f>IF(Table4[[#This Row],[CTR]]&lt;=$B$4,"Normal","High CTR")</f>
        <v>Normal</v>
      </c>
      <c r="R54" s="51" t="str">
        <f>IF(Table4[[#This Row],[ROAS]]&lt;1,"Poor",IF(Table4[[#This Row],[ROAS]]&lt;3,"Average",IF(Table4[[#This Row],[ROAS]]&lt;5,"Good",
"Excellent")))</f>
        <v>Excellent</v>
      </c>
      <c r="S54" s="51" t="str">
        <f>IF(AND(Table4[[#This Row],[USD_Spend]]&gt;=$B$5,Table4[[#This Row],[Sales]]&lt;=$B$6),"Wasted Budget","Spend Justified")</f>
        <v>Spend Justified</v>
      </c>
      <c r="T54" s="51" t="str">
        <f>IF(AND(Table4[[#This Row],[Clicks]]&gt;=$B$7,Table4[[#This Row],[Sales]]&lt;=$B$6),"Poor Monetization","Normal Monitization")</f>
        <v>Normal Monitization</v>
      </c>
    </row>
    <row r="55" spans="1:20" x14ac:dyDescent="0.35">
      <c r="A55" s="41" t="s">
        <v>88</v>
      </c>
      <c r="B55" s="41" t="s">
        <v>48</v>
      </c>
      <c r="C55" s="41" t="s">
        <v>36</v>
      </c>
      <c r="D55" s="41" t="s">
        <v>51</v>
      </c>
      <c r="E55" s="41" t="s">
        <v>38</v>
      </c>
      <c r="F55" s="41">
        <v>7328.56</v>
      </c>
      <c r="G55" s="41">
        <v>571479</v>
      </c>
      <c r="H55" s="41">
        <v>19379</v>
      </c>
      <c r="I55" s="41">
        <v>198449.01</v>
      </c>
      <c r="J55" s="41">
        <v>54</v>
      </c>
      <c r="K55" s="42">
        <f t="shared" si="1"/>
        <v>3.3910257419782701E-2</v>
      </c>
      <c r="L55" s="43">
        <f t="shared" si="2"/>
        <v>27.078854508934906</v>
      </c>
      <c r="M55" s="43">
        <f t="shared" si="3"/>
        <v>26.078854508934906</v>
      </c>
      <c r="N55" s="43">
        <f t="shared" si="4"/>
        <v>10.240415398111358</v>
      </c>
      <c r="O55" s="1" t="str">
        <f t="shared" si="0"/>
        <v>Normal</v>
      </c>
      <c r="P55" s="51" t="str">
        <f>IF(Table4[[#This Row],[Sales]]&lt;=$B$3,"Normal","High Revenue")</f>
        <v>Normal</v>
      </c>
      <c r="Q55" s="51" t="str">
        <f>IF(Table4[[#This Row],[CTR]]&lt;=$B$4,"Normal","High CTR")</f>
        <v>Normal</v>
      </c>
      <c r="R55" s="51" t="str">
        <f>IF(Table4[[#This Row],[ROAS]]&lt;1,"Poor",IF(Table4[[#This Row],[ROAS]]&lt;3,"Average",IF(Table4[[#This Row],[ROAS]]&lt;5,"Good",
"Excellent")))</f>
        <v>Excellent</v>
      </c>
      <c r="S55" s="51" t="str">
        <f>IF(AND(Table4[[#This Row],[USD_Spend]]&gt;=$B$5,Table4[[#This Row],[Sales]]&lt;=$B$6),"Wasted Budget","Spend Justified")</f>
        <v>Spend Justified</v>
      </c>
      <c r="T55" s="51" t="str">
        <f>IF(AND(Table4[[#This Row],[Clicks]]&gt;=$B$7,Table4[[#This Row],[Sales]]&lt;=$B$6),"Poor Monetization","Normal Monitization")</f>
        <v>Normal Monitization</v>
      </c>
    </row>
    <row r="56" spans="1:20" x14ac:dyDescent="0.35">
      <c r="A56" s="38" t="s">
        <v>104</v>
      </c>
      <c r="B56" s="38" t="s">
        <v>28</v>
      </c>
      <c r="C56" s="38" t="s">
        <v>20</v>
      </c>
      <c r="D56" s="38" t="s">
        <v>51</v>
      </c>
      <c r="E56" s="38" t="s">
        <v>22</v>
      </c>
      <c r="F56" s="38">
        <v>14367.96</v>
      </c>
      <c r="G56" s="38">
        <v>403049</v>
      </c>
      <c r="H56" s="38">
        <v>28325</v>
      </c>
      <c r="I56" s="38">
        <v>40664.6</v>
      </c>
      <c r="J56" s="38">
        <v>26</v>
      </c>
      <c r="K56" s="39">
        <f t="shared" si="1"/>
        <v>7.0276814977831475E-2</v>
      </c>
      <c r="L56" s="40">
        <f t="shared" si="2"/>
        <v>2.8302278124382307</v>
      </c>
      <c r="M56" s="40">
        <f t="shared" si="3"/>
        <v>1.8302278124382307</v>
      </c>
      <c r="N56" s="40">
        <f t="shared" si="4"/>
        <v>1.4356434245366283</v>
      </c>
      <c r="O56" s="1" t="str">
        <f t="shared" si="0"/>
        <v>Normal</v>
      </c>
      <c r="P56" s="51" t="str">
        <f>IF(Table4[[#This Row],[Sales]]&lt;=$B$3,"Normal","High Revenue")</f>
        <v>Normal</v>
      </c>
      <c r="Q56" s="51" t="str">
        <f>IF(Table4[[#This Row],[CTR]]&lt;=$B$4,"Normal","High CTR")</f>
        <v>Normal</v>
      </c>
      <c r="R56" s="51" t="str">
        <f>IF(Table4[[#This Row],[ROAS]]&lt;1,"Poor",IF(Table4[[#This Row],[ROAS]]&lt;3,"Average",IF(Table4[[#This Row],[ROAS]]&lt;5,"Good",
"Excellent")))</f>
        <v>Average</v>
      </c>
      <c r="S56" s="51" t="str">
        <f>IF(AND(Table4[[#This Row],[USD_Spend]]&gt;=$B$5,Table4[[#This Row],[Sales]]&lt;=$B$6),"Wasted Budget","Spend Justified")</f>
        <v>Wasted Budget</v>
      </c>
      <c r="T56" s="51" t="str">
        <f>IF(AND(Table4[[#This Row],[Clicks]]&gt;=$B$7,Table4[[#This Row],[Sales]]&lt;=$B$6),"Poor Monetization","Normal Monitization")</f>
        <v>Normal Monitization</v>
      </c>
    </row>
    <row r="57" spans="1:20" x14ac:dyDescent="0.35">
      <c r="A57" s="41" t="s">
        <v>62</v>
      </c>
      <c r="B57" s="41" t="s">
        <v>48</v>
      </c>
      <c r="C57" s="41" t="s">
        <v>36</v>
      </c>
      <c r="D57" s="41" t="s">
        <v>59</v>
      </c>
      <c r="E57" s="41" t="s">
        <v>30</v>
      </c>
      <c r="F57" s="41">
        <v>203.92</v>
      </c>
      <c r="G57" s="41">
        <v>348542</v>
      </c>
      <c r="H57" s="41">
        <v>45162</v>
      </c>
      <c r="I57" s="41">
        <v>182442.07</v>
      </c>
      <c r="J57" s="41">
        <v>58</v>
      </c>
      <c r="K57" s="42">
        <f t="shared" si="1"/>
        <v>0.1295740542029368</v>
      </c>
      <c r="L57" s="43">
        <f t="shared" si="2"/>
        <v>894.67472538250308</v>
      </c>
      <c r="M57" s="43">
        <f t="shared" si="3"/>
        <v>893.67472538250297</v>
      </c>
      <c r="N57" s="43">
        <f t="shared" si="4"/>
        <v>4.0397252114609632</v>
      </c>
      <c r="O57" s="1" t="str">
        <f t="shared" si="0"/>
        <v>Normal</v>
      </c>
      <c r="P57" s="51" t="str">
        <f>IF(Table4[[#This Row],[Sales]]&lt;=$B$3,"Normal","High Revenue")</f>
        <v>Normal</v>
      </c>
      <c r="Q57" s="51" t="str">
        <f>IF(Table4[[#This Row],[CTR]]&lt;=$B$4,"Normal","High CTR")</f>
        <v>Normal</v>
      </c>
      <c r="R57" s="51" t="str">
        <f>IF(Table4[[#This Row],[ROAS]]&lt;1,"Poor",IF(Table4[[#This Row],[ROAS]]&lt;3,"Average",IF(Table4[[#This Row],[ROAS]]&lt;5,"Good",
"Excellent")))</f>
        <v>Excellent</v>
      </c>
      <c r="S57" s="51" t="str">
        <f>IF(AND(Table4[[#This Row],[USD_Spend]]&gt;=$B$5,Table4[[#This Row],[Sales]]&lt;=$B$6),"Wasted Budget","Spend Justified")</f>
        <v>Spend Justified</v>
      </c>
      <c r="T57" s="51" t="str">
        <f>IF(AND(Table4[[#This Row],[Clicks]]&gt;=$B$7,Table4[[#This Row],[Sales]]&lt;=$B$6),"Poor Monetization","Normal Monitization")</f>
        <v>Normal Monitization</v>
      </c>
    </row>
    <row r="58" spans="1:20" x14ac:dyDescent="0.35">
      <c r="A58" s="38" t="s">
        <v>105</v>
      </c>
      <c r="B58" s="38" t="s">
        <v>35</v>
      </c>
      <c r="C58" s="38" t="s">
        <v>20</v>
      </c>
      <c r="D58" s="38" t="s">
        <v>21</v>
      </c>
      <c r="E58" s="38" t="s">
        <v>22</v>
      </c>
      <c r="F58" s="38">
        <v>11447.64</v>
      </c>
      <c r="G58" s="38">
        <v>184418</v>
      </c>
      <c r="H58" s="38">
        <v>27233</v>
      </c>
      <c r="I58" s="38">
        <v>125805.09</v>
      </c>
      <c r="J58" s="38">
        <v>30</v>
      </c>
      <c r="K58" s="39">
        <f t="shared" si="1"/>
        <v>0.14766996713986705</v>
      </c>
      <c r="L58" s="40">
        <f t="shared" si="2"/>
        <v>10.989609212029729</v>
      </c>
      <c r="M58" s="40">
        <f t="shared" si="3"/>
        <v>9.9896092120297286</v>
      </c>
      <c r="N58" s="40">
        <f t="shared" si="4"/>
        <v>4.6195824918297657</v>
      </c>
      <c r="O58" s="1" t="str">
        <f t="shared" si="0"/>
        <v>Normal</v>
      </c>
      <c r="P58" s="51" t="str">
        <f>IF(Table4[[#This Row],[Sales]]&lt;=$B$3,"Normal","High Revenue")</f>
        <v>Normal</v>
      </c>
      <c r="Q58" s="51" t="str">
        <f>IF(Table4[[#This Row],[CTR]]&lt;=$B$4,"Normal","High CTR")</f>
        <v>Normal</v>
      </c>
      <c r="R58" s="51" t="str">
        <f>IF(Table4[[#This Row],[ROAS]]&lt;1,"Poor",IF(Table4[[#This Row],[ROAS]]&lt;3,"Average",IF(Table4[[#This Row],[ROAS]]&lt;5,"Good",
"Excellent")))</f>
        <v>Excellent</v>
      </c>
      <c r="S58" s="51" t="str">
        <f>IF(AND(Table4[[#This Row],[USD_Spend]]&gt;=$B$5,Table4[[#This Row],[Sales]]&lt;=$B$6),"Wasted Budget","Spend Justified")</f>
        <v>Spend Justified</v>
      </c>
      <c r="T58" s="51" t="str">
        <f>IF(AND(Table4[[#This Row],[Clicks]]&gt;=$B$7,Table4[[#This Row],[Sales]]&lt;=$B$6),"Poor Monetization","Normal Monitization")</f>
        <v>Normal Monitization</v>
      </c>
    </row>
    <row r="59" spans="1:20" x14ac:dyDescent="0.35">
      <c r="A59" s="41" t="s">
        <v>119</v>
      </c>
      <c r="B59" s="41" t="s">
        <v>48</v>
      </c>
      <c r="C59" s="41" t="s">
        <v>20</v>
      </c>
      <c r="D59" s="41" t="s">
        <v>63</v>
      </c>
      <c r="E59" s="41" t="s">
        <v>30</v>
      </c>
      <c r="F59" s="41">
        <v>1655.82</v>
      </c>
      <c r="G59" s="41">
        <v>297745</v>
      </c>
      <c r="H59" s="41">
        <v>27706</v>
      </c>
      <c r="I59" s="41">
        <v>34218.46</v>
      </c>
      <c r="J59" s="41">
        <v>57</v>
      </c>
      <c r="K59" s="42">
        <f t="shared" si="1"/>
        <v>9.3052780063477142E-2</v>
      </c>
      <c r="L59" s="43">
        <f t="shared" si="2"/>
        <v>20.665567513377059</v>
      </c>
      <c r="M59" s="43">
        <f t="shared" si="3"/>
        <v>19.665567513377059</v>
      </c>
      <c r="N59" s="43">
        <f t="shared" si="4"/>
        <v>1.235055944560745</v>
      </c>
      <c r="O59" s="1" t="str">
        <f t="shared" si="0"/>
        <v>Normal</v>
      </c>
      <c r="P59" s="51" t="str">
        <f>IF(Table4[[#This Row],[Sales]]&lt;=$B$3,"Normal","High Revenue")</f>
        <v>Normal</v>
      </c>
      <c r="Q59" s="51" t="str">
        <f>IF(Table4[[#This Row],[CTR]]&lt;=$B$4,"Normal","High CTR")</f>
        <v>Normal</v>
      </c>
      <c r="R59" s="51" t="str">
        <f>IF(Table4[[#This Row],[ROAS]]&lt;1,"Poor",IF(Table4[[#This Row],[ROAS]]&lt;3,"Average",IF(Table4[[#This Row],[ROAS]]&lt;5,"Good",
"Excellent")))</f>
        <v>Excellent</v>
      </c>
      <c r="S59" s="51" t="str">
        <f>IF(AND(Table4[[#This Row],[USD_Spend]]&gt;=$B$5,Table4[[#This Row],[Sales]]&lt;=$B$6),"Wasted Budget","Spend Justified")</f>
        <v>Spend Justified</v>
      </c>
      <c r="T59" s="51" t="str">
        <f>IF(AND(Table4[[#This Row],[Clicks]]&gt;=$B$7,Table4[[#This Row],[Sales]]&lt;=$B$6),"Poor Monetization","Normal Monitization")</f>
        <v>Normal Monitization</v>
      </c>
    </row>
    <row r="60" spans="1:20" x14ac:dyDescent="0.35">
      <c r="A60" s="38" t="s">
        <v>77</v>
      </c>
      <c r="B60" s="38" t="s">
        <v>19</v>
      </c>
      <c r="C60" s="38" t="s">
        <v>29</v>
      </c>
      <c r="D60" s="38" t="s">
        <v>21</v>
      </c>
      <c r="E60" s="38" t="s">
        <v>38</v>
      </c>
      <c r="F60" s="38">
        <v>17594.61</v>
      </c>
      <c r="G60" s="38">
        <v>477262</v>
      </c>
      <c r="H60" s="38">
        <v>49438</v>
      </c>
      <c r="I60" s="38">
        <v>150807.39000000001</v>
      </c>
      <c r="J60" s="38">
        <v>49</v>
      </c>
      <c r="K60" s="39">
        <f t="shared" si="1"/>
        <v>0.10358670918698744</v>
      </c>
      <c r="L60" s="40">
        <f t="shared" si="2"/>
        <v>8.571226642704783</v>
      </c>
      <c r="M60" s="40">
        <f t="shared" si="3"/>
        <v>7.5712266427047838</v>
      </c>
      <c r="N60" s="40">
        <f t="shared" si="4"/>
        <v>3.0504346858691695</v>
      </c>
      <c r="O60" s="1" t="str">
        <f t="shared" si="0"/>
        <v>Normal</v>
      </c>
      <c r="P60" s="51" t="str">
        <f>IF(Table4[[#This Row],[Sales]]&lt;=$B$3,"Normal","High Revenue")</f>
        <v>Normal</v>
      </c>
      <c r="Q60" s="51" t="str">
        <f>IF(Table4[[#This Row],[CTR]]&lt;=$B$4,"Normal","High CTR")</f>
        <v>Normal</v>
      </c>
      <c r="R60" s="51" t="str">
        <f>IF(Table4[[#This Row],[ROAS]]&lt;1,"Poor",IF(Table4[[#This Row],[ROAS]]&lt;3,"Average",IF(Table4[[#This Row],[ROAS]]&lt;5,"Good",
"Excellent")))</f>
        <v>Excellent</v>
      </c>
      <c r="S60" s="51" t="str">
        <f>IF(AND(Table4[[#This Row],[USD_Spend]]&gt;=$B$5,Table4[[#This Row],[Sales]]&lt;=$B$6),"Wasted Budget","Spend Justified")</f>
        <v>Spend Justified</v>
      </c>
      <c r="T60" s="51" t="str">
        <f>IF(AND(Table4[[#This Row],[Clicks]]&gt;=$B$7,Table4[[#This Row],[Sales]]&lt;=$B$6),"Poor Monetization","Normal Monitization")</f>
        <v>Normal Monitization</v>
      </c>
    </row>
    <row r="61" spans="1:20" x14ac:dyDescent="0.35">
      <c r="A61" s="41" t="s">
        <v>72</v>
      </c>
      <c r="B61" s="41" t="s">
        <v>19</v>
      </c>
      <c r="C61" s="41" t="s">
        <v>20</v>
      </c>
      <c r="D61" s="41" t="s">
        <v>51</v>
      </c>
      <c r="E61" s="41" t="s">
        <v>22</v>
      </c>
      <c r="F61" s="41">
        <v>11143.39</v>
      </c>
      <c r="G61" s="41">
        <v>52859</v>
      </c>
      <c r="H61" s="41">
        <v>24058</v>
      </c>
      <c r="I61" s="41">
        <v>94776.08</v>
      </c>
      <c r="J61" s="41">
        <v>13</v>
      </c>
      <c r="K61" s="42">
        <f t="shared" si="1"/>
        <v>0.45513536010896916</v>
      </c>
      <c r="L61" s="43">
        <f t="shared" si="2"/>
        <v>8.5051389209208335</v>
      </c>
      <c r="M61" s="43">
        <f t="shared" si="3"/>
        <v>7.5051389209208335</v>
      </c>
      <c r="N61" s="43">
        <f t="shared" si="4"/>
        <v>3.9394829162856433</v>
      </c>
      <c r="O61" s="1" t="str">
        <f t="shared" si="0"/>
        <v>Normal</v>
      </c>
      <c r="P61" s="51" t="str">
        <f>IF(Table4[[#This Row],[Sales]]&lt;=$B$3,"Normal","High Revenue")</f>
        <v>Normal</v>
      </c>
      <c r="Q61" s="51" t="str">
        <f>IF(Table4[[#This Row],[CTR]]&lt;=$B$4,"Normal","High CTR")</f>
        <v>High CTR</v>
      </c>
      <c r="R61" s="51" t="str">
        <f>IF(Table4[[#This Row],[ROAS]]&lt;1,"Poor",IF(Table4[[#This Row],[ROAS]]&lt;3,"Average",IF(Table4[[#This Row],[ROAS]]&lt;5,"Good",
"Excellent")))</f>
        <v>Excellent</v>
      </c>
      <c r="S61" s="51" t="str">
        <f>IF(AND(Table4[[#This Row],[USD_Spend]]&gt;=$B$5,Table4[[#This Row],[Sales]]&lt;=$B$6),"Wasted Budget","Spend Justified")</f>
        <v>Spend Justified</v>
      </c>
      <c r="T61" s="51" t="str">
        <f>IF(AND(Table4[[#This Row],[Clicks]]&gt;=$B$7,Table4[[#This Row],[Sales]]&lt;=$B$6),"Poor Monetization","Normal Monitization")</f>
        <v>Normal Monitization</v>
      </c>
    </row>
    <row r="62" spans="1:20" x14ac:dyDescent="0.35">
      <c r="A62" s="38" t="s">
        <v>95</v>
      </c>
      <c r="B62" s="38" t="s">
        <v>35</v>
      </c>
      <c r="C62" s="38" t="s">
        <v>20</v>
      </c>
      <c r="D62" s="38" t="s">
        <v>43</v>
      </c>
      <c r="E62" s="38" t="s">
        <v>22</v>
      </c>
      <c r="F62" s="38">
        <v>23750.9</v>
      </c>
      <c r="G62" s="38">
        <v>791886</v>
      </c>
      <c r="H62" s="38">
        <v>4265</v>
      </c>
      <c r="I62" s="38">
        <v>121680.26</v>
      </c>
      <c r="J62" s="38">
        <v>14</v>
      </c>
      <c r="K62" s="39">
        <f t="shared" si="1"/>
        <v>5.3858762498642477E-3</v>
      </c>
      <c r="L62" s="40">
        <f t="shared" si="2"/>
        <v>5.1231852266650941</v>
      </c>
      <c r="M62" s="40">
        <f t="shared" si="3"/>
        <v>4.1231852266650941</v>
      </c>
      <c r="N62" s="40">
        <f t="shared" si="4"/>
        <v>28.529955451348183</v>
      </c>
      <c r="O62" s="1" t="str">
        <f t="shared" si="0"/>
        <v>Normal</v>
      </c>
      <c r="P62" s="51" t="str">
        <f>IF(Table4[[#This Row],[Sales]]&lt;=$B$3,"Normal","High Revenue")</f>
        <v>Normal</v>
      </c>
      <c r="Q62" s="51" t="str">
        <f>IF(Table4[[#This Row],[CTR]]&lt;=$B$4,"Normal","High CTR")</f>
        <v>Normal</v>
      </c>
      <c r="R62" s="51" t="str">
        <f>IF(Table4[[#This Row],[ROAS]]&lt;1,"Poor",IF(Table4[[#This Row],[ROAS]]&lt;3,"Average",IF(Table4[[#This Row],[ROAS]]&lt;5,"Good",
"Excellent")))</f>
        <v>Excellent</v>
      </c>
      <c r="S62" s="51" t="str">
        <f>IF(AND(Table4[[#This Row],[USD_Spend]]&gt;=$B$5,Table4[[#This Row],[Sales]]&lt;=$B$6),"Wasted Budget","Spend Justified")</f>
        <v>Spend Justified</v>
      </c>
      <c r="T62" s="51" t="str">
        <f>IF(AND(Table4[[#This Row],[Clicks]]&gt;=$B$7,Table4[[#This Row],[Sales]]&lt;=$B$6),"Poor Monetization","Normal Monitization")</f>
        <v>Normal Monitization</v>
      </c>
    </row>
    <row r="63" spans="1:20" x14ac:dyDescent="0.35">
      <c r="A63" s="41" t="s">
        <v>64</v>
      </c>
      <c r="B63" s="41" t="s">
        <v>19</v>
      </c>
      <c r="C63" s="41" t="s">
        <v>36</v>
      </c>
      <c r="D63" s="41" t="s">
        <v>51</v>
      </c>
      <c r="E63" s="41" t="s">
        <v>38</v>
      </c>
      <c r="F63" s="41">
        <v>1223.3900000000001</v>
      </c>
      <c r="G63" s="41">
        <v>894769</v>
      </c>
      <c r="H63" s="41">
        <v>31191</v>
      </c>
      <c r="I63" s="41">
        <v>126891.14</v>
      </c>
      <c r="J63" s="41">
        <v>18</v>
      </c>
      <c r="K63" s="42">
        <f t="shared" si="1"/>
        <v>3.4859276528355361E-2</v>
      </c>
      <c r="L63" s="43">
        <f t="shared" si="2"/>
        <v>103.72092300901592</v>
      </c>
      <c r="M63" s="43">
        <f t="shared" si="3"/>
        <v>102.72092300901592</v>
      </c>
      <c r="N63" s="43">
        <f t="shared" si="4"/>
        <v>4.0681972363822894</v>
      </c>
      <c r="O63" s="1" t="str">
        <f t="shared" si="0"/>
        <v>Normal</v>
      </c>
      <c r="P63" s="51" t="str">
        <f>IF(Table4[[#This Row],[Sales]]&lt;=$B$3,"Normal","High Revenue")</f>
        <v>Normal</v>
      </c>
      <c r="Q63" s="51" t="str">
        <f>IF(Table4[[#This Row],[CTR]]&lt;=$B$4,"Normal","High CTR")</f>
        <v>Normal</v>
      </c>
      <c r="R63" s="51" t="str">
        <f>IF(Table4[[#This Row],[ROAS]]&lt;1,"Poor",IF(Table4[[#This Row],[ROAS]]&lt;3,"Average",IF(Table4[[#This Row],[ROAS]]&lt;5,"Good",
"Excellent")))</f>
        <v>Excellent</v>
      </c>
      <c r="S63" s="51" t="str">
        <f>IF(AND(Table4[[#This Row],[USD_Spend]]&gt;=$B$5,Table4[[#This Row],[Sales]]&lt;=$B$6),"Wasted Budget","Spend Justified")</f>
        <v>Spend Justified</v>
      </c>
      <c r="T63" s="51" t="str">
        <f>IF(AND(Table4[[#This Row],[Clicks]]&gt;=$B$7,Table4[[#This Row],[Sales]]&lt;=$B$6),"Poor Monetization","Normal Monitization")</f>
        <v>Normal Monitization</v>
      </c>
    </row>
    <row r="64" spans="1:20" x14ac:dyDescent="0.35">
      <c r="A64" s="38" t="s">
        <v>109</v>
      </c>
      <c r="B64" s="38" t="s">
        <v>28</v>
      </c>
      <c r="C64" s="38" t="s">
        <v>58</v>
      </c>
      <c r="D64" s="38" t="s">
        <v>37</v>
      </c>
      <c r="E64" s="38" t="s">
        <v>38</v>
      </c>
      <c r="F64" s="38">
        <v>2348.0700000000002</v>
      </c>
      <c r="G64" s="38">
        <v>47604</v>
      </c>
      <c r="H64" s="38">
        <v>30918</v>
      </c>
      <c r="I64" s="38">
        <v>68754.87</v>
      </c>
      <c r="J64" s="38">
        <v>18</v>
      </c>
      <c r="K64" s="39">
        <f t="shared" si="1"/>
        <v>0.64948323670279806</v>
      </c>
      <c r="L64" s="40">
        <f t="shared" si="2"/>
        <v>29.281439650436312</v>
      </c>
      <c r="M64" s="40">
        <f t="shared" si="3"/>
        <v>28.281439650436308</v>
      </c>
      <c r="N64" s="40">
        <f t="shared" si="4"/>
        <v>2.2237812924509992</v>
      </c>
      <c r="O64" s="1" t="str">
        <f t="shared" si="0"/>
        <v>Normal</v>
      </c>
      <c r="P64" s="51" t="str">
        <f>IF(Table4[[#This Row],[Sales]]&lt;=$B$3,"Normal","High Revenue")</f>
        <v>Normal</v>
      </c>
      <c r="Q64" s="51" t="str">
        <f>IF(Table4[[#This Row],[CTR]]&lt;=$B$4,"Normal","High CTR")</f>
        <v>High CTR</v>
      </c>
      <c r="R64" s="51" t="str">
        <f>IF(Table4[[#This Row],[ROAS]]&lt;1,"Poor",IF(Table4[[#This Row],[ROAS]]&lt;3,"Average",IF(Table4[[#This Row],[ROAS]]&lt;5,"Good",
"Excellent")))</f>
        <v>Excellent</v>
      </c>
      <c r="S64" s="51" t="str">
        <f>IF(AND(Table4[[#This Row],[USD_Spend]]&gt;=$B$5,Table4[[#This Row],[Sales]]&lt;=$B$6),"Wasted Budget","Spend Justified")</f>
        <v>Spend Justified</v>
      </c>
      <c r="T64" s="51" t="str">
        <f>IF(AND(Table4[[#This Row],[Clicks]]&gt;=$B$7,Table4[[#This Row],[Sales]]&lt;=$B$6),"Poor Monetization","Normal Monitization")</f>
        <v>Normal Monitization</v>
      </c>
    </row>
    <row r="65" spans="1:20" x14ac:dyDescent="0.35">
      <c r="A65" s="41" t="s">
        <v>86</v>
      </c>
      <c r="B65" s="41" t="s">
        <v>48</v>
      </c>
      <c r="C65" s="41" t="s">
        <v>69</v>
      </c>
      <c r="D65" s="41" t="s">
        <v>59</v>
      </c>
      <c r="E65" s="41" t="s">
        <v>22</v>
      </c>
      <c r="F65" s="41">
        <v>4349.1400000000003</v>
      </c>
      <c r="G65" s="41">
        <v>509988</v>
      </c>
      <c r="H65" s="41">
        <v>39023</v>
      </c>
      <c r="I65" s="41">
        <v>218266.86</v>
      </c>
      <c r="J65" s="41">
        <v>50</v>
      </c>
      <c r="K65" s="42">
        <f t="shared" si="1"/>
        <v>7.6517486685961242E-2</v>
      </c>
      <c r="L65" s="43">
        <f t="shared" si="2"/>
        <v>50.186211526876569</v>
      </c>
      <c r="M65" s="43">
        <f t="shared" si="3"/>
        <v>49.186211526876569</v>
      </c>
      <c r="N65" s="43">
        <f t="shared" si="4"/>
        <v>5.5932875483689104</v>
      </c>
      <c r="O65" s="1" t="str">
        <f t="shared" si="0"/>
        <v>Normal</v>
      </c>
      <c r="P65" s="51" t="str">
        <f>IF(Table4[[#This Row],[Sales]]&lt;=$B$3,"Normal","High Revenue")</f>
        <v>Normal</v>
      </c>
      <c r="Q65" s="51" t="str">
        <f>IF(Table4[[#This Row],[CTR]]&lt;=$B$4,"Normal","High CTR")</f>
        <v>Normal</v>
      </c>
      <c r="R65" s="51" t="str">
        <f>IF(Table4[[#This Row],[ROAS]]&lt;1,"Poor",IF(Table4[[#This Row],[ROAS]]&lt;3,"Average",IF(Table4[[#This Row],[ROAS]]&lt;5,"Good",
"Excellent")))</f>
        <v>Excellent</v>
      </c>
      <c r="S65" s="51" t="str">
        <f>IF(AND(Table4[[#This Row],[USD_Spend]]&gt;=$B$5,Table4[[#This Row],[Sales]]&lt;=$B$6),"Wasted Budget","Spend Justified")</f>
        <v>Spend Justified</v>
      </c>
      <c r="T65" s="51" t="str">
        <f>IF(AND(Table4[[#This Row],[Clicks]]&gt;=$B$7,Table4[[#This Row],[Sales]]&lt;=$B$6),"Poor Monetization","Normal Monitization")</f>
        <v>Normal Monitization</v>
      </c>
    </row>
    <row r="66" spans="1:20" x14ac:dyDescent="0.35">
      <c r="A66" s="38" t="s">
        <v>99</v>
      </c>
      <c r="B66" s="38" t="s">
        <v>19</v>
      </c>
      <c r="C66" s="38" t="s">
        <v>69</v>
      </c>
      <c r="D66" s="38" t="s">
        <v>37</v>
      </c>
      <c r="E66" s="38" t="s">
        <v>22</v>
      </c>
      <c r="F66" s="38">
        <v>3061.39</v>
      </c>
      <c r="G66" s="38">
        <v>435151</v>
      </c>
      <c r="H66" s="38">
        <v>39379</v>
      </c>
      <c r="I66" s="38">
        <v>242464.7</v>
      </c>
      <c r="J66" s="38">
        <v>16</v>
      </c>
      <c r="K66" s="39">
        <f t="shared" si="1"/>
        <v>9.0495023566532079E-2</v>
      </c>
      <c r="L66" s="40">
        <f t="shared" si="2"/>
        <v>79.200853207203266</v>
      </c>
      <c r="M66" s="40">
        <f t="shared" si="3"/>
        <v>78.200853207203266</v>
      </c>
      <c r="N66" s="40">
        <f t="shared" si="4"/>
        <v>6.1572081566317074</v>
      </c>
      <c r="O66" s="1" t="str">
        <f t="shared" si="0"/>
        <v>Normal</v>
      </c>
      <c r="P66" s="51" t="str">
        <f>IF(Table4[[#This Row],[Sales]]&lt;=$B$3,"Normal","High Revenue")</f>
        <v>High Revenue</v>
      </c>
      <c r="Q66" s="51" t="str">
        <f>IF(Table4[[#This Row],[CTR]]&lt;=$B$4,"Normal","High CTR")</f>
        <v>Normal</v>
      </c>
      <c r="R66" s="51" t="str">
        <f>IF(Table4[[#This Row],[ROAS]]&lt;1,"Poor",IF(Table4[[#This Row],[ROAS]]&lt;3,"Average",IF(Table4[[#This Row],[ROAS]]&lt;5,"Good",
"Excellent")))</f>
        <v>Excellent</v>
      </c>
      <c r="S66" s="51" t="str">
        <f>IF(AND(Table4[[#This Row],[USD_Spend]]&gt;=$B$5,Table4[[#This Row],[Sales]]&lt;=$B$6),"Wasted Budget","Spend Justified")</f>
        <v>Spend Justified</v>
      </c>
      <c r="T66" s="51" t="str">
        <f>IF(AND(Table4[[#This Row],[Clicks]]&gt;=$B$7,Table4[[#This Row],[Sales]]&lt;=$B$6),"Poor Monetization","Normal Monitization")</f>
        <v>Normal Monitization</v>
      </c>
    </row>
    <row r="67" spans="1:20" x14ac:dyDescent="0.35">
      <c r="A67" s="41" t="s">
        <v>81</v>
      </c>
      <c r="B67" s="41" t="s">
        <v>48</v>
      </c>
      <c r="C67" s="41" t="s">
        <v>69</v>
      </c>
      <c r="D67" s="41" t="s">
        <v>59</v>
      </c>
      <c r="E67" s="41" t="s">
        <v>30</v>
      </c>
      <c r="F67" s="41">
        <v>7788.02</v>
      </c>
      <c r="G67" s="41">
        <v>339384</v>
      </c>
      <c r="H67" s="41">
        <v>23015</v>
      </c>
      <c r="I67" s="41">
        <v>152591.92000000001</v>
      </c>
      <c r="J67" s="41">
        <v>14</v>
      </c>
      <c r="K67" s="42">
        <f t="shared" si="1"/>
        <v>6.7814039554015507E-2</v>
      </c>
      <c r="L67" s="43">
        <f t="shared" si="2"/>
        <v>19.593159750488571</v>
      </c>
      <c r="M67" s="43">
        <f t="shared" si="3"/>
        <v>18.593159750488574</v>
      </c>
      <c r="N67" s="43">
        <f t="shared" si="4"/>
        <v>6.6301073213121882</v>
      </c>
      <c r="O67" s="1" t="str">
        <f t="shared" si="0"/>
        <v>Normal</v>
      </c>
      <c r="P67" s="51" t="str">
        <f>IF(Table4[[#This Row],[Sales]]&lt;=$B$3,"Normal","High Revenue")</f>
        <v>Normal</v>
      </c>
      <c r="Q67" s="51" t="str">
        <f>IF(Table4[[#This Row],[CTR]]&lt;=$B$4,"Normal","High CTR")</f>
        <v>Normal</v>
      </c>
      <c r="R67" s="51" t="str">
        <f>IF(Table4[[#This Row],[ROAS]]&lt;1,"Poor",IF(Table4[[#This Row],[ROAS]]&lt;3,"Average",IF(Table4[[#This Row],[ROAS]]&lt;5,"Good",
"Excellent")))</f>
        <v>Excellent</v>
      </c>
      <c r="S67" s="51" t="str">
        <f>IF(AND(Table4[[#This Row],[USD_Spend]]&gt;=$B$5,Table4[[#This Row],[Sales]]&lt;=$B$6),"Wasted Budget","Spend Justified")</f>
        <v>Spend Justified</v>
      </c>
      <c r="T67" s="51" t="str">
        <f>IF(AND(Table4[[#This Row],[Clicks]]&gt;=$B$7,Table4[[#This Row],[Sales]]&lt;=$B$6),"Poor Monetization","Normal Monitization")</f>
        <v>Normal Monitization</v>
      </c>
    </row>
    <row r="68" spans="1:20" x14ac:dyDescent="0.35">
      <c r="A68" s="38" t="s">
        <v>83</v>
      </c>
      <c r="B68" s="38" t="s">
        <v>48</v>
      </c>
      <c r="C68" s="38" t="s">
        <v>69</v>
      </c>
      <c r="D68" s="38" t="s">
        <v>51</v>
      </c>
      <c r="E68" s="38" t="s">
        <v>22</v>
      </c>
      <c r="F68" s="38">
        <v>10729.44</v>
      </c>
      <c r="G68" s="38">
        <v>565736</v>
      </c>
      <c r="H68" s="38">
        <v>8887</v>
      </c>
      <c r="I68" s="38">
        <v>100162.67</v>
      </c>
      <c r="J68" s="38">
        <v>41</v>
      </c>
      <c r="K68" s="39">
        <f t="shared" si="1"/>
        <v>1.5708740472587922E-2</v>
      </c>
      <c r="L68" s="40">
        <f t="shared" si="2"/>
        <v>9.3353120013719249</v>
      </c>
      <c r="M68" s="40">
        <f t="shared" si="3"/>
        <v>8.3353120013719249</v>
      </c>
      <c r="N68" s="40">
        <f t="shared" si="4"/>
        <v>11.270695397772027</v>
      </c>
      <c r="O68" s="1" t="str">
        <f t="shared" si="0"/>
        <v>Normal</v>
      </c>
      <c r="P68" s="51" t="str">
        <f>IF(Table4[[#This Row],[Sales]]&lt;=$B$3,"Normal","High Revenue")</f>
        <v>Normal</v>
      </c>
      <c r="Q68" s="51" t="str">
        <f>IF(Table4[[#This Row],[CTR]]&lt;=$B$4,"Normal","High CTR")</f>
        <v>Normal</v>
      </c>
      <c r="R68" s="51" t="str">
        <f>IF(Table4[[#This Row],[ROAS]]&lt;1,"Poor",IF(Table4[[#This Row],[ROAS]]&lt;3,"Average",IF(Table4[[#This Row],[ROAS]]&lt;5,"Good",
"Excellent")))</f>
        <v>Excellent</v>
      </c>
      <c r="S68" s="51" t="str">
        <f>IF(AND(Table4[[#This Row],[USD_Spend]]&gt;=$B$5,Table4[[#This Row],[Sales]]&lt;=$B$6),"Wasted Budget","Spend Justified")</f>
        <v>Spend Justified</v>
      </c>
      <c r="T68" s="51" t="str">
        <f>IF(AND(Table4[[#This Row],[Clicks]]&gt;=$B$7,Table4[[#This Row],[Sales]]&lt;=$B$6),"Poor Monetization","Normal Monitization")</f>
        <v>Normal Monitization</v>
      </c>
    </row>
    <row r="69" spans="1:20" x14ac:dyDescent="0.35">
      <c r="A69" s="41" t="s">
        <v>70</v>
      </c>
      <c r="B69" s="41" t="s">
        <v>48</v>
      </c>
      <c r="C69" s="41" t="s">
        <v>29</v>
      </c>
      <c r="D69" s="41" t="s">
        <v>21</v>
      </c>
      <c r="E69" s="41" t="s">
        <v>22</v>
      </c>
      <c r="F69" s="41">
        <v>20017.939999999999</v>
      </c>
      <c r="G69" s="41">
        <v>29764</v>
      </c>
      <c r="H69" s="41">
        <v>25173</v>
      </c>
      <c r="I69" s="41">
        <v>99242.5</v>
      </c>
      <c r="J69" s="41">
        <v>23</v>
      </c>
      <c r="K69" s="42">
        <f t="shared" si="1"/>
        <v>0.84575325897056852</v>
      </c>
      <c r="L69" s="43">
        <f t="shared" si="2"/>
        <v>4.957677962867308</v>
      </c>
      <c r="M69" s="43">
        <f t="shared" si="3"/>
        <v>3.957677962867308</v>
      </c>
      <c r="N69" s="43">
        <f t="shared" si="4"/>
        <v>3.9424184642275453</v>
      </c>
      <c r="O69" s="1" t="str">
        <f t="shared" si="0"/>
        <v>Normal</v>
      </c>
      <c r="P69" s="51" t="str">
        <f>IF(Table4[[#This Row],[Sales]]&lt;=$B$3,"Normal","High Revenue")</f>
        <v>Normal</v>
      </c>
      <c r="Q69" s="51" t="str">
        <f>IF(Table4[[#This Row],[CTR]]&lt;=$B$4,"Normal","High CTR")</f>
        <v>High CTR</v>
      </c>
      <c r="R69" s="51" t="str">
        <f>IF(Table4[[#This Row],[ROAS]]&lt;1,"Poor",IF(Table4[[#This Row],[ROAS]]&lt;3,"Average",IF(Table4[[#This Row],[ROAS]]&lt;5,"Good",
"Excellent")))</f>
        <v>Good</v>
      </c>
      <c r="S69" s="51" t="str">
        <f>IF(AND(Table4[[#This Row],[USD_Spend]]&gt;=$B$5,Table4[[#This Row],[Sales]]&lt;=$B$6),"Wasted Budget","Spend Justified")</f>
        <v>Spend Justified</v>
      </c>
      <c r="T69" s="51" t="str">
        <f>IF(AND(Table4[[#This Row],[Clicks]]&gt;=$B$7,Table4[[#This Row],[Sales]]&lt;=$B$6),"Poor Monetization","Normal Monitization")</f>
        <v>Normal Monitization</v>
      </c>
    </row>
    <row r="70" spans="1:20" x14ac:dyDescent="0.35">
      <c r="A70" s="38" t="s">
        <v>113</v>
      </c>
      <c r="B70" s="38" t="s">
        <v>19</v>
      </c>
      <c r="C70" s="38" t="s">
        <v>58</v>
      </c>
      <c r="D70" s="38" t="s">
        <v>63</v>
      </c>
      <c r="E70" s="38" t="s">
        <v>38</v>
      </c>
      <c r="F70" s="38">
        <v>9764.52</v>
      </c>
      <c r="G70" s="38">
        <v>506405</v>
      </c>
      <c r="H70" s="38">
        <v>14086</v>
      </c>
      <c r="I70" s="38">
        <v>18248.990000000002</v>
      </c>
      <c r="J70" s="38">
        <v>57</v>
      </c>
      <c r="K70" s="39">
        <f t="shared" si="1"/>
        <v>2.7815681124791422E-2</v>
      </c>
      <c r="L70" s="40">
        <f t="shared" si="2"/>
        <v>1.8689080466832984</v>
      </c>
      <c r="M70" s="40">
        <f t="shared" si="3"/>
        <v>0.86890804668329835</v>
      </c>
      <c r="N70" s="40">
        <f t="shared" si="4"/>
        <v>1.2955409626579584</v>
      </c>
      <c r="O70" s="1" t="str">
        <f t="shared" si="0"/>
        <v>Normal</v>
      </c>
      <c r="P70" s="51" t="str">
        <f>IF(Table4[[#This Row],[Sales]]&lt;=$B$3,"Normal","High Revenue")</f>
        <v>Normal</v>
      </c>
      <c r="Q70" s="51" t="str">
        <f>IF(Table4[[#This Row],[CTR]]&lt;=$B$4,"Normal","High CTR")</f>
        <v>Normal</v>
      </c>
      <c r="R70" s="51" t="str">
        <f>IF(Table4[[#This Row],[ROAS]]&lt;1,"Poor",IF(Table4[[#This Row],[ROAS]]&lt;3,"Average",IF(Table4[[#This Row],[ROAS]]&lt;5,"Good",
"Excellent")))</f>
        <v>Average</v>
      </c>
      <c r="S70" s="51" t="str">
        <f>IF(AND(Table4[[#This Row],[USD_Spend]]&gt;=$B$5,Table4[[#This Row],[Sales]]&lt;=$B$6),"Wasted Budget","Spend Justified")</f>
        <v>Wasted Budget</v>
      </c>
      <c r="T70" s="51" t="str">
        <f>IF(AND(Table4[[#This Row],[Clicks]]&gt;=$B$7,Table4[[#This Row],[Sales]]&lt;=$B$6),"Poor Monetization","Normal Monitization")</f>
        <v>Normal Monitization</v>
      </c>
    </row>
    <row r="71" spans="1:20" x14ac:dyDescent="0.35">
      <c r="A71" s="41" t="s">
        <v>86</v>
      </c>
      <c r="B71" s="41" t="s">
        <v>28</v>
      </c>
      <c r="C71" s="41" t="s">
        <v>20</v>
      </c>
      <c r="D71" s="41" t="s">
        <v>43</v>
      </c>
      <c r="E71" s="41" t="s">
        <v>30</v>
      </c>
      <c r="F71" s="41">
        <v>43545.26</v>
      </c>
      <c r="G71" s="41">
        <v>203871</v>
      </c>
      <c r="H71" s="41">
        <v>26663</v>
      </c>
      <c r="I71" s="41">
        <v>204152.64</v>
      </c>
      <c r="J71" s="41">
        <v>51</v>
      </c>
      <c r="K71" s="42">
        <f t="shared" si="1"/>
        <v>0.13078368183802502</v>
      </c>
      <c r="L71" s="43">
        <f t="shared" si="2"/>
        <v>4.6882861647857883</v>
      </c>
      <c r="M71" s="43">
        <f t="shared" si="3"/>
        <v>3.6882861647857883</v>
      </c>
      <c r="N71" s="43">
        <f t="shared" si="4"/>
        <v>7.656776806810937</v>
      </c>
      <c r="O71" s="1" t="str">
        <f t="shared" si="0"/>
        <v>High Spend</v>
      </c>
      <c r="P71" s="51" t="str">
        <f>IF(Table4[[#This Row],[Sales]]&lt;=$B$3,"Normal","High Revenue")</f>
        <v>Normal</v>
      </c>
      <c r="Q71" s="51" t="str">
        <f>IF(Table4[[#This Row],[CTR]]&lt;=$B$4,"Normal","High CTR")</f>
        <v>Normal</v>
      </c>
      <c r="R71" s="51" t="str">
        <f>IF(Table4[[#This Row],[ROAS]]&lt;1,"Poor",IF(Table4[[#This Row],[ROAS]]&lt;3,"Average",IF(Table4[[#This Row],[ROAS]]&lt;5,"Good",
"Excellent")))</f>
        <v>Good</v>
      </c>
      <c r="S71" s="51" t="str">
        <f>IF(AND(Table4[[#This Row],[USD_Spend]]&gt;=$B$5,Table4[[#This Row],[Sales]]&lt;=$B$6),"Wasted Budget","Spend Justified")</f>
        <v>Spend Justified</v>
      </c>
      <c r="T71" s="51" t="str">
        <f>IF(AND(Table4[[#This Row],[Clicks]]&gt;=$B$7,Table4[[#This Row],[Sales]]&lt;=$B$6),"Poor Monetization","Normal Monitization")</f>
        <v>Normal Monitization</v>
      </c>
    </row>
    <row r="72" spans="1:20" x14ac:dyDescent="0.35">
      <c r="A72" s="38" t="s">
        <v>78</v>
      </c>
      <c r="B72" s="38" t="s">
        <v>19</v>
      </c>
      <c r="C72" s="38" t="s">
        <v>69</v>
      </c>
      <c r="D72" s="38" t="s">
        <v>43</v>
      </c>
      <c r="E72" s="38" t="s">
        <v>22</v>
      </c>
      <c r="F72" s="38">
        <v>1153.95</v>
      </c>
      <c r="G72" s="38">
        <v>426297</v>
      </c>
      <c r="H72" s="38">
        <v>34439</v>
      </c>
      <c r="I72" s="38">
        <v>192424.11</v>
      </c>
      <c r="J72" s="38">
        <v>36</v>
      </c>
      <c r="K72" s="39">
        <f t="shared" si="1"/>
        <v>8.0786400091954674E-2</v>
      </c>
      <c r="L72" s="40">
        <f t="shared" si="2"/>
        <v>166.75255427011567</v>
      </c>
      <c r="M72" s="40">
        <f t="shared" si="3"/>
        <v>165.75255427011567</v>
      </c>
      <c r="N72" s="40">
        <f t="shared" si="4"/>
        <v>5.5873895873863928</v>
      </c>
      <c r="O72" s="1" t="str">
        <f t="shared" si="0"/>
        <v>Normal</v>
      </c>
      <c r="P72" s="51" t="str">
        <f>IF(Table4[[#This Row],[Sales]]&lt;=$B$3,"Normal","High Revenue")</f>
        <v>Normal</v>
      </c>
      <c r="Q72" s="51" t="str">
        <f>IF(Table4[[#This Row],[CTR]]&lt;=$B$4,"Normal","High CTR")</f>
        <v>Normal</v>
      </c>
      <c r="R72" s="51" t="str">
        <f>IF(Table4[[#This Row],[ROAS]]&lt;1,"Poor",IF(Table4[[#This Row],[ROAS]]&lt;3,"Average",IF(Table4[[#This Row],[ROAS]]&lt;5,"Good",
"Excellent")))</f>
        <v>Excellent</v>
      </c>
      <c r="S72" s="51" t="str">
        <f>IF(AND(Table4[[#This Row],[USD_Spend]]&gt;=$B$5,Table4[[#This Row],[Sales]]&lt;=$B$6),"Wasted Budget","Spend Justified")</f>
        <v>Spend Justified</v>
      </c>
      <c r="T72" s="51" t="str">
        <f>IF(AND(Table4[[#This Row],[Clicks]]&gt;=$B$7,Table4[[#This Row],[Sales]]&lt;=$B$6),"Poor Monetization","Normal Monitization")</f>
        <v>Normal Monitization</v>
      </c>
    </row>
    <row r="73" spans="1:20" x14ac:dyDescent="0.35">
      <c r="A73" s="41" t="s">
        <v>86</v>
      </c>
      <c r="B73" s="41" t="s">
        <v>48</v>
      </c>
      <c r="C73" s="41" t="s">
        <v>29</v>
      </c>
      <c r="D73" s="41" t="s">
        <v>59</v>
      </c>
      <c r="E73" s="41" t="s">
        <v>22</v>
      </c>
      <c r="F73" s="41">
        <v>17526.759999999998</v>
      </c>
      <c r="G73" s="41">
        <v>828430</v>
      </c>
      <c r="H73" s="41">
        <v>34459</v>
      </c>
      <c r="I73" s="41">
        <v>220436.48000000001</v>
      </c>
      <c r="J73" s="41">
        <v>25</v>
      </c>
      <c r="K73" s="42">
        <f t="shared" si="1"/>
        <v>4.1595548205642E-2</v>
      </c>
      <c r="L73" s="43">
        <f t="shared" si="2"/>
        <v>12.577138044909614</v>
      </c>
      <c r="M73" s="43">
        <f t="shared" si="3"/>
        <v>11.577138044909614</v>
      </c>
      <c r="N73" s="43">
        <f t="shared" si="4"/>
        <v>6.3970654981282102</v>
      </c>
      <c r="O73" s="1" t="str">
        <f t="shared" si="0"/>
        <v>Normal</v>
      </c>
      <c r="P73" s="51" t="str">
        <f>IF(Table4[[#This Row],[Sales]]&lt;=$B$3,"Normal","High Revenue")</f>
        <v>Normal</v>
      </c>
      <c r="Q73" s="51" t="str">
        <f>IF(Table4[[#This Row],[CTR]]&lt;=$B$4,"Normal","High CTR")</f>
        <v>Normal</v>
      </c>
      <c r="R73" s="51" t="str">
        <f>IF(Table4[[#This Row],[ROAS]]&lt;1,"Poor",IF(Table4[[#This Row],[ROAS]]&lt;3,"Average",IF(Table4[[#This Row],[ROAS]]&lt;5,"Good",
"Excellent")))</f>
        <v>Excellent</v>
      </c>
      <c r="S73" s="51" t="str">
        <f>IF(AND(Table4[[#This Row],[USD_Spend]]&gt;=$B$5,Table4[[#This Row],[Sales]]&lt;=$B$6),"Wasted Budget","Spend Justified")</f>
        <v>Spend Justified</v>
      </c>
      <c r="T73" s="51" t="str">
        <f>IF(AND(Table4[[#This Row],[Clicks]]&gt;=$B$7,Table4[[#This Row],[Sales]]&lt;=$B$6),"Poor Monetization","Normal Monitization")</f>
        <v>Normal Monitization</v>
      </c>
    </row>
    <row r="74" spans="1:20" x14ac:dyDescent="0.35">
      <c r="A74" s="38" t="s">
        <v>57</v>
      </c>
      <c r="B74" s="38" t="s">
        <v>28</v>
      </c>
      <c r="C74" s="38" t="s">
        <v>58</v>
      </c>
      <c r="D74" s="38" t="s">
        <v>59</v>
      </c>
      <c r="E74" s="38" t="s">
        <v>38</v>
      </c>
      <c r="F74" s="38">
        <v>31329.84</v>
      </c>
      <c r="G74" s="38">
        <v>762787</v>
      </c>
      <c r="H74" s="38">
        <v>20722</v>
      </c>
      <c r="I74" s="38">
        <v>57093.5</v>
      </c>
      <c r="J74" s="38">
        <v>19</v>
      </c>
      <c r="K74" s="39">
        <f t="shared" si="1"/>
        <v>2.716616827502304E-2</v>
      </c>
      <c r="L74" s="40">
        <f t="shared" si="2"/>
        <v>1.8223361498175541</v>
      </c>
      <c r="M74" s="40">
        <f t="shared" si="3"/>
        <v>0.8223361498175541</v>
      </c>
      <c r="N74" s="40">
        <f t="shared" si="4"/>
        <v>2.7552118521378244</v>
      </c>
      <c r="O74" s="1" t="str">
        <f t="shared" ref="O74:O137" si="5">IF(F74&lt;=$B$2,"Normal","High Spend")</f>
        <v>Normal</v>
      </c>
      <c r="P74" s="51" t="str">
        <f>IF(Table4[[#This Row],[Sales]]&lt;=$B$3,"Normal","High Revenue")</f>
        <v>Normal</v>
      </c>
      <c r="Q74" s="51" t="str">
        <f>IF(Table4[[#This Row],[CTR]]&lt;=$B$4,"Normal","High CTR")</f>
        <v>Normal</v>
      </c>
      <c r="R74" s="51" t="str">
        <f>IF(Table4[[#This Row],[ROAS]]&lt;1,"Poor",IF(Table4[[#This Row],[ROAS]]&lt;3,"Average",IF(Table4[[#This Row],[ROAS]]&lt;5,"Good",
"Excellent")))</f>
        <v>Average</v>
      </c>
      <c r="S74" s="51" t="str">
        <f>IF(AND(Table4[[#This Row],[USD_Spend]]&gt;=$B$5,Table4[[#This Row],[Sales]]&lt;=$B$6),"Wasted Budget","Spend Justified")</f>
        <v>Wasted Budget</v>
      </c>
      <c r="T74" s="51" t="str">
        <f>IF(AND(Table4[[#This Row],[Clicks]]&gt;=$B$7,Table4[[#This Row],[Sales]]&lt;=$B$6),"Poor Monetization","Normal Monitization")</f>
        <v>Normal Monitization</v>
      </c>
    </row>
    <row r="75" spans="1:20" x14ac:dyDescent="0.35">
      <c r="A75" s="41" t="s">
        <v>107</v>
      </c>
      <c r="B75" s="41" t="s">
        <v>28</v>
      </c>
      <c r="C75" s="41" t="s">
        <v>29</v>
      </c>
      <c r="D75" s="41" t="s">
        <v>43</v>
      </c>
      <c r="E75" s="41" t="s">
        <v>30</v>
      </c>
      <c r="F75" s="41">
        <v>23102.55</v>
      </c>
      <c r="G75" s="41">
        <v>319242</v>
      </c>
      <c r="H75" s="41">
        <v>25099</v>
      </c>
      <c r="I75" s="41">
        <v>103412.35</v>
      </c>
      <c r="J75" s="41">
        <v>12</v>
      </c>
      <c r="K75" s="42">
        <f t="shared" ref="K75:K138" si="6">H75/G75</f>
        <v>7.8620607564167624E-2</v>
      </c>
      <c r="L75" s="43">
        <f t="shared" ref="L75:L138" si="7">I75/F75</f>
        <v>4.4762309788313415</v>
      </c>
      <c r="M75" s="43">
        <f t="shared" ref="M75:M138" si="8">(I75-F75)/F75</f>
        <v>3.4762309788313415</v>
      </c>
      <c r="N75" s="43">
        <f t="shared" ref="N75:N138" si="9">I75/H75</f>
        <v>4.1201780947448112</v>
      </c>
      <c r="O75" s="1" t="str">
        <f t="shared" si="5"/>
        <v>Normal</v>
      </c>
      <c r="P75" s="51" t="str">
        <f>IF(Table4[[#This Row],[Sales]]&lt;=$B$3,"Normal","High Revenue")</f>
        <v>Normal</v>
      </c>
      <c r="Q75" s="51" t="str">
        <f>IF(Table4[[#This Row],[CTR]]&lt;=$B$4,"Normal","High CTR")</f>
        <v>Normal</v>
      </c>
      <c r="R75" s="51" t="str">
        <f>IF(Table4[[#This Row],[ROAS]]&lt;1,"Poor",IF(Table4[[#This Row],[ROAS]]&lt;3,"Average",IF(Table4[[#This Row],[ROAS]]&lt;5,"Good",
"Excellent")))</f>
        <v>Good</v>
      </c>
      <c r="S75" s="51" t="str">
        <f>IF(AND(Table4[[#This Row],[USD_Spend]]&gt;=$B$5,Table4[[#This Row],[Sales]]&lt;=$B$6),"Wasted Budget","Spend Justified")</f>
        <v>Spend Justified</v>
      </c>
      <c r="T75" s="51" t="str">
        <f>IF(AND(Table4[[#This Row],[Clicks]]&gt;=$B$7,Table4[[#This Row],[Sales]]&lt;=$B$6),"Poor Monetization","Normal Monitization")</f>
        <v>Normal Monitization</v>
      </c>
    </row>
    <row r="76" spans="1:20" x14ac:dyDescent="0.35">
      <c r="A76" s="38" t="s">
        <v>94</v>
      </c>
      <c r="B76" s="38" t="s">
        <v>28</v>
      </c>
      <c r="C76" s="38" t="s">
        <v>36</v>
      </c>
      <c r="D76" s="38" t="s">
        <v>43</v>
      </c>
      <c r="E76" s="38" t="s">
        <v>38</v>
      </c>
      <c r="F76" s="38">
        <v>8983.32</v>
      </c>
      <c r="G76" s="38">
        <v>555073</v>
      </c>
      <c r="H76" s="38">
        <v>6448</v>
      </c>
      <c r="I76" s="38">
        <v>65565.490000000005</v>
      </c>
      <c r="J76" s="38">
        <v>6</v>
      </c>
      <c r="K76" s="39">
        <f t="shared" si="6"/>
        <v>1.1616490083286343E-2</v>
      </c>
      <c r="L76" s="40">
        <f t="shared" si="7"/>
        <v>7.2985811481723912</v>
      </c>
      <c r="M76" s="40">
        <f t="shared" si="8"/>
        <v>6.2985811481723912</v>
      </c>
      <c r="N76" s="40">
        <f t="shared" si="9"/>
        <v>10.168345223325062</v>
      </c>
      <c r="O76" s="1" t="str">
        <f t="shared" si="5"/>
        <v>Normal</v>
      </c>
      <c r="P76" s="51" t="str">
        <f>IF(Table4[[#This Row],[Sales]]&lt;=$B$3,"Normal","High Revenue")</f>
        <v>Normal</v>
      </c>
      <c r="Q76" s="51" t="str">
        <f>IF(Table4[[#This Row],[CTR]]&lt;=$B$4,"Normal","High CTR")</f>
        <v>Normal</v>
      </c>
      <c r="R76" s="51" t="str">
        <f>IF(Table4[[#This Row],[ROAS]]&lt;1,"Poor",IF(Table4[[#This Row],[ROAS]]&lt;3,"Average",IF(Table4[[#This Row],[ROAS]]&lt;5,"Good",
"Excellent")))</f>
        <v>Excellent</v>
      </c>
      <c r="S76" s="51" t="str">
        <f>IF(AND(Table4[[#This Row],[USD_Spend]]&gt;=$B$5,Table4[[#This Row],[Sales]]&lt;=$B$6),"Wasted Budget","Spend Justified")</f>
        <v>Wasted Budget</v>
      </c>
      <c r="T76" s="51" t="str">
        <f>IF(AND(Table4[[#This Row],[Clicks]]&gt;=$B$7,Table4[[#This Row],[Sales]]&lt;=$B$6),"Poor Monetization","Normal Monitization")</f>
        <v>Normal Monitization</v>
      </c>
    </row>
    <row r="77" spans="1:20" x14ac:dyDescent="0.35">
      <c r="A77" s="41" t="s">
        <v>102</v>
      </c>
      <c r="B77" s="41" t="s">
        <v>28</v>
      </c>
      <c r="C77" s="41" t="s">
        <v>58</v>
      </c>
      <c r="D77" s="41" t="s">
        <v>51</v>
      </c>
      <c r="E77" s="41" t="s">
        <v>30</v>
      </c>
      <c r="F77" s="41">
        <v>1858.17</v>
      </c>
      <c r="G77" s="41">
        <v>334745</v>
      </c>
      <c r="H77" s="41">
        <v>37177</v>
      </c>
      <c r="I77" s="41">
        <v>115831.73</v>
      </c>
      <c r="J77" s="41">
        <v>61</v>
      </c>
      <c r="K77" s="42">
        <f t="shared" si="6"/>
        <v>0.1110606581128919</v>
      </c>
      <c r="L77" s="43">
        <f t="shared" si="7"/>
        <v>62.33645468390943</v>
      </c>
      <c r="M77" s="43">
        <f t="shared" si="8"/>
        <v>61.336454683909437</v>
      </c>
      <c r="N77" s="43">
        <f t="shared" si="9"/>
        <v>3.1156825456599511</v>
      </c>
      <c r="O77" s="1" t="str">
        <f t="shared" si="5"/>
        <v>Normal</v>
      </c>
      <c r="P77" s="51" t="str">
        <f>IF(Table4[[#This Row],[Sales]]&lt;=$B$3,"Normal","High Revenue")</f>
        <v>Normal</v>
      </c>
      <c r="Q77" s="51" t="str">
        <f>IF(Table4[[#This Row],[CTR]]&lt;=$B$4,"Normal","High CTR")</f>
        <v>Normal</v>
      </c>
      <c r="R77" s="51" t="str">
        <f>IF(Table4[[#This Row],[ROAS]]&lt;1,"Poor",IF(Table4[[#This Row],[ROAS]]&lt;3,"Average",IF(Table4[[#This Row],[ROAS]]&lt;5,"Good",
"Excellent")))</f>
        <v>Excellent</v>
      </c>
      <c r="S77" s="51" t="str">
        <f>IF(AND(Table4[[#This Row],[USD_Spend]]&gt;=$B$5,Table4[[#This Row],[Sales]]&lt;=$B$6),"Wasted Budget","Spend Justified")</f>
        <v>Spend Justified</v>
      </c>
      <c r="T77" s="51" t="str">
        <f>IF(AND(Table4[[#This Row],[Clicks]]&gt;=$B$7,Table4[[#This Row],[Sales]]&lt;=$B$6),"Poor Monetization","Normal Monitization")</f>
        <v>Normal Monitization</v>
      </c>
    </row>
    <row r="78" spans="1:20" x14ac:dyDescent="0.35">
      <c r="A78" s="38" t="s">
        <v>113</v>
      </c>
      <c r="B78" s="38" t="s">
        <v>28</v>
      </c>
      <c r="C78" s="38" t="s">
        <v>36</v>
      </c>
      <c r="D78" s="38" t="s">
        <v>51</v>
      </c>
      <c r="E78" s="38" t="s">
        <v>38</v>
      </c>
      <c r="F78" s="38">
        <v>26160.85</v>
      </c>
      <c r="G78" s="38">
        <v>542280</v>
      </c>
      <c r="H78" s="38">
        <v>36416</v>
      </c>
      <c r="I78" s="38">
        <v>9981.91</v>
      </c>
      <c r="J78" s="38">
        <v>39</v>
      </c>
      <c r="K78" s="39">
        <f t="shared" si="6"/>
        <v>6.7153500036881322E-2</v>
      </c>
      <c r="L78" s="40">
        <f t="shared" si="7"/>
        <v>0.38155908542727013</v>
      </c>
      <c r="M78" s="40">
        <f t="shared" si="8"/>
        <v>-0.61844091457272987</v>
      </c>
      <c r="N78" s="40">
        <f t="shared" si="9"/>
        <v>0.27410780975395432</v>
      </c>
      <c r="O78" s="1" t="str">
        <f t="shared" si="5"/>
        <v>Normal</v>
      </c>
      <c r="P78" s="51" t="str">
        <f>IF(Table4[[#This Row],[Sales]]&lt;=$B$3,"Normal","High Revenue")</f>
        <v>Normal</v>
      </c>
      <c r="Q78" s="51" t="str">
        <f>IF(Table4[[#This Row],[CTR]]&lt;=$B$4,"Normal","High CTR")</f>
        <v>Normal</v>
      </c>
      <c r="R78" s="51" t="str">
        <f>IF(Table4[[#This Row],[ROAS]]&lt;1,"Poor",IF(Table4[[#This Row],[ROAS]]&lt;3,"Average",IF(Table4[[#This Row],[ROAS]]&lt;5,"Good",
"Excellent")))</f>
        <v>Poor</v>
      </c>
      <c r="S78" s="51" t="str">
        <f>IF(AND(Table4[[#This Row],[USD_Spend]]&gt;=$B$5,Table4[[#This Row],[Sales]]&lt;=$B$6),"Wasted Budget","Spend Justified")</f>
        <v>Wasted Budget</v>
      </c>
      <c r="T78" s="51" t="str">
        <f>IF(AND(Table4[[#This Row],[Clicks]]&gt;=$B$7,Table4[[#This Row],[Sales]]&lt;=$B$6),"Poor Monetization","Normal Monitization")</f>
        <v>Normal Monitization</v>
      </c>
    </row>
    <row r="79" spans="1:20" x14ac:dyDescent="0.35">
      <c r="A79" s="41" t="s">
        <v>66</v>
      </c>
      <c r="B79" s="41" t="s">
        <v>19</v>
      </c>
      <c r="C79" s="41" t="s">
        <v>69</v>
      </c>
      <c r="D79" s="41" t="s">
        <v>59</v>
      </c>
      <c r="E79" s="41" t="s">
        <v>22</v>
      </c>
      <c r="F79" s="41">
        <v>9873.3799999999992</v>
      </c>
      <c r="G79" s="41">
        <v>236441</v>
      </c>
      <c r="H79" s="41">
        <v>15369</v>
      </c>
      <c r="I79" s="41">
        <v>85497.09</v>
      </c>
      <c r="J79" s="41">
        <v>59</v>
      </c>
      <c r="K79" s="42">
        <f t="shared" si="6"/>
        <v>6.500141684394839E-2</v>
      </c>
      <c r="L79" s="43">
        <f t="shared" si="7"/>
        <v>8.6593537370181242</v>
      </c>
      <c r="M79" s="43">
        <f t="shared" si="8"/>
        <v>7.6593537370181233</v>
      </c>
      <c r="N79" s="43">
        <f t="shared" si="9"/>
        <v>5.562957251610384</v>
      </c>
      <c r="O79" s="1" t="str">
        <f t="shared" si="5"/>
        <v>Normal</v>
      </c>
      <c r="P79" s="51" t="str">
        <f>IF(Table4[[#This Row],[Sales]]&lt;=$B$3,"Normal","High Revenue")</f>
        <v>Normal</v>
      </c>
      <c r="Q79" s="51" t="str">
        <f>IF(Table4[[#This Row],[CTR]]&lt;=$B$4,"Normal","High CTR")</f>
        <v>Normal</v>
      </c>
      <c r="R79" s="51" t="str">
        <f>IF(Table4[[#This Row],[ROAS]]&lt;1,"Poor",IF(Table4[[#This Row],[ROAS]]&lt;3,"Average",IF(Table4[[#This Row],[ROAS]]&lt;5,"Good",
"Excellent")))</f>
        <v>Excellent</v>
      </c>
      <c r="S79" s="51" t="str">
        <f>IF(AND(Table4[[#This Row],[USD_Spend]]&gt;=$B$5,Table4[[#This Row],[Sales]]&lt;=$B$6),"Wasted Budget","Spend Justified")</f>
        <v>Spend Justified</v>
      </c>
      <c r="T79" s="51" t="str">
        <f>IF(AND(Table4[[#This Row],[Clicks]]&gt;=$B$7,Table4[[#This Row],[Sales]]&lt;=$B$6),"Poor Monetization","Normal Monitization")</f>
        <v>Normal Monitization</v>
      </c>
    </row>
    <row r="80" spans="1:20" x14ac:dyDescent="0.35">
      <c r="A80" s="38" t="s">
        <v>120</v>
      </c>
      <c r="B80" s="38" t="s">
        <v>28</v>
      </c>
      <c r="C80" s="38" t="s">
        <v>29</v>
      </c>
      <c r="D80" s="38" t="s">
        <v>37</v>
      </c>
      <c r="E80" s="38" t="s">
        <v>30</v>
      </c>
      <c r="F80" s="38">
        <v>3110.98</v>
      </c>
      <c r="G80" s="38">
        <v>286141</v>
      </c>
      <c r="H80" s="38">
        <v>35594</v>
      </c>
      <c r="I80" s="38">
        <v>94942.61</v>
      </c>
      <c r="J80" s="38">
        <v>39</v>
      </c>
      <c r="K80" s="39">
        <f t="shared" si="6"/>
        <v>0.12439321872782999</v>
      </c>
      <c r="L80" s="40">
        <f t="shared" si="7"/>
        <v>30.518553639046218</v>
      </c>
      <c r="M80" s="40">
        <f t="shared" si="8"/>
        <v>29.518553639046218</v>
      </c>
      <c r="N80" s="40">
        <f t="shared" si="9"/>
        <v>2.6673768050795079</v>
      </c>
      <c r="O80" s="1" t="str">
        <f t="shared" si="5"/>
        <v>Normal</v>
      </c>
      <c r="P80" s="51" t="str">
        <f>IF(Table4[[#This Row],[Sales]]&lt;=$B$3,"Normal","High Revenue")</f>
        <v>Normal</v>
      </c>
      <c r="Q80" s="51" t="str">
        <f>IF(Table4[[#This Row],[CTR]]&lt;=$B$4,"Normal","High CTR")</f>
        <v>Normal</v>
      </c>
      <c r="R80" s="51" t="str">
        <f>IF(Table4[[#This Row],[ROAS]]&lt;1,"Poor",IF(Table4[[#This Row],[ROAS]]&lt;3,"Average",IF(Table4[[#This Row],[ROAS]]&lt;5,"Good",
"Excellent")))</f>
        <v>Excellent</v>
      </c>
      <c r="S80" s="51" t="str">
        <f>IF(AND(Table4[[#This Row],[USD_Spend]]&gt;=$B$5,Table4[[#This Row],[Sales]]&lt;=$B$6),"Wasted Budget","Spend Justified")</f>
        <v>Spend Justified</v>
      </c>
      <c r="T80" s="51" t="str">
        <f>IF(AND(Table4[[#This Row],[Clicks]]&gt;=$B$7,Table4[[#This Row],[Sales]]&lt;=$B$6),"Poor Monetization","Normal Monitization")</f>
        <v>Normal Monitization</v>
      </c>
    </row>
    <row r="81" spans="1:20" x14ac:dyDescent="0.35">
      <c r="A81" s="41" t="s">
        <v>105</v>
      </c>
      <c r="B81" s="41" t="s">
        <v>28</v>
      </c>
      <c r="C81" s="41" t="s">
        <v>58</v>
      </c>
      <c r="D81" s="41" t="s">
        <v>63</v>
      </c>
      <c r="E81" s="41" t="s">
        <v>22</v>
      </c>
      <c r="F81" s="41">
        <v>43519.18</v>
      </c>
      <c r="G81" s="41">
        <v>106214</v>
      </c>
      <c r="H81" s="41">
        <v>48997</v>
      </c>
      <c r="I81" s="41">
        <v>134968.26</v>
      </c>
      <c r="J81" s="41">
        <v>15</v>
      </c>
      <c r="K81" s="42">
        <f t="shared" si="6"/>
        <v>0.46130453612518124</v>
      </c>
      <c r="L81" s="43">
        <f t="shared" si="7"/>
        <v>3.1013511743557669</v>
      </c>
      <c r="M81" s="43">
        <f t="shared" si="8"/>
        <v>2.1013511743557673</v>
      </c>
      <c r="N81" s="43">
        <f t="shared" si="9"/>
        <v>2.7546229360981287</v>
      </c>
      <c r="O81" s="1" t="str">
        <f t="shared" si="5"/>
        <v>High Spend</v>
      </c>
      <c r="P81" s="51" t="str">
        <f>IF(Table4[[#This Row],[Sales]]&lt;=$B$3,"Normal","High Revenue")</f>
        <v>Normal</v>
      </c>
      <c r="Q81" s="51" t="str">
        <f>IF(Table4[[#This Row],[CTR]]&lt;=$B$4,"Normal","High CTR")</f>
        <v>High CTR</v>
      </c>
      <c r="R81" s="51" t="str">
        <f>IF(Table4[[#This Row],[ROAS]]&lt;1,"Poor",IF(Table4[[#This Row],[ROAS]]&lt;3,"Average",IF(Table4[[#This Row],[ROAS]]&lt;5,"Good",
"Excellent")))</f>
        <v>Good</v>
      </c>
      <c r="S81" s="51" t="str">
        <f>IF(AND(Table4[[#This Row],[USD_Spend]]&gt;=$B$5,Table4[[#This Row],[Sales]]&lt;=$B$6),"Wasted Budget","Spend Justified")</f>
        <v>Spend Justified</v>
      </c>
      <c r="T81" s="51" t="str">
        <f>IF(AND(Table4[[#This Row],[Clicks]]&gt;=$B$7,Table4[[#This Row],[Sales]]&lt;=$B$6),"Poor Monetization","Normal Monitization")</f>
        <v>Normal Monitization</v>
      </c>
    </row>
    <row r="82" spans="1:20" x14ac:dyDescent="0.35">
      <c r="A82" s="38" t="s">
        <v>111</v>
      </c>
      <c r="B82" s="38" t="s">
        <v>48</v>
      </c>
      <c r="C82" s="38" t="s">
        <v>58</v>
      </c>
      <c r="D82" s="38" t="s">
        <v>59</v>
      </c>
      <c r="E82" s="38" t="s">
        <v>38</v>
      </c>
      <c r="F82" s="38">
        <v>44078.33</v>
      </c>
      <c r="G82" s="38">
        <v>740650</v>
      </c>
      <c r="H82" s="38">
        <v>42408</v>
      </c>
      <c r="I82" s="38">
        <v>52193.72</v>
      </c>
      <c r="J82" s="38">
        <v>46</v>
      </c>
      <c r="K82" s="39">
        <f t="shared" si="6"/>
        <v>5.7257814082225071E-2</v>
      </c>
      <c r="L82" s="40">
        <f t="shared" si="7"/>
        <v>1.1841129189785546</v>
      </c>
      <c r="M82" s="40">
        <f t="shared" si="8"/>
        <v>0.18411291897855475</v>
      </c>
      <c r="N82" s="40">
        <f t="shared" si="9"/>
        <v>1.2307517449537824</v>
      </c>
      <c r="O82" s="1" t="str">
        <f t="shared" si="5"/>
        <v>High Spend</v>
      </c>
      <c r="P82" s="51" t="str">
        <f>IF(Table4[[#This Row],[Sales]]&lt;=$B$3,"Normal","High Revenue")</f>
        <v>Normal</v>
      </c>
      <c r="Q82" s="51" t="str">
        <f>IF(Table4[[#This Row],[CTR]]&lt;=$B$4,"Normal","High CTR")</f>
        <v>Normal</v>
      </c>
      <c r="R82" s="51" t="str">
        <f>IF(Table4[[#This Row],[ROAS]]&lt;1,"Poor",IF(Table4[[#This Row],[ROAS]]&lt;3,"Average",IF(Table4[[#This Row],[ROAS]]&lt;5,"Good",
"Excellent")))</f>
        <v>Average</v>
      </c>
      <c r="S82" s="51" t="str">
        <f>IF(AND(Table4[[#This Row],[USD_Spend]]&gt;=$B$5,Table4[[#This Row],[Sales]]&lt;=$B$6),"Wasted Budget","Spend Justified")</f>
        <v>Wasted Budget</v>
      </c>
      <c r="T82" s="51" t="str">
        <f>IF(AND(Table4[[#This Row],[Clicks]]&gt;=$B$7,Table4[[#This Row],[Sales]]&lt;=$B$6),"Poor Monetization","Normal Monitization")</f>
        <v>Poor Monetization</v>
      </c>
    </row>
    <row r="83" spans="1:20" x14ac:dyDescent="0.35">
      <c r="A83" s="41" t="s">
        <v>81</v>
      </c>
      <c r="B83" s="41" t="s">
        <v>35</v>
      </c>
      <c r="C83" s="41" t="s">
        <v>29</v>
      </c>
      <c r="D83" s="41" t="s">
        <v>21</v>
      </c>
      <c r="E83" s="41" t="s">
        <v>22</v>
      </c>
      <c r="F83" s="41">
        <v>17390.07</v>
      </c>
      <c r="G83" s="41">
        <v>117402</v>
      </c>
      <c r="H83" s="41">
        <v>6863</v>
      </c>
      <c r="I83" s="41">
        <v>81771.11</v>
      </c>
      <c r="J83" s="41">
        <v>20</v>
      </c>
      <c r="K83" s="42">
        <f t="shared" si="6"/>
        <v>5.845726648609053E-2</v>
      </c>
      <c r="L83" s="43">
        <f t="shared" si="7"/>
        <v>4.7021725616975667</v>
      </c>
      <c r="M83" s="43">
        <f t="shared" si="8"/>
        <v>3.7021725616975667</v>
      </c>
      <c r="N83" s="43">
        <f t="shared" si="9"/>
        <v>11.914776336878916</v>
      </c>
      <c r="O83" s="1" t="str">
        <f t="shared" si="5"/>
        <v>Normal</v>
      </c>
      <c r="P83" s="51" t="str">
        <f>IF(Table4[[#This Row],[Sales]]&lt;=$B$3,"Normal","High Revenue")</f>
        <v>Normal</v>
      </c>
      <c r="Q83" s="51" t="str">
        <f>IF(Table4[[#This Row],[CTR]]&lt;=$B$4,"Normal","High CTR")</f>
        <v>Normal</v>
      </c>
      <c r="R83" s="51" t="str">
        <f>IF(Table4[[#This Row],[ROAS]]&lt;1,"Poor",IF(Table4[[#This Row],[ROAS]]&lt;3,"Average",IF(Table4[[#This Row],[ROAS]]&lt;5,"Good",
"Excellent")))</f>
        <v>Good</v>
      </c>
      <c r="S83" s="51" t="str">
        <f>IF(AND(Table4[[#This Row],[USD_Spend]]&gt;=$B$5,Table4[[#This Row],[Sales]]&lt;=$B$6),"Wasted Budget","Spend Justified")</f>
        <v>Spend Justified</v>
      </c>
      <c r="T83" s="51" t="str">
        <f>IF(AND(Table4[[#This Row],[Clicks]]&gt;=$B$7,Table4[[#This Row],[Sales]]&lt;=$B$6),"Poor Monetization","Normal Monitization")</f>
        <v>Normal Monitization</v>
      </c>
    </row>
    <row r="84" spans="1:20" x14ac:dyDescent="0.35">
      <c r="A84" s="38" t="s">
        <v>112</v>
      </c>
      <c r="B84" s="38" t="s">
        <v>19</v>
      </c>
      <c r="C84" s="38" t="s">
        <v>36</v>
      </c>
      <c r="D84" s="38" t="s">
        <v>63</v>
      </c>
      <c r="E84" s="38" t="s">
        <v>30</v>
      </c>
      <c r="F84" s="38">
        <v>2037.1</v>
      </c>
      <c r="G84" s="38">
        <v>986292</v>
      </c>
      <c r="H84" s="38">
        <v>15490</v>
      </c>
      <c r="I84" s="38">
        <v>120378.44</v>
      </c>
      <c r="J84" s="38">
        <v>12</v>
      </c>
      <c r="K84" s="39">
        <f t="shared" si="6"/>
        <v>1.5705288089125736E-2</v>
      </c>
      <c r="L84" s="40">
        <f t="shared" si="7"/>
        <v>59.093044033184434</v>
      </c>
      <c r="M84" s="40">
        <f t="shared" si="8"/>
        <v>58.093044033184427</v>
      </c>
      <c r="N84" s="40">
        <f t="shared" si="9"/>
        <v>7.7713647514525501</v>
      </c>
      <c r="O84" s="1" t="str">
        <f t="shared" si="5"/>
        <v>Normal</v>
      </c>
      <c r="P84" s="51" t="str">
        <f>IF(Table4[[#This Row],[Sales]]&lt;=$B$3,"Normal","High Revenue")</f>
        <v>Normal</v>
      </c>
      <c r="Q84" s="51" t="str">
        <f>IF(Table4[[#This Row],[CTR]]&lt;=$B$4,"Normal","High CTR")</f>
        <v>Normal</v>
      </c>
      <c r="R84" s="51" t="str">
        <f>IF(Table4[[#This Row],[ROAS]]&lt;1,"Poor",IF(Table4[[#This Row],[ROAS]]&lt;3,"Average",IF(Table4[[#This Row],[ROAS]]&lt;5,"Good",
"Excellent")))</f>
        <v>Excellent</v>
      </c>
      <c r="S84" s="51" t="str">
        <f>IF(AND(Table4[[#This Row],[USD_Spend]]&gt;=$B$5,Table4[[#This Row],[Sales]]&lt;=$B$6),"Wasted Budget","Spend Justified")</f>
        <v>Spend Justified</v>
      </c>
      <c r="T84" s="51" t="str">
        <f>IF(AND(Table4[[#This Row],[Clicks]]&gt;=$B$7,Table4[[#This Row],[Sales]]&lt;=$B$6),"Poor Monetization","Normal Monitization")</f>
        <v>Normal Monitization</v>
      </c>
    </row>
    <row r="85" spans="1:20" x14ac:dyDescent="0.35">
      <c r="A85" s="41" t="s">
        <v>87</v>
      </c>
      <c r="B85" s="41" t="s">
        <v>28</v>
      </c>
      <c r="C85" s="41" t="s">
        <v>69</v>
      </c>
      <c r="D85" s="41" t="s">
        <v>21</v>
      </c>
      <c r="E85" s="41" t="s">
        <v>30</v>
      </c>
      <c r="F85" s="41">
        <v>52590.07</v>
      </c>
      <c r="G85" s="41">
        <v>964911</v>
      </c>
      <c r="H85" s="41">
        <v>26896</v>
      </c>
      <c r="I85" s="41">
        <v>159553.84</v>
      </c>
      <c r="J85" s="41">
        <v>53</v>
      </c>
      <c r="K85" s="42">
        <f t="shared" si="6"/>
        <v>2.7874073360133731E-2</v>
      </c>
      <c r="L85" s="43">
        <f t="shared" si="7"/>
        <v>3.0339157183095593</v>
      </c>
      <c r="M85" s="43">
        <f t="shared" si="8"/>
        <v>2.0339157183095589</v>
      </c>
      <c r="N85" s="43">
        <f t="shared" si="9"/>
        <v>5.9322516359309931</v>
      </c>
      <c r="O85" s="1" t="str">
        <f t="shared" si="5"/>
        <v>High Spend</v>
      </c>
      <c r="P85" s="51" t="str">
        <f>IF(Table4[[#This Row],[Sales]]&lt;=$B$3,"Normal","High Revenue")</f>
        <v>Normal</v>
      </c>
      <c r="Q85" s="51" t="str">
        <f>IF(Table4[[#This Row],[CTR]]&lt;=$B$4,"Normal","High CTR")</f>
        <v>Normal</v>
      </c>
      <c r="R85" s="51" t="str">
        <f>IF(Table4[[#This Row],[ROAS]]&lt;1,"Poor",IF(Table4[[#This Row],[ROAS]]&lt;3,"Average",IF(Table4[[#This Row],[ROAS]]&lt;5,"Good",
"Excellent")))</f>
        <v>Good</v>
      </c>
      <c r="S85" s="51" t="str">
        <f>IF(AND(Table4[[#This Row],[USD_Spend]]&gt;=$B$5,Table4[[#This Row],[Sales]]&lt;=$B$6),"Wasted Budget","Spend Justified")</f>
        <v>Spend Justified</v>
      </c>
      <c r="T85" s="51" t="str">
        <f>IF(AND(Table4[[#This Row],[Clicks]]&gt;=$B$7,Table4[[#This Row],[Sales]]&lt;=$B$6),"Poor Monetization","Normal Monitization")</f>
        <v>Normal Monitization</v>
      </c>
    </row>
    <row r="86" spans="1:20" x14ac:dyDescent="0.35">
      <c r="A86" s="38" t="s">
        <v>81</v>
      </c>
      <c r="B86" s="38" t="s">
        <v>48</v>
      </c>
      <c r="C86" s="38" t="s">
        <v>69</v>
      </c>
      <c r="D86" s="38" t="s">
        <v>63</v>
      </c>
      <c r="E86" s="38" t="s">
        <v>22</v>
      </c>
      <c r="F86" s="38">
        <v>3726.35</v>
      </c>
      <c r="G86" s="38">
        <v>988593</v>
      </c>
      <c r="H86" s="38">
        <v>22972</v>
      </c>
      <c r="I86" s="38">
        <v>220811.72</v>
      </c>
      <c r="J86" s="38">
        <v>40</v>
      </c>
      <c r="K86" s="39">
        <f t="shared" si="6"/>
        <v>2.3237065202767974E-2</v>
      </c>
      <c r="L86" s="40">
        <f t="shared" si="7"/>
        <v>59.256838461228817</v>
      </c>
      <c r="M86" s="40">
        <f t="shared" si="8"/>
        <v>58.256838461228817</v>
      </c>
      <c r="N86" s="40">
        <f t="shared" si="9"/>
        <v>9.6122113877764228</v>
      </c>
      <c r="O86" s="1" t="str">
        <f t="shared" si="5"/>
        <v>Normal</v>
      </c>
      <c r="P86" s="51" t="str">
        <f>IF(Table4[[#This Row],[Sales]]&lt;=$B$3,"Normal","High Revenue")</f>
        <v>Normal</v>
      </c>
      <c r="Q86" s="51" t="str">
        <f>IF(Table4[[#This Row],[CTR]]&lt;=$B$4,"Normal","High CTR")</f>
        <v>Normal</v>
      </c>
      <c r="R86" s="51" t="str">
        <f>IF(Table4[[#This Row],[ROAS]]&lt;1,"Poor",IF(Table4[[#This Row],[ROAS]]&lt;3,"Average",IF(Table4[[#This Row],[ROAS]]&lt;5,"Good",
"Excellent")))</f>
        <v>Excellent</v>
      </c>
      <c r="S86" s="51" t="str">
        <f>IF(AND(Table4[[#This Row],[USD_Spend]]&gt;=$B$5,Table4[[#This Row],[Sales]]&lt;=$B$6),"Wasted Budget","Spend Justified")</f>
        <v>Spend Justified</v>
      </c>
      <c r="T86" s="51" t="str">
        <f>IF(AND(Table4[[#This Row],[Clicks]]&gt;=$B$7,Table4[[#This Row],[Sales]]&lt;=$B$6),"Poor Monetization","Normal Monitization")</f>
        <v>Normal Monitization</v>
      </c>
    </row>
    <row r="87" spans="1:20" x14ac:dyDescent="0.35">
      <c r="A87" s="41" t="s">
        <v>78</v>
      </c>
      <c r="B87" s="41" t="s">
        <v>35</v>
      </c>
      <c r="C87" s="41" t="s">
        <v>58</v>
      </c>
      <c r="D87" s="41" t="s">
        <v>51</v>
      </c>
      <c r="E87" s="41" t="s">
        <v>22</v>
      </c>
      <c r="F87" s="41">
        <v>6264.99</v>
      </c>
      <c r="G87" s="41">
        <v>957556</v>
      </c>
      <c r="H87" s="41">
        <v>10803</v>
      </c>
      <c r="I87" s="41">
        <v>103014.55</v>
      </c>
      <c r="J87" s="41">
        <v>41</v>
      </c>
      <c r="K87" s="42">
        <f t="shared" si="6"/>
        <v>1.1281846701393965E-2</v>
      </c>
      <c r="L87" s="43">
        <f t="shared" si="7"/>
        <v>16.442891369339776</v>
      </c>
      <c r="M87" s="43">
        <f t="shared" si="8"/>
        <v>15.442891369339776</v>
      </c>
      <c r="N87" s="43">
        <f t="shared" si="9"/>
        <v>9.5357354438581883</v>
      </c>
      <c r="O87" s="1" t="str">
        <f t="shared" si="5"/>
        <v>Normal</v>
      </c>
      <c r="P87" s="51" t="str">
        <f>IF(Table4[[#This Row],[Sales]]&lt;=$B$3,"Normal","High Revenue")</f>
        <v>Normal</v>
      </c>
      <c r="Q87" s="51" t="str">
        <f>IF(Table4[[#This Row],[CTR]]&lt;=$B$4,"Normal","High CTR")</f>
        <v>Normal</v>
      </c>
      <c r="R87" s="51" t="str">
        <f>IF(Table4[[#This Row],[ROAS]]&lt;1,"Poor",IF(Table4[[#This Row],[ROAS]]&lt;3,"Average",IF(Table4[[#This Row],[ROAS]]&lt;5,"Good",
"Excellent")))</f>
        <v>Excellent</v>
      </c>
      <c r="S87" s="51" t="str">
        <f>IF(AND(Table4[[#This Row],[USD_Spend]]&gt;=$B$5,Table4[[#This Row],[Sales]]&lt;=$B$6),"Wasted Budget","Spend Justified")</f>
        <v>Spend Justified</v>
      </c>
      <c r="T87" s="51" t="str">
        <f>IF(AND(Table4[[#This Row],[Clicks]]&gt;=$B$7,Table4[[#This Row],[Sales]]&lt;=$B$6),"Poor Monetization","Normal Monitization")</f>
        <v>Normal Monitization</v>
      </c>
    </row>
    <row r="88" spans="1:20" x14ac:dyDescent="0.35">
      <c r="A88" s="38" t="s">
        <v>83</v>
      </c>
      <c r="B88" s="38" t="s">
        <v>48</v>
      </c>
      <c r="C88" s="38" t="s">
        <v>20</v>
      </c>
      <c r="D88" s="38" t="s">
        <v>37</v>
      </c>
      <c r="E88" s="38" t="s">
        <v>38</v>
      </c>
      <c r="F88" s="38">
        <v>5677.06</v>
      </c>
      <c r="G88" s="38">
        <v>351849</v>
      </c>
      <c r="H88" s="38">
        <v>26976</v>
      </c>
      <c r="I88" s="38">
        <v>115479.32</v>
      </c>
      <c r="J88" s="38">
        <v>54</v>
      </c>
      <c r="K88" s="39">
        <f t="shared" si="6"/>
        <v>7.6669253003419077E-2</v>
      </c>
      <c r="L88" s="40">
        <f t="shared" si="7"/>
        <v>20.341395017843745</v>
      </c>
      <c r="M88" s="40">
        <f t="shared" si="8"/>
        <v>19.341395017843745</v>
      </c>
      <c r="N88" s="40">
        <f t="shared" si="9"/>
        <v>4.2808170225385531</v>
      </c>
      <c r="O88" s="1" t="str">
        <f t="shared" si="5"/>
        <v>Normal</v>
      </c>
      <c r="P88" s="51" t="str">
        <f>IF(Table4[[#This Row],[Sales]]&lt;=$B$3,"Normal","High Revenue")</f>
        <v>Normal</v>
      </c>
      <c r="Q88" s="51" t="str">
        <f>IF(Table4[[#This Row],[CTR]]&lt;=$B$4,"Normal","High CTR")</f>
        <v>Normal</v>
      </c>
      <c r="R88" s="51" t="str">
        <f>IF(Table4[[#This Row],[ROAS]]&lt;1,"Poor",IF(Table4[[#This Row],[ROAS]]&lt;3,"Average",IF(Table4[[#This Row],[ROAS]]&lt;5,"Good",
"Excellent")))</f>
        <v>Excellent</v>
      </c>
      <c r="S88" s="51" t="str">
        <f>IF(AND(Table4[[#This Row],[USD_Spend]]&gt;=$B$5,Table4[[#This Row],[Sales]]&lt;=$B$6),"Wasted Budget","Spend Justified")</f>
        <v>Spend Justified</v>
      </c>
      <c r="T88" s="51" t="str">
        <f>IF(AND(Table4[[#This Row],[Clicks]]&gt;=$B$7,Table4[[#This Row],[Sales]]&lt;=$B$6),"Poor Monetization","Normal Monitization")</f>
        <v>Normal Monitization</v>
      </c>
    </row>
    <row r="89" spans="1:20" x14ac:dyDescent="0.35">
      <c r="A89" s="41" t="s">
        <v>91</v>
      </c>
      <c r="B89" s="41" t="s">
        <v>19</v>
      </c>
      <c r="C89" s="41" t="s">
        <v>58</v>
      </c>
      <c r="D89" s="41" t="s">
        <v>43</v>
      </c>
      <c r="E89" s="41" t="s">
        <v>30</v>
      </c>
      <c r="F89" s="41">
        <v>44553.33</v>
      </c>
      <c r="G89" s="41">
        <v>654883</v>
      </c>
      <c r="H89" s="41">
        <v>39033</v>
      </c>
      <c r="I89" s="41">
        <v>129231.62</v>
      </c>
      <c r="J89" s="41">
        <v>47</v>
      </c>
      <c r="K89" s="42">
        <f t="shared" si="6"/>
        <v>5.96030130572942E-2</v>
      </c>
      <c r="L89" s="43">
        <f t="shared" si="7"/>
        <v>2.9006051848425245</v>
      </c>
      <c r="M89" s="43">
        <f t="shared" si="8"/>
        <v>1.9006051848425245</v>
      </c>
      <c r="N89" s="43">
        <f t="shared" si="9"/>
        <v>3.3108298106730203</v>
      </c>
      <c r="O89" s="1" t="str">
        <f t="shared" si="5"/>
        <v>High Spend</v>
      </c>
      <c r="P89" s="51" t="str">
        <f>IF(Table4[[#This Row],[Sales]]&lt;=$B$3,"Normal","High Revenue")</f>
        <v>Normal</v>
      </c>
      <c r="Q89" s="51" t="str">
        <f>IF(Table4[[#This Row],[CTR]]&lt;=$B$4,"Normal","High CTR")</f>
        <v>Normal</v>
      </c>
      <c r="R89" s="51" t="str">
        <f>IF(Table4[[#This Row],[ROAS]]&lt;1,"Poor",IF(Table4[[#This Row],[ROAS]]&lt;3,"Average",IF(Table4[[#This Row],[ROAS]]&lt;5,"Good",
"Excellent")))</f>
        <v>Average</v>
      </c>
      <c r="S89" s="51" t="str">
        <f>IF(AND(Table4[[#This Row],[USD_Spend]]&gt;=$B$5,Table4[[#This Row],[Sales]]&lt;=$B$6),"Wasted Budget","Spend Justified")</f>
        <v>Spend Justified</v>
      </c>
      <c r="T89" s="51" t="str">
        <f>IF(AND(Table4[[#This Row],[Clicks]]&gt;=$B$7,Table4[[#This Row],[Sales]]&lt;=$B$6),"Poor Monetization","Normal Monitization")</f>
        <v>Normal Monitization</v>
      </c>
    </row>
    <row r="90" spans="1:20" x14ac:dyDescent="0.35">
      <c r="A90" s="38" t="s">
        <v>116</v>
      </c>
      <c r="B90" s="38" t="s">
        <v>19</v>
      </c>
      <c r="C90" s="38" t="s">
        <v>69</v>
      </c>
      <c r="D90" s="38" t="s">
        <v>21</v>
      </c>
      <c r="E90" s="38" t="s">
        <v>30</v>
      </c>
      <c r="F90" s="38">
        <v>1300.24</v>
      </c>
      <c r="G90" s="38">
        <v>165141</v>
      </c>
      <c r="H90" s="38">
        <v>32627</v>
      </c>
      <c r="I90" s="38">
        <v>41872.03</v>
      </c>
      <c r="J90" s="38">
        <v>12</v>
      </c>
      <c r="K90" s="39">
        <f t="shared" si="6"/>
        <v>0.19757056091461236</v>
      </c>
      <c r="L90" s="40">
        <f t="shared" si="7"/>
        <v>32.203308619947087</v>
      </c>
      <c r="M90" s="40">
        <f t="shared" si="8"/>
        <v>31.203308619947087</v>
      </c>
      <c r="N90" s="40">
        <f t="shared" si="9"/>
        <v>1.2833551966162993</v>
      </c>
      <c r="O90" s="1" t="str">
        <f t="shared" si="5"/>
        <v>Normal</v>
      </c>
      <c r="P90" s="51" t="str">
        <f>IF(Table4[[#This Row],[Sales]]&lt;=$B$3,"Normal","High Revenue")</f>
        <v>Normal</v>
      </c>
      <c r="Q90" s="51" t="str">
        <f>IF(Table4[[#This Row],[CTR]]&lt;=$B$4,"Normal","High CTR")</f>
        <v>Normal</v>
      </c>
      <c r="R90" s="51" t="str">
        <f>IF(Table4[[#This Row],[ROAS]]&lt;1,"Poor",IF(Table4[[#This Row],[ROAS]]&lt;3,"Average",IF(Table4[[#This Row],[ROAS]]&lt;5,"Good",
"Excellent")))</f>
        <v>Excellent</v>
      </c>
      <c r="S90" s="51" t="str">
        <f>IF(AND(Table4[[#This Row],[USD_Spend]]&gt;=$B$5,Table4[[#This Row],[Sales]]&lt;=$B$6),"Wasted Budget","Spend Justified")</f>
        <v>Spend Justified</v>
      </c>
      <c r="T90" s="51" t="str">
        <f>IF(AND(Table4[[#This Row],[Clicks]]&gt;=$B$7,Table4[[#This Row],[Sales]]&lt;=$B$6),"Poor Monetization","Normal Monitization")</f>
        <v>Normal Monitization</v>
      </c>
    </row>
    <row r="91" spans="1:20" x14ac:dyDescent="0.35">
      <c r="A91" s="41" t="s">
        <v>94</v>
      </c>
      <c r="B91" s="41" t="s">
        <v>48</v>
      </c>
      <c r="C91" s="41" t="s">
        <v>20</v>
      </c>
      <c r="D91" s="41" t="s">
        <v>43</v>
      </c>
      <c r="E91" s="41" t="s">
        <v>30</v>
      </c>
      <c r="F91" s="41">
        <v>7448.2</v>
      </c>
      <c r="G91" s="41">
        <v>303586</v>
      </c>
      <c r="H91" s="41">
        <v>11786</v>
      </c>
      <c r="I91" s="41">
        <v>69419.72</v>
      </c>
      <c r="J91" s="41">
        <v>43</v>
      </c>
      <c r="K91" s="42">
        <f t="shared" si="6"/>
        <v>3.8822607103094348E-2</v>
      </c>
      <c r="L91" s="43">
        <f t="shared" si="7"/>
        <v>9.3203351145243154</v>
      </c>
      <c r="M91" s="43">
        <f t="shared" si="8"/>
        <v>8.3203351145243154</v>
      </c>
      <c r="N91" s="43">
        <f t="shared" si="9"/>
        <v>5.8900152723570338</v>
      </c>
      <c r="O91" s="1" t="str">
        <f t="shared" si="5"/>
        <v>Normal</v>
      </c>
      <c r="P91" s="51" t="str">
        <f>IF(Table4[[#This Row],[Sales]]&lt;=$B$3,"Normal","High Revenue")</f>
        <v>Normal</v>
      </c>
      <c r="Q91" s="51" t="str">
        <f>IF(Table4[[#This Row],[CTR]]&lt;=$B$4,"Normal","High CTR")</f>
        <v>Normal</v>
      </c>
      <c r="R91" s="51" t="str">
        <f>IF(Table4[[#This Row],[ROAS]]&lt;1,"Poor",IF(Table4[[#This Row],[ROAS]]&lt;3,"Average",IF(Table4[[#This Row],[ROAS]]&lt;5,"Good",
"Excellent")))</f>
        <v>Excellent</v>
      </c>
      <c r="S91" s="51" t="str">
        <f>IF(AND(Table4[[#This Row],[USD_Spend]]&gt;=$B$5,Table4[[#This Row],[Sales]]&lt;=$B$6),"Wasted Budget","Spend Justified")</f>
        <v>Spend Justified</v>
      </c>
      <c r="T91" s="51" t="str">
        <f>IF(AND(Table4[[#This Row],[Clicks]]&gt;=$B$7,Table4[[#This Row],[Sales]]&lt;=$B$6),"Poor Monetization","Normal Monitization")</f>
        <v>Normal Monitization</v>
      </c>
    </row>
    <row r="92" spans="1:20" x14ac:dyDescent="0.35">
      <c r="A92" s="38" t="s">
        <v>113</v>
      </c>
      <c r="B92" s="38" t="s">
        <v>19</v>
      </c>
      <c r="C92" s="38" t="s">
        <v>29</v>
      </c>
      <c r="D92" s="38" t="s">
        <v>51</v>
      </c>
      <c r="E92" s="38" t="s">
        <v>30</v>
      </c>
      <c r="F92" s="38">
        <v>3468.67</v>
      </c>
      <c r="G92" s="38">
        <v>374831</v>
      </c>
      <c r="H92" s="38">
        <v>28562</v>
      </c>
      <c r="I92" s="38">
        <v>107047.82</v>
      </c>
      <c r="J92" s="38">
        <v>55</v>
      </c>
      <c r="K92" s="39">
        <f t="shared" si="6"/>
        <v>7.619967398640988E-2</v>
      </c>
      <c r="L92" s="40">
        <f t="shared" si="7"/>
        <v>30.861344549928361</v>
      </c>
      <c r="M92" s="40">
        <f t="shared" si="8"/>
        <v>29.861344549928361</v>
      </c>
      <c r="N92" s="40">
        <f t="shared" si="9"/>
        <v>3.7479105104684547</v>
      </c>
      <c r="O92" s="1" t="str">
        <f t="shared" si="5"/>
        <v>Normal</v>
      </c>
      <c r="P92" s="51" t="str">
        <f>IF(Table4[[#This Row],[Sales]]&lt;=$B$3,"Normal","High Revenue")</f>
        <v>Normal</v>
      </c>
      <c r="Q92" s="51" t="str">
        <f>IF(Table4[[#This Row],[CTR]]&lt;=$B$4,"Normal","High CTR")</f>
        <v>Normal</v>
      </c>
      <c r="R92" s="51" t="str">
        <f>IF(Table4[[#This Row],[ROAS]]&lt;1,"Poor",IF(Table4[[#This Row],[ROAS]]&lt;3,"Average",IF(Table4[[#This Row],[ROAS]]&lt;5,"Good",
"Excellent")))</f>
        <v>Excellent</v>
      </c>
      <c r="S92" s="51" t="str">
        <f>IF(AND(Table4[[#This Row],[USD_Spend]]&gt;=$B$5,Table4[[#This Row],[Sales]]&lt;=$B$6),"Wasted Budget","Spend Justified")</f>
        <v>Spend Justified</v>
      </c>
      <c r="T92" s="51" t="str">
        <f>IF(AND(Table4[[#This Row],[Clicks]]&gt;=$B$7,Table4[[#This Row],[Sales]]&lt;=$B$6),"Poor Monetization","Normal Monitization")</f>
        <v>Normal Monitization</v>
      </c>
    </row>
    <row r="93" spans="1:20" x14ac:dyDescent="0.35">
      <c r="A93" s="41" t="s">
        <v>66</v>
      </c>
      <c r="B93" s="41" t="s">
        <v>48</v>
      </c>
      <c r="C93" s="41" t="s">
        <v>58</v>
      </c>
      <c r="D93" s="41" t="s">
        <v>51</v>
      </c>
      <c r="E93" s="41" t="s">
        <v>38</v>
      </c>
      <c r="F93" s="41">
        <v>32644.18</v>
      </c>
      <c r="G93" s="41">
        <v>262528</v>
      </c>
      <c r="H93" s="41">
        <v>32715</v>
      </c>
      <c r="I93" s="41">
        <v>228643.11</v>
      </c>
      <c r="J93" s="41">
        <v>45</v>
      </c>
      <c r="K93" s="42">
        <f t="shared" si="6"/>
        <v>0.12461527913213066</v>
      </c>
      <c r="L93" s="43">
        <f t="shared" si="7"/>
        <v>7.0041002714725868</v>
      </c>
      <c r="M93" s="43">
        <f t="shared" si="8"/>
        <v>6.0041002714725868</v>
      </c>
      <c r="N93" s="43">
        <f t="shared" si="9"/>
        <v>6.98893810178817</v>
      </c>
      <c r="O93" s="1" t="str">
        <f t="shared" si="5"/>
        <v>Normal</v>
      </c>
      <c r="P93" s="51" t="str">
        <f>IF(Table4[[#This Row],[Sales]]&lt;=$B$3,"Normal","High Revenue")</f>
        <v>Normal</v>
      </c>
      <c r="Q93" s="51" t="str">
        <f>IF(Table4[[#This Row],[CTR]]&lt;=$B$4,"Normal","High CTR")</f>
        <v>Normal</v>
      </c>
      <c r="R93" s="51" t="str">
        <f>IF(Table4[[#This Row],[ROAS]]&lt;1,"Poor",IF(Table4[[#This Row],[ROAS]]&lt;3,"Average",IF(Table4[[#This Row],[ROAS]]&lt;5,"Good",
"Excellent")))</f>
        <v>Excellent</v>
      </c>
      <c r="S93" s="51" t="str">
        <f>IF(AND(Table4[[#This Row],[USD_Spend]]&gt;=$B$5,Table4[[#This Row],[Sales]]&lt;=$B$6),"Wasted Budget","Spend Justified")</f>
        <v>Spend Justified</v>
      </c>
      <c r="T93" s="51" t="str">
        <f>IF(AND(Table4[[#This Row],[Clicks]]&gt;=$B$7,Table4[[#This Row],[Sales]]&lt;=$B$6),"Poor Monetization","Normal Monitization")</f>
        <v>Normal Monitization</v>
      </c>
    </row>
    <row r="94" spans="1:20" x14ac:dyDescent="0.35">
      <c r="A94" s="38" t="s">
        <v>72</v>
      </c>
      <c r="B94" s="38" t="s">
        <v>35</v>
      </c>
      <c r="C94" s="38" t="s">
        <v>29</v>
      </c>
      <c r="D94" s="38" t="s">
        <v>21</v>
      </c>
      <c r="E94" s="38" t="s">
        <v>38</v>
      </c>
      <c r="F94" s="38">
        <v>6650.27</v>
      </c>
      <c r="G94" s="38">
        <v>897240</v>
      </c>
      <c r="H94" s="38">
        <v>39730</v>
      </c>
      <c r="I94" s="38">
        <v>119847.06</v>
      </c>
      <c r="J94" s="38">
        <v>50</v>
      </c>
      <c r="K94" s="39">
        <f t="shared" si="6"/>
        <v>4.4280237171771208E-2</v>
      </c>
      <c r="L94" s="40">
        <f t="shared" si="7"/>
        <v>18.021382590481288</v>
      </c>
      <c r="M94" s="40">
        <f t="shared" si="8"/>
        <v>17.021382590481288</v>
      </c>
      <c r="N94" s="40">
        <f t="shared" si="9"/>
        <v>3.0165381323936571</v>
      </c>
      <c r="O94" s="1" t="str">
        <f t="shared" si="5"/>
        <v>Normal</v>
      </c>
      <c r="P94" s="51" t="str">
        <f>IF(Table4[[#This Row],[Sales]]&lt;=$B$3,"Normal","High Revenue")</f>
        <v>Normal</v>
      </c>
      <c r="Q94" s="51" t="str">
        <f>IF(Table4[[#This Row],[CTR]]&lt;=$B$4,"Normal","High CTR")</f>
        <v>Normal</v>
      </c>
      <c r="R94" s="51" t="str">
        <f>IF(Table4[[#This Row],[ROAS]]&lt;1,"Poor",IF(Table4[[#This Row],[ROAS]]&lt;3,"Average",IF(Table4[[#This Row],[ROAS]]&lt;5,"Good",
"Excellent")))</f>
        <v>Excellent</v>
      </c>
      <c r="S94" s="51" t="str">
        <f>IF(AND(Table4[[#This Row],[USD_Spend]]&gt;=$B$5,Table4[[#This Row],[Sales]]&lt;=$B$6),"Wasted Budget","Spend Justified")</f>
        <v>Spend Justified</v>
      </c>
      <c r="T94" s="51" t="str">
        <f>IF(AND(Table4[[#This Row],[Clicks]]&gt;=$B$7,Table4[[#This Row],[Sales]]&lt;=$B$6),"Poor Monetization","Normal Monitization")</f>
        <v>Normal Monitization</v>
      </c>
    </row>
    <row r="95" spans="1:20" x14ac:dyDescent="0.35">
      <c r="A95" s="41" t="s">
        <v>62</v>
      </c>
      <c r="B95" s="41" t="s">
        <v>28</v>
      </c>
      <c r="C95" s="41" t="s">
        <v>58</v>
      </c>
      <c r="D95" s="41" t="s">
        <v>59</v>
      </c>
      <c r="E95" s="41" t="s">
        <v>30</v>
      </c>
      <c r="F95" s="41">
        <v>2874.7</v>
      </c>
      <c r="G95" s="41">
        <v>389895</v>
      </c>
      <c r="H95" s="41">
        <v>42916</v>
      </c>
      <c r="I95" s="41">
        <v>123617.86</v>
      </c>
      <c r="J95" s="41">
        <v>28</v>
      </c>
      <c r="K95" s="42">
        <f t="shared" si="6"/>
        <v>0.1100706600495005</v>
      </c>
      <c r="L95" s="43">
        <f t="shared" si="7"/>
        <v>43.002003687341293</v>
      </c>
      <c r="M95" s="43">
        <f t="shared" si="8"/>
        <v>42.002003687341293</v>
      </c>
      <c r="N95" s="43">
        <f t="shared" si="9"/>
        <v>2.8804609003635009</v>
      </c>
      <c r="O95" s="1" t="str">
        <f t="shared" si="5"/>
        <v>Normal</v>
      </c>
      <c r="P95" s="51" t="str">
        <f>IF(Table4[[#This Row],[Sales]]&lt;=$B$3,"Normal","High Revenue")</f>
        <v>Normal</v>
      </c>
      <c r="Q95" s="51" t="str">
        <f>IF(Table4[[#This Row],[CTR]]&lt;=$B$4,"Normal","High CTR")</f>
        <v>Normal</v>
      </c>
      <c r="R95" s="51" t="str">
        <f>IF(Table4[[#This Row],[ROAS]]&lt;1,"Poor",IF(Table4[[#This Row],[ROAS]]&lt;3,"Average",IF(Table4[[#This Row],[ROAS]]&lt;5,"Good",
"Excellent")))</f>
        <v>Excellent</v>
      </c>
      <c r="S95" s="51" t="str">
        <f>IF(AND(Table4[[#This Row],[USD_Spend]]&gt;=$B$5,Table4[[#This Row],[Sales]]&lt;=$B$6),"Wasted Budget","Spend Justified")</f>
        <v>Spend Justified</v>
      </c>
      <c r="T95" s="51" t="str">
        <f>IF(AND(Table4[[#This Row],[Clicks]]&gt;=$B$7,Table4[[#This Row],[Sales]]&lt;=$B$6),"Poor Monetization","Normal Monitization")</f>
        <v>Normal Monitization</v>
      </c>
    </row>
    <row r="96" spans="1:20" x14ac:dyDescent="0.35">
      <c r="A96" s="38" t="s">
        <v>98</v>
      </c>
      <c r="B96" s="38" t="s">
        <v>48</v>
      </c>
      <c r="C96" s="38" t="s">
        <v>29</v>
      </c>
      <c r="D96" s="38" t="s">
        <v>59</v>
      </c>
      <c r="E96" s="38" t="s">
        <v>38</v>
      </c>
      <c r="F96" s="38">
        <v>48220.480000000003</v>
      </c>
      <c r="G96" s="38">
        <v>246588</v>
      </c>
      <c r="H96" s="38">
        <v>45290</v>
      </c>
      <c r="I96" s="38">
        <v>108835.96</v>
      </c>
      <c r="J96" s="38">
        <v>42</v>
      </c>
      <c r="K96" s="39">
        <f t="shared" si="6"/>
        <v>0.18366668288805618</v>
      </c>
      <c r="L96" s="40">
        <f t="shared" si="7"/>
        <v>2.2570484574189225</v>
      </c>
      <c r="M96" s="40">
        <f t="shared" si="8"/>
        <v>1.2570484574189225</v>
      </c>
      <c r="N96" s="40">
        <f t="shared" si="9"/>
        <v>2.4030903069110181</v>
      </c>
      <c r="O96" s="1" t="str">
        <f t="shared" si="5"/>
        <v>High Spend</v>
      </c>
      <c r="P96" s="51" t="str">
        <f>IF(Table4[[#This Row],[Sales]]&lt;=$B$3,"Normal","High Revenue")</f>
        <v>Normal</v>
      </c>
      <c r="Q96" s="51" t="str">
        <f>IF(Table4[[#This Row],[CTR]]&lt;=$B$4,"Normal","High CTR")</f>
        <v>Normal</v>
      </c>
      <c r="R96" s="51" t="str">
        <f>IF(Table4[[#This Row],[ROAS]]&lt;1,"Poor",IF(Table4[[#This Row],[ROAS]]&lt;3,"Average",IF(Table4[[#This Row],[ROAS]]&lt;5,"Good",
"Excellent")))</f>
        <v>Average</v>
      </c>
      <c r="S96" s="51" t="str">
        <f>IF(AND(Table4[[#This Row],[USD_Spend]]&gt;=$B$5,Table4[[#This Row],[Sales]]&lt;=$B$6),"Wasted Budget","Spend Justified")</f>
        <v>Spend Justified</v>
      </c>
      <c r="T96" s="51" t="str">
        <f>IF(AND(Table4[[#This Row],[Clicks]]&gt;=$B$7,Table4[[#This Row],[Sales]]&lt;=$B$6),"Poor Monetization","Normal Monitization")</f>
        <v>Normal Monitization</v>
      </c>
    </row>
    <row r="97" spans="1:20" x14ac:dyDescent="0.35">
      <c r="A97" s="41" t="s">
        <v>111</v>
      </c>
      <c r="B97" s="41" t="s">
        <v>28</v>
      </c>
      <c r="C97" s="41" t="s">
        <v>20</v>
      </c>
      <c r="D97" s="41" t="s">
        <v>43</v>
      </c>
      <c r="E97" s="41" t="s">
        <v>30</v>
      </c>
      <c r="F97" s="41">
        <v>4319.8900000000003</v>
      </c>
      <c r="G97" s="41">
        <v>509387</v>
      </c>
      <c r="H97" s="41">
        <v>14176</v>
      </c>
      <c r="I97" s="41">
        <v>114310.2</v>
      </c>
      <c r="J97" s="41">
        <v>11</v>
      </c>
      <c r="K97" s="42">
        <f t="shared" si="6"/>
        <v>2.7829528433195194E-2</v>
      </c>
      <c r="L97" s="43">
        <f t="shared" si="7"/>
        <v>26.461368229283615</v>
      </c>
      <c r="M97" s="43">
        <f t="shared" si="8"/>
        <v>25.461368229283615</v>
      </c>
      <c r="N97" s="43">
        <f t="shared" si="9"/>
        <v>8.063642776523702</v>
      </c>
      <c r="O97" s="1" t="str">
        <f t="shared" si="5"/>
        <v>Normal</v>
      </c>
      <c r="P97" s="51" t="str">
        <f>IF(Table4[[#This Row],[Sales]]&lt;=$B$3,"Normal","High Revenue")</f>
        <v>Normal</v>
      </c>
      <c r="Q97" s="51" t="str">
        <f>IF(Table4[[#This Row],[CTR]]&lt;=$B$4,"Normal","High CTR")</f>
        <v>Normal</v>
      </c>
      <c r="R97" s="51" t="str">
        <f>IF(Table4[[#This Row],[ROAS]]&lt;1,"Poor",IF(Table4[[#This Row],[ROAS]]&lt;3,"Average",IF(Table4[[#This Row],[ROAS]]&lt;5,"Good",
"Excellent")))</f>
        <v>Excellent</v>
      </c>
      <c r="S97" s="51" t="str">
        <f>IF(AND(Table4[[#This Row],[USD_Spend]]&gt;=$B$5,Table4[[#This Row],[Sales]]&lt;=$B$6),"Wasted Budget","Spend Justified")</f>
        <v>Spend Justified</v>
      </c>
      <c r="T97" s="51" t="str">
        <f>IF(AND(Table4[[#This Row],[Clicks]]&gt;=$B$7,Table4[[#This Row],[Sales]]&lt;=$B$6),"Poor Monetization","Normal Monitization")</f>
        <v>Normal Monitization</v>
      </c>
    </row>
    <row r="98" spans="1:20" x14ac:dyDescent="0.35">
      <c r="A98" s="38" t="s">
        <v>42</v>
      </c>
      <c r="B98" s="38" t="s">
        <v>19</v>
      </c>
      <c r="C98" s="38" t="s">
        <v>36</v>
      </c>
      <c r="D98" s="38" t="s">
        <v>59</v>
      </c>
      <c r="E98" s="38" t="s">
        <v>38</v>
      </c>
      <c r="F98" s="38">
        <v>24433.71</v>
      </c>
      <c r="G98" s="38">
        <v>617497</v>
      </c>
      <c r="H98" s="38">
        <v>6877</v>
      </c>
      <c r="I98" s="38">
        <v>32178.22</v>
      </c>
      <c r="J98" s="38">
        <v>15</v>
      </c>
      <c r="K98" s="39">
        <f t="shared" si="6"/>
        <v>1.1136896211641514E-2</v>
      </c>
      <c r="L98" s="40">
        <f t="shared" si="7"/>
        <v>1.316960052321158</v>
      </c>
      <c r="M98" s="40">
        <f t="shared" si="8"/>
        <v>0.31696005232115804</v>
      </c>
      <c r="N98" s="40">
        <f t="shared" si="9"/>
        <v>4.6791071688236148</v>
      </c>
      <c r="O98" s="1" t="str">
        <f t="shared" si="5"/>
        <v>Normal</v>
      </c>
      <c r="P98" s="51" t="str">
        <f>IF(Table4[[#This Row],[Sales]]&lt;=$B$3,"Normal","High Revenue")</f>
        <v>Normal</v>
      </c>
      <c r="Q98" s="51" t="str">
        <f>IF(Table4[[#This Row],[CTR]]&lt;=$B$4,"Normal","High CTR")</f>
        <v>Normal</v>
      </c>
      <c r="R98" s="51" t="str">
        <f>IF(Table4[[#This Row],[ROAS]]&lt;1,"Poor",IF(Table4[[#This Row],[ROAS]]&lt;3,"Average",IF(Table4[[#This Row],[ROAS]]&lt;5,"Good",
"Excellent")))</f>
        <v>Average</v>
      </c>
      <c r="S98" s="51" t="str">
        <f>IF(AND(Table4[[#This Row],[USD_Spend]]&gt;=$B$5,Table4[[#This Row],[Sales]]&lt;=$B$6),"Wasted Budget","Spend Justified")</f>
        <v>Wasted Budget</v>
      </c>
      <c r="T98" s="51" t="str">
        <f>IF(AND(Table4[[#This Row],[Clicks]]&gt;=$B$7,Table4[[#This Row],[Sales]]&lt;=$B$6),"Poor Monetization","Normal Monitization")</f>
        <v>Normal Monitization</v>
      </c>
    </row>
    <row r="99" spans="1:20" x14ac:dyDescent="0.35">
      <c r="A99" s="41" t="s">
        <v>88</v>
      </c>
      <c r="B99" s="41" t="s">
        <v>48</v>
      </c>
      <c r="C99" s="41" t="s">
        <v>58</v>
      </c>
      <c r="D99" s="41" t="s">
        <v>63</v>
      </c>
      <c r="E99" s="41" t="s">
        <v>38</v>
      </c>
      <c r="F99" s="41">
        <v>22917.31</v>
      </c>
      <c r="G99" s="41">
        <v>200556</v>
      </c>
      <c r="H99" s="41">
        <v>3395</v>
      </c>
      <c r="I99" s="41">
        <v>68738.3</v>
      </c>
      <c r="J99" s="41">
        <v>47</v>
      </c>
      <c r="K99" s="42">
        <f t="shared" si="6"/>
        <v>1.6927940325894016E-2</v>
      </c>
      <c r="L99" s="43">
        <f t="shared" si="7"/>
        <v>2.999405253059805</v>
      </c>
      <c r="M99" s="43">
        <f t="shared" si="8"/>
        <v>1.9994052530598052</v>
      </c>
      <c r="N99" s="43">
        <f t="shared" si="9"/>
        <v>20.246921944035346</v>
      </c>
      <c r="O99" s="1" t="str">
        <f t="shared" si="5"/>
        <v>Normal</v>
      </c>
      <c r="P99" s="51" t="str">
        <f>IF(Table4[[#This Row],[Sales]]&lt;=$B$3,"Normal","High Revenue")</f>
        <v>Normal</v>
      </c>
      <c r="Q99" s="51" t="str">
        <f>IF(Table4[[#This Row],[CTR]]&lt;=$B$4,"Normal","High CTR")</f>
        <v>Normal</v>
      </c>
      <c r="R99" s="51" t="str">
        <f>IF(Table4[[#This Row],[ROAS]]&lt;1,"Poor",IF(Table4[[#This Row],[ROAS]]&lt;3,"Average",IF(Table4[[#This Row],[ROAS]]&lt;5,"Good",
"Excellent")))</f>
        <v>Average</v>
      </c>
      <c r="S99" s="51" t="str">
        <f>IF(AND(Table4[[#This Row],[USD_Spend]]&gt;=$B$5,Table4[[#This Row],[Sales]]&lt;=$B$6),"Wasted Budget","Spend Justified")</f>
        <v>Wasted Budget</v>
      </c>
      <c r="T99" s="51" t="str">
        <f>IF(AND(Table4[[#This Row],[Clicks]]&gt;=$B$7,Table4[[#This Row],[Sales]]&lt;=$B$6),"Poor Monetization","Normal Monitization")</f>
        <v>Normal Monitization</v>
      </c>
    </row>
    <row r="100" spans="1:20" x14ac:dyDescent="0.35">
      <c r="A100" s="38" t="s">
        <v>104</v>
      </c>
      <c r="B100" s="38" t="s">
        <v>35</v>
      </c>
      <c r="C100" s="38" t="s">
        <v>29</v>
      </c>
      <c r="D100" s="38" t="s">
        <v>37</v>
      </c>
      <c r="E100" s="38" t="s">
        <v>30</v>
      </c>
      <c r="F100" s="38">
        <v>12959.16</v>
      </c>
      <c r="G100" s="38">
        <v>763800</v>
      </c>
      <c r="H100" s="38">
        <v>48600</v>
      </c>
      <c r="I100" s="38">
        <v>220569.53</v>
      </c>
      <c r="J100" s="38">
        <v>8</v>
      </c>
      <c r="K100" s="39">
        <f t="shared" si="6"/>
        <v>6.3629222309505101E-2</v>
      </c>
      <c r="L100" s="40">
        <f t="shared" si="7"/>
        <v>17.020357029313629</v>
      </c>
      <c r="M100" s="40">
        <f t="shared" si="8"/>
        <v>16.020357029313629</v>
      </c>
      <c r="N100" s="40">
        <f t="shared" si="9"/>
        <v>4.5384676954732512</v>
      </c>
      <c r="O100" s="1" t="str">
        <f t="shared" si="5"/>
        <v>Normal</v>
      </c>
      <c r="P100" s="51" t="str">
        <f>IF(Table4[[#This Row],[Sales]]&lt;=$B$3,"Normal","High Revenue")</f>
        <v>Normal</v>
      </c>
      <c r="Q100" s="51" t="str">
        <f>IF(Table4[[#This Row],[CTR]]&lt;=$B$4,"Normal","High CTR")</f>
        <v>Normal</v>
      </c>
      <c r="R100" s="51" t="str">
        <f>IF(Table4[[#This Row],[ROAS]]&lt;1,"Poor",IF(Table4[[#This Row],[ROAS]]&lt;3,"Average",IF(Table4[[#This Row],[ROAS]]&lt;5,"Good",
"Excellent")))</f>
        <v>Excellent</v>
      </c>
      <c r="S100" s="51" t="str">
        <f>IF(AND(Table4[[#This Row],[USD_Spend]]&gt;=$B$5,Table4[[#This Row],[Sales]]&lt;=$B$6),"Wasted Budget","Spend Justified")</f>
        <v>Spend Justified</v>
      </c>
      <c r="T100" s="51" t="str">
        <f>IF(AND(Table4[[#This Row],[Clicks]]&gt;=$B$7,Table4[[#This Row],[Sales]]&lt;=$B$6),"Poor Monetization","Normal Monitization")</f>
        <v>Normal Monitization</v>
      </c>
    </row>
    <row r="101" spans="1:20" x14ac:dyDescent="0.35">
      <c r="A101" s="41" t="s">
        <v>105</v>
      </c>
      <c r="B101" s="41" t="s">
        <v>28</v>
      </c>
      <c r="C101" s="41" t="s">
        <v>36</v>
      </c>
      <c r="D101" s="41" t="s">
        <v>59</v>
      </c>
      <c r="E101" s="41" t="s">
        <v>38</v>
      </c>
      <c r="F101" s="41">
        <v>31199.599999999999</v>
      </c>
      <c r="G101" s="41">
        <v>546521</v>
      </c>
      <c r="H101" s="41">
        <v>40212</v>
      </c>
      <c r="I101" s="41">
        <v>237689.7</v>
      </c>
      <c r="J101" s="41">
        <v>39</v>
      </c>
      <c r="K101" s="42">
        <f t="shared" si="6"/>
        <v>7.357814246845043E-2</v>
      </c>
      <c r="L101" s="43">
        <f t="shared" si="7"/>
        <v>7.6183572866318805</v>
      </c>
      <c r="M101" s="43">
        <f t="shared" si="8"/>
        <v>6.6183572866318805</v>
      </c>
      <c r="N101" s="43">
        <f t="shared" si="9"/>
        <v>5.9109146523425844</v>
      </c>
      <c r="O101" s="1" t="str">
        <f t="shared" si="5"/>
        <v>Normal</v>
      </c>
      <c r="P101" s="51" t="str">
        <f>IF(Table4[[#This Row],[Sales]]&lt;=$B$3,"Normal","High Revenue")</f>
        <v>High Revenue</v>
      </c>
      <c r="Q101" s="51" t="str">
        <f>IF(Table4[[#This Row],[CTR]]&lt;=$B$4,"Normal","High CTR")</f>
        <v>Normal</v>
      </c>
      <c r="R101" s="51" t="str">
        <f>IF(Table4[[#This Row],[ROAS]]&lt;1,"Poor",IF(Table4[[#This Row],[ROAS]]&lt;3,"Average",IF(Table4[[#This Row],[ROAS]]&lt;5,"Good",
"Excellent")))</f>
        <v>Excellent</v>
      </c>
      <c r="S101" s="51" t="str">
        <f>IF(AND(Table4[[#This Row],[USD_Spend]]&gt;=$B$5,Table4[[#This Row],[Sales]]&lt;=$B$6),"Wasted Budget","Spend Justified")</f>
        <v>Spend Justified</v>
      </c>
      <c r="T101" s="51" t="str">
        <f>IF(AND(Table4[[#This Row],[Clicks]]&gt;=$B$7,Table4[[#This Row],[Sales]]&lt;=$B$6),"Poor Monetization","Normal Monitization")</f>
        <v>Normal Monitization</v>
      </c>
    </row>
    <row r="102" spans="1:20" x14ac:dyDescent="0.35">
      <c r="A102" s="38" t="s">
        <v>114</v>
      </c>
      <c r="B102" s="38" t="s">
        <v>28</v>
      </c>
      <c r="C102" s="38" t="s">
        <v>69</v>
      </c>
      <c r="D102" s="38" t="s">
        <v>37</v>
      </c>
      <c r="E102" s="38" t="s">
        <v>38</v>
      </c>
      <c r="F102" s="38">
        <v>40609.19</v>
      </c>
      <c r="G102" s="38">
        <v>977301</v>
      </c>
      <c r="H102" s="38">
        <v>26114</v>
      </c>
      <c r="I102" s="38">
        <v>193213.08</v>
      </c>
      <c r="J102" s="38">
        <v>17</v>
      </c>
      <c r="K102" s="39">
        <f t="shared" si="6"/>
        <v>2.6720529294454832E-2</v>
      </c>
      <c r="L102" s="40">
        <f t="shared" si="7"/>
        <v>4.7578658919323429</v>
      </c>
      <c r="M102" s="40">
        <f t="shared" si="8"/>
        <v>3.7578658919323429</v>
      </c>
      <c r="N102" s="40">
        <f t="shared" si="9"/>
        <v>7.3988312782415555</v>
      </c>
      <c r="O102" s="1" t="str">
        <f t="shared" si="5"/>
        <v>Normal</v>
      </c>
      <c r="P102" s="51" t="str">
        <f>IF(Table4[[#This Row],[Sales]]&lt;=$B$3,"Normal","High Revenue")</f>
        <v>Normal</v>
      </c>
      <c r="Q102" s="51" t="str">
        <f>IF(Table4[[#This Row],[CTR]]&lt;=$B$4,"Normal","High CTR")</f>
        <v>Normal</v>
      </c>
      <c r="R102" s="51" t="str">
        <f>IF(Table4[[#This Row],[ROAS]]&lt;1,"Poor",IF(Table4[[#This Row],[ROAS]]&lt;3,"Average",IF(Table4[[#This Row],[ROAS]]&lt;5,"Good",
"Excellent")))</f>
        <v>Good</v>
      </c>
      <c r="S102" s="51" t="str">
        <f>IF(AND(Table4[[#This Row],[USD_Spend]]&gt;=$B$5,Table4[[#This Row],[Sales]]&lt;=$B$6),"Wasted Budget","Spend Justified")</f>
        <v>Spend Justified</v>
      </c>
      <c r="T102" s="51" t="str">
        <f>IF(AND(Table4[[#This Row],[Clicks]]&gt;=$B$7,Table4[[#This Row],[Sales]]&lt;=$B$6),"Poor Monetization","Normal Monitization")</f>
        <v>Normal Monitization</v>
      </c>
    </row>
    <row r="103" spans="1:20" x14ac:dyDescent="0.35">
      <c r="A103" s="41" t="s">
        <v>106</v>
      </c>
      <c r="B103" s="41" t="s">
        <v>19</v>
      </c>
      <c r="C103" s="41" t="s">
        <v>58</v>
      </c>
      <c r="D103" s="41" t="s">
        <v>37</v>
      </c>
      <c r="E103" s="41" t="s">
        <v>38</v>
      </c>
      <c r="F103" s="41">
        <v>21081.41</v>
      </c>
      <c r="G103" s="41">
        <v>943320</v>
      </c>
      <c r="H103" s="41">
        <v>45540</v>
      </c>
      <c r="I103" s="41">
        <v>20931.91</v>
      </c>
      <c r="J103" s="41">
        <v>9</v>
      </c>
      <c r="K103" s="42">
        <f t="shared" si="6"/>
        <v>4.8276300725098586E-2</v>
      </c>
      <c r="L103" s="43">
        <f t="shared" si="7"/>
        <v>0.99290844397979072</v>
      </c>
      <c r="M103" s="43">
        <f t="shared" si="8"/>
        <v>-7.0915560202092741E-3</v>
      </c>
      <c r="N103" s="43">
        <f t="shared" si="9"/>
        <v>0.45963790074659638</v>
      </c>
      <c r="O103" s="1" t="str">
        <f t="shared" si="5"/>
        <v>Normal</v>
      </c>
      <c r="P103" s="51" t="str">
        <f>IF(Table4[[#This Row],[Sales]]&lt;=$B$3,"Normal","High Revenue")</f>
        <v>Normal</v>
      </c>
      <c r="Q103" s="51" t="str">
        <f>IF(Table4[[#This Row],[CTR]]&lt;=$B$4,"Normal","High CTR")</f>
        <v>Normal</v>
      </c>
      <c r="R103" s="51" t="str">
        <f>IF(Table4[[#This Row],[ROAS]]&lt;1,"Poor",IF(Table4[[#This Row],[ROAS]]&lt;3,"Average",IF(Table4[[#This Row],[ROAS]]&lt;5,"Good",
"Excellent")))</f>
        <v>Poor</v>
      </c>
      <c r="S103" s="51" t="str">
        <f>IF(AND(Table4[[#This Row],[USD_Spend]]&gt;=$B$5,Table4[[#This Row],[Sales]]&lt;=$B$6),"Wasted Budget","Spend Justified")</f>
        <v>Wasted Budget</v>
      </c>
      <c r="T103" s="51" t="str">
        <f>IF(AND(Table4[[#This Row],[Clicks]]&gt;=$B$7,Table4[[#This Row],[Sales]]&lt;=$B$6),"Poor Monetization","Normal Monitization")</f>
        <v>Poor Monetization</v>
      </c>
    </row>
    <row r="104" spans="1:20" x14ac:dyDescent="0.35">
      <c r="A104" s="38" t="s">
        <v>106</v>
      </c>
      <c r="B104" s="38" t="s">
        <v>19</v>
      </c>
      <c r="C104" s="38" t="s">
        <v>69</v>
      </c>
      <c r="D104" s="38" t="s">
        <v>21</v>
      </c>
      <c r="E104" s="38" t="s">
        <v>30</v>
      </c>
      <c r="F104" s="38">
        <v>2520.91</v>
      </c>
      <c r="G104" s="38">
        <v>110879</v>
      </c>
      <c r="H104" s="38">
        <v>13439</v>
      </c>
      <c r="I104" s="38">
        <v>13143.6</v>
      </c>
      <c r="J104" s="38">
        <v>43</v>
      </c>
      <c r="K104" s="39">
        <f t="shared" si="6"/>
        <v>0.12120419556453431</v>
      </c>
      <c r="L104" s="40">
        <f t="shared" si="7"/>
        <v>5.2138315132233997</v>
      </c>
      <c r="M104" s="40">
        <f t="shared" si="8"/>
        <v>4.2138315132233997</v>
      </c>
      <c r="N104" s="40">
        <f t="shared" si="9"/>
        <v>0.97801919785698344</v>
      </c>
      <c r="O104" s="1" t="str">
        <f t="shared" si="5"/>
        <v>Normal</v>
      </c>
      <c r="P104" s="51" t="str">
        <f>IF(Table4[[#This Row],[Sales]]&lt;=$B$3,"Normal","High Revenue")</f>
        <v>Normal</v>
      </c>
      <c r="Q104" s="51" t="str">
        <f>IF(Table4[[#This Row],[CTR]]&lt;=$B$4,"Normal","High CTR")</f>
        <v>Normal</v>
      </c>
      <c r="R104" s="51" t="str">
        <f>IF(Table4[[#This Row],[ROAS]]&lt;1,"Poor",IF(Table4[[#This Row],[ROAS]]&lt;3,"Average",IF(Table4[[#This Row],[ROAS]]&lt;5,"Good",
"Excellent")))</f>
        <v>Excellent</v>
      </c>
      <c r="S104" s="51" t="str">
        <f>IF(AND(Table4[[#This Row],[USD_Spend]]&gt;=$B$5,Table4[[#This Row],[Sales]]&lt;=$B$6),"Wasted Budget","Spend Justified")</f>
        <v>Spend Justified</v>
      </c>
      <c r="T104" s="51" t="str">
        <f>IF(AND(Table4[[#This Row],[Clicks]]&gt;=$B$7,Table4[[#This Row],[Sales]]&lt;=$B$6),"Poor Monetization","Normal Monitization")</f>
        <v>Normal Monitization</v>
      </c>
    </row>
    <row r="105" spans="1:20" x14ac:dyDescent="0.35">
      <c r="A105" s="41" t="s">
        <v>79</v>
      </c>
      <c r="B105" s="41" t="s">
        <v>48</v>
      </c>
      <c r="C105" s="41" t="s">
        <v>36</v>
      </c>
      <c r="D105" s="41" t="s">
        <v>63</v>
      </c>
      <c r="E105" s="41" t="s">
        <v>22</v>
      </c>
      <c r="F105" s="41">
        <v>19885.669999999998</v>
      </c>
      <c r="G105" s="41">
        <v>879749</v>
      </c>
      <c r="H105" s="41">
        <v>19933</v>
      </c>
      <c r="I105" s="41">
        <v>57954.27</v>
      </c>
      <c r="J105" s="41">
        <v>37</v>
      </c>
      <c r="K105" s="42">
        <f t="shared" si="6"/>
        <v>2.2657598928785369E-2</v>
      </c>
      <c r="L105" s="43">
        <f t="shared" si="7"/>
        <v>2.9143735162053881</v>
      </c>
      <c r="M105" s="43">
        <f t="shared" si="8"/>
        <v>1.9143735162053881</v>
      </c>
      <c r="N105" s="43">
        <f t="shared" si="9"/>
        <v>2.907453469121557</v>
      </c>
      <c r="O105" s="1" t="str">
        <f t="shared" si="5"/>
        <v>Normal</v>
      </c>
      <c r="P105" s="51" t="str">
        <f>IF(Table4[[#This Row],[Sales]]&lt;=$B$3,"Normal","High Revenue")</f>
        <v>Normal</v>
      </c>
      <c r="Q105" s="51" t="str">
        <f>IF(Table4[[#This Row],[CTR]]&lt;=$B$4,"Normal","High CTR")</f>
        <v>Normal</v>
      </c>
      <c r="R105" s="51" t="str">
        <f>IF(Table4[[#This Row],[ROAS]]&lt;1,"Poor",IF(Table4[[#This Row],[ROAS]]&lt;3,"Average",IF(Table4[[#This Row],[ROAS]]&lt;5,"Good",
"Excellent")))</f>
        <v>Average</v>
      </c>
      <c r="S105" s="51" t="str">
        <f>IF(AND(Table4[[#This Row],[USD_Spend]]&gt;=$B$5,Table4[[#This Row],[Sales]]&lt;=$B$6),"Wasted Budget","Spend Justified")</f>
        <v>Wasted Budget</v>
      </c>
      <c r="T105" s="51" t="str">
        <f>IF(AND(Table4[[#This Row],[Clicks]]&gt;=$B$7,Table4[[#This Row],[Sales]]&lt;=$B$6),"Poor Monetization","Normal Monitization")</f>
        <v>Normal Monitization</v>
      </c>
    </row>
    <row r="106" spans="1:20" x14ac:dyDescent="0.35">
      <c r="A106" s="38" t="s">
        <v>104</v>
      </c>
      <c r="B106" s="38" t="s">
        <v>19</v>
      </c>
      <c r="C106" s="38" t="s">
        <v>36</v>
      </c>
      <c r="D106" s="38" t="s">
        <v>37</v>
      </c>
      <c r="E106" s="38" t="s">
        <v>30</v>
      </c>
      <c r="F106" s="38">
        <v>16865.55</v>
      </c>
      <c r="G106" s="38">
        <v>424337</v>
      </c>
      <c r="H106" s="38">
        <v>26671</v>
      </c>
      <c r="I106" s="38">
        <v>148589.64000000001</v>
      </c>
      <c r="J106" s="38">
        <v>23</v>
      </c>
      <c r="K106" s="39">
        <f t="shared" si="6"/>
        <v>6.2853345336371796E-2</v>
      </c>
      <c r="L106" s="40">
        <f t="shared" si="7"/>
        <v>8.8102457376130641</v>
      </c>
      <c r="M106" s="40">
        <f t="shared" si="8"/>
        <v>7.810245737613065</v>
      </c>
      <c r="N106" s="40">
        <f t="shared" si="9"/>
        <v>5.5712061789959133</v>
      </c>
      <c r="O106" s="1" t="str">
        <f t="shared" si="5"/>
        <v>Normal</v>
      </c>
      <c r="P106" s="51" t="str">
        <f>IF(Table4[[#This Row],[Sales]]&lt;=$B$3,"Normal","High Revenue")</f>
        <v>Normal</v>
      </c>
      <c r="Q106" s="51" t="str">
        <f>IF(Table4[[#This Row],[CTR]]&lt;=$B$4,"Normal","High CTR")</f>
        <v>Normal</v>
      </c>
      <c r="R106" s="51" t="str">
        <f>IF(Table4[[#This Row],[ROAS]]&lt;1,"Poor",IF(Table4[[#This Row],[ROAS]]&lt;3,"Average",IF(Table4[[#This Row],[ROAS]]&lt;5,"Good",
"Excellent")))</f>
        <v>Excellent</v>
      </c>
      <c r="S106" s="51" t="str">
        <f>IF(AND(Table4[[#This Row],[USD_Spend]]&gt;=$B$5,Table4[[#This Row],[Sales]]&lt;=$B$6),"Wasted Budget","Spend Justified")</f>
        <v>Spend Justified</v>
      </c>
      <c r="T106" s="51" t="str">
        <f>IF(AND(Table4[[#This Row],[Clicks]]&gt;=$B$7,Table4[[#This Row],[Sales]]&lt;=$B$6),"Poor Monetization","Normal Monitization")</f>
        <v>Normal Monitization</v>
      </c>
    </row>
    <row r="107" spans="1:20" x14ac:dyDescent="0.35">
      <c r="A107" s="41" t="s">
        <v>68</v>
      </c>
      <c r="B107" s="41" t="s">
        <v>35</v>
      </c>
      <c r="C107" s="41" t="s">
        <v>29</v>
      </c>
      <c r="D107" s="41" t="s">
        <v>59</v>
      </c>
      <c r="E107" s="41" t="s">
        <v>38</v>
      </c>
      <c r="F107" s="41">
        <v>1230.98</v>
      </c>
      <c r="G107" s="41">
        <v>775470</v>
      </c>
      <c r="H107" s="41">
        <v>25267</v>
      </c>
      <c r="I107" s="41">
        <v>91126.23</v>
      </c>
      <c r="J107" s="41">
        <v>12</v>
      </c>
      <c r="K107" s="42">
        <f t="shared" si="6"/>
        <v>3.2582820740969992E-2</v>
      </c>
      <c r="L107" s="43">
        <f t="shared" si="7"/>
        <v>74.027384685372624</v>
      </c>
      <c r="M107" s="43">
        <f t="shared" si="8"/>
        <v>73.027384685372624</v>
      </c>
      <c r="N107" s="43">
        <f t="shared" si="9"/>
        <v>3.606531444176198</v>
      </c>
      <c r="O107" s="1" t="str">
        <f t="shared" si="5"/>
        <v>Normal</v>
      </c>
      <c r="P107" s="51" t="str">
        <f>IF(Table4[[#This Row],[Sales]]&lt;=$B$3,"Normal","High Revenue")</f>
        <v>Normal</v>
      </c>
      <c r="Q107" s="51" t="str">
        <f>IF(Table4[[#This Row],[CTR]]&lt;=$B$4,"Normal","High CTR")</f>
        <v>Normal</v>
      </c>
      <c r="R107" s="51" t="str">
        <f>IF(Table4[[#This Row],[ROAS]]&lt;1,"Poor",IF(Table4[[#This Row],[ROAS]]&lt;3,"Average",IF(Table4[[#This Row],[ROAS]]&lt;5,"Good",
"Excellent")))</f>
        <v>Excellent</v>
      </c>
      <c r="S107" s="51" t="str">
        <f>IF(AND(Table4[[#This Row],[USD_Spend]]&gt;=$B$5,Table4[[#This Row],[Sales]]&lt;=$B$6),"Wasted Budget","Spend Justified")</f>
        <v>Spend Justified</v>
      </c>
      <c r="T107" s="51" t="str">
        <f>IF(AND(Table4[[#This Row],[Clicks]]&gt;=$B$7,Table4[[#This Row],[Sales]]&lt;=$B$6),"Poor Monetization","Normal Monitization")</f>
        <v>Normal Monitization</v>
      </c>
    </row>
    <row r="108" spans="1:20" x14ac:dyDescent="0.35">
      <c r="A108" s="38" t="s">
        <v>93</v>
      </c>
      <c r="B108" s="38" t="s">
        <v>35</v>
      </c>
      <c r="C108" s="38" t="s">
        <v>29</v>
      </c>
      <c r="D108" s="38" t="s">
        <v>63</v>
      </c>
      <c r="E108" s="38" t="s">
        <v>38</v>
      </c>
      <c r="F108" s="38">
        <v>4784.3500000000004</v>
      </c>
      <c r="G108" s="38">
        <v>992736</v>
      </c>
      <c r="H108" s="38">
        <v>12431</v>
      </c>
      <c r="I108" s="38">
        <v>187431.35</v>
      </c>
      <c r="J108" s="38">
        <v>13</v>
      </c>
      <c r="K108" s="39">
        <f t="shared" si="6"/>
        <v>1.2521959513909036E-2</v>
      </c>
      <c r="L108" s="40">
        <f t="shared" si="7"/>
        <v>39.175927764482111</v>
      </c>
      <c r="M108" s="40">
        <f t="shared" si="8"/>
        <v>38.175927764482111</v>
      </c>
      <c r="N108" s="40">
        <f t="shared" si="9"/>
        <v>15.077737108840802</v>
      </c>
      <c r="O108" s="1" t="str">
        <f t="shared" si="5"/>
        <v>Normal</v>
      </c>
      <c r="P108" s="51" t="str">
        <f>IF(Table4[[#This Row],[Sales]]&lt;=$B$3,"Normal","High Revenue")</f>
        <v>Normal</v>
      </c>
      <c r="Q108" s="51" t="str">
        <f>IF(Table4[[#This Row],[CTR]]&lt;=$B$4,"Normal","High CTR")</f>
        <v>Normal</v>
      </c>
      <c r="R108" s="51" t="str">
        <f>IF(Table4[[#This Row],[ROAS]]&lt;1,"Poor",IF(Table4[[#This Row],[ROAS]]&lt;3,"Average",IF(Table4[[#This Row],[ROAS]]&lt;5,"Good",
"Excellent")))</f>
        <v>Excellent</v>
      </c>
      <c r="S108" s="51" t="str">
        <f>IF(AND(Table4[[#This Row],[USD_Spend]]&gt;=$B$5,Table4[[#This Row],[Sales]]&lt;=$B$6),"Wasted Budget","Spend Justified")</f>
        <v>Spend Justified</v>
      </c>
      <c r="T108" s="51" t="str">
        <f>IF(AND(Table4[[#This Row],[Clicks]]&gt;=$B$7,Table4[[#This Row],[Sales]]&lt;=$B$6),"Poor Monetization","Normal Monitization")</f>
        <v>Normal Monitization</v>
      </c>
    </row>
    <row r="109" spans="1:20" x14ac:dyDescent="0.35">
      <c r="A109" s="41" t="s">
        <v>87</v>
      </c>
      <c r="B109" s="41" t="s">
        <v>35</v>
      </c>
      <c r="C109" s="41" t="s">
        <v>20</v>
      </c>
      <c r="D109" s="41" t="s">
        <v>21</v>
      </c>
      <c r="E109" s="41" t="s">
        <v>30</v>
      </c>
      <c r="F109" s="41">
        <v>6602.5</v>
      </c>
      <c r="G109" s="41">
        <v>139592</v>
      </c>
      <c r="H109" s="41">
        <v>29904</v>
      </c>
      <c r="I109" s="41">
        <v>95303.49</v>
      </c>
      <c r="J109" s="41">
        <v>56</v>
      </c>
      <c r="K109" s="42">
        <f t="shared" si="6"/>
        <v>0.21422431084875923</v>
      </c>
      <c r="L109" s="43">
        <f t="shared" si="7"/>
        <v>14.434455130632337</v>
      </c>
      <c r="M109" s="43">
        <f t="shared" si="8"/>
        <v>13.434455130632337</v>
      </c>
      <c r="N109" s="43">
        <f t="shared" si="9"/>
        <v>3.1869813402889249</v>
      </c>
      <c r="O109" s="1" t="str">
        <f t="shared" si="5"/>
        <v>Normal</v>
      </c>
      <c r="P109" s="51" t="str">
        <f>IF(Table4[[#This Row],[Sales]]&lt;=$B$3,"Normal","High Revenue")</f>
        <v>Normal</v>
      </c>
      <c r="Q109" s="51" t="str">
        <f>IF(Table4[[#This Row],[CTR]]&lt;=$B$4,"Normal","High CTR")</f>
        <v>Normal</v>
      </c>
      <c r="R109" s="51" t="str">
        <f>IF(Table4[[#This Row],[ROAS]]&lt;1,"Poor",IF(Table4[[#This Row],[ROAS]]&lt;3,"Average",IF(Table4[[#This Row],[ROAS]]&lt;5,"Good",
"Excellent")))</f>
        <v>Excellent</v>
      </c>
      <c r="S109" s="51" t="str">
        <f>IF(AND(Table4[[#This Row],[USD_Spend]]&gt;=$B$5,Table4[[#This Row],[Sales]]&lt;=$B$6),"Wasted Budget","Spend Justified")</f>
        <v>Spend Justified</v>
      </c>
      <c r="T109" s="51" t="str">
        <f>IF(AND(Table4[[#This Row],[Clicks]]&gt;=$B$7,Table4[[#This Row],[Sales]]&lt;=$B$6),"Poor Monetization","Normal Monitization")</f>
        <v>Normal Monitization</v>
      </c>
    </row>
    <row r="110" spans="1:20" x14ac:dyDescent="0.35">
      <c r="A110" s="38" t="s">
        <v>116</v>
      </c>
      <c r="B110" s="38" t="s">
        <v>35</v>
      </c>
      <c r="C110" s="38" t="s">
        <v>29</v>
      </c>
      <c r="D110" s="38" t="s">
        <v>37</v>
      </c>
      <c r="E110" s="38" t="s">
        <v>30</v>
      </c>
      <c r="F110" s="38">
        <v>15092.88</v>
      </c>
      <c r="G110" s="38">
        <v>748936</v>
      </c>
      <c r="H110" s="38">
        <v>45770</v>
      </c>
      <c r="I110" s="38">
        <v>152809.10999999999</v>
      </c>
      <c r="J110" s="38">
        <v>16</v>
      </c>
      <c r="K110" s="39">
        <f t="shared" si="6"/>
        <v>6.1113366162128674E-2</v>
      </c>
      <c r="L110" s="40">
        <f t="shared" si="7"/>
        <v>10.124582584635935</v>
      </c>
      <c r="M110" s="40">
        <f t="shared" si="8"/>
        <v>9.1245825846359327</v>
      </c>
      <c r="N110" s="40">
        <f t="shared" si="9"/>
        <v>3.338630325540747</v>
      </c>
      <c r="O110" s="1" t="str">
        <f t="shared" si="5"/>
        <v>Normal</v>
      </c>
      <c r="P110" s="51" t="str">
        <f>IF(Table4[[#This Row],[Sales]]&lt;=$B$3,"Normal","High Revenue")</f>
        <v>Normal</v>
      </c>
      <c r="Q110" s="51" t="str">
        <f>IF(Table4[[#This Row],[CTR]]&lt;=$B$4,"Normal","High CTR")</f>
        <v>Normal</v>
      </c>
      <c r="R110" s="51" t="str">
        <f>IF(Table4[[#This Row],[ROAS]]&lt;1,"Poor",IF(Table4[[#This Row],[ROAS]]&lt;3,"Average",IF(Table4[[#This Row],[ROAS]]&lt;5,"Good",
"Excellent")))</f>
        <v>Excellent</v>
      </c>
      <c r="S110" s="51" t="str">
        <f>IF(AND(Table4[[#This Row],[USD_Spend]]&gt;=$B$5,Table4[[#This Row],[Sales]]&lt;=$B$6),"Wasted Budget","Spend Justified")</f>
        <v>Spend Justified</v>
      </c>
      <c r="T110" s="51" t="str">
        <f>IF(AND(Table4[[#This Row],[Clicks]]&gt;=$B$7,Table4[[#This Row],[Sales]]&lt;=$B$6),"Poor Monetization","Normal Monitization")</f>
        <v>Normal Monitization</v>
      </c>
    </row>
    <row r="111" spans="1:20" x14ac:dyDescent="0.35">
      <c r="A111" s="41" t="s">
        <v>57</v>
      </c>
      <c r="B111" s="41" t="s">
        <v>35</v>
      </c>
      <c r="C111" s="41" t="s">
        <v>58</v>
      </c>
      <c r="D111" s="41" t="s">
        <v>51</v>
      </c>
      <c r="E111" s="41" t="s">
        <v>22</v>
      </c>
      <c r="F111" s="41">
        <v>462.23</v>
      </c>
      <c r="G111" s="41">
        <v>450656</v>
      </c>
      <c r="H111" s="41">
        <v>20519</v>
      </c>
      <c r="I111" s="41">
        <v>197502.71</v>
      </c>
      <c r="J111" s="41">
        <v>15</v>
      </c>
      <c r="K111" s="42">
        <f t="shared" si="6"/>
        <v>4.5531403110132783E-2</v>
      </c>
      <c r="L111" s="43">
        <f t="shared" si="7"/>
        <v>427.2823269800748</v>
      </c>
      <c r="M111" s="43">
        <f t="shared" si="8"/>
        <v>426.2823269800748</v>
      </c>
      <c r="N111" s="43">
        <f t="shared" si="9"/>
        <v>9.6253574735610901</v>
      </c>
      <c r="O111" s="1" t="str">
        <f t="shared" si="5"/>
        <v>Normal</v>
      </c>
      <c r="P111" s="51" t="str">
        <f>IF(Table4[[#This Row],[Sales]]&lt;=$B$3,"Normal","High Revenue")</f>
        <v>Normal</v>
      </c>
      <c r="Q111" s="51" t="str">
        <f>IF(Table4[[#This Row],[CTR]]&lt;=$B$4,"Normal","High CTR")</f>
        <v>Normal</v>
      </c>
      <c r="R111" s="51" t="str">
        <f>IF(Table4[[#This Row],[ROAS]]&lt;1,"Poor",IF(Table4[[#This Row],[ROAS]]&lt;3,"Average",IF(Table4[[#This Row],[ROAS]]&lt;5,"Good",
"Excellent")))</f>
        <v>Excellent</v>
      </c>
      <c r="S111" s="51" t="str">
        <f>IF(AND(Table4[[#This Row],[USD_Spend]]&gt;=$B$5,Table4[[#This Row],[Sales]]&lt;=$B$6),"Wasted Budget","Spend Justified")</f>
        <v>Spend Justified</v>
      </c>
      <c r="T111" s="51" t="str">
        <f>IF(AND(Table4[[#This Row],[Clicks]]&gt;=$B$7,Table4[[#This Row],[Sales]]&lt;=$B$6),"Poor Monetization","Normal Monitization")</f>
        <v>Normal Monitization</v>
      </c>
    </row>
    <row r="112" spans="1:20" x14ac:dyDescent="0.35">
      <c r="A112" s="38" t="s">
        <v>106</v>
      </c>
      <c r="B112" s="38" t="s">
        <v>19</v>
      </c>
      <c r="C112" s="38" t="s">
        <v>20</v>
      </c>
      <c r="D112" s="38" t="s">
        <v>43</v>
      </c>
      <c r="E112" s="38" t="s">
        <v>30</v>
      </c>
      <c r="F112" s="38">
        <v>2715.3</v>
      </c>
      <c r="G112" s="38">
        <v>790758</v>
      </c>
      <c r="H112" s="38">
        <v>48517</v>
      </c>
      <c r="I112" s="38">
        <v>96298.48</v>
      </c>
      <c r="J112" s="38">
        <v>59</v>
      </c>
      <c r="K112" s="39">
        <f t="shared" si="6"/>
        <v>6.1355054264389357E-2</v>
      </c>
      <c r="L112" s="40">
        <f t="shared" si="7"/>
        <v>35.465134607594003</v>
      </c>
      <c r="M112" s="40">
        <f t="shared" si="8"/>
        <v>34.465134607594003</v>
      </c>
      <c r="N112" s="40">
        <f t="shared" si="9"/>
        <v>1.9848399530061627</v>
      </c>
      <c r="O112" s="1" t="str">
        <f t="shared" si="5"/>
        <v>Normal</v>
      </c>
      <c r="P112" s="51" t="str">
        <f>IF(Table4[[#This Row],[Sales]]&lt;=$B$3,"Normal","High Revenue")</f>
        <v>Normal</v>
      </c>
      <c r="Q112" s="51" t="str">
        <f>IF(Table4[[#This Row],[CTR]]&lt;=$B$4,"Normal","High CTR")</f>
        <v>Normal</v>
      </c>
      <c r="R112" s="51" t="str">
        <f>IF(Table4[[#This Row],[ROAS]]&lt;1,"Poor",IF(Table4[[#This Row],[ROAS]]&lt;3,"Average",IF(Table4[[#This Row],[ROAS]]&lt;5,"Good",
"Excellent")))</f>
        <v>Excellent</v>
      </c>
      <c r="S112" s="51" t="str">
        <f>IF(AND(Table4[[#This Row],[USD_Spend]]&gt;=$B$5,Table4[[#This Row],[Sales]]&lt;=$B$6),"Wasted Budget","Spend Justified")</f>
        <v>Spend Justified</v>
      </c>
      <c r="T112" s="51" t="str">
        <f>IF(AND(Table4[[#This Row],[Clicks]]&gt;=$B$7,Table4[[#This Row],[Sales]]&lt;=$B$6),"Poor Monetization","Normal Monitization")</f>
        <v>Normal Monitization</v>
      </c>
    </row>
    <row r="113" spans="1:20" x14ac:dyDescent="0.35">
      <c r="A113" s="41" t="s">
        <v>108</v>
      </c>
      <c r="B113" s="41" t="s">
        <v>19</v>
      </c>
      <c r="C113" s="41" t="s">
        <v>29</v>
      </c>
      <c r="D113" s="41" t="s">
        <v>43</v>
      </c>
      <c r="E113" s="41" t="s">
        <v>38</v>
      </c>
      <c r="F113" s="41">
        <v>5622.31</v>
      </c>
      <c r="G113" s="41">
        <v>508560</v>
      </c>
      <c r="H113" s="41">
        <v>116</v>
      </c>
      <c r="I113" s="41">
        <v>84217.78</v>
      </c>
      <c r="J113" s="41">
        <v>57</v>
      </c>
      <c r="K113" s="42">
        <f t="shared" si="6"/>
        <v>2.28095013371087E-4</v>
      </c>
      <c r="L113" s="43">
        <f t="shared" si="7"/>
        <v>14.97921317038726</v>
      </c>
      <c r="M113" s="43">
        <f t="shared" si="8"/>
        <v>13.97921317038726</v>
      </c>
      <c r="N113" s="43">
        <f t="shared" si="9"/>
        <v>726.0153448275862</v>
      </c>
      <c r="O113" s="1" t="str">
        <f t="shared" si="5"/>
        <v>Normal</v>
      </c>
      <c r="P113" s="51" t="str">
        <f>IF(Table4[[#This Row],[Sales]]&lt;=$B$3,"Normal","High Revenue")</f>
        <v>Normal</v>
      </c>
      <c r="Q113" s="51" t="str">
        <f>IF(Table4[[#This Row],[CTR]]&lt;=$B$4,"Normal","High CTR")</f>
        <v>Normal</v>
      </c>
      <c r="R113" s="51" t="str">
        <f>IF(Table4[[#This Row],[ROAS]]&lt;1,"Poor",IF(Table4[[#This Row],[ROAS]]&lt;3,"Average",IF(Table4[[#This Row],[ROAS]]&lt;5,"Good",
"Excellent")))</f>
        <v>Excellent</v>
      </c>
      <c r="S113" s="51" t="str">
        <f>IF(AND(Table4[[#This Row],[USD_Spend]]&gt;=$B$5,Table4[[#This Row],[Sales]]&lt;=$B$6),"Wasted Budget","Spend Justified")</f>
        <v>Spend Justified</v>
      </c>
      <c r="T113" s="51" t="str">
        <f>IF(AND(Table4[[#This Row],[Clicks]]&gt;=$B$7,Table4[[#This Row],[Sales]]&lt;=$B$6),"Poor Monetization","Normal Monitization")</f>
        <v>Normal Monitization</v>
      </c>
    </row>
    <row r="114" spans="1:20" x14ac:dyDescent="0.35">
      <c r="A114" s="38" t="s">
        <v>112</v>
      </c>
      <c r="B114" s="38" t="s">
        <v>48</v>
      </c>
      <c r="C114" s="38" t="s">
        <v>20</v>
      </c>
      <c r="D114" s="38" t="s">
        <v>37</v>
      </c>
      <c r="E114" s="38" t="s">
        <v>22</v>
      </c>
      <c r="F114" s="38">
        <v>34999.21</v>
      </c>
      <c r="G114" s="38">
        <v>806456</v>
      </c>
      <c r="H114" s="38">
        <v>41068</v>
      </c>
      <c r="I114" s="38">
        <v>19712.82</v>
      </c>
      <c r="J114" s="38">
        <v>49</v>
      </c>
      <c r="K114" s="39">
        <f t="shared" si="6"/>
        <v>5.0924042973206227E-2</v>
      </c>
      <c r="L114" s="40">
        <f t="shared" si="7"/>
        <v>0.56323614161576785</v>
      </c>
      <c r="M114" s="40">
        <f t="shared" si="8"/>
        <v>-0.4367638583842321</v>
      </c>
      <c r="N114" s="40">
        <f t="shared" si="9"/>
        <v>0.48000438297457876</v>
      </c>
      <c r="O114" s="1" t="str">
        <f t="shared" si="5"/>
        <v>Normal</v>
      </c>
      <c r="P114" s="51" t="str">
        <f>IF(Table4[[#This Row],[Sales]]&lt;=$B$3,"Normal","High Revenue")</f>
        <v>Normal</v>
      </c>
      <c r="Q114" s="51" t="str">
        <f>IF(Table4[[#This Row],[CTR]]&lt;=$B$4,"Normal","High CTR")</f>
        <v>Normal</v>
      </c>
      <c r="R114" s="51" t="str">
        <f>IF(Table4[[#This Row],[ROAS]]&lt;1,"Poor",IF(Table4[[#This Row],[ROAS]]&lt;3,"Average",IF(Table4[[#This Row],[ROAS]]&lt;5,"Good",
"Excellent")))</f>
        <v>Poor</v>
      </c>
      <c r="S114" s="51" t="str">
        <f>IF(AND(Table4[[#This Row],[USD_Spend]]&gt;=$B$5,Table4[[#This Row],[Sales]]&lt;=$B$6),"Wasted Budget","Spend Justified")</f>
        <v>Wasted Budget</v>
      </c>
      <c r="T114" s="51" t="str">
        <f>IF(AND(Table4[[#This Row],[Clicks]]&gt;=$B$7,Table4[[#This Row],[Sales]]&lt;=$B$6),"Poor Monetization","Normal Monitization")</f>
        <v>Poor Monetization</v>
      </c>
    </row>
    <row r="115" spans="1:20" x14ac:dyDescent="0.35">
      <c r="A115" s="41" t="s">
        <v>50</v>
      </c>
      <c r="B115" s="41" t="s">
        <v>19</v>
      </c>
      <c r="C115" s="41" t="s">
        <v>36</v>
      </c>
      <c r="D115" s="41" t="s">
        <v>59</v>
      </c>
      <c r="E115" s="41" t="s">
        <v>30</v>
      </c>
      <c r="F115" s="41">
        <v>8640.65</v>
      </c>
      <c r="G115" s="41">
        <v>291502</v>
      </c>
      <c r="H115" s="41">
        <v>24818</v>
      </c>
      <c r="I115" s="41">
        <v>170049.62</v>
      </c>
      <c r="J115" s="41">
        <v>40</v>
      </c>
      <c r="K115" s="42">
        <f t="shared" si="6"/>
        <v>8.5138352395523878E-2</v>
      </c>
      <c r="L115" s="43">
        <f t="shared" si="7"/>
        <v>19.680188411751431</v>
      </c>
      <c r="M115" s="43">
        <f t="shared" si="8"/>
        <v>18.680188411751431</v>
      </c>
      <c r="N115" s="43">
        <f t="shared" si="9"/>
        <v>6.8518663872995402</v>
      </c>
      <c r="O115" s="1" t="str">
        <f t="shared" si="5"/>
        <v>Normal</v>
      </c>
      <c r="P115" s="51" t="str">
        <f>IF(Table4[[#This Row],[Sales]]&lt;=$B$3,"Normal","High Revenue")</f>
        <v>Normal</v>
      </c>
      <c r="Q115" s="51" t="str">
        <f>IF(Table4[[#This Row],[CTR]]&lt;=$B$4,"Normal","High CTR")</f>
        <v>Normal</v>
      </c>
      <c r="R115" s="51" t="str">
        <f>IF(Table4[[#This Row],[ROAS]]&lt;1,"Poor",IF(Table4[[#This Row],[ROAS]]&lt;3,"Average",IF(Table4[[#This Row],[ROAS]]&lt;5,"Good",
"Excellent")))</f>
        <v>Excellent</v>
      </c>
      <c r="S115" s="51" t="str">
        <f>IF(AND(Table4[[#This Row],[USD_Spend]]&gt;=$B$5,Table4[[#This Row],[Sales]]&lt;=$B$6),"Wasted Budget","Spend Justified")</f>
        <v>Spend Justified</v>
      </c>
      <c r="T115" s="51" t="str">
        <f>IF(AND(Table4[[#This Row],[Clicks]]&gt;=$B$7,Table4[[#This Row],[Sales]]&lt;=$B$6),"Poor Monetization","Normal Monitization")</f>
        <v>Normal Monitization</v>
      </c>
    </row>
    <row r="116" spans="1:20" x14ac:dyDescent="0.35">
      <c r="A116" s="38" t="s">
        <v>66</v>
      </c>
      <c r="B116" s="38" t="s">
        <v>19</v>
      </c>
      <c r="C116" s="38" t="s">
        <v>36</v>
      </c>
      <c r="D116" s="38" t="s">
        <v>59</v>
      </c>
      <c r="E116" s="38" t="s">
        <v>38</v>
      </c>
      <c r="F116" s="38">
        <v>13794.09</v>
      </c>
      <c r="G116" s="38">
        <v>335498</v>
      </c>
      <c r="H116" s="38">
        <v>14822</v>
      </c>
      <c r="I116" s="38">
        <v>202607.91</v>
      </c>
      <c r="J116" s="38">
        <v>58</v>
      </c>
      <c r="K116" s="39">
        <f t="shared" si="6"/>
        <v>4.417910091863439E-2</v>
      </c>
      <c r="L116" s="40">
        <f t="shared" si="7"/>
        <v>14.688022914161065</v>
      </c>
      <c r="M116" s="40">
        <f t="shared" si="8"/>
        <v>13.688022914161065</v>
      </c>
      <c r="N116" s="40">
        <f t="shared" si="9"/>
        <v>13.669404263931993</v>
      </c>
      <c r="O116" s="1" t="str">
        <f t="shared" si="5"/>
        <v>Normal</v>
      </c>
      <c r="P116" s="51" t="str">
        <f>IF(Table4[[#This Row],[Sales]]&lt;=$B$3,"Normal","High Revenue")</f>
        <v>Normal</v>
      </c>
      <c r="Q116" s="51" t="str">
        <f>IF(Table4[[#This Row],[CTR]]&lt;=$B$4,"Normal","High CTR")</f>
        <v>Normal</v>
      </c>
      <c r="R116" s="51" t="str">
        <f>IF(Table4[[#This Row],[ROAS]]&lt;1,"Poor",IF(Table4[[#This Row],[ROAS]]&lt;3,"Average",IF(Table4[[#This Row],[ROAS]]&lt;5,"Good",
"Excellent")))</f>
        <v>Excellent</v>
      </c>
      <c r="S116" s="51" t="str">
        <f>IF(AND(Table4[[#This Row],[USD_Spend]]&gt;=$B$5,Table4[[#This Row],[Sales]]&lt;=$B$6),"Wasted Budget","Spend Justified")</f>
        <v>Spend Justified</v>
      </c>
      <c r="T116" s="51" t="str">
        <f>IF(AND(Table4[[#This Row],[Clicks]]&gt;=$B$7,Table4[[#This Row],[Sales]]&lt;=$B$6),"Poor Monetization","Normal Monitization")</f>
        <v>Normal Monitization</v>
      </c>
    </row>
    <row r="117" spans="1:20" x14ac:dyDescent="0.35">
      <c r="A117" s="41" t="s">
        <v>75</v>
      </c>
      <c r="B117" s="41" t="s">
        <v>19</v>
      </c>
      <c r="C117" s="41" t="s">
        <v>29</v>
      </c>
      <c r="D117" s="41" t="s">
        <v>21</v>
      </c>
      <c r="E117" s="41" t="s">
        <v>22</v>
      </c>
      <c r="F117" s="41">
        <v>8853.65</v>
      </c>
      <c r="G117" s="41">
        <v>519231</v>
      </c>
      <c r="H117" s="41">
        <v>31646</v>
      </c>
      <c r="I117" s="41">
        <v>57368.09</v>
      </c>
      <c r="J117" s="41">
        <v>54</v>
      </c>
      <c r="K117" s="42">
        <f t="shared" si="6"/>
        <v>6.0947824763929737E-2</v>
      </c>
      <c r="L117" s="43">
        <f t="shared" si="7"/>
        <v>6.4795976800528594</v>
      </c>
      <c r="M117" s="43">
        <f t="shared" si="8"/>
        <v>5.4795976800528594</v>
      </c>
      <c r="N117" s="43">
        <f t="shared" si="9"/>
        <v>1.8128069898249384</v>
      </c>
      <c r="O117" s="1" t="str">
        <f t="shared" si="5"/>
        <v>Normal</v>
      </c>
      <c r="P117" s="51" t="str">
        <f>IF(Table4[[#This Row],[Sales]]&lt;=$B$3,"Normal","High Revenue")</f>
        <v>Normal</v>
      </c>
      <c r="Q117" s="51" t="str">
        <f>IF(Table4[[#This Row],[CTR]]&lt;=$B$4,"Normal","High CTR")</f>
        <v>Normal</v>
      </c>
      <c r="R117" s="51" t="str">
        <f>IF(Table4[[#This Row],[ROAS]]&lt;1,"Poor",IF(Table4[[#This Row],[ROAS]]&lt;3,"Average",IF(Table4[[#This Row],[ROAS]]&lt;5,"Good",
"Excellent")))</f>
        <v>Excellent</v>
      </c>
      <c r="S117" s="51" t="str">
        <f>IF(AND(Table4[[#This Row],[USD_Spend]]&gt;=$B$5,Table4[[#This Row],[Sales]]&lt;=$B$6),"Wasted Budget","Spend Justified")</f>
        <v>Wasted Budget</v>
      </c>
      <c r="T117" s="51" t="str">
        <f>IF(AND(Table4[[#This Row],[Clicks]]&gt;=$B$7,Table4[[#This Row],[Sales]]&lt;=$B$6),"Poor Monetization","Normal Monitization")</f>
        <v>Normal Monitization</v>
      </c>
    </row>
    <row r="118" spans="1:20" x14ac:dyDescent="0.35">
      <c r="A118" s="38" t="s">
        <v>66</v>
      </c>
      <c r="B118" s="38" t="s">
        <v>28</v>
      </c>
      <c r="C118" s="38" t="s">
        <v>69</v>
      </c>
      <c r="D118" s="38" t="s">
        <v>43</v>
      </c>
      <c r="E118" s="38" t="s">
        <v>30</v>
      </c>
      <c r="F118" s="38">
        <v>54404.03</v>
      </c>
      <c r="G118" s="38">
        <v>493863</v>
      </c>
      <c r="H118" s="38">
        <v>7798</v>
      </c>
      <c r="I118" s="38">
        <v>163688.87</v>
      </c>
      <c r="J118" s="38">
        <v>20</v>
      </c>
      <c r="K118" s="39">
        <f t="shared" si="6"/>
        <v>1.578980405497071E-2</v>
      </c>
      <c r="L118" s="40">
        <f t="shared" si="7"/>
        <v>3.0087636890134792</v>
      </c>
      <c r="M118" s="40">
        <f t="shared" si="8"/>
        <v>2.0087636890134792</v>
      </c>
      <c r="N118" s="40">
        <f t="shared" si="9"/>
        <v>20.991134906386254</v>
      </c>
      <c r="O118" s="1" t="str">
        <f t="shared" si="5"/>
        <v>High Spend</v>
      </c>
      <c r="P118" s="51" t="str">
        <f>IF(Table4[[#This Row],[Sales]]&lt;=$B$3,"Normal","High Revenue")</f>
        <v>Normal</v>
      </c>
      <c r="Q118" s="51" t="str">
        <f>IF(Table4[[#This Row],[CTR]]&lt;=$B$4,"Normal","High CTR")</f>
        <v>Normal</v>
      </c>
      <c r="R118" s="51" t="str">
        <f>IF(Table4[[#This Row],[ROAS]]&lt;1,"Poor",IF(Table4[[#This Row],[ROAS]]&lt;3,"Average",IF(Table4[[#This Row],[ROAS]]&lt;5,"Good",
"Excellent")))</f>
        <v>Good</v>
      </c>
      <c r="S118" s="51" t="str">
        <f>IF(AND(Table4[[#This Row],[USD_Spend]]&gt;=$B$5,Table4[[#This Row],[Sales]]&lt;=$B$6),"Wasted Budget","Spend Justified")</f>
        <v>Spend Justified</v>
      </c>
      <c r="T118" s="51" t="str">
        <f>IF(AND(Table4[[#This Row],[Clicks]]&gt;=$B$7,Table4[[#This Row],[Sales]]&lt;=$B$6),"Poor Monetization","Normal Monitization")</f>
        <v>Normal Monitization</v>
      </c>
    </row>
    <row r="119" spans="1:20" x14ac:dyDescent="0.35">
      <c r="A119" s="41" t="s">
        <v>107</v>
      </c>
      <c r="B119" s="41" t="s">
        <v>19</v>
      </c>
      <c r="C119" s="41" t="s">
        <v>20</v>
      </c>
      <c r="D119" s="41" t="s">
        <v>21</v>
      </c>
      <c r="E119" s="41" t="s">
        <v>22</v>
      </c>
      <c r="F119" s="41">
        <v>53.48</v>
      </c>
      <c r="G119" s="41">
        <v>817437</v>
      </c>
      <c r="H119" s="41">
        <v>38981</v>
      </c>
      <c r="I119" s="41">
        <v>42496.91</v>
      </c>
      <c r="J119" s="41">
        <v>11</v>
      </c>
      <c r="K119" s="42">
        <f t="shared" si="6"/>
        <v>4.76868553784573E-2</v>
      </c>
      <c r="L119" s="43">
        <f t="shared" si="7"/>
        <v>794.63182498130152</v>
      </c>
      <c r="M119" s="43">
        <f t="shared" si="8"/>
        <v>793.63182498130152</v>
      </c>
      <c r="N119" s="43">
        <f t="shared" si="9"/>
        <v>1.0901954798491573</v>
      </c>
      <c r="O119" s="1" t="str">
        <f t="shared" si="5"/>
        <v>Normal</v>
      </c>
      <c r="P119" s="51" t="str">
        <f>IF(Table4[[#This Row],[Sales]]&lt;=$B$3,"Normal","High Revenue")</f>
        <v>Normal</v>
      </c>
      <c r="Q119" s="51" t="str">
        <f>IF(Table4[[#This Row],[CTR]]&lt;=$B$4,"Normal","High CTR")</f>
        <v>Normal</v>
      </c>
      <c r="R119" s="51" t="str">
        <f>IF(Table4[[#This Row],[ROAS]]&lt;1,"Poor",IF(Table4[[#This Row],[ROAS]]&lt;3,"Average",IF(Table4[[#This Row],[ROAS]]&lt;5,"Good",
"Excellent")))</f>
        <v>Excellent</v>
      </c>
      <c r="S119" s="51" t="str">
        <f>IF(AND(Table4[[#This Row],[USD_Spend]]&gt;=$B$5,Table4[[#This Row],[Sales]]&lt;=$B$6),"Wasted Budget","Spend Justified")</f>
        <v>Spend Justified</v>
      </c>
      <c r="T119" s="51" t="str">
        <f>IF(AND(Table4[[#This Row],[Clicks]]&gt;=$B$7,Table4[[#This Row],[Sales]]&lt;=$B$6),"Poor Monetization","Normal Monitization")</f>
        <v>Poor Monetization</v>
      </c>
    </row>
    <row r="120" spans="1:20" x14ac:dyDescent="0.35">
      <c r="A120" s="38" t="s">
        <v>57</v>
      </c>
      <c r="B120" s="38" t="s">
        <v>19</v>
      </c>
      <c r="C120" s="38" t="s">
        <v>58</v>
      </c>
      <c r="D120" s="38" t="s">
        <v>37</v>
      </c>
      <c r="E120" s="38" t="s">
        <v>38</v>
      </c>
      <c r="F120" s="38">
        <v>11098.45</v>
      </c>
      <c r="G120" s="38">
        <v>889037</v>
      </c>
      <c r="H120" s="38">
        <v>13729</v>
      </c>
      <c r="I120" s="38">
        <v>100746.05</v>
      </c>
      <c r="J120" s="38">
        <v>10</v>
      </c>
      <c r="K120" s="39">
        <f t="shared" si="6"/>
        <v>1.5442551884792197E-2</v>
      </c>
      <c r="L120" s="40">
        <f t="shared" si="7"/>
        <v>9.0774882979154743</v>
      </c>
      <c r="M120" s="40">
        <f t="shared" si="8"/>
        <v>8.0774882979154743</v>
      </c>
      <c r="N120" s="40">
        <f t="shared" si="9"/>
        <v>7.3381928763930366</v>
      </c>
      <c r="O120" s="1" t="str">
        <f t="shared" si="5"/>
        <v>Normal</v>
      </c>
      <c r="P120" s="51" t="str">
        <f>IF(Table4[[#This Row],[Sales]]&lt;=$B$3,"Normal","High Revenue")</f>
        <v>Normal</v>
      </c>
      <c r="Q120" s="51" t="str">
        <f>IF(Table4[[#This Row],[CTR]]&lt;=$B$4,"Normal","High CTR")</f>
        <v>Normal</v>
      </c>
      <c r="R120" s="51" t="str">
        <f>IF(Table4[[#This Row],[ROAS]]&lt;1,"Poor",IF(Table4[[#This Row],[ROAS]]&lt;3,"Average",IF(Table4[[#This Row],[ROAS]]&lt;5,"Good",
"Excellent")))</f>
        <v>Excellent</v>
      </c>
      <c r="S120" s="51" t="str">
        <f>IF(AND(Table4[[#This Row],[USD_Spend]]&gt;=$B$5,Table4[[#This Row],[Sales]]&lt;=$B$6),"Wasted Budget","Spend Justified")</f>
        <v>Spend Justified</v>
      </c>
      <c r="T120" s="51" t="str">
        <f>IF(AND(Table4[[#This Row],[Clicks]]&gt;=$B$7,Table4[[#This Row],[Sales]]&lt;=$B$6),"Poor Monetization","Normal Monitization")</f>
        <v>Normal Monitization</v>
      </c>
    </row>
    <row r="121" spans="1:20" x14ac:dyDescent="0.35">
      <c r="A121" s="41" t="s">
        <v>67</v>
      </c>
      <c r="B121" s="41" t="s">
        <v>48</v>
      </c>
      <c r="C121" s="41" t="s">
        <v>69</v>
      </c>
      <c r="D121" s="41" t="s">
        <v>63</v>
      </c>
      <c r="E121" s="41" t="s">
        <v>22</v>
      </c>
      <c r="F121" s="41">
        <v>4612.68</v>
      </c>
      <c r="G121" s="41">
        <v>287860</v>
      </c>
      <c r="H121" s="41">
        <v>24157</v>
      </c>
      <c r="I121" s="41">
        <v>222958.21</v>
      </c>
      <c r="J121" s="41">
        <v>8</v>
      </c>
      <c r="K121" s="42">
        <f t="shared" si="6"/>
        <v>8.3919266310011814E-2</v>
      </c>
      <c r="L121" s="43">
        <f t="shared" si="7"/>
        <v>48.335937025763762</v>
      </c>
      <c r="M121" s="43">
        <f t="shared" si="8"/>
        <v>47.335937025763762</v>
      </c>
      <c r="N121" s="43">
        <f t="shared" si="9"/>
        <v>9.2295487850312536</v>
      </c>
      <c r="O121" s="1" t="str">
        <f t="shared" si="5"/>
        <v>Normal</v>
      </c>
      <c r="P121" s="51" t="str">
        <f>IF(Table4[[#This Row],[Sales]]&lt;=$B$3,"Normal","High Revenue")</f>
        <v>Normal</v>
      </c>
      <c r="Q121" s="51" t="str">
        <f>IF(Table4[[#This Row],[CTR]]&lt;=$B$4,"Normal","High CTR")</f>
        <v>Normal</v>
      </c>
      <c r="R121" s="51" t="str">
        <f>IF(Table4[[#This Row],[ROAS]]&lt;1,"Poor",IF(Table4[[#This Row],[ROAS]]&lt;3,"Average",IF(Table4[[#This Row],[ROAS]]&lt;5,"Good",
"Excellent")))</f>
        <v>Excellent</v>
      </c>
      <c r="S121" s="51" t="str">
        <f>IF(AND(Table4[[#This Row],[USD_Spend]]&gt;=$B$5,Table4[[#This Row],[Sales]]&lt;=$B$6),"Wasted Budget","Spend Justified")</f>
        <v>Spend Justified</v>
      </c>
      <c r="T121" s="51" t="str">
        <f>IF(AND(Table4[[#This Row],[Clicks]]&gt;=$B$7,Table4[[#This Row],[Sales]]&lt;=$B$6),"Poor Monetization","Normal Monitization")</f>
        <v>Normal Monitization</v>
      </c>
    </row>
    <row r="122" spans="1:20" x14ac:dyDescent="0.35">
      <c r="A122" s="38" t="s">
        <v>71</v>
      </c>
      <c r="B122" s="38" t="s">
        <v>35</v>
      </c>
      <c r="C122" s="38" t="s">
        <v>58</v>
      </c>
      <c r="D122" s="38" t="s">
        <v>43</v>
      </c>
      <c r="E122" s="38" t="s">
        <v>30</v>
      </c>
      <c r="F122" s="38">
        <v>14177.18</v>
      </c>
      <c r="G122" s="38">
        <v>881861</v>
      </c>
      <c r="H122" s="38">
        <v>39794</v>
      </c>
      <c r="I122" s="38">
        <v>215529.25</v>
      </c>
      <c r="J122" s="38">
        <v>53</v>
      </c>
      <c r="K122" s="39">
        <f t="shared" si="6"/>
        <v>4.5125025372479338E-2</v>
      </c>
      <c r="L122" s="40">
        <f t="shared" si="7"/>
        <v>15.202547333108559</v>
      </c>
      <c r="M122" s="40">
        <f t="shared" si="8"/>
        <v>14.202547333108559</v>
      </c>
      <c r="N122" s="40">
        <f t="shared" si="9"/>
        <v>5.4161242900939843</v>
      </c>
      <c r="O122" s="1" t="str">
        <f t="shared" si="5"/>
        <v>Normal</v>
      </c>
      <c r="P122" s="51" t="str">
        <f>IF(Table4[[#This Row],[Sales]]&lt;=$B$3,"Normal","High Revenue")</f>
        <v>Normal</v>
      </c>
      <c r="Q122" s="51" t="str">
        <f>IF(Table4[[#This Row],[CTR]]&lt;=$B$4,"Normal","High CTR")</f>
        <v>Normal</v>
      </c>
      <c r="R122" s="51" t="str">
        <f>IF(Table4[[#This Row],[ROAS]]&lt;1,"Poor",IF(Table4[[#This Row],[ROAS]]&lt;3,"Average",IF(Table4[[#This Row],[ROAS]]&lt;5,"Good",
"Excellent")))</f>
        <v>Excellent</v>
      </c>
      <c r="S122" s="51" t="str">
        <f>IF(AND(Table4[[#This Row],[USD_Spend]]&gt;=$B$5,Table4[[#This Row],[Sales]]&lt;=$B$6),"Wasted Budget","Spend Justified")</f>
        <v>Spend Justified</v>
      </c>
      <c r="T122" s="51" t="str">
        <f>IF(AND(Table4[[#This Row],[Clicks]]&gt;=$B$7,Table4[[#This Row],[Sales]]&lt;=$B$6),"Poor Monetization","Normal Monitization")</f>
        <v>Normal Monitization</v>
      </c>
    </row>
    <row r="123" spans="1:20" x14ac:dyDescent="0.35">
      <c r="A123" s="41" t="s">
        <v>72</v>
      </c>
      <c r="B123" s="41" t="s">
        <v>35</v>
      </c>
      <c r="C123" s="41" t="s">
        <v>20</v>
      </c>
      <c r="D123" s="41" t="s">
        <v>21</v>
      </c>
      <c r="E123" s="41" t="s">
        <v>22</v>
      </c>
      <c r="F123" s="41">
        <v>10906.62</v>
      </c>
      <c r="G123" s="41">
        <v>65021</v>
      </c>
      <c r="H123" s="41">
        <v>7790</v>
      </c>
      <c r="I123" s="41">
        <v>245167.81</v>
      </c>
      <c r="J123" s="41">
        <v>28</v>
      </c>
      <c r="K123" s="42">
        <f t="shared" si="6"/>
        <v>0.11980744682487196</v>
      </c>
      <c r="L123" s="43">
        <f t="shared" si="7"/>
        <v>22.478807366535186</v>
      </c>
      <c r="M123" s="43">
        <f t="shared" si="8"/>
        <v>21.478807366535186</v>
      </c>
      <c r="N123" s="43">
        <f t="shared" si="9"/>
        <v>31.472119383825415</v>
      </c>
      <c r="O123" s="1" t="str">
        <f t="shared" si="5"/>
        <v>Normal</v>
      </c>
      <c r="P123" s="51" t="str">
        <f>IF(Table4[[#This Row],[Sales]]&lt;=$B$3,"Normal","High Revenue")</f>
        <v>High Revenue</v>
      </c>
      <c r="Q123" s="51" t="str">
        <f>IF(Table4[[#This Row],[CTR]]&lt;=$B$4,"Normal","High CTR")</f>
        <v>Normal</v>
      </c>
      <c r="R123" s="51" t="str">
        <f>IF(Table4[[#This Row],[ROAS]]&lt;1,"Poor",IF(Table4[[#This Row],[ROAS]]&lt;3,"Average",IF(Table4[[#This Row],[ROAS]]&lt;5,"Good",
"Excellent")))</f>
        <v>Excellent</v>
      </c>
      <c r="S123" s="51" t="str">
        <f>IF(AND(Table4[[#This Row],[USD_Spend]]&gt;=$B$5,Table4[[#This Row],[Sales]]&lt;=$B$6),"Wasted Budget","Spend Justified")</f>
        <v>Spend Justified</v>
      </c>
      <c r="T123" s="51" t="str">
        <f>IF(AND(Table4[[#This Row],[Clicks]]&gt;=$B$7,Table4[[#This Row],[Sales]]&lt;=$B$6),"Poor Monetization","Normal Monitization")</f>
        <v>Normal Monitization</v>
      </c>
    </row>
    <row r="124" spans="1:20" x14ac:dyDescent="0.35">
      <c r="A124" s="38" t="s">
        <v>62</v>
      </c>
      <c r="B124" s="38" t="s">
        <v>48</v>
      </c>
      <c r="C124" s="38" t="s">
        <v>20</v>
      </c>
      <c r="D124" s="38" t="s">
        <v>63</v>
      </c>
      <c r="E124" s="38" t="s">
        <v>38</v>
      </c>
      <c r="F124" s="38">
        <v>12592.92</v>
      </c>
      <c r="G124" s="38">
        <v>813726</v>
      </c>
      <c r="H124" s="38">
        <v>30600</v>
      </c>
      <c r="I124" s="38">
        <v>120283.74</v>
      </c>
      <c r="J124" s="38">
        <v>35</v>
      </c>
      <c r="K124" s="39">
        <f t="shared" si="6"/>
        <v>3.7604795717477379E-2</v>
      </c>
      <c r="L124" s="40">
        <f t="shared" si="7"/>
        <v>9.5516957147349473</v>
      </c>
      <c r="M124" s="40">
        <f t="shared" si="8"/>
        <v>8.5516957147349473</v>
      </c>
      <c r="N124" s="40">
        <f t="shared" si="9"/>
        <v>3.9308411764705884</v>
      </c>
      <c r="O124" s="1" t="str">
        <f t="shared" si="5"/>
        <v>Normal</v>
      </c>
      <c r="P124" s="51" t="str">
        <f>IF(Table4[[#This Row],[Sales]]&lt;=$B$3,"Normal","High Revenue")</f>
        <v>Normal</v>
      </c>
      <c r="Q124" s="51" t="str">
        <f>IF(Table4[[#This Row],[CTR]]&lt;=$B$4,"Normal","High CTR")</f>
        <v>Normal</v>
      </c>
      <c r="R124" s="51" t="str">
        <f>IF(Table4[[#This Row],[ROAS]]&lt;1,"Poor",IF(Table4[[#This Row],[ROAS]]&lt;3,"Average",IF(Table4[[#This Row],[ROAS]]&lt;5,"Good",
"Excellent")))</f>
        <v>Excellent</v>
      </c>
      <c r="S124" s="51" t="str">
        <f>IF(AND(Table4[[#This Row],[USD_Spend]]&gt;=$B$5,Table4[[#This Row],[Sales]]&lt;=$B$6),"Wasted Budget","Spend Justified")</f>
        <v>Spend Justified</v>
      </c>
      <c r="T124" s="51" t="str">
        <f>IF(AND(Table4[[#This Row],[Clicks]]&gt;=$B$7,Table4[[#This Row],[Sales]]&lt;=$B$6),"Poor Monetization","Normal Monitization")</f>
        <v>Normal Monitization</v>
      </c>
    </row>
    <row r="125" spans="1:20" x14ac:dyDescent="0.35">
      <c r="A125" s="41" t="s">
        <v>68</v>
      </c>
      <c r="B125" s="41" t="s">
        <v>48</v>
      </c>
      <c r="C125" s="41" t="s">
        <v>29</v>
      </c>
      <c r="D125" s="41" t="s">
        <v>63</v>
      </c>
      <c r="E125" s="41" t="s">
        <v>22</v>
      </c>
      <c r="F125" s="41">
        <v>19736.900000000001</v>
      </c>
      <c r="G125" s="41">
        <v>447090</v>
      </c>
      <c r="H125" s="41">
        <v>42994</v>
      </c>
      <c r="I125" s="41">
        <v>75643.360000000001</v>
      </c>
      <c r="J125" s="41">
        <v>10</v>
      </c>
      <c r="K125" s="42">
        <f t="shared" si="6"/>
        <v>9.6164083294191322E-2</v>
      </c>
      <c r="L125" s="43">
        <f t="shared" si="7"/>
        <v>3.832585664415384</v>
      </c>
      <c r="M125" s="43">
        <f t="shared" si="8"/>
        <v>2.832585664415384</v>
      </c>
      <c r="N125" s="43">
        <f t="shared" si="9"/>
        <v>1.759393403730753</v>
      </c>
      <c r="O125" s="1" t="str">
        <f t="shared" si="5"/>
        <v>Normal</v>
      </c>
      <c r="P125" s="51" t="str">
        <f>IF(Table4[[#This Row],[Sales]]&lt;=$B$3,"Normal","High Revenue")</f>
        <v>Normal</v>
      </c>
      <c r="Q125" s="51" t="str">
        <f>IF(Table4[[#This Row],[CTR]]&lt;=$B$4,"Normal","High CTR")</f>
        <v>Normal</v>
      </c>
      <c r="R125" s="51" t="str">
        <f>IF(Table4[[#This Row],[ROAS]]&lt;1,"Poor",IF(Table4[[#This Row],[ROAS]]&lt;3,"Average",IF(Table4[[#This Row],[ROAS]]&lt;5,"Good",
"Excellent")))</f>
        <v>Good</v>
      </c>
      <c r="S125" s="51" t="str">
        <f>IF(AND(Table4[[#This Row],[USD_Spend]]&gt;=$B$5,Table4[[#This Row],[Sales]]&lt;=$B$6),"Wasted Budget","Spend Justified")</f>
        <v>Spend Justified</v>
      </c>
      <c r="T125" s="51" t="str">
        <f>IF(AND(Table4[[#This Row],[Clicks]]&gt;=$B$7,Table4[[#This Row],[Sales]]&lt;=$B$6),"Poor Monetization","Normal Monitization")</f>
        <v>Normal Monitization</v>
      </c>
    </row>
    <row r="126" spans="1:20" x14ac:dyDescent="0.35">
      <c r="A126" s="38" t="s">
        <v>111</v>
      </c>
      <c r="B126" s="38" t="s">
        <v>35</v>
      </c>
      <c r="C126" s="38" t="s">
        <v>58</v>
      </c>
      <c r="D126" s="38" t="s">
        <v>37</v>
      </c>
      <c r="E126" s="38" t="s">
        <v>30</v>
      </c>
      <c r="F126" s="38">
        <v>27914.41</v>
      </c>
      <c r="G126" s="38">
        <v>890521</v>
      </c>
      <c r="H126" s="38">
        <v>21086</v>
      </c>
      <c r="I126" s="38">
        <v>229010.97</v>
      </c>
      <c r="J126" s="38">
        <v>57</v>
      </c>
      <c r="K126" s="39">
        <f t="shared" si="6"/>
        <v>2.3678273729648151E-2</v>
      </c>
      <c r="L126" s="40">
        <f t="shared" si="7"/>
        <v>8.2040412102566389</v>
      </c>
      <c r="M126" s="40">
        <f t="shared" si="8"/>
        <v>7.204041210256638</v>
      </c>
      <c r="N126" s="40">
        <f t="shared" si="9"/>
        <v>10.860806696386227</v>
      </c>
      <c r="O126" s="1" t="str">
        <f t="shared" si="5"/>
        <v>Normal</v>
      </c>
      <c r="P126" s="51" t="str">
        <f>IF(Table4[[#This Row],[Sales]]&lt;=$B$3,"Normal","High Revenue")</f>
        <v>Normal</v>
      </c>
      <c r="Q126" s="51" t="str">
        <f>IF(Table4[[#This Row],[CTR]]&lt;=$B$4,"Normal","High CTR")</f>
        <v>Normal</v>
      </c>
      <c r="R126" s="51" t="str">
        <f>IF(Table4[[#This Row],[ROAS]]&lt;1,"Poor",IF(Table4[[#This Row],[ROAS]]&lt;3,"Average",IF(Table4[[#This Row],[ROAS]]&lt;5,"Good",
"Excellent")))</f>
        <v>Excellent</v>
      </c>
      <c r="S126" s="51" t="str">
        <f>IF(AND(Table4[[#This Row],[USD_Spend]]&gt;=$B$5,Table4[[#This Row],[Sales]]&lt;=$B$6),"Wasted Budget","Spend Justified")</f>
        <v>Spend Justified</v>
      </c>
      <c r="T126" s="51" t="str">
        <f>IF(AND(Table4[[#This Row],[Clicks]]&gt;=$B$7,Table4[[#This Row],[Sales]]&lt;=$B$6),"Poor Monetization","Normal Monitization")</f>
        <v>Normal Monitization</v>
      </c>
    </row>
    <row r="127" spans="1:20" x14ac:dyDescent="0.35">
      <c r="A127" s="41" t="s">
        <v>75</v>
      </c>
      <c r="B127" s="41" t="s">
        <v>35</v>
      </c>
      <c r="C127" s="41" t="s">
        <v>36</v>
      </c>
      <c r="D127" s="41" t="s">
        <v>51</v>
      </c>
      <c r="E127" s="41" t="s">
        <v>38</v>
      </c>
      <c r="F127" s="41">
        <v>1243.69</v>
      </c>
      <c r="G127" s="41">
        <v>644565</v>
      </c>
      <c r="H127" s="41">
        <v>40330</v>
      </c>
      <c r="I127" s="41">
        <v>238940.31</v>
      </c>
      <c r="J127" s="41">
        <v>33</v>
      </c>
      <c r="K127" s="42">
        <f t="shared" si="6"/>
        <v>6.2569329702977974E-2</v>
      </c>
      <c r="L127" s="43">
        <f t="shared" si="7"/>
        <v>192.12208026115832</v>
      </c>
      <c r="M127" s="43">
        <f t="shared" si="8"/>
        <v>191.12208026115832</v>
      </c>
      <c r="N127" s="43">
        <f t="shared" si="9"/>
        <v>5.9246295561616664</v>
      </c>
      <c r="O127" s="1" t="str">
        <f t="shared" si="5"/>
        <v>Normal</v>
      </c>
      <c r="P127" s="51" t="str">
        <f>IF(Table4[[#This Row],[Sales]]&lt;=$B$3,"Normal","High Revenue")</f>
        <v>High Revenue</v>
      </c>
      <c r="Q127" s="51" t="str">
        <f>IF(Table4[[#This Row],[CTR]]&lt;=$B$4,"Normal","High CTR")</f>
        <v>Normal</v>
      </c>
      <c r="R127" s="51" t="str">
        <f>IF(Table4[[#This Row],[ROAS]]&lt;1,"Poor",IF(Table4[[#This Row],[ROAS]]&lt;3,"Average",IF(Table4[[#This Row],[ROAS]]&lt;5,"Good",
"Excellent")))</f>
        <v>Excellent</v>
      </c>
      <c r="S127" s="51" t="str">
        <f>IF(AND(Table4[[#This Row],[USD_Spend]]&gt;=$B$5,Table4[[#This Row],[Sales]]&lt;=$B$6),"Wasted Budget","Spend Justified")</f>
        <v>Spend Justified</v>
      </c>
      <c r="T127" s="51" t="str">
        <f>IF(AND(Table4[[#This Row],[Clicks]]&gt;=$B$7,Table4[[#This Row],[Sales]]&lt;=$B$6),"Poor Monetization","Normal Monitization")</f>
        <v>Normal Monitization</v>
      </c>
    </row>
    <row r="128" spans="1:20" x14ac:dyDescent="0.35">
      <c r="A128" s="38" t="s">
        <v>90</v>
      </c>
      <c r="B128" s="38" t="s">
        <v>28</v>
      </c>
      <c r="C128" s="38" t="s">
        <v>36</v>
      </c>
      <c r="D128" s="38" t="s">
        <v>21</v>
      </c>
      <c r="E128" s="38" t="s">
        <v>22</v>
      </c>
      <c r="F128" s="38">
        <v>38828.81</v>
      </c>
      <c r="G128" s="38">
        <v>403774</v>
      </c>
      <c r="H128" s="38">
        <v>14561</v>
      </c>
      <c r="I128" s="38">
        <v>23014.78</v>
      </c>
      <c r="J128" s="38">
        <v>21</v>
      </c>
      <c r="K128" s="39">
        <f t="shared" si="6"/>
        <v>3.6062252646282329E-2</v>
      </c>
      <c r="L128" s="40">
        <f t="shared" si="7"/>
        <v>0.59272431990576069</v>
      </c>
      <c r="M128" s="40">
        <f t="shared" si="8"/>
        <v>-0.40727568009423931</v>
      </c>
      <c r="N128" s="40">
        <f t="shared" si="9"/>
        <v>1.5805768834558065</v>
      </c>
      <c r="O128" s="1" t="str">
        <f t="shared" si="5"/>
        <v>Normal</v>
      </c>
      <c r="P128" s="51" t="str">
        <f>IF(Table4[[#This Row],[Sales]]&lt;=$B$3,"Normal","High Revenue")</f>
        <v>Normal</v>
      </c>
      <c r="Q128" s="51" t="str">
        <f>IF(Table4[[#This Row],[CTR]]&lt;=$B$4,"Normal","High CTR")</f>
        <v>Normal</v>
      </c>
      <c r="R128" s="51" t="str">
        <f>IF(Table4[[#This Row],[ROAS]]&lt;1,"Poor",IF(Table4[[#This Row],[ROAS]]&lt;3,"Average",IF(Table4[[#This Row],[ROAS]]&lt;5,"Good",
"Excellent")))</f>
        <v>Poor</v>
      </c>
      <c r="S128" s="51" t="str">
        <f>IF(AND(Table4[[#This Row],[USD_Spend]]&gt;=$B$5,Table4[[#This Row],[Sales]]&lt;=$B$6),"Wasted Budget","Spend Justified")</f>
        <v>Wasted Budget</v>
      </c>
      <c r="T128" s="51" t="str">
        <f>IF(AND(Table4[[#This Row],[Clicks]]&gt;=$B$7,Table4[[#This Row],[Sales]]&lt;=$B$6),"Poor Monetization","Normal Monitization")</f>
        <v>Normal Monitization</v>
      </c>
    </row>
    <row r="129" spans="1:20" x14ac:dyDescent="0.35">
      <c r="A129" s="41" t="s">
        <v>81</v>
      </c>
      <c r="B129" s="41" t="s">
        <v>48</v>
      </c>
      <c r="C129" s="41" t="s">
        <v>69</v>
      </c>
      <c r="D129" s="41" t="s">
        <v>63</v>
      </c>
      <c r="E129" s="41" t="s">
        <v>30</v>
      </c>
      <c r="F129" s="41">
        <v>2259.66</v>
      </c>
      <c r="G129" s="41">
        <v>297150</v>
      </c>
      <c r="H129" s="41">
        <v>31992</v>
      </c>
      <c r="I129" s="41">
        <v>112534.6</v>
      </c>
      <c r="J129" s="41">
        <v>28</v>
      </c>
      <c r="K129" s="42">
        <f t="shared" si="6"/>
        <v>0.10766279656739021</v>
      </c>
      <c r="L129" s="43">
        <f t="shared" si="7"/>
        <v>49.801563067010086</v>
      </c>
      <c r="M129" s="43">
        <f t="shared" si="8"/>
        <v>48.801563067010086</v>
      </c>
      <c r="N129" s="43">
        <f t="shared" si="9"/>
        <v>3.5175856464116029</v>
      </c>
      <c r="O129" s="1" t="str">
        <f t="shared" si="5"/>
        <v>Normal</v>
      </c>
      <c r="P129" s="51" t="str">
        <f>IF(Table4[[#This Row],[Sales]]&lt;=$B$3,"Normal","High Revenue")</f>
        <v>Normal</v>
      </c>
      <c r="Q129" s="51" t="str">
        <f>IF(Table4[[#This Row],[CTR]]&lt;=$B$4,"Normal","High CTR")</f>
        <v>Normal</v>
      </c>
      <c r="R129" s="51" t="str">
        <f>IF(Table4[[#This Row],[ROAS]]&lt;1,"Poor",IF(Table4[[#This Row],[ROAS]]&lt;3,"Average",IF(Table4[[#This Row],[ROAS]]&lt;5,"Good",
"Excellent")))</f>
        <v>Excellent</v>
      </c>
      <c r="S129" s="51" t="str">
        <f>IF(AND(Table4[[#This Row],[USD_Spend]]&gt;=$B$5,Table4[[#This Row],[Sales]]&lt;=$B$6),"Wasted Budget","Spend Justified")</f>
        <v>Spend Justified</v>
      </c>
      <c r="T129" s="51" t="str">
        <f>IF(AND(Table4[[#This Row],[Clicks]]&gt;=$B$7,Table4[[#This Row],[Sales]]&lt;=$B$6),"Poor Monetization","Normal Monitization")</f>
        <v>Normal Monitization</v>
      </c>
    </row>
    <row r="130" spans="1:20" x14ac:dyDescent="0.35">
      <c r="A130" s="38" t="s">
        <v>89</v>
      </c>
      <c r="B130" s="38" t="s">
        <v>35</v>
      </c>
      <c r="C130" s="38" t="s">
        <v>36</v>
      </c>
      <c r="D130" s="38" t="s">
        <v>63</v>
      </c>
      <c r="E130" s="38" t="s">
        <v>22</v>
      </c>
      <c r="F130" s="38">
        <v>29130.29</v>
      </c>
      <c r="G130" s="38">
        <v>699880</v>
      </c>
      <c r="H130" s="38">
        <v>32206</v>
      </c>
      <c r="I130" s="38">
        <v>133826.23000000001</v>
      </c>
      <c r="J130" s="38">
        <v>8</v>
      </c>
      <c r="K130" s="39">
        <f t="shared" si="6"/>
        <v>4.6016459964565354E-2</v>
      </c>
      <c r="L130" s="40">
        <f t="shared" si="7"/>
        <v>4.5940575943459541</v>
      </c>
      <c r="M130" s="40">
        <f t="shared" si="8"/>
        <v>3.5940575943459541</v>
      </c>
      <c r="N130" s="40">
        <f t="shared" si="9"/>
        <v>4.1553198161833205</v>
      </c>
      <c r="O130" s="1" t="str">
        <f t="shared" si="5"/>
        <v>Normal</v>
      </c>
      <c r="P130" s="51" t="str">
        <f>IF(Table4[[#This Row],[Sales]]&lt;=$B$3,"Normal","High Revenue")</f>
        <v>Normal</v>
      </c>
      <c r="Q130" s="51" t="str">
        <f>IF(Table4[[#This Row],[CTR]]&lt;=$B$4,"Normal","High CTR")</f>
        <v>Normal</v>
      </c>
      <c r="R130" s="51" t="str">
        <f>IF(Table4[[#This Row],[ROAS]]&lt;1,"Poor",IF(Table4[[#This Row],[ROAS]]&lt;3,"Average",IF(Table4[[#This Row],[ROAS]]&lt;5,"Good",
"Excellent")))</f>
        <v>Good</v>
      </c>
      <c r="S130" s="51" t="str">
        <f>IF(AND(Table4[[#This Row],[USD_Spend]]&gt;=$B$5,Table4[[#This Row],[Sales]]&lt;=$B$6),"Wasted Budget","Spend Justified")</f>
        <v>Spend Justified</v>
      </c>
      <c r="T130" s="51" t="str">
        <f>IF(AND(Table4[[#This Row],[Clicks]]&gt;=$B$7,Table4[[#This Row],[Sales]]&lt;=$B$6),"Poor Monetization","Normal Monitization")</f>
        <v>Normal Monitization</v>
      </c>
    </row>
    <row r="131" spans="1:20" x14ac:dyDescent="0.35">
      <c r="A131" s="41" t="s">
        <v>27</v>
      </c>
      <c r="B131" s="41" t="s">
        <v>35</v>
      </c>
      <c r="C131" s="41" t="s">
        <v>58</v>
      </c>
      <c r="D131" s="41" t="s">
        <v>63</v>
      </c>
      <c r="E131" s="41" t="s">
        <v>38</v>
      </c>
      <c r="F131" s="41">
        <v>16540.009999999998</v>
      </c>
      <c r="G131" s="41">
        <v>524496</v>
      </c>
      <c r="H131" s="41">
        <v>48256</v>
      </c>
      <c r="I131" s="41">
        <v>90941.36</v>
      </c>
      <c r="J131" s="41">
        <v>25</v>
      </c>
      <c r="K131" s="42">
        <f t="shared" si="6"/>
        <v>9.2004514810408472E-2</v>
      </c>
      <c r="L131" s="43">
        <f t="shared" si="7"/>
        <v>5.4982651159219378</v>
      </c>
      <c r="M131" s="43">
        <f t="shared" si="8"/>
        <v>4.4982651159219378</v>
      </c>
      <c r="N131" s="43">
        <f t="shared" si="9"/>
        <v>1.8845606763925729</v>
      </c>
      <c r="O131" s="1" t="str">
        <f t="shared" si="5"/>
        <v>Normal</v>
      </c>
      <c r="P131" s="51" t="str">
        <f>IF(Table4[[#This Row],[Sales]]&lt;=$B$3,"Normal","High Revenue")</f>
        <v>Normal</v>
      </c>
      <c r="Q131" s="51" t="str">
        <f>IF(Table4[[#This Row],[CTR]]&lt;=$B$4,"Normal","High CTR")</f>
        <v>Normal</v>
      </c>
      <c r="R131" s="51" t="str">
        <f>IF(Table4[[#This Row],[ROAS]]&lt;1,"Poor",IF(Table4[[#This Row],[ROAS]]&lt;3,"Average",IF(Table4[[#This Row],[ROAS]]&lt;5,"Good",
"Excellent")))</f>
        <v>Excellent</v>
      </c>
      <c r="S131" s="51" t="str">
        <f>IF(AND(Table4[[#This Row],[USD_Spend]]&gt;=$B$5,Table4[[#This Row],[Sales]]&lt;=$B$6),"Wasted Budget","Spend Justified")</f>
        <v>Spend Justified</v>
      </c>
      <c r="T131" s="51" t="str">
        <f>IF(AND(Table4[[#This Row],[Clicks]]&gt;=$B$7,Table4[[#This Row],[Sales]]&lt;=$B$6),"Poor Monetization","Normal Monitization")</f>
        <v>Normal Monitization</v>
      </c>
    </row>
    <row r="132" spans="1:20" x14ac:dyDescent="0.35">
      <c r="A132" s="38" t="s">
        <v>18</v>
      </c>
      <c r="B132" s="38" t="s">
        <v>19</v>
      </c>
      <c r="C132" s="38" t="s">
        <v>29</v>
      </c>
      <c r="D132" s="38" t="s">
        <v>21</v>
      </c>
      <c r="E132" s="38" t="s">
        <v>30</v>
      </c>
      <c r="F132" s="38">
        <v>24494.21</v>
      </c>
      <c r="G132" s="38">
        <v>849756</v>
      </c>
      <c r="H132" s="38">
        <v>36182</v>
      </c>
      <c r="I132" s="38">
        <v>155436.21</v>
      </c>
      <c r="J132" s="38">
        <v>19</v>
      </c>
      <c r="K132" s="39">
        <f t="shared" si="6"/>
        <v>4.2579281582007071E-2</v>
      </c>
      <c r="L132" s="40">
        <f t="shared" si="7"/>
        <v>6.3458347911608497</v>
      </c>
      <c r="M132" s="40">
        <f t="shared" si="8"/>
        <v>5.3458347911608497</v>
      </c>
      <c r="N132" s="40">
        <f t="shared" si="9"/>
        <v>4.2959540655574591</v>
      </c>
      <c r="O132" s="1" t="str">
        <f t="shared" si="5"/>
        <v>Normal</v>
      </c>
      <c r="P132" s="51" t="str">
        <f>IF(Table4[[#This Row],[Sales]]&lt;=$B$3,"Normal","High Revenue")</f>
        <v>Normal</v>
      </c>
      <c r="Q132" s="51" t="str">
        <f>IF(Table4[[#This Row],[CTR]]&lt;=$B$4,"Normal","High CTR")</f>
        <v>Normal</v>
      </c>
      <c r="R132" s="51" t="str">
        <f>IF(Table4[[#This Row],[ROAS]]&lt;1,"Poor",IF(Table4[[#This Row],[ROAS]]&lt;3,"Average",IF(Table4[[#This Row],[ROAS]]&lt;5,"Good",
"Excellent")))</f>
        <v>Excellent</v>
      </c>
      <c r="S132" s="51" t="str">
        <f>IF(AND(Table4[[#This Row],[USD_Spend]]&gt;=$B$5,Table4[[#This Row],[Sales]]&lt;=$B$6),"Wasted Budget","Spend Justified")</f>
        <v>Spend Justified</v>
      </c>
      <c r="T132" s="51" t="str">
        <f>IF(AND(Table4[[#This Row],[Clicks]]&gt;=$B$7,Table4[[#This Row],[Sales]]&lt;=$B$6),"Poor Monetization","Normal Monitization")</f>
        <v>Normal Monitization</v>
      </c>
    </row>
    <row r="133" spans="1:20" x14ac:dyDescent="0.35">
      <c r="A133" s="41" t="s">
        <v>70</v>
      </c>
      <c r="B133" s="41" t="s">
        <v>28</v>
      </c>
      <c r="C133" s="41" t="s">
        <v>58</v>
      </c>
      <c r="D133" s="41" t="s">
        <v>59</v>
      </c>
      <c r="E133" s="41" t="s">
        <v>30</v>
      </c>
      <c r="F133" s="41">
        <v>1908.28</v>
      </c>
      <c r="G133" s="41">
        <v>747449</v>
      </c>
      <c r="H133" s="41">
        <v>3290</v>
      </c>
      <c r="I133" s="41">
        <v>64959.87</v>
      </c>
      <c r="J133" s="41">
        <v>44</v>
      </c>
      <c r="K133" s="42">
        <f t="shared" si="6"/>
        <v>4.4016381050747278E-3</v>
      </c>
      <c r="L133" s="43">
        <f t="shared" si="7"/>
        <v>34.041057916029096</v>
      </c>
      <c r="M133" s="43">
        <f t="shared" si="8"/>
        <v>33.041057916029096</v>
      </c>
      <c r="N133" s="43">
        <f t="shared" si="9"/>
        <v>19.744641337386017</v>
      </c>
      <c r="O133" s="1" t="str">
        <f t="shared" si="5"/>
        <v>Normal</v>
      </c>
      <c r="P133" s="51" t="str">
        <f>IF(Table4[[#This Row],[Sales]]&lt;=$B$3,"Normal","High Revenue")</f>
        <v>Normal</v>
      </c>
      <c r="Q133" s="51" t="str">
        <f>IF(Table4[[#This Row],[CTR]]&lt;=$B$4,"Normal","High CTR")</f>
        <v>Normal</v>
      </c>
      <c r="R133" s="51" t="str">
        <f>IF(Table4[[#This Row],[ROAS]]&lt;1,"Poor",IF(Table4[[#This Row],[ROAS]]&lt;3,"Average",IF(Table4[[#This Row],[ROAS]]&lt;5,"Good",
"Excellent")))</f>
        <v>Excellent</v>
      </c>
      <c r="S133" s="51" t="str">
        <f>IF(AND(Table4[[#This Row],[USD_Spend]]&gt;=$B$5,Table4[[#This Row],[Sales]]&lt;=$B$6),"Wasted Budget","Spend Justified")</f>
        <v>Spend Justified</v>
      </c>
      <c r="T133" s="51" t="str">
        <f>IF(AND(Table4[[#This Row],[Clicks]]&gt;=$B$7,Table4[[#This Row],[Sales]]&lt;=$B$6),"Poor Monetization","Normal Monitization")</f>
        <v>Normal Monitization</v>
      </c>
    </row>
    <row r="134" spans="1:20" x14ac:dyDescent="0.35">
      <c r="A134" s="38" t="s">
        <v>100</v>
      </c>
      <c r="B134" s="38" t="s">
        <v>35</v>
      </c>
      <c r="C134" s="38" t="s">
        <v>69</v>
      </c>
      <c r="D134" s="38" t="s">
        <v>21</v>
      </c>
      <c r="E134" s="38" t="s">
        <v>30</v>
      </c>
      <c r="F134" s="38">
        <v>1813.65</v>
      </c>
      <c r="G134" s="38">
        <v>576795</v>
      </c>
      <c r="H134" s="38">
        <v>21787</v>
      </c>
      <c r="I134" s="38">
        <v>10522.91</v>
      </c>
      <c r="J134" s="38">
        <v>13</v>
      </c>
      <c r="K134" s="39">
        <f t="shared" si="6"/>
        <v>3.7772518832514153E-2</v>
      </c>
      <c r="L134" s="40">
        <f t="shared" si="7"/>
        <v>5.8020621398836596</v>
      </c>
      <c r="M134" s="40">
        <f t="shared" si="8"/>
        <v>4.8020621398836596</v>
      </c>
      <c r="N134" s="40">
        <f t="shared" si="9"/>
        <v>0.4829903153256529</v>
      </c>
      <c r="O134" s="1" t="str">
        <f t="shared" si="5"/>
        <v>Normal</v>
      </c>
      <c r="P134" s="51" t="str">
        <f>IF(Table4[[#This Row],[Sales]]&lt;=$B$3,"Normal","High Revenue")</f>
        <v>Normal</v>
      </c>
      <c r="Q134" s="51" t="str">
        <f>IF(Table4[[#This Row],[CTR]]&lt;=$B$4,"Normal","High CTR")</f>
        <v>Normal</v>
      </c>
      <c r="R134" s="51" t="str">
        <f>IF(Table4[[#This Row],[ROAS]]&lt;1,"Poor",IF(Table4[[#This Row],[ROAS]]&lt;3,"Average",IF(Table4[[#This Row],[ROAS]]&lt;5,"Good",
"Excellent")))</f>
        <v>Excellent</v>
      </c>
      <c r="S134" s="51" t="str">
        <f>IF(AND(Table4[[#This Row],[USD_Spend]]&gt;=$B$5,Table4[[#This Row],[Sales]]&lt;=$B$6),"Wasted Budget","Spend Justified")</f>
        <v>Spend Justified</v>
      </c>
      <c r="T134" s="51" t="str">
        <f>IF(AND(Table4[[#This Row],[Clicks]]&gt;=$B$7,Table4[[#This Row],[Sales]]&lt;=$B$6),"Poor Monetization","Normal Monitization")</f>
        <v>Normal Monitization</v>
      </c>
    </row>
    <row r="135" spans="1:20" x14ac:dyDescent="0.35">
      <c r="A135" s="41" t="s">
        <v>68</v>
      </c>
      <c r="B135" s="41" t="s">
        <v>28</v>
      </c>
      <c r="C135" s="41" t="s">
        <v>29</v>
      </c>
      <c r="D135" s="41" t="s">
        <v>63</v>
      </c>
      <c r="E135" s="41" t="s">
        <v>30</v>
      </c>
      <c r="F135" s="41">
        <v>22404.83</v>
      </c>
      <c r="G135" s="41">
        <v>11269</v>
      </c>
      <c r="H135" s="41">
        <v>14800</v>
      </c>
      <c r="I135" s="41">
        <v>10880.21</v>
      </c>
      <c r="J135" s="41">
        <v>38</v>
      </c>
      <c r="K135" s="42">
        <f t="shared" si="6"/>
        <v>1.3133374744875321</v>
      </c>
      <c r="L135" s="43">
        <f t="shared" si="7"/>
        <v>0.48561894912837983</v>
      </c>
      <c r="M135" s="43">
        <f t="shared" si="8"/>
        <v>-0.51438105087162012</v>
      </c>
      <c r="N135" s="43">
        <f t="shared" si="9"/>
        <v>0.73514932432432423</v>
      </c>
      <c r="O135" s="1" t="str">
        <f t="shared" si="5"/>
        <v>Normal</v>
      </c>
      <c r="P135" s="51" t="str">
        <f>IF(Table4[[#This Row],[Sales]]&lt;=$B$3,"Normal","High Revenue")</f>
        <v>Normal</v>
      </c>
      <c r="Q135" s="51" t="str">
        <f>IF(Table4[[#This Row],[CTR]]&lt;=$B$4,"Normal","High CTR")</f>
        <v>High CTR</v>
      </c>
      <c r="R135" s="51" t="str">
        <f>IF(Table4[[#This Row],[ROAS]]&lt;1,"Poor",IF(Table4[[#This Row],[ROAS]]&lt;3,"Average",IF(Table4[[#This Row],[ROAS]]&lt;5,"Good",
"Excellent")))</f>
        <v>Poor</v>
      </c>
      <c r="S135" s="51" t="str">
        <f>IF(AND(Table4[[#This Row],[USD_Spend]]&gt;=$B$5,Table4[[#This Row],[Sales]]&lt;=$B$6),"Wasted Budget","Spend Justified")</f>
        <v>Wasted Budget</v>
      </c>
      <c r="T135" s="51" t="str">
        <f>IF(AND(Table4[[#This Row],[Clicks]]&gt;=$B$7,Table4[[#This Row],[Sales]]&lt;=$B$6),"Poor Monetization","Normal Monitization")</f>
        <v>Normal Monitization</v>
      </c>
    </row>
    <row r="136" spans="1:20" x14ac:dyDescent="0.35">
      <c r="A136" s="38" t="s">
        <v>107</v>
      </c>
      <c r="B136" s="38" t="s">
        <v>28</v>
      </c>
      <c r="C136" s="38" t="s">
        <v>69</v>
      </c>
      <c r="D136" s="38" t="s">
        <v>43</v>
      </c>
      <c r="E136" s="38" t="s">
        <v>22</v>
      </c>
      <c r="F136" s="38">
        <v>26677.919999999998</v>
      </c>
      <c r="G136" s="38">
        <v>606580</v>
      </c>
      <c r="H136" s="38">
        <v>44559</v>
      </c>
      <c r="I136" s="38">
        <v>112349.89</v>
      </c>
      <c r="J136" s="38">
        <v>32</v>
      </c>
      <c r="K136" s="39">
        <f t="shared" si="6"/>
        <v>7.3459395298229424E-2</v>
      </c>
      <c r="L136" s="40">
        <f t="shared" si="7"/>
        <v>4.2113436879636792</v>
      </c>
      <c r="M136" s="40">
        <f t="shared" si="8"/>
        <v>3.2113436879636796</v>
      </c>
      <c r="N136" s="40">
        <f t="shared" si="9"/>
        <v>2.5213736843286427</v>
      </c>
      <c r="O136" s="1" t="str">
        <f t="shared" si="5"/>
        <v>Normal</v>
      </c>
      <c r="P136" s="51" t="str">
        <f>IF(Table4[[#This Row],[Sales]]&lt;=$B$3,"Normal","High Revenue")</f>
        <v>Normal</v>
      </c>
      <c r="Q136" s="51" t="str">
        <f>IF(Table4[[#This Row],[CTR]]&lt;=$B$4,"Normal","High CTR")</f>
        <v>Normal</v>
      </c>
      <c r="R136" s="51" t="str">
        <f>IF(Table4[[#This Row],[ROAS]]&lt;1,"Poor",IF(Table4[[#This Row],[ROAS]]&lt;3,"Average",IF(Table4[[#This Row],[ROAS]]&lt;5,"Good",
"Excellent")))</f>
        <v>Good</v>
      </c>
      <c r="S136" s="51" t="str">
        <f>IF(AND(Table4[[#This Row],[USD_Spend]]&gt;=$B$5,Table4[[#This Row],[Sales]]&lt;=$B$6),"Wasted Budget","Spend Justified")</f>
        <v>Spend Justified</v>
      </c>
      <c r="T136" s="51" t="str">
        <f>IF(AND(Table4[[#This Row],[Clicks]]&gt;=$B$7,Table4[[#This Row],[Sales]]&lt;=$B$6),"Poor Monetization","Normal Monitization")</f>
        <v>Normal Monitization</v>
      </c>
    </row>
    <row r="137" spans="1:20" x14ac:dyDescent="0.35">
      <c r="A137" s="41" t="s">
        <v>81</v>
      </c>
      <c r="B137" s="41" t="s">
        <v>28</v>
      </c>
      <c r="C137" s="41" t="s">
        <v>69</v>
      </c>
      <c r="D137" s="41" t="s">
        <v>21</v>
      </c>
      <c r="E137" s="41" t="s">
        <v>30</v>
      </c>
      <c r="F137" s="41">
        <v>37041.82</v>
      </c>
      <c r="G137" s="41">
        <v>919613</v>
      </c>
      <c r="H137" s="41">
        <v>35203</v>
      </c>
      <c r="I137" s="41">
        <v>220633.27</v>
      </c>
      <c r="J137" s="41">
        <v>42</v>
      </c>
      <c r="K137" s="42">
        <f t="shared" si="6"/>
        <v>3.8280233098053201E-2</v>
      </c>
      <c r="L137" s="43">
        <f t="shared" si="7"/>
        <v>5.9563290896613612</v>
      </c>
      <c r="M137" s="43">
        <f t="shared" si="8"/>
        <v>4.9563290896613603</v>
      </c>
      <c r="N137" s="43">
        <f t="shared" si="9"/>
        <v>6.2674564667783992</v>
      </c>
      <c r="O137" s="1" t="str">
        <f t="shared" si="5"/>
        <v>Normal</v>
      </c>
      <c r="P137" s="51" t="str">
        <f>IF(Table4[[#This Row],[Sales]]&lt;=$B$3,"Normal","High Revenue")</f>
        <v>Normal</v>
      </c>
      <c r="Q137" s="51" t="str">
        <f>IF(Table4[[#This Row],[CTR]]&lt;=$B$4,"Normal","High CTR")</f>
        <v>Normal</v>
      </c>
      <c r="R137" s="51" t="str">
        <f>IF(Table4[[#This Row],[ROAS]]&lt;1,"Poor",IF(Table4[[#This Row],[ROAS]]&lt;3,"Average",IF(Table4[[#This Row],[ROAS]]&lt;5,"Good",
"Excellent")))</f>
        <v>Excellent</v>
      </c>
      <c r="S137" s="51" t="str">
        <f>IF(AND(Table4[[#This Row],[USD_Spend]]&gt;=$B$5,Table4[[#This Row],[Sales]]&lt;=$B$6),"Wasted Budget","Spend Justified")</f>
        <v>Spend Justified</v>
      </c>
      <c r="T137" s="51" t="str">
        <f>IF(AND(Table4[[#This Row],[Clicks]]&gt;=$B$7,Table4[[#This Row],[Sales]]&lt;=$B$6),"Poor Monetization","Normal Monitization")</f>
        <v>Normal Monitization</v>
      </c>
    </row>
    <row r="138" spans="1:20" x14ac:dyDescent="0.35">
      <c r="A138" s="38" t="s">
        <v>97</v>
      </c>
      <c r="B138" s="38" t="s">
        <v>48</v>
      </c>
      <c r="C138" s="38" t="s">
        <v>58</v>
      </c>
      <c r="D138" s="38" t="s">
        <v>51</v>
      </c>
      <c r="E138" s="38" t="s">
        <v>38</v>
      </c>
      <c r="F138" s="38">
        <v>1485.48</v>
      </c>
      <c r="G138" s="38">
        <v>341272</v>
      </c>
      <c r="H138" s="38">
        <v>9583</v>
      </c>
      <c r="I138" s="38">
        <v>204956.25</v>
      </c>
      <c r="J138" s="38">
        <v>31</v>
      </c>
      <c r="K138" s="39">
        <f t="shared" si="6"/>
        <v>2.8080240980801238E-2</v>
      </c>
      <c r="L138" s="40">
        <f t="shared" si="7"/>
        <v>137.97307940867597</v>
      </c>
      <c r="M138" s="40">
        <f t="shared" si="8"/>
        <v>136.97307940867597</v>
      </c>
      <c r="N138" s="40">
        <f t="shared" si="9"/>
        <v>21.387483042888448</v>
      </c>
      <c r="O138" s="1" t="str">
        <f t="shared" ref="O138:O201" si="10">IF(F138&lt;=$B$2,"Normal","High Spend")</f>
        <v>Normal</v>
      </c>
      <c r="P138" s="51" t="str">
        <f>IF(Table4[[#This Row],[Sales]]&lt;=$B$3,"Normal","High Revenue")</f>
        <v>Normal</v>
      </c>
      <c r="Q138" s="51" t="str">
        <f>IF(Table4[[#This Row],[CTR]]&lt;=$B$4,"Normal","High CTR")</f>
        <v>Normal</v>
      </c>
      <c r="R138" s="51" t="str">
        <f>IF(Table4[[#This Row],[ROAS]]&lt;1,"Poor",IF(Table4[[#This Row],[ROAS]]&lt;3,"Average",IF(Table4[[#This Row],[ROAS]]&lt;5,"Good",
"Excellent")))</f>
        <v>Excellent</v>
      </c>
      <c r="S138" s="51" t="str">
        <f>IF(AND(Table4[[#This Row],[USD_Spend]]&gt;=$B$5,Table4[[#This Row],[Sales]]&lt;=$B$6),"Wasted Budget","Spend Justified")</f>
        <v>Spend Justified</v>
      </c>
      <c r="T138" s="51" t="str">
        <f>IF(AND(Table4[[#This Row],[Clicks]]&gt;=$B$7,Table4[[#This Row],[Sales]]&lt;=$B$6),"Poor Monetization","Normal Monitization")</f>
        <v>Normal Monitization</v>
      </c>
    </row>
    <row r="139" spans="1:20" x14ac:dyDescent="0.35">
      <c r="A139" s="41" t="s">
        <v>106</v>
      </c>
      <c r="B139" s="41" t="s">
        <v>35</v>
      </c>
      <c r="C139" s="41" t="s">
        <v>69</v>
      </c>
      <c r="D139" s="41" t="s">
        <v>21</v>
      </c>
      <c r="E139" s="41" t="s">
        <v>38</v>
      </c>
      <c r="F139" s="41">
        <v>1375.92</v>
      </c>
      <c r="G139" s="41">
        <v>631686</v>
      </c>
      <c r="H139" s="41">
        <v>12788</v>
      </c>
      <c r="I139" s="41">
        <v>226570.65</v>
      </c>
      <c r="J139" s="41">
        <v>12</v>
      </c>
      <c r="K139" s="42">
        <f t="shared" ref="K139:K202" si="11">H139/G139</f>
        <v>2.0244235268788605E-2</v>
      </c>
      <c r="L139" s="43">
        <f t="shared" ref="L139:L202" si="12">I139/F139</f>
        <v>164.66847636490493</v>
      </c>
      <c r="M139" s="43">
        <f t="shared" ref="M139:M202" si="13">(I139-F139)/F139</f>
        <v>163.6684763649049</v>
      </c>
      <c r="N139" s="43">
        <f t="shared" ref="N139:N202" si="14">I139/H139</f>
        <v>17.717442133249921</v>
      </c>
      <c r="O139" s="1" t="str">
        <f t="shared" si="10"/>
        <v>Normal</v>
      </c>
      <c r="P139" s="51" t="str">
        <f>IF(Table4[[#This Row],[Sales]]&lt;=$B$3,"Normal","High Revenue")</f>
        <v>Normal</v>
      </c>
      <c r="Q139" s="51" t="str">
        <f>IF(Table4[[#This Row],[CTR]]&lt;=$B$4,"Normal","High CTR")</f>
        <v>Normal</v>
      </c>
      <c r="R139" s="51" t="str">
        <f>IF(Table4[[#This Row],[ROAS]]&lt;1,"Poor",IF(Table4[[#This Row],[ROAS]]&lt;3,"Average",IF(Table4[[#This Row],[ROAS]]&lt;5,"Good",
"Excellent")))</f>
        <v>Excellent</v>
      </c>
      <c r="S139" s="51" t="str">
        <f>IF(AND(Table4[[#This Row],[USD_Spend]]&gt;=$B$5,Table4[[#This Row],[Sales]]&lt;=$B$6),"Wasted Budget","Spend Justified")</f>
        <v>Spend Justified</v>
      </c>
      <c r="T139" s="51" t="str">
        <f>IF(AND(Table4[[#This Row],[Clicks]]&gt;=$B$7,Table4[[#This Row],[Sales]]&lt;=$B$6),"Poor Monetization","Normal Monitization")</f>
        <v>Normal Monitization</v>
      </c>
    </row>
    <row r="140" spans="1:20" x14ac:dyDescent="0.35">
      <c r="A140" s="38" t="s">
        <v>116</v>
      </c>
      <c r="B140" s="38" t="s">
        <v>28</v>
      </c>
      <c r="C140" s="38" t="s">
        <v>69</v>
      </c>
      <c r="D140" s="38" t="s">
        <v>37</v>
      </c>
      <c r="E140" s="38" t="s">
        <v>22</v>
      </c>
      <c r="F140" s="38">
        <v>27869.5</v>
      </c>
      <c r="G140" s="38">
        <v>863779</v>
      </c>
      <c r="H140" s="38">
        <v>9452</v>
      </c>
      <c r="I140" s="38">
        <v>70910.23</v>
      </c>
      <c r="J140" s="38">
        <v>46</v>
      </c>
      <c r="K140" s="39">
        <f t="shared" si="11"/>
        <v>1.0942613793574514E-2</v>
      </c>
      <c r="L140" s="40">
        <f t="shared" si="12"/>
        <v>2.5443667808895025</v>
      </c>
      <c r="M140" s="40">
        <f t="shared" si="13"/>
        <v>1.5443667808895027</v>
      </c>
      <c r="N140" s="40">
        <f t="shared" si="14"/>
        <v>7.5021402877697838</v>
      </c>
      <c r="O140" s="1" t="str">
        <f t="shared" si="10"/>
        <v>Normal</v>
      </c>
      <c r="P140" s="51" t="str">
        <f>IF(Table4[[#This Row],[Sales]]&lt;=$B$3,"Normal","High Revenue")</f>
        <v>Normal</v>
      </c>
      <c r="Q140" s="51" t="str">
        <f>IF(Table4[[#This Row],[CTR]]&lt;=$B$4,"Normal","High CTR")</f>
        <v>Normal</v>
      </c>
      <c r="R140" s="51" t="str">
        <f>IF(Table4[[#This Row],[ROAS]]&lt;1,"Poor",IF(Table4[[#This Row],[ROAS]]&lt;3,"Average",IF(Table4[[#This Row],[ROAS]]&lt;5,"Good",
"Excellent")))</f>
        <v>Average</v>
      </c>
      <c r="S140" s="51" t="str">
        <f>IF(AND(Table4[[#This Row],[USD_Spend]]&gt;=$B$5,Table4[[#This Row],[Sales]]&lt;=$B$6),"Wasted Budget","Spend Justified")</f>
        <v>Spend Justified</v>
      </c>
      <c r="T140" s="51" t="str">
        <f>IF(AND(Table4[[#This Row],[Clicks]]&gt;=$B$7,Table4[[#This Row],[Sales]]&lt;=$B$6),"Poor Monetization","Normal Monitization")</f>
        <v>Normal Monitization</v>
      </c>
    </row>
    <row r="141" spans="1:20" x14ac:dyDescent="0.35">
      <c r="A141" s="41" t="s">
        <v>77</v>
      </c>
      <c r="B141" s="41" t="s">
        <v>19</v>
      </c>
      <c r="C141" s="41" t="s">
        <v>58</v>
      </c>
      <c r="D141" s="41" t="s">
        <v>43</v>
      </c>
      <c r="E141" s="41" t="s">
        <v>22</v>
      </c>
      <c r="F141" s="41">
        <v>19551.5</v>
      </c>
      <c r="G141" s="41">
        <v>338914</v>
      </c>
      <c r="H141" s="41">
        <v>28699</v>
      </c>
      <c r="I141" s="41">
        <v>153521.17000000001</v>
      </c>
      <c r="J141" s="41">
        <v>44</v>
      </c>
      <c r="K141" s="42">
        <f t="shared" si="11"/>
        <v>8.4679299173241587E-2</v>
      </c>
      <c r="L141" s="43">
        <f t="shared" si="12"/>
        <v>7.8521428023425317</v>
      </c>
      <c r="M141" s="43">
        <f t="shared" si="13"/>
        <v>6.8521428023425317</v>
      </c>
      <c r="N141" s="43">
        <f t="shared" si="14"/>
        <v>5.349356075124569</v>
      </c>
      <c r="O141" s="1" t="str">
        <f t="shared" si="10"/>
        <v>Normal</v>
      </c>
      <c r="P141" s="51" t="str">
        <f>IF(Table4[[#This Row],[Sales]]&lt;=$B$3,"Normal","High Revenue")</f>
        <v>Normal</v>
      </c>
      <c r="Q141" s="51" t="str">
        <f>IF(Table4[[#This Row],[CTR]]&lt;=$B$4,"Normal","High CTR")</f>
        <v>Normal</v>
      </c>
      <c r="R141" s="51" t="str">
        <f>IF(Table4[[#This Row],[ROAS]]&lt;1,"Poor",IF(Table4[[#This Row],[ROAS]]&lt;3,"Average",IF(Table4[[#This Row],[ROAS]]&lt;5,"Good",
"Excellent")))</f>
        <v>Excellent</v>
      </c>
      <c r="S141" s="51" t="str">
        <f>IF(AND(Table4[[#This Row],[USD_Spend]]&gt;=$B$5,Table4[[#This Row],[Sales]]&lt;=$B$6),"Wasted Budget","Spend Justified")</f>
        <v>Spend Justified</v>
      </c>
      <c r="T141" s="51" t="str">
        <f>IF(AND(Table4[[#This Row],[Clicks]]&gt;=$B$7,Table4[[#This Row],[Sales]]&lt;=$B$6),"Poor Monetization","Normal Monitization")</f>
        <v>Normal Monitization</v>
      </c>
    </row>
    <row r="142" spans="1:20" x14ac:dyDescent="0.35">
      <c r="A142" s="38" t="s">
        <v>94</v>
      </c>
      <c r="B142" s="38" t="s">
        <v>48</v>
      </c>
      <c r="C142" s="38" t="s">
        <v>36</v>
      </c>
      <c r="D142" s="38" t="s">
        <v>51</v>
      </c>
      <c r="E142" s="38" t="s">
        <v>30</v>
      </c>
      <c r="F142" s="38">
        <v>15820.39</v>
      </c>
      <c r="G142" s="38">
        <v>948206</v>
      </c>
      <c r="H142" s="38">
        <v>20065</v>
      </c>
      <c r="I142" s="38">
        <v>27844.17</v>
      </c>
      <c r="J142" s="38">
        <v>27</v>
      </c>
      <c r="K142" s="39">
        <f t="shared" si="11"/>
        <v>2.1161013535033527E-2</v>
      </c>
      <c r="L142" s="40">
        <f t="shared" si="12"/>
        <v>1.7600179262331712</v>
      </c>
      <c r="M142" s="40">
        <f t="shared" si="13"/>
        <v>0.76001792623317121</v>
      </c>
      <c r="N142" s="40">
        <f t="shared" si="14"/>
        <v>1.3876984799401944</v>
      </c>
      <c r="O142" s="1" t="str">
        <f t="shared" si="10"/>
        <v>Normal</v>
      </c>
      <c r="P142" s="51" t="str">
        <f>IF(Table4[[#This Row],[Sales]]&lt;=$B$3,"Normal","High Revenue")</f>
        <v>Normal</v>
      </c>
      <c r="Q142" s="51" t="str">
        <f>IF(Table4[[#This Row],[CTR]]&lt;=$B$4,"Normal","High CTR")</f>
        <v>Normal</v>
      </c>
      <c r="R142" s="51" t="str">
        <f>IF(Table4[[#This Row],[ROAS]]&lt;1,"Poor",IF(Table4[[#This Row],[ROAS]]&lt;3,"Average",IF(Table4[[#This Row],[ROAS]]&lt;5,"Good",
"Excellent")))</f>
        <v>Average</v>
      </c>
      <c r="S142" s="51" t="str">
        <f>IF(AND(Table4[[#This Row],[USD_Spend]]&gt;=$B$5,Table4[[#This Row],[Sales]]&lt;=$B$6),"Wasted Budget","Spend Justified")</f>
        <v>Wasted Budget</v>
      </c>
      <c r="T142" s="51" t="str">
        <f>IF(AND(Table4[[#This Row],[Clicks]]&gt;=$B$7,Table4[[#This Row],[Sales]]&lt;=$B$6),"Poor Monetization","Normal Monitization")</f>
        <v>Normal Monitization</v>
      </c>
    </row>
    <row r="143" spans="1:20" x14ac:dyDescent="0.35">
      <c r="A143" s="41" t="s">
        <v>119</v>
      </c>
      <c r="B143" s="41" t="s">
        <v>35</v>
      </c>
      <c r="C143" s="41" t="s">
        <v>36</v>
      </c>
      <c r="D143" s="41" t="s">
        <v>37</v>
      </c>
      <c r="E143" s="41" t="s">
        <v>22</v>
      </c>
      <c r="F143" s="41">
        <v>14383.28</v>
      </c>
      <c r="G143" s="41">
        <v>653790</v>
      </c>
      <c r="H143" s="41">
        <v>42261</v>
      </c>
      <c r="I143" s="41">
        <v>31031.18</v>
      </c>
      <c r="J143" s="41">
        <v>15</v>
      </c>
      <c r="K143" s="42">
        <f t="shared" si="11"/>
        <v>6.4640022025421004E-2</v>
      </c>
      <c r="L143" s="43">
        <f t="shared" si="12"/>
        <v>2.1574480925074111</v>
      </c>
      <c r="M143" s="43">
        <f t="shared" si="13"/>
        <v>1.1574480925074115</v>
      </c>
      <c r="N143" s="43">
        <f t="shared" si="14"/>
        <v>0.73427462672440313</v>
      </c>
      <c r="O143" s="1" t="str">
        <f t="shared" si="10"/>
        <v>Normal</v>
      </c>
      <c r="P143" s="51" t="str">
        <f>IF(Table4[[#This Row],[Sales]]&lt;=$B$3,"Normal","High Revenue")</f>
        <v>Normal</v>
      </c>
      <c r="Q143" s="51" t="str">
        <f>IF(Table4[[#This Row],[CTR]]&lt;=$B$4,"Normal","High CTR")</f>
        <v>Normal</v>
      </c>
      <c r="R143" s="51" t="str">
        <f>IF(Table4[[#This Row],[ROAS]]&lt;1,"Poor",IF(Table4[[#This Row],[ROAS]]&lt;3,"Average",IF(Table4[[#This Row],[ROAS]]&lt;5,"Good",
"Excellent")))</f>
        <v>Average</v>
      </c>
      <c r="S143" s="51" t="str">
        <f>IF(AND(Table4[[#This Row],[USD_Spend]]&gt;=$B$5,Table4[[#This Row],[Sales]]&lt;=$B$6),"Wasted Budget","Spend Justified")</f>
        <v>Wasted Budget</v>
      </c>
      <c r="T143" s="51" t="str">
        <f>IF(AND(Table4[[#This Row],[Clicks]]&gt;=$B$7,Table4[[#This Row],[Sales]]&lt;=$B$6),"Poor Monetization","Normal Monitization")</f>
        <v>Poor Monetization</v>
      </c>
    </row>
    <row r="144" spans="1:20" x14ac:dyDescent="0.35">
      <c r="A144" s="38" t="s">
        <v>79</v>
      </c>
      <c r="B144" s="38" t="s">
        <v>35</v>
      </c>
      <c r="C144" s="38" t="s">
        <v>69</v>
      </c>
      <c r="D144" s="38" t="s">
        <v>63</v>
      </c>
      <c r="E144" s="38" t="s">
        <v>38</v>
      </c>
      <c r="F144" s="38">
        <v>6776.3</v>
      </c>
      <c r="G144" s="38">
        <v>558171</v>
      </c>
      <c r="H144" s="38">
        <v>10146</v>
      </c>
      <c r="I144" s="38">
        <v>33846.839999999997</v>
      </c>
      <c r="J144" s="38">
        <v>13</v>
      </c>
      <c r="K144" s="39">
        <f t="shared" si="11"/>
        <v>1.8177225258926028E-2</v>
      </c>
      <c r="L144" s="40">
        <f t="shared" si="12"/>
        <v>4.9948851142954114</v>
      </c>
      <c r="M144" s="40">
        <f t="shared" si="13"/>
        <v>3.9948851142954114</v>
      </c>
      <c r="N144" s="40">
        <f t="shared" si="14"/>
        <v>3.3359787108219985</v>
      </c>
      <c r="O144" s="1" t="str">
        <f t="shared" si="10"/>
        <v>Normal</v>
      </c>
      <c r="P144" s="51" t="str">
        <f>IF(Table4[[#This Row],[Sales]]&lt;=$B$3,"Normal","High Revenue")</f>
        <v>Normal</v>
      </c>
      <c r="Q144" s="51" t="str">
        <f>IF(Table4[[#This Row],[CTR]]&lt;=$B$4,"Normal","High CTR")</f>
        <v>Normal</v>
      </c>
      <c r="R144" s="51" t="str">
        <f>IF(Table4[[#This Row],[ROAS]]&lt;1,"Poor",IF(Table4[[#This Row],[ROAS]]&lt;3,"Average",IF(Table4[[#This Row],[ROAS]]&lt;5,"Good",
"Excellent")))</f>
        <v>Good</v>
      </c>
      <c r="S144" s="51" t="str">
        <f>IF(AND(Table4[[#This Row],[USD_Spend]]&gt;=$B$5,Table4[[#This Row],[Sales]]&lt;=$B$6),"Wasted Budget","Spend Justified")</f>
        <v>Wasted Budget</v>
      </c>
      <c r="T144" s="51" t="str">
        <f>IF(AND(Table4[[#This Row],[Clicks]]&gt;=$B$7,Table4[[#This Row],[Sales]]&lt;=$B$6),"Poor Monetization","Normal Monitization")</f>
        <v>Normal Monitization</v>
      </c>
    </row>
    <row r="145" spans="1:20" x14ac:dyDescent="0.35">
      <c r="A145" s="41" t="s">
        <v>115</v>
      </c>
      <c r="B145" s="41" t="s">
        <v>19</v>
      </c>
      <c r="C145" s="41" t="s">
        <v>69</v>
      </c>
      <c r="D145" s="41" t="s">
        <v>51</v>
      </c>
      <c r="E145" s="41" t="s">
        <v>22</v>
      </c>
      <c r="F145" s="41">
        <v>17421.830000000002</v>
      </c>
      <c r="G145" s="41">
        <v>104458</v>
      </c>
      <c r="H145" s="41">
        <v>33635</v>
      </c>
      <c r="I145" s="41">
        <v>23386.81</v>
      </c>
      <c r="J145" s="41">
        <v>59</v>
      </c>
      <c r="K145" s="42">
        <f t="shared" si="11"/>
        <v>0.32199544314461315</v>
      </c>
      <c r="L145" s="43">
        <f t="shared" si="12"/>
        <v>1.3423853866097877</v>
      </c>
      <c r="M145" s="43">
        <f t="shared" si="13"/>
        <v>0.34238538660978779</v>
      </c>
      <c r="N145" s="43">
        <f t="shared" si="14"/>
        <v>0.69531172885387249</v>
      </c>
      <c r="O145" s="1" t="str">
        <f t="shared" si="10"/>
        <v>Normal</v>
      </c>
      <c r="P145" s="51" t="str">
        <f>IF(Table4[[#This Row],[Sales]]&lt;=$B$3,"Normal","High Revenue")</f>
        <v>Normal</v>
      </c>
      <c r="Q145" s="51" t="str">
        <f>IF(Table4[[#This Row],[CTR]]&lt;=$B$4,"Normal","High CTR")</f>
        <v>Normal</v>
      </c>
      <c r="R145" s="51" t="str">
        <f>IF(Table4[[#This Row],[ROAS]]&lt;1,"Poor",IF(Table4[[#This Row],[ROAS]]&lt;3,"Average",IF(Table4[[#This Row],[ROAS]]&lt;5,"Good",
"Excellent")))</f>
        <v>Average</v>
      </c>
      <c r="S145" s="51" t="str">
        <f>IF(AND(Table4[[#This Row],[USD_Spend]]&gt;=$B$5,Table4[[#This Row],[Sales]]&lt;=$B$6),"Wasted Budget","Spend Justified")</f>
        <v>Wasted Budget</v>
      </c>
      <c r="T145" s="51" t="str">
        <f>IF(AND(Table4[[#This Row],[Clicks]]&gt;=$B$7,Table4[[#This Row],[Sales]]&lt;=$B$6),"Poor Monetization","Normal Monitization")</f>
        <v>Normal Monitization</v>
      </c>
    </row>
    <row r="146" spans="1:20" x14ac:dyDescent="0.35">
      <c r="A146" s="38" t="s">
        <v>71</v>
      </c>
      <c r="B146" s="38" t="s">
        <v>28</v>
      </c>
      <c r="C146" s="38" t="s">
        <v>36</v>
      </c>
      <c r="D146" s="38" t="s">
        <v>37</v>
      </c>
      <c r="E146" s="38" t="s">
        <v>38</v>
      </c>
      <c r="F146" s="38">
        <v>5569.1</v>
      </c>
      <c r="G146" s="38">
        <v>60068</v>
      </c>
      <c r="H146" s="38">
        <v>15726</v>
      </c>
      <c r="I146" s="38">
        <v>107857.26</v>
      </c>
      <c r="J146" s="38">
        <v>55</v>
      </c>
      <c r="K146" s="39">
        <f t="shared" si="11"/>
        <v>0.26180328960511423</v>
      </c>
      <c r="L146" s="40">
        <f t="shared" si="12"/>
        <v>19.367089834982313</v>
      </c>
      <c r="M146" s="40">
        <f t="shared" si="13"/>
        <v>18.367089834982309</v>
      </c>
      <c r="N146" s="40">
        <f t="shared" si="14"/>
        <v>6.8585310950019069</v>
      </c>
      <c r="O146" s="1" t="str">
        <f t="shared" si="10"/>
        <v>Normal</v>
      </c>
      <c r="P146" s="51" t="str">
        <f>IF(Table4[[#This Row],[Sales]]&lt;=$B$3,"Normal","High Revenue")</f>
        <v>Normal</v>
      </c>
      <c r="Q146" s="51" t="str">
        <f>IF(Table4[[#This Row],[CTR]]&lt;=$B$4,"Normal","High CTR")</f>
        <v>Normal</v>
      </c>
      <c r="R146" s="51" t="str">
        <f>IF(Table4[[#This Row],[ROAS]]&lt;1,"Poor",IF(Table4[[#This Row],[ROAS]]&lt;3,"Average",IF(Table4[[#This Row],[ROAS]]&lt;5,"Good",
"Excellent")))</f>
        <v>Excellent</v>
      </c>
      <c r="S146" s="51" t="str">
        <f>IF(AND(Table4[[#This Row],[USD_Spend]]&gt;=$B$5,Table4[[#This Row],[Sales]]&lt;=$B$6),"Wasted Budget","Spend Justified")</f>
        <v>Spend Justified</v>
      </c>
      <c r="T146" s="51" t="str">
        <f>IF(AND(Table4[[#This Row],[Clicks]]&gt;=$B$7,Table4[[#This Row],[Sales]]&lt;=$B$6),"Poor Monetization","Normal Monitization")</f>
        <v>Normal Monitization</v>
      </c>
    </row>
    <row r="147" spans="1:20" x14ac:dyDescent="0.35">
      <c r="A147" s="41" t="s">
        <v>100</v>
      </c>
      <c r="B147" s="41" t="s">
        <v>35</v>
      </c>
      <c r="C147" s="41" t="s">
        <v>36</v>
      </c>
      <c r="D147" s="41" t="s">
        <v>63</v>
      </c>
      <c r="E147" s="41" t="s">
        <v>30</v>
      </c>
      <c r="F147" s="41">
        <v>4183.55</v>
      </c>
      <c r="G147" s="41">
        <v>981746</v>
      </c>
      <c r="H147" s="41">
        <v>9778</v>
      </c>
      <c r="I147" s="41">
        <v>217844.33</v>
      </c>
      <c r="J147" s="41">
        <v>53</v>
      </c>
      <c r="K147" s="42">
        <f t="shared" si="11"/>
        <v>9.9598063042782969E-3</v>
      </c>
      <c r="L147" s="43">
        <f t="shared" si="12"/>
        <v>52.071644894885914</v>
      </c>
      <c r="M147" s="43">
        <f t="shared" si="13"/>
        <v>51.071644894885921</v>
      </c>
      <c r="N147" s="43">
        <f t="shared" si="14"/>
        <v>22.279027408467989</v>
      </c>
      <c r="O147" s="1" t="str">
        <f t="shared" si="10"/>
        <v>Normal</v>
      </c>
      <c r="P147" s="51" t="str">
        <f>IF(Table4[[#This Row],[Sales]]&lt;=$B$3,"Normal","High Revenue")</f>
        <v>Normal</v>
      </c>
      <c r="Q147" s="51" t="str">
        <f>IF(Table4[[#This Row],[CTR]]&lt;=$B$4,"Normal","High CTR")</f>
        <v>Normal</v>
      </c>
      <c r="R147" s="51" t="str">
        <f>IF(Table4[[#This Row],[ROAS]]&lt;1,"Poor",IF(Table4[[#This Row],[ROAS]]&lt;3,"Average",IF(Table4[[#This Row],[ROAS]]&lt;5,"Good",
"Excellent")))</f>
        <v>Excellent</v>
      </c>
      <c r="S147" s="51" t="str">
        <f>IF(AND(Table4[[#This Row],[USD_Spend]]&gt;=$B$5,Table4[[#This Row],[Sales]]&lt;=$B$6),"Wasted Budget","Spend Justified")</f>
        <v>Spend Justified</v>
      </c>
      <c r="T147" s="51" t="str">
        <f>IF(AND(Table4[[#This Row],[Clicks]]&gt;=$B$7,Table4[[#This Row],[Sales]]&lt;=$B$6),"Poor Monetization","Normal Monitization")</f>
        <v>Normal Monitization</v>
      </c>
    </row>
    <row r="148" spans="1:20" x14ac:dyDescent="0.35">
      <c r="A148" s="38" t="s">
        <v>96</v>
      </c>
      <c r="B148" s="38" t="s">
        <v>35</v>
      </c>
      <c r="C148" s="38" t="s">
        <v>69</v>
      </c>
      <c r="D148" s="38" t="s">
        <v>43</v>
      </c>
      <c r="E148" s="38" t="s">
        <v>30</v>
      </c>
      <c r="F148" s="38">
        <v>7475.46</v>
      </c>
      <c r="G148" s="38">
        <v>201059</v>
      </c>
      <c r="H148" s="38">
        <v>25852</v>
      </c>
      <c r="I148" s="38">
        <v>16088.39</v>
      </c>
      <c r="J148" s="38">
        <v>53</v>
      </c>
      <c r="K148" s="39">
        <f t="shared" si="11"/>
        <v>0.12857917327749566</v>
      </c>
      <c r="L148" s="40">
        <f t="shared" si="12"/>
        <v>2.1521605359402631</v>
      </c>
      <c r="M148" s="40">
        <f t="shared" si="13"/>
        <v>1.1521605359402631</v>
      </c>
      <c r="N148" s="40">
        <f t="shared" si="14"/>
        <v>0.62232670586414973</v>
      </c>
      <c r="O148" s="1" t="str">
        <f t="shared" si="10"/>
        <v>Normal</v>
      </c>
      <c r="P148" s="51" t="str">
        <f>IF(Table4[[#This Row],[Sales]]&lt;=$B$3,"Normal","High Revenue")</f>
        <v>Normal</v>
      </c>
      <c r="Q148" s="51" t="str">
        <f>IF(Table4[[#This Row],[CTR]]&lt;=$B$4,"Normal","High CTR")</f>
        <v>Normal</v>
      </c>
      <c r="R148" s="51" t="str">
        <f>IF(Table4[[#This Row],[ROAS]]&lt;1,"Poor",IF(Table4[[#This Row],[ROAS]]&lt;3,"Average",IF(Table4[[#This Row],[ROAS]]&lt;5,"Good",
"Excellent")))</f>
        <v>Average</v>
      </c>
      <c r="S148" s="51" t="str">
        <f>IF(AND(Table4[[#This Row],[USD_Spend]]&gt;=$B$5,Table4[[#This Row],[Sales]]&lt;=$B$6),"Wasted Budget","Spend Justified")</f>
        <v>Wasted Budget</v>
      </c>
      <c r="T148" s="51" t="str">
        <f>IF(AND(Table4[[#This Row],[Clicks]]&gt;=$B$7,Table4[[#This Row],[Sales]]&lt;=$B$6),"Poor Monetization","Normal Monitization")</f>
        <v>Normal Monitization</v>
      </c>
    </row>
    <row r="149" spans="1:20" x14ac:dyDescent="0.35">
      <c r="A149" s="41" t="s">
        <v>86</v>
      </c>
      <c r="B149" s="41" t="s">
        <v>28</v>
      </c>
      <c r="C149" s="41" t="s">
        <v>29</v>
      </c>
      <c r="D149" s="41" t="s">
        <v>21</v>
      </c>
      <c r="E149" s="41" t="s">
        <v>38</v>
      </c>
      <c r="F149" s="41">
        <v>12912.63</v>
      </c>
      <c r="G149" s="41">
        <v>198667</v>
      </c>
      <c r="H149" s="41">
        <v>44776</v>
      </c>
      <c r="I149" s="41">
        <v>193066.39</v>
      </c>
      <c r="J149" s="41">
        <v>42</v>
      </c>
      <c r="K149" s="42">
        <f t="shared" si="11"/>
        <v>0.22538217217756346</v>
      </c>
      <c r="L149" s="43">
        <f t="shared" si="12"/>
        <v>14.95174801725133</v>
      </c>
      <c r="M149" s="43">
        <f t="shared" si="13"/>
        <v>13.951748017251328</v>
      </c>
      <c r="N149" s="43">
        <f t="shared" si="14"/>
        <v>4.3118275415401115</v>
      </c>
      <c r="O149" s="1" t="str">
        <f t="shared" si="10"/>
        <v>Normal</v>
      </c>
      <c r="P149" s="51" t="str">
        <f>IF(Table4[[#This Row],[Sales]]&lt;=$B$3,"Normal","High Revenue")</f>
        <v>Normal</v>
      </c>
      <c r="Q149" s="51" t="str">
        <f>IF(Table4[[#This Row],[CTR]]&lt;=$B$4,"Normal","High CTR")</f>
        <v>Normal</v>
      </c>
      <c r="R149" s="51" t="str">
        <f>IF(Table4[[#This Row],[ROAS]]&lt;1,"Poor",IF(Table4[[#This Row],[ROAS]]&lt;3,"Average",IF(Table4[[#This Row],[ROAS]]&lt;5,"Good",
"Excellent")))</f>
        <v>Excellent</v>
      </c>
      <c r="S149" s="51" t="str">
        <f>IF(AND(Table4[[#This Row],[USD_Spend]]&gt;=$B$5,Table4[[#This Row],[Sales]]&lt;=$B$6),"Wasted Budget","Spend Justified")</f>
        <v>Spend Justified</v>
      </c>
      <c r="T149" s="51" t="str">
        <f>IF(AND(Table4[[#This Row],[Clicks]]&gt;=$B$7,Table4[[#This Row],[Sales]]&lt;=$B$6),"Poor Monetization","Normal Monitization")</f>
        <v>Normal Monitization</v>
      </c>
    </row>
    <row r="150" spans="1:20" x14ac:dyDescent="0.35">
      <c r="A150" s="38" t="s">
        <v>95</v>
      </c>
      <c r="B150" s="38" t="s">
        <v>35</v>
      </c>
      <c r="C150" s="38" t="s">
        <v>58</v>
      </c>
      <c r="D150" s="38" t="s">
        <v>59</v>
      </c>
      <c r="E150" s="38" t="s">
        <v>30</v>
      </c>
      <c r="F150" s="38">
        <v>22373.33</v>
      </c>
      <c r="G150" s="38">
        <v>415785</v>
      </c>
      <c r="H150" s="38">
        <v>36909</v>
      </c>
      <c r="I150" s="38">
        <v>33851.440000000002</v>
      </c>
      <c r="J150" s="38">
        <v>7</v>
      </c>
      <c r="K150" s="39">
        <f t="shared" si="11"/>
        <v>8.8769436126844403E-2</v>
      </c>
      <c r="L150" s="40">
        <f t="shared" si="12"/>
        <v>1.5130264471135946</v>
      </c>
      <c r="M150" s="40">
        <f t="shared" si="13"/>
        <v>0.51302644711359457</v>
      </c>
      <c r="N150" s="40">
        <f t="shared" si="14"/>
        <v>0.91715950039285821</v>
      </c>
      <c r="O150" s="1" t="str">
        <f t="shared" si="10"/>
        <v>Normal</v>
      </c>
      <c r="P150" s="51" t="str">
        <f>IF(Table4[[#This Row],[Sales]]&lt;=$B$3,"Normal","High Revenue")</f>
        <v>Normal</v>
      </c>
      <c r="Q150" s="51" t="str">
        <f>IF(Table4[[#This Row],[CTR]]&lt;=$B$4,"Normal","High CTR")</f>
        <v>Normal</v>
      </c>
      <c r="R150" s="51" t="str">
        <f>IF(Table4[[#This Row],[ROAS]]&lt;1,"Poor",IF(Table4[[#This Row],[ROAS]]&lt;3,"Average",IF(Table4[[#This Row],[ROAS]]&lt;5,"Good",
"Excellent")))</f>
        <v>Average</v>
      </c>
      <c r="S150" s="51" t="str">
        <f>IF(AND(Table4[[#This Row],[USD_Spend]]&gt;=$B$5,Table4[[#This Row],[Sales]]&lt;=$B$6),"Wasted Budget","Spend Justified")</f>
        <v>Wasted Budget</v>
      </c>
      <c r="T150" s="51" t="str">
        <f>IF(AND(Table4[[#This Row],[Clicks]]&gt;=$B$7,Table4[[#This Row],[Sales]]&lt;=$B$6),"Poor Monetization","Normal Monitization")</f>
        <v>Normal Monitization</v>
      </c>
    </row>
    <row r="151" spans="1:20" x14ac:dyDescent="0.35">
      <c r="A151" s="41" t="s">
        <v>81</v>
      </c>
      <c r="B151" s="41" t="s">
        <v>48</v>
      </c>
      <c r="C151" s="41" t="s">
        <v>58</v>
      </c>
      <c r="D151" s="41" t="s">
        <v>21</v>
      </c>
      <c r="E151" s="41" t="s">
        <v>38</v>
      </c>
      <c r="F151" s="41">
        <v>174.95</v>
      </c>
      <c r="G151" s="41">
        <v>526554</v>
      </c>
      <c r="H151" s="41">
        <v>7710</v>
      </c>
      <c r="I151" s="41">
        <v>28812.04</v>
      </c>
      <c r="J151" s="41">
        <v>14</v>
      </c>
      <c r="K151" s="42">
        <f t="shared" si="11"/>
        <v>1.4642372862042639E-2</v>
      </c>
      <c r="L151" s="43">
        <f t="shared" si="12"/>
        <v>164.68728208059446</v>
      </c>
      <c r="M151" s="43">
        <f t="shared" si="13"/>
        <v>163.68728208059446</v>
      </c>
      <c r="N151" s="43">
        <f t="shared" si="14"/>
        <v>3.7369701686121921</v>
      </c>
      <c r="O151" s="1" t="str">
        <f t="shared" si="10"/>
        <v>Normal</v>
      </c>
      <c r="P151" s="51" t="str">
        <f>IF(Table4[[#This Row],[Sales]]&lt;=$B$3,"Normal","High Revenue")</f>
        <v>Normal</v>
      </c>
      <c r="Q151" s="51" t="str">
        <f>IF(Table4[[#This Row],[CTR]]&lt;=$B$4,"Normal","High CTR")</f>
        <v>Normal</v>
      </c>
      <c r="R151" s="51" t="str">
        <f>IF(Table4[[#This Row],[ROAS]]&lt;1,"Poor",IF(Table4[[#This Row],[ROAS]]&lt;3,"Average",IF(Table4[[#This Row],[ROAS]]&lt;5,"Good",
"Excellent")))</f>
        <v>Excellent</v>
      </c>
      <c r="S151" s="51" t="str">
        <f>IF(AND(Table4[[#This Row],[USD_Spend]]&gt;=$B$5,Table4[[#This Row],[Sales]]&lt;=$B$6),"Wasted Budget","Spend Justified")</f>
        <v>Spend Justified</v>
      </c>
      <c r="T151" s="51" t="str">
        <f>IF(AND(Table4[[#This Row],[Clicks]]&gt;=$B$7,Table4[[#This Row],[Sales]]&lt;=$B$6),"Poor Monetization","Normal Monitization")</f>
        <v>Normal Monitization</v>
      </c>
    </row>
    <row r="152" spans="1:20" x14ac:dyDescent="0.35">
      <c r="A152" s="38" t="s">
        <v>64</v>
      </c>
      <c r="B152" s="38" t="s">
        <v>35</v>
      </c>
      <c r="C152" s="38" t="s">
        <v>36</v>
      </c>
      <c r="D152" s="38" t="s">
        <v>59</v>
      </c>
      <c r="E152" s="38" t="s">
        <v>30</v>
      </c>
      <c r="F152" s="38">
        <v>29115.27</v>
      </c>
      <c r="G152" s="38">
        <v>653830</v>
      </c>
      <c r="H152" s="38">
        <v>39421</v>
      </c>
      <c r="I152" s="38">
        <v>138888.28</v>
      </c>
      <c r="J152" s="38">
        <v>27</v>
      </c>
      <c r="K152" s="39">
        <f t="shared" si="11"/>
        <v>6.0292430754171573E-2</v>
      </c>
      <c r="L152" s="40">
        <f t="shared" si="12"/>
        <v>4.7702899543778914</v>
      </c>
      <c r="M152" s="40">
        <f t="shared" si="13"/>
        <v>3.7702899543778914</v>
      </c>
      <c r="N152" s="40">
        <f t="shared" si="14"/>
        <v>3.5232053981380482</v>
      </c>
      <c r="O152" s="1" t="str">
        <f t="shared" si="10"/>
        <v>Normal</v>
      </c>
      <c r="P152" s="51" t="str">
        <f>IF(Table4[[#This Row],[Sales]]&lt;=$B$3,"Normal","High Revenue")</f>
        <v>Normal</v>
      </c>
      <c r="Q152" s="51" t="str">
        <f>IF(Table4[[#This Row],[CTR]]&lt;=$B$4,"Normal","High CTR")</f>
        <v>Normal</v>
      </c>
      <c r="R152" s="51" t="str">
        <f>IF(Table4[[#This Row],[ROAS]]&lt;1,"Poor",IF(Table4[[#This Row],[ROAS]]&lt;3,"Average",IF(Table4[[#This Row],[ROAS]]&lt;5,"Good",
"Excellent")))</f>
        <v>Good</v>
      </c>
      <c r="S152" s="51" t="str">
        <f>IF(AND(Table4[[#This Row],[USD_Spend]]&gt;=$B$5,Table4[[#This Row],[Sales]]&lt;=$B$6),"Wasted Budget","Spend Justified")</f>
        <v>Spend Justified</v>
      </c>
      <c r="T152" s="51" t="str">
        <f>IF(AND(Table4[[#This Row],[Clicks]]&gt;=$B$7,Table4[[#This Row],[Sales]]&lt;=$B$6),"Poor Monetization","Normal Monitization")</f>
        <v>Normal Monitization</v>
      </c>
    </row>
    <row r="153" spans="1:20" x14ac:dyDescent="0.35">
      <c r="A153" s="41" t="s">
        <v>110</v>
      </c>
      <c r="B153" s="41" t="s">
        <v>28</v>
      </c>
      <c r="C153" s="41" t="s">
        <v>20</v>
      </c>
      <c r="D153" s="41" t="s">
        <v>63</v>
      </c>
      <c r="E153" s="41" t="s">
        <v>30</v>
      </c>
      <c r="F153" s="41">
        <v>51079.64</v>
      </c>
      <c r="G153" s="41">
        <v>949090</v>
      </c>
      <c r="H153" s="41">
        <v>2940</v>
      </c>
      <c r="I153" s="41">
        <v>153104.06</v>
      </c>
      <c r="J153" s="41">
        <v>29</v>
      </c>
      <c r="K153" s="42">
        <f t="shared" si="11"/>
        <v>3.0977041165748242E-3</v>
      </c>
      <c r="L153" s="43">
        <f t="shared" si="12"/>
        <v>2.9973598091137683</v>
      </c>
      <c r="M153" s="43">
        <f t="shared" si="13"/>
        <v>1.9973598091137683</v>
      </c>
      <c r="N153" s="43">
        <f t="shared" si="14"/>
        <v>52.076210884353742</v>
      </c>
      <c r="O153" s="1" t="str">
        <f t="shared" si="10"/>
        <v>High Spend</v>
      </c>
      <c r="P153" s="51" t="str">
        <f>IF(Table4[[#This Row],[Sales]]&lt;=$B$3,"Normal","High Revenue")</f>
        <v>Normal</v>
      </c>
      <c r="Q153" s="51" t="str">
        <f>IF(Table4[[#This Row],[CTR]]&lt;=$B$4,"Normal","High CTR")</f>
        <v>Normal</v>
      </c>
      <c r="R153" s="51" t="str">
        <f>IF(Table4[[#This Row],[ROAS]]&lt;1,"Poor",IF(Table4[[#This Row],[ROAS]]&lt;3,"Average",IF(Table4[[#This Row],[ROAS]]&lt;5,"Good",
"Excellent")))</f>
        <v>Average</v>
      </c>
      <c r="S153" s="51" t="str">
        <f>IF(AND(Table4[[#This Row],[USD_Spend]]&gt;=$B$5,Table4[[#This Row],[Sales]]&lt;=$B$6),"Wasted Budget","Spend Justified")</f>
        <v>Spend Justified</v>
      </c>
      <c r="T153" s="51" t="str">
        <f>IF(AND(Table4[[#This Row],[Clicks]]&gt;=$B$7,Table4[[#This Row],[Sales]]&lt;=$B$6),"Poor Monetization","Normal Monitization")</f>
        <v>Normal Monitization</v>
      </c>
    </row>
    <row r="154" spans="1:20" x14ac:dyDescent="0.35">
      <c r="A154" s="38" t="s">
        <v>64</v>
      </c>
      <c r="B154" s="38" t="s">
        <v>19</v>
      </c>
      <c r="C154" s="38" t="s">
        <v>69</v>
      </c>
      <c r="D154" s="38" t="s">
        <v>59</v>
      </c>
      <c r="E154" s="38" t="s">
        <v>38</v>
      </c>
      <c r="F154" s="38">
        <v>17031.439999999999</v>
      </c>
      <c r="G154" s="38">
        <v>116663</v>
      </c>
      <c r="H154" s="38">
        <v>48690</v>
      </c>
      <c r="I154" s="38">
        <v>231696.13</v>
      </c>
      <c r="J154" s="38">
        <v>15</v>
      </c>
      <c r="K154" s="39">
        <f t="shared" si="11"/>
        <v>0.41735597404489855</v>
      </c>
      <c r="L154" s="40">
        <f t="shared" si="12"/>
        <v>13.604024674366936</v>
      </c>
      <c r="M154" s="40">
        <f t="shared" si="13"/>
        <v>12.604024674366936</v>
      </c>
      <c r="N154" s="40">
        <f t="shared" si="14"/>
        <v>4.7585978640377906</v>
      </c>
      <c r="O154" s="1" t="str">
        <f t="shared" si="10"/>
        <v>Normal</v>
      </c>
      <c r="P154" s="51" t="str">
        <f>IF(Table4[[#This Row],[Sales]]&lt;=$B$3,"Normal","High Revenue")</f>
        <v>Normal</v>
      </c>
      <c r="Q154" s="51" t="str">
        <f>IF(Table4[[#This Row],[CTR]]&lt;=$B$4,"Normal","High CTR")</f>
        <v>High CTR</v>
      </c>
      <c r="R154" s="51" t="str">
        <f>IF(Table4[[#This Row],[ROAS]]&lt;1,"Poor",IF(Table4[[#This Row],[ROAS]]&lt;3,"Average",IF(Table4[[#This Row],[ROAS]]&lt;5,"Good",
"Excellent")))</f>
        <v>Excellent</v>
      </c>
      <c r="S154" s="51" t="str">
        <f>IF(AND(Table4[[#This Row],[USD_Spend]]&gt;=$B$5,Table4[[#This Row],[Sales]]&lt;=$B$6),"Wasted Budget","Spend Justified")</f>
        <v>Spend Justified</v>
      </c>
      <c r="T154" s="51" t="str">
        <f>IF(AND(Table4[[#This Row],[Clicks]]&gt;=$B$7,Table4[[#This Row],[Sales]]&lt;=$B$6),"Poor Monetization","Normal Monitization")</f>
        <v>Normal Monitization</v>
      </c>
    </row>
    <row r="155" spans="1:20" x14ac:dyDescent="0.35">
      <c r="A155" s="41" t="s">
        <v>106</v>
      </c>
      <c r="B155" s="41" t="s">
        <v>19</v>
      </c>
      <c r="C155" s="41" t="s">
        <v>58</v>
      </c>
      <c r="D155" s="41" t="s">
        <v>37</v>
      </c>
      <c r="E155" s="41" t="s">
        <v>30</v>
      </c>
      <c r="F155" s="41">
        <v>26209.56</v>
      </c>
      <c r="G155" s="41">
        <v>185284</v>
      </c>
      <c r="H155" s="41">
        <v>13986</v>
      </c>
      <c r="I155" s="41">
        <v>203072.88</v>
      </c>
      <c r="J155" s="41">
        <v>54</v>
      </c>
      <c r="K155" s="42">
        <f t="shared" si="11"/>
        <v>7.5484121672675458E-2</v>
      </c>
      <c r="L155" s="43">
        <f t="shared" si="12"/>
        <v>7.7480461327851362</v>
      </c>
      <c r="M155" s="43">
        <f t="shared" si="13"/>
        <v>6.7480461327851362</v>
      </c>
      <c r="N155" s="43">
        <f t="shared" si="14"/>
        <v>14.519725439725439</v>
      </c>
      <c r="O155" s="1" t="str">
        <f t="shared" si="10"/>
        <v>Normal</v>
      </c>
      <c r="P155" s="51" t="str">
        <f>IF(Table4[[#This Row],[Sales]]&lt;=$B$3,"Normal","High Revenue")</f>
        <v>Normal</v>
      </c>
      <c r="Q155" s="51" t="str">
        <f>IF(Table4[[#This Row],[CTR]]&lt;=$B$4,"Normal","High CTR")</f>
        <v>Normal</v>
      </c>
      <c r="R155" s="51" t="str">
        <f>IF(Table4[[#This Row],[ROAS]]&lt;1,"Poor",IF(Table4[[#This Row],[ROAS]]&lt;3,"Average",IF(Table4[[#This Row],[ROAS]]&lt;5,"Good",
"Excellent")))</f>
        <v>Excellent</v>
      </c>
      <c r="S155" s="51" t="str">
        <f>IF(AND(Table4[[#This Row],[USD_Spend]]&gt;=$B$5,Table4[[#This Row],[Sales]]&lt;=$B$6),"Wasted Budget","Spend Justified")</f>
        <v>Spend Justified</v>
      </c>
      <c r="T155" s="51" t="str">
        <f>IF(AND(Table4[[#This Row],[Clicks]]&gt;=$B$7,Table4[[#This Row],[Sales]]&lt;=$B$6),"Poor Monetization","Normal Monitization")</f>
        <v>Normal Monitization</v>
      </c>
    </row>
    <row r="156" spans="1:20" x14ac:dyDescent="0.35">
      <c r="A156" s="38" t="s">
        <v>105</v>
      </c>
      <c r="B156" s="38" t="s">
        <v>19</v>
      </c>
      <c r="C156" s="38" t="s">
        <v>69</v>
      </c>
      <c r="D156" s="38" t="s">
        <v>63</v>
      </c>
      <c r="E156" s="38" t="s">
        <v>30</v>
      </c>
      <c r="F156" s="38">
        <v>10176.77</v>
      </c>
      <c r="G156" s="38">
        <v>18827</v>
      </c>
      <c r="H156" s="38">
        <v>874</v>
      </c>
      <c r="I156" s="38">
        <v>170155.25</v>
      </c>
      <c r="J156" s="38">
        <v>50</v>
      </c>
      <c r="K156" s="39">
        <f t="shared" si="11"/>
        <v>4.6422690816380729E-2</v>
      </c>
      <c r="L156" s="40">
        <f t="shared" si="12"/>
        <v>16.719966158221123</v>
      </c>
      <c r="M156" s="40">
        <f t="shared" si="13"/>
        <v>15.719966158221126</v>
      </c>
      <c r="N156" s="40">
        <f t="shared" si="14"/>
        <v>194.68564073226545</v>
      </c>
      <c r="O156" s="1" t="str">
        <f t="shared" si="10"/>
        <v>Normal</v>
      </c>
      <c r="P156" s="51" t="str">
        <f>IF(Table4[[#This Row],[Sales]]&lt;=$B$3,"Normal","High Revenue")</f>
        <v>Normal</v>
      </c>
      <c r="Q156" s="51" t="str">
        <f>IF(Table4[[#This Row],[CTR]]&lt;=$B$4,"Normal","High CTR")</f>
        <v>Normal</v>
      </c>
      <c r="R156" s="51" t="str">
        <f>IF(Table4[[#This Row],[ROAS]]&lt;1,"Poor",IF(Table4[[#This Row],[ROAS]]&lt;3,"Average",IF(Table4[[#This Row],[ROAS]]&lt;5,"Good",
"Excellent")))</f>
        <v>Excellent</v>
      </c>
      <c r="S156" s="51" t="str">
        <f>IF(AND(Table4[[#This Row],[USD_Spend]]&gt;=$B$5,Table4[[#This Row],[Sales]]&lt;=$B$6),"Wasted Budget","Spend Justified")</f>
        <v>Spend Justified</v>
      </c>
      <c r="T156" s="51" t="str">
        <f>IF(AND(Table4[[#This Row],[Clicks]]&gt;=$B$7,Table4[[#This Row],[Sales]]&lt;=$B$6),"Poor Monetization","Normal Monitization")</f>
        <v>Normal Monitization</v>
      </c>
    </row>
    <row r="157" spans="1:20" x14ac:dyDescent="0.35">
      <c r="A157" s="41" t="s">
        <v>90</v>
      </c>
      <c r="B157" s="41" t="s">
        <v>48</v>
      </c>
      <c r="C157" s="41" t="s">
        <v>69</v>
      </c>
      <c r="D157" s="41" t="s">
        <v>37</v>
      </c>
      <c r="E157" s="41" t="s">
        <v>22</v>
      </c>
      <c r="F157" s="41">
        <v>5067.16</v>
      </c>
      <c r="G157" s="41">
        <v>887057</v>
      </c>
      <c r="H157" s="41">
        <v>14074</v>
      </c>
      <c r="I157" s="41">
        <v>192235.83</v>
      </c>
      <c r="J157" s="41">
        <v>49</v>
      </c>
      <c r="K157" s="42">
        <f t="shared" si="11"/>
        <v>1.5865947735038449E-2</v>
      </c>
      <c r="L157" s="43">
        <f t="shared" si="12"/>
        <v>37.937588313769446</v>
      </c>
      <c r="M157" s="43">
        <f t="shared" si="13"/>
        <v>36.937588313769446</v>
      </c>
      <c r="N157" s="43">
        <f t="shared" si="14"/>
        <v>13.658933494386812</v>
      </c>
      <c r="O157" s="1" t="str">
        <f t="shared" si="10"/>
        <v>Normal</v>
      </c>
      <c r="P157" s="51" t="str">
        <f>IF(Table4[[#This Row],[Sales]]&lt;=$B$3,"Normal","High Revenue")</f>
        <v>Normal</v>
      </c>
      <c r="Q157" s="51" t="str">
        <f>IF(Table4[[#This Row],[CTR]]&lt;=$B$4,"Normal","High CTR")</f>
        <v>Normal</v>
      </c>
      <c r="R157" s="51" t="str">
        <f>IF(Table4[[#This Row],[ROAS]]&lt;1,"Poor",IF(Table4[[#This Row],[ROAS]]&lt;3,"Average",IF(Table4[[#This Row],[ROAS]]&lt;5,"Good",
"Excellent")))</f>
        <v>Excellent</v>
      </c>
      <c r="S157" s="51" t="str">
        <f>IF(AND(Table4[[#This Row],[USD_Spend]]&gt;=$B$5,Table4[[#This Row],[Sales]]&lt;=$B$6),"Wasted Budget","Spend Justified")</f>
        <v>Spend Justified</v>
      </c>
      <c r="T157" s="51" t="str">
        <f>IF(AND(Table4[[#This Row],[Clicks]]&gt;=$B$7,Table4[[#This Row],[Sales]]&lt;=$B$6),"Poor Monetization","Normal Monitization")</f>
        <v>Normal Monitization</v>
      </c>
    </row>
    <row r="158" spans="1:20" x14ac:dyDescent="0.35">
      <c r="A158" s="38" t="s">
        <v>67</v>
      </c>
      <c r="B158" s="38" t="s">
        <v>28</v>
      </c>
      <c r="C158" s="38" t="s">
        <v>36</v>
      </c>
      <c r="D158" s="38" t="s">
        <v>43</v>
      </c>
      <c r="E158" s="38" t="s">
        <v>30</v>
      </c>
      <c r="F158" s="38">
        <v>10494.84</v>
      </c>
      <c r="G158" s="38">
        <v>29895</v>
      </c>
      <c r="H158" s="38">
        <v>18119</v>
      </c>
      <c r="I158" s="38">
        <v>197755.48</v>
      </c>
      <c r="J158" s="38">
        <v>48</v>
      </c>
      <c r="K158" s="39">
        <f t="shared" si="11"/>
        <v>0.60608797457768859</v>
      </c>
      <c r="L158" s="40">
        <f t="shared" si="12"/>
        <v>18.843115283320184</v>
      </c>
      <c r="M158" s="40">
        <f t="shared" si="13"/>
        <v>17.843115283320184</v>
      </c>
      <c r="N158" s="40">
        <f t="shared" si="14"/>
        <v>10.914260168883493</v>
      </c>
      <c r="O158" s="1" t="str">
        <f t="shared" si="10"/>
        <v>Normal</v>
      </c>
      <c r="P158" s="51" t="str">
        <f>IF(Table4[[#This Row],[Sales]]&lt;=$B$3,"Normal","High Revenue")</f>
        <v>Normal</v>
      </c>
      <c r="Q158" s="51" t="str">
        <f>IF(Table4[[#This Row],[CTR]]&lt;=$B$4,"Normal","High CTR")</f>
        <v>High CTR</v>
      </c>
      <c r="R158" s="51" t="str">
        <f>IF(Table4[[#This Row],[ROAS]]&lt;1,"Poor",IF(Table4[[#This Row],[ROAS]]&lt;3,"Average",IF(Table4[[#This Row],[ROAS]]&lt;5,"Good",
"Excellent")))</f>
        <v>Excellent</v>
      </c>
      <c r="S158" s="51" t="str">
        <f>IF(AND(Table4[[#This Row],[USD_Spend]]&gt;=$B$5,Table4[[#This Row],[Sales]]&lt;=$B$6),"Wasted Budget","Spend Justified")</f>
        <v>Spend Justified</v>
      </c>
      <c r="T158" s="51" t="str">
        <f>IF(AND(Table4[[#This Row],[Clicks]]&gt;=$B$7,Table4[[#This Row],[Sales]]&lt;=$B$6),"Poor Monetization","Normal Monitization")</f>
        <v>Normal Monitization</v>
      </c>
    </row>
    <row r="159" spans="1:20" x14ac:dyDescent="0.35">
      <c r="A159" s="41" t="s">
        <v>82</v>
      </c>
      <c r="B159" s="41" t="s">
        <v>28</v>
      </c>
      <c r="C159" s="41" t="s">
        <v>36</v>
      </c>
      <c r="D159" s="41" t="s">
        <v>63</v>
      </c>
      <c r="E159" s="41" t="s">
        <v>22</v>
      </c>
      <c r="F159" s="41">
        <v>14073.49</v>
      </c>
      <c r="G159" s="41">
        <v>45739</v>
      </c>
      <c r="H159" s="41">
        <v>42377</v>
      </c>
      <c r="I159" s="41">
        <v>164353.47</v>
      </c>
      <c r="J159" s="41">
        <v>42</v>
      </c>
      <c r="K159" s="42">
        <f t="shared" si="11"/>
        <v>0.92649598810642997</v>
      </c>
      <c r="L159" s="43">
        <f t="shared" si="12"/>
        <v>11.678231199226348</v>
      </c>
      <c r="M159" s="43">
        <f t="shared" si="13"/>
        <v>10.678231199226348</v>
      </c>
      <c r="N159" s="43">
        <f t="shared" si="14"/>
        <v>3.8783649149302688</v>
      </c>
      <c r="O159" s="1" t="str">
        <f t="shared" si="10"/>
        <v>Normal</v>
      </c>
      <c r="P159" s="51" t="str">
        <f>IF(Table4[[#This Row],[Sales]]&lt;=$B$3,"Normal","High Revenue")</f>
        <v>Normal</v>
      </c>
      <c r="Q159" s="51" t="str">
        <f>IF(Table4[[#This Row],[CTR]]&lt;=$B$4,"Normal","High CTR")</f>
        <v>High CTR</v>
      </c>
      <c r="R159" s="51" t="str">
        <f>IF(Table4[[#This Row],[ROAS]]&lt;1,"Poor",IF(Table4[[#This Row],[ROAS]]&lt;3,"Average",IF(Table4[[#This Row],[ROAS]]&lt;5,"Good",
"Excellent")))</f>
        <v>Excellent</v>
      </c>
      <c r="S159" s="51" t="str">
        <f>IF(AND(Table4[[#This Row],[USD_Spend]]&gt;=$B$5,Table4[[#This Row],[Sales]]&lt;=$B$6),"Wasted Budget","Spend Justified")</f>
        <v>Spend Justified</v>
      </c>
      <c r="T159" s="51" t="str">
        <f>IF(AND(Table4[[#This Row],[Clicks]]&gt;=$B$7,Table4[[#This Row],[Sales]]&lt;=$B$6),"Poor Monetization","Normal Monitization")</f>
        <v>Normal Monitization</v>
      </c>
    </row>
    <row r="160" spans="1:20" x14ac:dyDescent="0.35">
      <c r="A160" s="38" t="s">
        <v>95</v>
      </c>
      <c r="B160" s="38" t="s">
        <v>35</v>
      </c>
      <c r="C160" s="38" t="s">
        <v>29</v>
      </c>
      <c r="D160" s="38" t="s">
        <v>51</v>
      </c>
      <c r="E160" s="38" t="s">
        <v>30</v>
      </c>
      <c r="F160" s="38">
        <v>3795.48</v>
      </c>
      <c r="G160" s="38">
        <v>366855</v>
      </c>
      <c r="H160" s="38">
        <v>23381</v>
      </c>
      <c r="I160" s="38">
        <v>193496.61</v>
      </c>
      <c r="J160" s="38">
        <v>41</v>
      </c>
      <c r="K160" s="39">
        <f t="shared" si="11"/>
        <v>6.3733627727576292E-2</v>
      </c>
      <c r="L160" s="40">
        <f t="shared" si="12"/>
        <v>50.980800847323657</v>
      </c>
      <c r="M160" s="40">
        <f t="shared" si="13"/>
        <v>49.98080084732365</v>
      </c>
      <c r="N160" s="40">
        <f t="shared" si="14"/>
        <v>8.2758055686240954</v>
      </c>
      <c r="O160" s="1" t="str">
        <f t="shared" si="10"/>
        <v>Normal</v>
      </c>
      <c r="P160" s="51" t="str">
        <f>IF(Table4[[#This Row],[Sales]]&lt;=$B$3,"Normal","High Revenue")</f>
        <v>Normal</v>
      </c>
      <c r="Q160" s="51" t="str">
        <f>IF(Table4[[#This Row],[CTR]]&lt;=$B$4,"Normal","High CTR")</f>
        <v>Normal</v>
      </c>
      <c r="R160" s="51" t="str">
        <f>IF(Table4[[#This Row],[ROAS]]&lt;1,"Poor",IF(Table4[[#This Row],[ROAS]]&lt;3,"Average",IF(Table4[[#This Row],[ROAS]]&lt;5,"Good",
"Excellent")))</f>
        <v>Excellent</v>
      </c>
      <c r="S160" s="51" t="str">
        <f>IF(AND(Table4[[#This Row],[USD_Spend]]&gt;=$B$5,Table4[[#This Row],[Sales]]&lt;=$B$6),"Wasted Budget","Spend Justified")</f>
        <v>Spend Justified</v>
      </c>
      <c r="T160" s="51" t="str">
        <f>IF(AND(Table4[[#This Row],[Clicks]]&gt;=$B$7,Table4[[#This Row],[Sales]]&lt;=$B$6),"Poor Monetization","Normal Monitization")</f>
        <v>Normal Monitization</v>
      </c>
    </row>
    <row r="161" spans="1:20" x14ac:dyDescent="0.35">
      <c r="A161" s="41" t="s">
        <v>107</v>
      </c>
      <c r="B161" s="41" t="s">
        <v>48</v>
      </c>
      <c r="C161" s="41" t="s">
        <v>36</v>
      </c>
      <c r="D161" s="41" t="s">
        <v>37</v>
      </c>
      <c r="E161" s="41" t="s">
        <v>38</v>
      </c>
      <c r="F161" s="41">
        <v>6940.66</v>
      </c>
      <c r="G161" s="41">
        <v>211512</v>
      </c>
      <c r="H161" s="41">
        <v>9681</v>
      </c>
      <c r="I161" s="41">
        <v>109444.23</v>
      </c>
      <c r="J161" s="41">
        <v>14</v>
      </c>
      <c r="K161" s="42">
        <f t="shared" si="11"/>
        <v>4.5770452740270057E-2</v>
      </c>
      <c r="L161" s="43">
        <f t="shared" si="12"/>
        <v>15.768562355741384</v>
      </c>
      <c r="M161" s="43">
        <f t="shared" si="13"/>
        <v>14.768562355741384</v>
      </c>
      <c r="N161" s="43">
        <f t="shared" si="14"/>
        <v>11.305054229934923</v>
      </c>
      <c r="O161" s="1" t="str">
        <f t="shared" si="10"/>
        <v>Normal</v>
      </c>
      <c r="P161" s="51" t="str">
        <f>IF(Table4[[#This Row],[Sales]]&lt;=$B$3,"Normal","High Revenue")</f>
        <v>Normal</v>
      </c>
      <c r="Q161" s="51" t="str">
        <f>IF(Table4[[#This Row],[CTR]]&lt;=$B$4,"Normal","High CTR")</f>
        <v>Normal</v>
      </c>
      <c r="R161" s="51" t="str">
        <f>IF(Table4[[#This Row],[ROAS]]&lt;1,"Poor",IF(Table4[[#This Row],[ROAS]]&lt;3,"Average",IF(Table4[[#This Row],[ROAS]]&lt;5,"Good",
"Excellent")))</f>
        <v>Excellent</v>
      </c>
      <c r="S161" s="51" t="str">
        <f>IF(AND(Table4[[#This Row],[USD_Spend]]&gt;=$B$5,Table4[[#This Row],[Sales]]&lt;=$B$6),"Wasted Budget","Spend Justified")</f>
        <v>Spend Justified</v>
      </c>
      <c r="T161" s="51" t="str">
        <f>IF(AND(Table4[[#This Row],[Clicks]]&gt;=$B$7,Table4[[#This Row],[Sales]]&lt;=$B$6),"Poor Monetization","Normal Monitization")</f>
        <v>Normal Monitization</v>
      </c>
    </row>
    <row r="162" spans="1:20" x14ac:dyDescent="0.35">
      <c r="A162" s="38" t="s">
        <v>92</v>
      </c>
      <c r="B162" s="38" t="s">
        <v>19</v>
      </c>
      <c r="C162" s="38" t="s">
        <v>69</v>
      </c>
      <c r="D162" s="38" t="s">
        <v>43</v>
      </c>
      <c r="E162" s="38" t="s">
        <v>38</v>
      </c>
      <c r="F162" s="38">
        <v>32403.58</v>
      </c>
      <c r="G162" s="38">
        <v>359636</v>
      </c>
      <c r="H162" s="38">
        <v>44784</v>
      </c>
      <c r="I162" s="38">
        <v>79192.88</v>
      </c>
      <c r="J162" s="38">
        <v>42</v>
      </c>
      <c r="K162" s="39">
        <f t="shared" si="11"/>
        <v>0.12452590953074776</v>
      </c>
      <c r="L162" s="40">
        <f t="shared" si="12"/>
        <v>2.4439546494553999</v>
      </c>
      <c r="M162" s="40">
        <f t="shared" si="13"/>
        <v>1.4439546494553996</v>
      </c>
      <c r="N162" s="40">
        <f t="shared" si="14"/>
        <v>1.7683297606287962</v>
      </c>
      <c r="O162" s="1" t="str">
        <f t="shared" si="10"/>
        <v>Normal</v>
      </c>
      <c r="P162" s="51" t="str">
        <f>IF(Table4[[#This Row],[Sales]]&lt;=$B$3,"Normal","High Revenue")</f>
        <v>Normal</v>
      </c>
      <c r="Q162" s="51" t="str">
        <f>IF(Table4[[#This Row],[CTR]]&lt;=$B$4,"Normal","High CTR")</f>
        <v>Normal</v>
      </c>
      <c r="R162" s="51" t="str">
        <f>IF(Table4[[#This Row],[ROAS]]&lt;1,"Poor",IF(Table4[[#This Row],[ROAS]]&lt;3,"Average",IF(Table4[[#This Row],[ROAS]]&lt;5,"Good",
"Excellent")))</f>
        <v>Average</v>
      </c>
      <c r="S162" s="51" t="str">
        <f>IF(AND(Table4[[#This Row],[USD_Spend]]&gt;=$B$5,Table4[[#This Row],[Sales]]&lt;=$B$6),"Wasted Budget","Spend Justified")</f>
        <v>Spend Justified</v>
      </c>
      <c r="T162" s="51" t="str">
        <f>IF(AND(Table4[[#This Row],[Clicks]]&gt;=$B$7,Table4[[#This Row],[Sales]]&lt;=$B$6),"Poor Monetization","Normal Monitization")</f>
        <v>Normal Monitization</v>
      </c>
    </row>
    <row r="163" spans="1:20" x14ac:dyDescent="0.35">
      <c r="A163" s="41" t="s">
        <v>27</v>
      </c>
      <c r="B163" s="41" t="s">
        <v>35</v>
      </c>
      <c r="C163" s="41" t="s">
        <v>20</v>
      </c>
      <c r="D163" s="41" t="s">
        <v>51</v>
      </c>
      <c r="E163" s="41" t="s">
        <v>38</v>
      </c>
      <c r="F163" s="41">
        <v>24559.01</v>
      </c>
      <c r="G163" s="41">
        <v>870116</v>
      </c>
      <c r="H163" s="41">
        <v>15496</v>
      </c>
      <c r="I163" s="41">
        <v>211221.6</v>
      </c>
      <c r="J163" s="41">
        <v>25</v>
      </c>
      <c r="K163" s="42">
        <f t="shared" si="11"/>
        <v>1.7809119703579752E-2</v>
      </c>
      <c r="L163" s="43">
        <f t="shared" si="12"/>
        <v>8.6005746974328368</v>
      </c>
      <c r="M163" s="43">
        <f t="shared" si="13"/>
        <v>7.6005746974328368</v>
      </c>
      <c r="N163" s="43">
        <f t="shared" si="14"/>
        <v>13.630717604543108</v>
      </c>
      <c r="O163" s="1" t="str">
        <f t="shared" si="10"/>
        <v>Normal</v>
      </c>
      <c r="P163" s="51" t="str">
        <f>IF(Table4[[#This Row],[Sales]]&lt;=$B$3,"Normal","High Revenue")</f>
        <v>Normal</v>
      </c>
      <c r="Q163" s="51" t="str">
        <f>IF(Table4[[#This Row],[CTR]]&lt;=$B$4,"Normal","High CTR")</f>
        <v>Normal</v>
      </c>
      <c r="R163" s="51" t="str">
        <f>IF(Table4[[#This Row],[ROAS]]&lt;1,"Poor",IF(Table4[[#This Row],[ROAS]]&lt;3,"Average",IF(Table4[[#This Row],[ROAS]]&lt;5,"Good",
"Excellent")))</f>
        <v>Excellent</v>
      </c>
      <c r="S163" s="51" t="str">
        <f>IF(AND(Table4[[#This Row],[USD_Spend]]&gt;=$B$5,Table4[[#This Row],[Sales]]&lt;=$B$6),"Wasted Budget","Spend Justified")</f>
        <v>Spend Justified</v>
      </c>
      <c r="T163" s="51" t="str">
        <f>IF(AND(Table4[[#This Row],[Clicks]]&gt;=$B$7,Table4[[#This Row],[Sales]]&lt;=$B$6),"Poor Monetization","Normal Monitization")</f>
        <v>Normal Monitization</v>
      </c>
    </row>
    <row r="164" spans="1:20" x14ac:dyDescent="0.35">
      <c r="A164" s="38" t="s">
        <v>66</v>
      </c>
      <c r="B164" s="38" t="s">
        <v>19</v>
      </c>
      <c r="C164" s="38" t="s">
        <v>20</v>
      </c>
      <c r="D164" s="38" t="s">
        <v>43</v>
      </c>
      <c r="E164" s="38" t="s">
        <v>38</v>
      </c>
      <c r="F164" s="38">
        <v>12583.67</v>
      </c>
      <c r="G164" s="38">
        <v>162446</v>
      </c>
      <c r="H164" s="38">
        <v>30118</v>
      </c>
      <c r="I164" s="38">
        <v>232313.77</v>
      </c>
      <c r="J164" s="38">
        <v>7</v>
      </c>
      <c r="K164" s="39">
        <f t="shared" si="11"/>
        <v>0.18540314935424695</v>
      </c>
      <c r="L164" s="40">
        <f t="shared" si="12"/>
        <v>18.461527519396167</v>
      </c>
      <c r="M164" s="40">
        <f t="shared" si="13"/>
        <v>17.461527519396167</v>
      </c>
      <c r="N164" s="40">
        <f t="shared" si="14"/>
        <v>7.7134527525068064</v>
      </c>
      <c r="O164" s="1" t="str">
        <f t="shared" si="10"/>
        <v>Normal</v>
      </c>
      <c r="P164" s="51" t="str">
        <f>IF(Table4[[#This Row],[Sales]]&lt;=$B$3,"Normal","High Revenue")</f>
        <v>Normal</v>
      </c>
      <c r="Q164" s="51" t="str">
        <f>IF(Table4[[#This Row],[CTR]]&lt;=$B$4,"Normal","High CTR")</f>
        <v>Normal</v>
      </c>
      <c r="R164" s="51" t="str">
        <f>IF(Table4[[#This Row],[ROAS]]&lt;1,"Poor",IF(Table4[[#This Row],[ROAS]]&lt;3,"Average",IF(Table4[[#This Row],[ROAS]]&lt;5,"Good",
"Excellent")))</f>
        <v>Excellent</v>
      </c>
      <c r="S164" s="51" t="str">
        <f>IF(AND(Table4[[#This Row],[USD_Spend]]&gt;=$B$5,Table4[[#This Row],[Sales]]&lt;=$B$6),"Wasted Budget","Spend Justified")</f>
        <v>Spend Justified</v>
      </c>
      <c r="T164" s="51" t="str">
        <f>IF(AND(Table4[[#This Row],[Clicks]]&gt;=$B$7,Table4[[#This Row],[Sales]]&lt;=$B$6),"Poor Monetization","Normal Monitization")</f>
        <v>Normal Monitization</v>
      </c>
    </row>
    <row r="165" spans="1:20" x14ac:dyDescent="0.35">
      <c r="A165" s="41" t="s">
        <v>90</v>
      </c>
      <c r="B165" s="41" t="s">
        <v>35</v>
      </c>
      <c r="C165" s="41" t="s">
        <v>58</v>
      </c>
      <c r="D165" s="41" t="s">
        <v>63</v>
      </c>
      <c r="E165" s="41" t="s">
        <v>38</v>
      </c>
      <c r="F165" s="41">
        <v>36724.800000000003</v>
      </c>
      <c r="G165" s="41">
        <v>302047</v>
      </c>
      <c r="H165" s="41">
        <v>46859</v>
      </c>
      <c r="I165" s="41">
        <v>192663.18</v>
      </c>
      <c r="J165" s="41">
        <v>20</v>
      </c>
      <c r="K165" s="42">
        <f t="shared" si="11"/>
        <v>0.15513810764549887</v>
      </c>
      <c r="L165" s="43">
        <f t="shared" si="12"/>
        <v>5.246132858449875</v>
      </c>
      <c r="M165" s="43">
        <f t="shared" si="13"/>
        <v>4.2461328584498759</v>
      </c>
      <c r="N165" s="43">
        <f t="shared" si="14"/>
        <v>4.1115512494931599</v>
      </c>
      <c r="O165" s="1" t="str">
        <f t="shared" si="10"/>
        <v>Normal</v>
      </c>
      <c r="P165" s="51" t="str">
        <f>IF(Table4[[#This Row],[Sales]]&lt;=$B$3,"Normal","High Revenue")</f>
        <v>Normal</v>
      </c>
      <c r="Q165" s="51" t="str">
        <f>IF(Table4[[#This Row],[CTR]]&lt;=$B$4,"Normal","High CTR")</f>
        <v>Normal</v>
      </c>
      <c r="R165" s="51" t="str">
        <f>IF(Table4[[#This Row],[ROAS]]&lt;1,"Poor",IF(Table4[[#This Row],[ROAS]]&lt;3,"Average",IF(Table4[[#This Row],[ROAS]]&lt;5,"Good",
"Excellent")))</f>
        <v>Excellent</v>
      </c>
      <c r="S165" s="51" t="str">
        <f>IF(AND(Table4[[#This Row],[USD_Spend]]&gt;=$B$5,Table4[[#This Row],[Sales]]&lt;=$B$6),"Wasted Budget","Spend Justified")</f>
        <v>Spend Justified</v>
      </c>
      <c r="T165" s="51" t="str">
        <f>IF(AND(Table4[[#This Row],[Clicks]]&gt;=$B$7,Table4[[#This Row],[Sales]]&lt;=$B$6),"Poor Monetization","Normal Monitization")</f>
        <v>Normal Monitization</v>
      </c>
    </row>
    <row r="166" spans="1:20" x14ac:dyDescent="0.35">
      <c r="A166" s="38" t="s">
        <v>103</v>
      </c>
      <c r="B166" s="38" t="s">
        <v>48</v>
      </c>
      <c r="C166" s="38" t="s">
        <v>69</v>
      </c>
      <c r="D166" s="38" t="s">
        <v>59</v>
      </c>
      <c r="E166" s="38" t="s">
        <v>38</v>
      </c>
      <c r="F166" s="38">
        <v>4836.5</v>
      </c>
      <c r="G166" s="38">
        <v>458580</v>
      </c>
      <c r="H166" s="38">
        <v>13359</v>
      </c>
      <c r="I166" s="38">
        <v>248945.05</v>
      </c>
      <c r="J166" s="38">
        <v>60</v>
      </c>
      <c r="K166" s="39">
        <f t="shared" si="11"/>
        <v>2.9131231191940339E-2</v>
      </c>
      <c r="L166" s="40">
        <f t="shared" si="12"/>
        <v>51.472149281505217</v>
      </c>
      <c r="M166" s="40">
        <f t="shared" si="13"/>
        <v>50.472149281505217</v>
      </c>
      <c r="N166" s="40">
        <f t="shared" si="14"/>
        <v>18.635006362751703</v>
      </c>
      <c r="O166" s="1" t="str">
        <f t="shared" si="10"/>
        <v>Normal</v>
      </c>
      <c r="P166" s="51" t="str">
        <f>IF(Table4[[#This Row],[Sales]]&lt;=$B$3,"Normal","High Revenue")</f>
        <v>High Revenue</v>
      </c>
      <c r="Q166" s="51" t="str">
        <f>IF(Table4[[#This Row],[CTR]]&lt;=$B$4,"Normal","High CTR")</f>
        <v>Normal</v>
      </c>
      <c r="R166" s="51" t="str">
        <f>IF(Table4[[#This Row],[ROAS]]&lt;1,"Poor",IF(Table4[[#This Row],[ROAS]]&lt;3,"Average",IF(Table4[[#This Row],[ROAS]]&lt;5,"Good",
"Excellent")))</f>
        <v>Excellent</v>
      </c>
      <c r="S166" s="51" t="str">
        <f>IF(AND(Table4[[#This Row],[USD_Spend]]&gt;=$B$5,Table4[[#This Row],[Sales]]&lt;=$B$6),"Wasted Budget","Spend Justified")</f>
        <v>Spend Justified</v>
      </c>
      <c r="T166" s="51" t="str">
        <f>IF(AND(Table4[[#This Row],[Clicks]]&gt;=$B$7,Table4[[#This Row],[Sales]]&lt;=$B$6),"Poor Monetization","Normal Monitization")</f>
        <v>Normal Monitization</v>
      </c>
    </row>
    <row r="167" spans="1:20" x14ac:dyDescent="0.35">
      <c r="A167" s="41" t="s">
        <v>87</v>
      </c>
      <c r="B167" s="41" t="s">
        <v>19</v>
      </c>
      <c r="C167" s="41" t="s">
        <v>58</v>
      </c>
      <c r="D167" s="41" t="s">
        <v>21</v>
      </c>
      <c r="E167" s="41" t="s">
        <v>38</v>
      </c>
      <c r="F167" s="41">
        <v>8498.4500000000007</v>
      </c>
      <c r="G167" s="41">
        <v>239540</v>
      </c>
      <c r="H167" s="41">
        <v>25809</v>
      </c>
      <c r="I167" s="41">
        <v>50004.97</v>
      </c>
      <c r="J167" s="41">
        <v>53</v>
      </c>
      <c r="K167" s="42">
        <f t="shared" si="11"/>
        <v>0.10774400935125658</v>
      </c>
      <c r="L167" s="43">
        <f t="shared" si="12"/>
        <v>5.8840106137001449</v>
      </c>
      <c r="M167" s="43">
        <f t="shared" si="13"/>
        <v>4.8840106137001458</v>
      </c>
      <c r="N167" s="43">
        <f t="shared" si="14"/>
        <v>1.9375012592506491</v>
      </c>
      <c r="O167" s="1" t="str">
        <f t="shared" si="10"/>
        <v>Normal</v>
      </c>
      <c r="P167" s="51" t="str">
        <f>IF(Table4[[#This Row],[Sales]]&lt;=$B$3,"Normal","High Revenue")</f>
        <v>Normal</v>
      </c>
      <c r="Q167" s="51" t="str">
        <f>IF(Table4[[#This Row],[CTR]]&lt;=$B$4,"Normal","High CTR")</f>
        <v>Normal</v>
      </c>
      <c r="R167" s="51" t="str">
        <f>IF(Table4[[#This Row],[ROAS]]&lt;1,"Poor",IF(Table4[[#This Row],[ROAS]]&lt;3,"Average",IF(Table4[[#This Row],[ROAS]]&lt;5,"Good",
"Excellent")))</f>
        <v>Excellent</v>
      </c>
      <c r="S167" s="51" t="str">
        <f>IF(AND(Table4[[#This Row],[USD_Spend]]&gt;=$B$5,Table4[[#This Row],[Sales]]&lt;=$B$6),"Wasted Budget","Spend Justified")</f>
        <v>Wasted Budget</v>
      </c>
      <c r="T167" s="51" t="str">
        <f>IF(AND(Table4[[#This Row],[Clicks]]&gt;=$B$7,Table4[[#This Row],[Sales]]&lt;=$B$6),"Poor Monetization","Normal Monitization")</f>
        <v>Normal Monitization</v>
      </c>
    </row>
    <row r="168" spans="1:20" x14ac:dyDescent="0.35">
      <c r="A168" s="38" t="s">
        <v>113</v>
      </c>
      <c r="B168" s="38" t="s">
        <v>19</v>
      </c>
      <c r="C168" s="38" t="s">
        <v>36</v>
      </c>
      <c r="D168" s="38" t="s">
        <v>21</v>
      </c>
      <c r="E168" s="38" t="s">
        <v>38</v>
      </c>
      <c r="F168" s="38">
        <v>1048.42</v>
      </c>
      <c r="G168" s="38">
        <v>137378</v>
      </c>
      <c r="H168" s="38">
        <v>10991</v>
      </c>
      <c r="I168" s="38">
        <v>53355.06</v>
      </c>
      <c r="J168" s="38">
        <v>54</v>
      </c>
      <c r="K168" s="39">
        <f t="shared" si="11"/>
        <v>8.0005532181280842E-2</v>
      </c>
      <c r="L168" s="40">
        <f t="shared" si="12"/>
        <v>50.890921577230493</v>
      </c>
      <c r="M168" s="40">
        <f t="shared" si="13"/>
        <v>49.890921577230493</v>
      </c>
      <c r="N168" s="40">
        <f t="shared" si="14"/>
        <v>4.8544318078427802</v>
      </c>
      <c r="O168" s="1" t="str">
        <f t="shared" si="10"/>
        <v>Normal</v>
      </c>
      <c r="P168" s="51" t="str">
        <f>IF(Table4[[#This Row],[Sales]]&lt;=$B$3,"Normal","High Revenue")</f>
        <v>Normal</v>
      </c>
      <c r="Q168" s="51" t="str">
        <f>IF(Table4[[#This Row],[CTR]]&lt;=$B$4,"Normal","High CTR")</f>
        <v>Normal</v>
      </c>
      <c r="R168" s="51" t="str">
        <f>IF(Table4[[#This Row],[ROAS]]&lt;1,"Poor",IF(Table4[[#This Row],[ROAS]]&lt;3,"Average",IF(Table4[[#This Row],[ROAS]]&lt;5,"Good",
"Excellent")))</f>
        <v>Excellent</v>
      </c>
      <c r="S168" s="51" t="str">
        <f>IF(AND(Table4[[#This Row],[USD_Spend]]&gt;=$B$5,Table4[[#This Row],[Sales]]&lt;=$B$6),"Wasted Budget","Spend Justified")</f>
        <v>Spend Justified</v>
      </c>
      <c r="T168" s="51" t="str">
        <f>IF(AND(Table4[[#This Row],[Clicks]]&gt;=$B$7,Table4[[#This Row],[Sales]]&lt;=$B$6),"Poor Monetization","Normal Monitization")</f>
        <v>Normal Monitization</v>
      </c>
    </row>
    <row r="169" spans="1:20" x14ac:dyDescent="0.35">
      <c r="A169" s="41" t="s">
        <v>91</v>
      </c>
      <c r="B169" s="41" t="s">
        <v>48</v>
      </c>
      <c r="C169" s="41" t="s">
        <v>58</v>
      </c>
      <c r="D169" s="41" t="s">
        <v>37</v>
      </c>
      <c r="E169" s="41" t="s">
        <v>38</v>
      </c>
      <c r="F169" s="41">
        <v>14760.3</v>
      </c>
      <c r="G169" s="41">
        <v>715756</v>
      </c>
      <c r="H169" s="41">
        <v>36062</v>
      </c>
      <c r="I169" s="41">
        <v>246868.8</v>
      </c>
      <c r="J169" s="41">
        <v>37</v>
      </c>
      <c r="K169" s="42">
        <f t="shared" si="11"/>
        <v>5.0383091444570496E-2</v>
      </c>
      <c r="L169" s="43">
        <f t="shared" si="12"/>
        <v>16.725188512428609</v>
      </c>
      <c r="M169" s="43">
        <f t="shared" si="13"/>
        <v>15.725188512428611</v>
      </c>
      <c r="N169" s="43">
        <f t="shared" si="14"/>
        <v>6.8456768898008979</v>
      </c>
      <c r="O169" s="1" t="str">
        <f t="shared" si="10"/>
        <v>Normal</v>
      </c>
      <c r="P169" s="51" t="str">
        <f>IF(Table4[[#This Row],[Sales]]&lt;=$B$3,"Normal","High Revenue")</f>
        <v>High Revenue</v>
      </c>
      <c r="Q169" s="51" t="str">
        <f>IF(Table4[[#This Row],[CTR]]&lt;=$B$4,"Normal","High CTR")</f>
        <v>Normal</v>
      </c>
      <c r="R169" s="51" t="str">
        <f>IF(Table4[[#This Row],[ROAS]]&lt;1,"Poor",IF(Table4[[#This Row],[ROAS]]&lt;3,"Average",IF(Table4[[#This Row],[ROAS]]&lt;5,"Good",
"Excellent")))</f>
        <v>Excellent</v>
      </c>
      <c r="S169" s="51" t="str">
        <f>IF(AND(Table4[[#This Row],[USD_Spend]]&gt;=$B$5,Table4[[#This Row],[Sales]]&lt;=$B$6),"Wasted Budget","Spend Justified")</f>
        <v>Spend Justified</v>
      </c>
      <c r="T169" s="51" t="str">
        <f>IF(AND(Table4[[#This Row],[Clicks]]&gt;=$B$7,Table4[[#This Row],[Sales]]&lt;=$B$6),"Poor Monetization","Normal Monitization")</f>
        <v>Normal Monitization</v>
      </c>
    </row>
    <row r="170" spans="1:20" x14ac:dyDescent="0.35">
      <c r="A170" s="38" t="s">
        <v>100</v>
      </c>
      <c r="B170" s="38" t="s">
        <v>35</v>
      </c>
      <c r="C170" s="38" t="s">
        <v>20</v>
      </c>
      <c r="D170" s="38" t="s">
        <v>43</v>
      </c>
      <c r="E170" s="38" t="s">
        <v>30</v>
      </c>
      <c r="F170" s="38">
        <v>10449.950000000001</v>
      </c>
      <c r="G170" s="38">
        <v>317643</v>
      </c>
      <c r="H170" s="38">
        <v>7900</v>
      </c>
      <c r="I170" s="38">
        <v>87518.03</v>
      </c>
      <c r="J170" s="38">
        <v>31</v>
      </c>
      <c r="K170" s="39">
        <f t="shared" si="11"/>
        <v>2.4870688162496893E-2</v>
      </c>
      <c r="L170" s="40">
        <f t="shared" si="12"/>
        <v>8.3749711721108699</v>
      </c>
      <c r="M170" s="40">
        <f t="shared" si="13"/>
        <v>7.3749711721108708</v>
      </c>
      <c r="N170" s="40">
        <f t="shared" si="14"/>
        <v>11.07823164556962</v>
      </c>
      <c r="O170" s="1" t="str">
        <f t="shared" si="10"/>
        <v>Normal</v>
      </c>
      <c r="P170" s="51" t="str">
        <f>IF(Table4[[#This Row],[Sales]]&lt;=$B$3,"Normal","High Revenue")</f>
        <v>Normal</v>
      </c>
      <c r="Q170" s="51" t="str">
        <f>IF(Table4[[#This Row],[CTR]]&lt;=$B$4,"Normal","High CTR")</f>
        <v>Normal</v>
      </c>
      <c r="R170" s="51" t="str">
        <f>IF(Table4[[#This Row],[ROAS]]&lt;1,"Poor",IF(Table4[[#This Row],[ROAS]]&lt;3,"Average",IF(Table4[[#This Row],[ROAS]]&lt;5,"Good",
"Excellent")))</f>
        <v>Excellent</v>
      </c>
      <c r="S170" s="51" t="str">
        <f>IF(AND(Table4[[#This Row],[USD_Spend]]&gt;=$B$5,Table4[[#This Row],[Sales]]&lt;=$B$6),"Wasted Budget","Spend Justified")</f>
        <v>Spend Justified</v>
      </c>
      <c r="T170" s="51" t="str">
        <f>IF(AND(Table4[[#This Row],[Clicks]]&gt;=$B$7,Table4[[#This Row],[Sales]]&lt;=$B$6),"Poor Monetization","Normal Monitization")</f>
        <v>Normal Monitization</v>
      </c>
    </row>
    <row r="171" spans="1:20" x14ac:dyDescent="0.35">
      <c r="A171" s="41" t="s">
        <v>68</v>
      </c>
      <c r="B171" s="41" t="s">
        <v>48</v>
      </c>
      <c r="C171" s="41" t="s">
        <v>20</v>
      </c>
      <c r="D171" s="41" t="s">
        <v>51</v>
      </c>
      <c r="E171" s="41" t="s">
        <v>30</v>
      </c>
      <c r="F171" s="41">
        <v>16135.08</v>
      </c>
      <c r="G171" s="41">
        <v>287932</v>
      </c>
      <c r="H171" s="41">
        <v>34681</v>
      </c>
      <c r="I171" s="41">
        <v>218746.1</v>
      </c>
      <c r="J171" s="41">
        <v>48</v>
      </c>
      <c r="K171" s="42">
        <f t="shared" si="11"/>
        <v>0.12044857813650445</v>
      </c>
      <c r="L171" s="43">
        <f t="shared" si="12"/>
        <v>13.557174801736341</v>
      </c>
      <c r="M171" s="43">
        <f t="shared" si="13"/>
        <v>12.557174801736343</v>
      </c>
      <c r="N171" s="43">
        <f t="shared" si="14"/>
        <v>6.3073757965456592</v>
      </c>
      <c r="O171" s="1" t="str">
        <f t="shared" si="10"/>
        <v>Normal</v>
      </c>
      <c r="P171" s="51" t="str">
        <f>IF(Table4[[#This Row],[Sales]]&lt;=$B$3,"Normal","High Revenue")</f>
        <v>Normal</v>
      </c>
      <c r="Q171" s="51" t="str">
        <f>IF(Table4[[#This Row],[CTR]]&lt;=$B$4,"Normal","High CTR")</f>
        <v>Normal</v>
      </c>
      <c r="R171" s="51" t="str">
        <f>IF(Table4[[#This Row],[ROAS]]&lt;1,"Poor",IF(Table4[[#This Row],[ROAS]]&lt;3,"Average",IF(Table4[[#This Row],[ROAS]]&lt;5,"Good",
"Excellent")))</f>
        <v>Excellent</v>
      </c>
      <c r="S171" s="51" t="str">
        <f>IF(AND(Table4[[#This Row],[USD_Spend]]&gt;=$B$5,Table4[[#This Row],[Sales]]&lt;=$B$6),"Wasted Budget","Spend Justified")</f>
        <v>Spend Justified</v>
      </c>
      <c r="T171" s="51" t="str">
        <f>IF(AND(Table4[[#This Row],[Clicks]]&gt;=$B$7,Table4[[#This Row],[Sales]]&lt;=$B$6),"Poor Monetization","Normal Monitization")</f>
        <v>Normal Monitization</v>
      </c>
    </row>
    <row r="172" spans="1:20" x14ac:dyDescent="0.35">
      <c r="A172" s="38" t="s">
        <v>34</v>
      </c>
      <c r="B172" s="38" t="s">
        <v>48</v>
      </c>
      <c r="C172" s="38" t="s">
        <v>29</v>
      </c>
      <c r="D172" s="38" t="s">
        <v>43</v>
      </c>
      <c r="E172" s="38" t="s">
        <v>30</v>
      </c>
      <c r="F172" s="38">
        <v>19405.990000000002</v>
      </c>
      <c r="G172" s="38">
        <v>365556</v>
      </c>
      <c r="H172" s="38">
        <v>36658</v>
      </c>
      <c r="I172" s="38">
        <v>235042.4</v>
      </c>
      <c r="J172" s="38">
        <v>12</v>
      </c>
      <c r="K172" s="39">
        <f t="shared" si="11"/>
        <v>0.10028012123997418</v>
      </c>
      <c r="L172" s="40">
        <f t="shared" si="12"/>
        <v>12.111847939734071</v>
      </c>
      <c r="M172" s="40">
        <f t="shared" si="13"/>
        <v>11.111847939734071</v>
      </c>
      <c r="N172" s="40">
        <f t="shared" si="14"/>
        <v>6.4117627802935235</v>
      </c>
      <c r="O172" s="1" t="str">
        <f t="shared" si="10"/>
        <v>Normal</v>
      </c>
      <c r="P172" s="51" t="str">
        <f>IF(Table4[[#This Row],[Sales]]&lt;=$B$3,"Normal","High Revenue")</f>
        <v>High Revenue</v>
      </c>
      <c r="Q172" s="51" t="str">
        <f>IF(Table4[[#This Row],[CTR]]&lt;=$B$4,"Normal","High CTR")</f>
        <v>Normal</v>
      </c>
      <c r="R172" s="51" t="str">
        <f>IF(Table4[[#This Row],[ROAS]]&lt;1,"Poor",IF(Table4[[#This Row],[ROAS]]&lt;3,"Average",IF(Table4[[#This Row],[ROAS]]&lt;5,"Good",
"Excellent")))</f>
        <v>Excellent</v>
      </c>
      <c r="S172" s="51" t="str">
        <f>IF(AND(Table4[[#This Row],[USD_Spend]]&gt;=$B$5,Table4[[#This Row],[Sales]]&lt;=$B$6),"Wasted Budget","Spend Justified")</f>
        <v>Spend Justified</v>
      </c>
      <c r="T172" s="51" t="str">
        <f>IF(AND(Table4[[#This Row],[Clicks]]&gt;=$B$7,Table4[[#This Row],[Sales]]&lt;=$B$6),"Poor Monetization","Normal Monitization")</f>
        <v>Normal Monitization</v>
      </c>
    </row>
    <row r="173" spans="1:20" x14ac:dyDescent="0.35">
      <c r="A173" s="41" t="s">
        <v>70</v>
      </c>
      <c r="B173" s="41" t="s">
        <v>48</v>
      </c>
      <c r="C173" s="41" t="s">
        <v>20</v>
      </c>
      <c r="D173" s="41" t="s">
        <v>63</v>
      </c>
      <c r="E173" s="41" t="s">
        <v>22</v>
      </c>
      <c r="F173" s="41">
        <v>16725.650000000001</v>
      </c>
      <c r="G173" s="41">
        <v>738205</v>
      </c>
      <c r="H173" s="41">
        <v>14035</v>
      </c>
      <c r="I173" s="41">
        <v>116580.93</v>
      </c>
      <c r="J173" s="41">
        <v>51</v>
      </c>
      <c r="K173" s="42">
        <f t="shared" si="11"/>
        <v>1.9012333972270576E-2</v>
      </c>
      <c r="L173" s="43">
        <f t="shared" si="12"/>
        <v>6.9701883035935817</v>
      </c>
      <c r="M173" s="43">
        <f t="shared" si="13"/>
        <v>5.9701883035935817</v>
      </c>
      <c r="N173" s="43">
        <f t="shared" si="14"/>
        <v>8.3064431777698609</v>
      </c>
      <c r="O173" s="1" t="str">
        <f t="shared" si="10"/>
        <v>Normal</v>
      </c>
      <c r="P173" s="51" t="str">
        <f>IF(Table4[[#This Row],[Sales]]&lt;=$B$3,"Normal","High Revenue")</f>
        <v>Normal</v>
      </c>
      <c r="Q173" s="51" t="str">
        <f>IF(Table4[[#This Row],[CTR]]&lt;=$B$4,"Normal","High CTR")</f>
        <v>Normal</v>
      </c>
      <c r="R173" s="51" t="str">
        <f>IF(Table4[[#This Row],[ROAS]]&lt;1,"Poor",IF(Table4[[#This Row],[ROAS]]&lt;3,"Average",IF(Table4[[#This Row],[ROAS]]&lt;5,"Good",
"Excellent")))</f>
        <v>Excellent</v>
      </c>
      <c r="S173" s="51" t="str">
        <f>IF(AND(Table4[[#This Row],[USD_Spend]]&gt;=$B$5,Table4[[#This Row],[Sales]]&lt;=$B$6),"Wasted Budget","Spend Justified")</f>
        <v>Spend Justified</v>
      </c>
      <c r="T173" s="51" t="str">
        <f>IF(AND(Table4[[#This Row],[Clicks]]&gt;=$B$7,Table4[[#This Row],[Sales]]&lt;=$B$6),"Poor Monetization","Normal Monitization")</f>
        <v>Normal Monitization</v>
      </c>
    </row>
    <row r="174" spans="1:20" x14ac:dyDescent="0.35">
      <c r="A174" s="38" t="s">
        <v>85</v>
      </c>
      <c r="B174" s="38" t="s">
        <v>28</v>
      </c>
      <c r="C174" s="38" t="s">
        <v>29</v>
      </c>
      <c r="D174" s="38" t="s">
        <v>59</v>
      </c>
      <c r="E174" s="38" t="s">
        <v>22</v>
      </c>
      <c r="F174" s="38">
        <v>12995.75</v>
      </c>
      <c r="G174" s="38">
        <v>344617</v>
      </c>
      <c r="H174" s="38">
        <v>15942</v>
      </c>
      <c r="I174" s="38">
        <v>119285.78</v>
      </c>
      <c r="J174" s="38">
        <v>54</v>
      </c>
      <c r="K174" s="39">
        <f t="shared" si="11"/>
        <v>4.6260051013153732E-2</v>
      </c>
      <c r="L174" s="40">
        <f t="shared" si="12"/>
        <v>9.1788300021160758</v>
      </c>
      <c r="M174" s="40">
        <f t="shared" si="13"/>
        <v>8.1788300021160758</v>
      </c>
      <c r="N174" s="40">
        <f t="shared" si="14"/>
        <v>7.4824852590641076</v>
      </c>
      <c r="O174" s="1" t="str">
        <f t="shared" si="10"/>
        <v>Normal</v>
      </c>
      <c r="P174" s="51" t="str">
        <f>IF(Table4[[#This Row],[Sales]]&lt;=$B$3,"Normal","High Revenue")</f>
        <v>Normal</v>
      </c>
      <c r="Q174" s="51" t="str">
        <f>IF(Table4[[#This Row],[CTR]]&lt;=$B$4,"Normal","High CTR")</f>
        <v>Normal</v>
      </c>
      <c r="R174" s="51" t="str">
        <f>IF(Table4[[#This Row],[ROAS]]&lt;1,"Poor",IF(Table4[[#This Row],[ROAS]]&lt;3,"Average",IF(Table4[[#This Row],[ROAS]]&lt;5,"Good",
"Excellent")))</f>
        <v>Excellent</v>
      </c>
      <c r="S174" s="51" t="str">
        <f>IF(AND(Table4[[#This Row],[USD_Spend]]&gt;=$B$5,Table4[[#This Row],[Sales]]&lt;=$B$6),"Wasted Budget","Spend Justified")</f>
        <v>Spend Justified</v>
      </c>
      <c r="T174" s="51" t="str">
        <f>IF(AND(Table4[[#This Row],[Clicks]]&gt;=$B$7,Table4[[#This Row],[Sales]]&lt;=$B$6),"Poor Monetization","Normal Monitization")</f>
        <v>Normal Monitization</v>
      </c>
    </row>
    <row r="175" spans="1:20" x14ac:dyDescent="0.35">
      <c r="A175" s="41" t="s">
        <v>95</v>
      </c>
      <c r="B175" s="41" t="s">
        <v>28</v>
      </c>
      <c r="C175" s="41" t="s">
        <v>29</v>
      </c>
      <c r="D175" s="41" t="s">
        <v>37</v>
      </c>
      <c r="E175" s="41" t="s">
        <v>38</v>
      </c>
      <c r="F175" s="41">
        <v>21526.43</v>
      </c>
      <c r="G175" s="41">
        <v>484409</v>
      </c>
      <c r="H175" s="41">
        <v>40763</v>
      </c>
      <c r="I175" s="41">
        <v>130798.69</v>
      </c>
      <c r="J175" s="41">
        <v>20</v>
      </c>
      <c r="K175" s="42">
        <f t="shared" si="11"/>
        <v>8.4149964183159273E-2</v>
      </c>
      <c r="L175" s="43">
        <f t="shared" si="12"/>
        <v>6.0761905248571173</v>
      </c>
      <c r="M175" s="43">
        <f t="shared" si="13"/>
        <v>5.0761905248571182</v>
      </c>
      <c r="N175" s="43">
        <f t="shared" si="14"/>
        <v>3.2087601501361531</v>
      </c>
      <c r="O175" s="1" t="str">
        <f t="shared" si="10"/>
        <v>Normal</v>
      </c>
      <c r="P175" s="51" t="str">
        <f>IF(Table4[[#This Row],[Sales]]&lt;=$B$3,"Normal","High Revenue")</f>
        <v>Normal</v>
      </c>
      <c r="Q175" s="51" t="str">
        <f>IF(Table4[[#This Row],[CTR]]&lt;=$B$4,"Normal","High CTR")</f>
        <v>Normal</v>
      </c>
      <c r="R175" s="51" t="str">
        <f>IF(Table4[[#This Row],[ROAS]]&lt;1,"Poor",IF(Table4[[#This Row],[ROAS]]&lt;3,"Average",IF(Table4[[#This Row],[ROAS]]&lt;5,"Good",
"Excellent")))</f>
        <v>Excellent</v>
      </c>
      <c r="S175" s="51" t="str">
        <f>IF(AND(Table4[[#This Row],[USD_Spend]]&gt;=$B$5,Table4[[#This Row],[Sales]]&lt;=$B$6),"Wasted Budget","Spend Justified")</f>
        <v>Spend Justified</v>
      </c>
      <c r="T175" s="51" t="str">
        <f>IF(AND(Table4[[#This Row],[Clicks]]&gt;=$B$7,Table4[[#This Row],[Sales]]&lt;=$B$6),"Poor Monetization","Normal Monitization")</f>
        <v>Normal Monitization</v>
      </c>
    </row>
    <row r="176" spans="1:20" x14ac:dyDescent="0.35">
      <c r="A176" s="38" t="s">
        <v>111</v>
      </c>
      <c r="B176" s="38" t="s">
        <v>28</v>
      </c>
      <c r="C176" s="38" t="s">
        <v>29</v>
      </c>
      <c r="D176" s="38" t="s">
        <v>43</v>
      </c>
      <c r="E176" s="38" t="s">
        <v>22</v>
      </c>
      <c r="F176" s="38">
        <v>17284.5</v>
      </c>
      <c r="G176" s="38">
        <v>447110</v>
      </c>
      <c r="H176" s="38">
        <v>44212</v>
      </c>
      <c r="I176" s="38">
        <v>164862.54999999999</v>
      </c>
      <c r="J176" s="38">
        <v>24</v>
      </c>
      <c r="K176" s="39">
        <f t="shared" si="11"/>
        <v>9.8883943548567471E-2</v>
      </c>
      <c r="L176" s="40">
        <f t="shared" si="12"/>
        <v>9.5381729295033111</v>
      </c>
      <c r="M176" s="40">
        <f t="shared" si="13"/>
        <v>8.5381729295033111</v>
      </c>
      <c r="N176" s="40">
        <f t="shared" si="14"/>
        <v>3.7289095720618834</v>
      </c>
      <c r="O176" s="1" t="str">
        <f t="shared" si="10"/>
        <v>Normal</v>
      </c>
      <c r="P176" s="51" t="str">
        <f>IF(Table4[[#This Row],[Sales]]&lt;=$B$3,"Normal","High Revenue")</f>
        <v>Normal</v>
      </c>
      <c r="Q176" s="51" t="str">
        <f>IF(Table4[[#This Row],[CTR]]&lt;=$B$4,"Normal","High CTR")</f>
        <v>Normal</v>
      </c>
      <c r="R176" s="51" t="str">
        <f>IF(Table4[[#This Row],[ROAS]]&lt;1,"Poor",IF(Table4[[#This Row],[ROAS]]&lt;3,"Average",IF(Table4[[#This Row],[ROAS]]&lt;5,"Good",
"Excellent")))</f>
        <v>Excellent</v>
      </c>
      <c r="S176" s="51" t="str">
        <f>IF(AND(Table4[[#This Row],[USD_Spend]]&gt;=$B$5,Table4[[#This Row],[Sales]]&lt;=$B$6),"Wasted Budget","Spend Justified")</f>
        <v>Spend Justified</v>
      </c>
      <c r="T176" s="51" t="str">
        <f>IF(AND(Table4[[#This Row],[Clicks]]&gt;=$B$7,Table4[[#This Row],[Sales]]&lt;=$B$6),"Poor Monetization","Normal Monitization")</f>
        <v>Normal Monitization</v>
      </c>
    </row>
    <row r="177" spans="1:20" x14ac:dyDescent="0.35">
      <c r="A177" s="41" t="s">
        <v>120</v>
      </c>
      <c r="B177" s="41" t="s">
        <v>48</v>
      </c>
      <c r="C177" s="41" t="s">
        <v>36</v>
      </c>
      <c r="D177" s="41" t="s">
        <v>51</v>
      </c>
      <c r="E177" s="41" t="s">
        <v>38</v>
      </c>
      <c r="F177" s="41">
        <v>45688.09</v>
      </c>
      <c r="G177" s="41">
        <v>142250</v>
      </c>
      <c r="H177" s="41">
        <v>10293</v>
      </c>
      <c r="I177" s="41">
        <v>89309.53</v>
      </c>
      <c r="J177" s="41">
        <v>13</v>
      </c>
      <c r="K177" s="42">
        <f t="shared" si="11"/>
        <v>7.2358523725834803E-2</v>
      </c>
      <c r="L177" s="43">
        <f t="shared" si="12"/>
        <v>1.9547661108179397</v>
      </c>
      <c r="M177" s="43">
        <f t="shared" si="13"/>
        <v>0.95476611081793972</v>
      </c>
      <c r="N177" s="43">
        <f t="shared" si="14"/>
        <v>8.6767249587098032</v>
      </c>
      <c r="O177" s="1" t="str">
        <f t="shared" si="10"/>
        <v>High Spend</v>
      </c>
      <c r="P177" s="51" t="str">
        <f>IF(Table4[[#This Row],[Sales]]&lt;=$B$3,"Normal","High Revenue")</f>
        <v>Normal</v>
      </c>
      <c r="Q177" s="51" t="str">
        <f>IF(Table4[[#This Row],[CTR]]&lt;=$B$4,"Normal","High CTR")</f>
        <v>Normal</v>
      </c>
      <c r="R177" s="51" t="str">
        <f>IF(Table4[[#This Row],[ROAS]]&lt;1,"Poor",IF(Table4[[#This Row],[ROAS]]&lt;3,"Average",IF(Table4[[#This Row],[ROAS]]&lt;5,"Good",
"Excellent")))</f>
        <v>Average</v>
      </c>
      <c r="S177" s="51" t="str">
        <f>IF(AND(Table4[[#This Row],[USD_Spend]]&gt;=$B$5,Table4[[#This Row],[Sales]]&lt;=$B$6),"Wasted Budget","Spend Justified")</f>
        <v>Spend Justified</v>
      </c>
      <c r="T177" s="51" t="str">
        <f>IF(AND(Table4[[#This Row],[Clicks]]&gt;=$B$7,Table4[[#This Row],[Sales]]&lt;=$B$6),"Poor Monetization","Normal Monitization")</f>
        <v>Normal Monitization</v>
      </c>
    </row>
    <row r="178" spans="1:20" x14ac:dyDescent="0.35">
      <c r="A178" s="38" t="s">
        <v>110</v>
      </c>
      <c r="B178" s="38" t="s">
        <v>48</v>
      </c>
      <c r="C178" s="38" t="s">
        <v>58</v>
      </c>
      <c r="D178" s="38" t="s">
        <v>63</v>
      </c>
      <c r="E178" s="38" t="s">
        <v>22</v>
      </c>
      <c r="F178" s="38">
        <v>15223.94</v>
      </c>
      <c r="G178" s="38">
        <v>24892</v>
      </c>
      <c r="H178" s="38">
        <v>48690</v>
      </c>
      <c r="I178" s="38">
        <v>32329.599999999999</v>
      </c>
      <c r="J178" s="38">
        <v>45</v>
      </c>
      <c r="K178" s="39">
        <f t="shared" si="11"/>
        <v>1.9560501365900691</v>
      </c>
      <c r="L178" s="40">
        <f t="shared" si="12"/>
        <v>2.1236026941777224</v>
      </c>
      <c r="M178" s="40">
        <f t="shared" si="13"/>
        <v>1.1236026941777224</v>
      </c>
      <c r="N178" s="40">
        <f t="shared" si="14"/>
        <v>0.66398849866502363</v>
      </c>
      <c r="O178" s="1" t="str">
        <f t="shared" si="10"/>
        <v>Normal</v>
      </c>
      <c r="P178" s="51" t="str">
        <f>IF(Table4[[#This Row],[Sales]]&lt;=$B$3,"Normal","High Revenue")</f>
        <v>Normal</v>
      </c>
      <c r="Q178" s="51" t="str">
        <f>IF(Table4[[#This Row],[CTR]]&lt;=$B$4,"Normal","High CTR")</f>
        <v>High CTR</v>
      </c>
      <c r="R178" s="51" t="str">
        <f>IF(Table4[[#This Row],[ROAS]]&lt;1,"Poor",IF(Table4[[#This Row],[ROAS]]&lt;3,"Average",IF(Table4[[#This Row],[ROAS]]&lt;5,"Good",
"Excellent")))</f>
        <v>Average</v>
      </c>
      <c r="S178" s="51" t="str">
        <f>IF(AND(Table4[[#This Row],[USD_Spend]]&gt;=$B$5,Table4[[#This Row],[Sales]]&lt;=$B$6),"Wasted Budget","Spend Justified")</f>
        <v>Wasted Budget</v>
      </c>
      <c r="T178" s="51" t="str">
        <f>IF(AND(Table4[[#This Row],[Clicks]]&gt;=$B$7,Table4[[#This Row],[Sales]]&lt;=$B$6),"Poor Monetization","Normal Monitization")</f>
        <v>Poor Monetization</v>
      </c>
    </row>
    <row r="179" spans="1:20" x14ac:dyDescent="0.35">
      <c r="A179" s="41" t="s">
        <v>79</v>
      </c>
      <c r="B179" s="41" t="s">
        <v>19</v>
      </c>
      <c r="C179" s="41" t="s">
        <v>58</v>
      </c>
      <c r="D179" s="41" t="s">
        <v>63</v>
      </c>
      <c r="E179" s="41" t="s">
        <v>22</v>
      </c>
      <c r="F179" s="41">
        <v>14545.44</v>
      </c>
      <c r="G179" s="41">
        <v>595941</v>
      </c>
      <c r="H179" s="41">
        <v>30402</v>
      </c>
      <c r="I179" s="41">
        <v>169828.09</v>
      </c>
      <c r="J179" s="41">
        <v>38</v>
      </c>
      <c r="K179" s="42">
        <f t="shared" si="11"/>
        <v>5.1015117268320184E-2</v>
      </c>
      <c r="L179" s="43">
        <f t="shared" si="12"/>
        <v>11.675692863192863</v>
      </c>
      <c r="M179" s="43">
        <f t="shared" si="13"/>
        <v>10.675692863192863</v>
      </c>
      <c r="N179" s="43">
        <f t="shared" si="14"/>
        <v>5.5860828234984536</v>
      </c>
      <c r="O179" s="1" t="str">
        <f t="shared" si="10"/>
        <v>Normal</v>
      </c>
      <c r="P179" s="51" t="str">
        <f>IF(Table4[[#This Row],[Sales]]&lt;=$B$3,"Normal","High Revenue")</f>
        <v>Normal</v>
      </c>
      <c r="Q179" s="51" t="str">
        <f>IF(Table4[[#This Row],[CTR]]&lt;=$B$4,"Normal","High CTR")</f>
        <v>Normal</v>
      </c>
      <c r="R179" s="51" t="str">
        <f>IF(Table4[[#This Row],[ROAS]]&lt;1,"Poor",IF(Table4[[#This Row],[ROAS]]&lt;3,"Average",IF(Table4[[#This Row],[ROAS]]&lt;5,"Good",
"Excellent")))</f>
        <v>Excellent</v>
      </c>
      <c r="S179" s="51" t="str">
        <f>IF(AND(Table4[[#This Row],[USD_Spend]]&gt;=$B$5,Table4[[#This Row],[Sales]]&lt;=$B$6),"Wasted Budget","Spend Justified")</f>
        <v>Spend Justified</v>
      </c>
      <c r="T179" s="51" t="str">
        <f>IF(AND(Table4[[#This Row],[Clicks]]&gt;=$B$7,Table4[[#This Row],[Sales]]&lt;=$B$6),"Poor Monetization","Normal Monitization")</f>
        <v>Normal Monitization</v>
      </c>
    </row>
    <row r="180" spans="1:20" x14ac:dyDescent="0.35">
      <c r="A180" s="38" t="s">
        <v>79</v>
      </c>
      <c r="B180" s="38" t="s">
        <v>48</v>
      </c>
      <c r="C180" s="38" t="s">
        <v>58</v>
      </c>
      <c r="D180" s="38" t="s">
        <v>43</v>
      </c>
      <c r="E180" s="38" t="s">
        <v>30</v>
      </c>
      <c r="F180" s="38">
        <v>12095.96</v>
      </c>
      <c r="G180" s="38">
        <v>105136</v>
      </c>
      <c r="H180" s="38">
        <v>1143</v>
      </c>
      <c r="I180" s="38">
        <v>122546.82</v>
      </c>
      <c r="J180" s="38">
        <v>28</v>
      </c>
      <c r="K180" s="39">
        <f t="shared" si="11"/>
        <v>1.0871632932582559E-2</v>
      </c>
      <c r="L180" s="40">
        <f t="shared" si="12"/>
        <v>10.131219018581412</v>
      </c>
      <c r="M180" s="40">
        <f t="shared" si="13"/>
        <v>9.1312190185814117</v>
      </c>
      <c r="N180" s="40">
        <f t="shared" si="14"/>
        <v>107.2150656167979</v>
      </c>
      <c r="O180" s="1" t="str">
        <f t="shared" si="10"/>
        <v>Normal</v>
      </c>
      <c r="P180" s="51" t="str">
        <f>IF(Table4[[#This Row],[Sales]]&lt;=$B$3,"Normal","High Revenue")</f>
        <v>Normal</v>
      </c>
      <c r="Q180" s="51" t="str">
        <f>IF(Table4[[#This Row],[CTR]]&lt;=$B$4,"Normal","High CTR")</f>
        <v>Normal</v>
      </c>
      <c r="R180" s="51" t="str">
        <f>IF(Table4[[#This Row],[ROAS]]&lt;1,"Poor",IF(Table4[[#This Row],[ROAS]]&lt;3,"Average",IF(Table4[[#This Row],[ROAS]]&lt;5,"Good",
"Excellent")))</f>
        <v>Excellent</v>
      </c>
      <c r="S180" s="51" t="str">
        <f>IF(AND(Table4[[#This Row],[USD_Spend]]&gt;=$B$5,Table4[[#This Row],[Sales]]&lt;=$B$6),"Wasted Budget","Spend Justified")</f>
        <v>Spend Justified</v>
      </c>
      <c r="T180" s="51" t="str">
        <f>IF(AND(Table4[[#This Row],[Clicks]]&gt;=$B$7,Table4[[#This Row],[Sales]]&lt;=$B$6),"Poor Monetization","Normal Monitization")</f>
        <v>Normal Monitization</v>
      </c>
    </row>
    <row r="181" spans="1:20" x14ac:dyDescent="0.35">
      <c r="A181" s="41" t="s">
        <v>78</v>
      </c>
      <c r="B181" s="41" t="s">
        <v>28</v>
      </c>
      <c r="C181" s="41" t="s">
        <v>20</v>
      </c>
      <c r="D181" s="41" t="s">
        <v>21</v>
      </c>
      <c r="E181" s="41" t="s">
        <v>30</v>
      </c>
      <c r="F181" s="41">
        <v>3480.85</v>
      </c>
      <c r="G181" s="41">
        <v>61706</v>
      </c>
      <c r="H181" s="41">
        <v>36023</v>
      </c>
      <c r="I181" s="41">
        <v>102801.87</v>
      </c>
      <c r="J181" s="41">
        <v>27</v>
      </c>
      <c r="K181" s="42">
        <f t="shared" si="11"/>
        <v>0.58378439697922402</v>
      </c>
      <c r="L181" s="43">
        <f t="shared" si="12"/>
        <v>29.533553586049383</v>
      </c>
      <c r="M181" s="43">
        <f t="shared" si="13"/>
        <v>28.533553586049383</v>
      </c>
      <c r="N181" s="43">
        <f t="shared" si="14"/>
        <v>2.8537842489520582</v>
      </c>
      <c r="O181" s="1" t="str">
        <f t="shared" si="10"/>
        <v>Normal</v>
      </c>
      <c r="P181" s="51" t="str">
        <f>IF(Table4[[#This Row],[Sales]]&lt;=$B$3,"Normal","High Revenue")</f>
        <v>Normal</v>
      </c>
      <c r="Q181" s="51" t="str">
        <f>IF(Table4[[#This Row],[CTR]]&lt;=$B$4,"Normal","High CTR")</f>
        <v>High CTR</v>
      </c>
      <c r="R181" s="51" t="str">
        <f>IF(Table4[[#This Row],[ROAS]]&lt;1,"Poor",IF(Table4[[#This Row],[ROAS]]&lt;3,"Average",IF(Table4[[#This Row],[ROAS]]&lt;5,"Good",
"Excellent")))</f>
        <v>Excellent</v>
      </c>
      <c r="S181" s="51" t="str">
        <f>IF(AND(Table4[[#This Row],[USD_Spend]]&gt;=$B$5,Table4[[#This Row],[Sales]]&lt;=$B$6),"Wasted Budget","Spend Justified")</f>
        <v>Spend Justified</v>
      </c>
      <c r="T181" s="51" t="str">
        <f>IF(AND(Table4[[#This Row],[Clicks]]&gt;=$B$7,Table4[[#This Row],[Sales]]&lt;=$B$6),"Poor Monetization","Normal Monitization")</f>
        <v>Normal Monitization</v>
      </c>
    </row>
    <row r="182" spans="1:20" x14ac:dyDescent="0.35">
      <c r="A182" s="38" t="s">
        <v>70</v>
      </c>
      <c r="B182" s="38" t="s">
        <v>48</v>
      </c>
      <c r="C182" s="38" t="s">
        <v>58</v>
      </c>
      <c r="D182" s="38" t="s">
        <v>63</v>
      </c>
      <c r="E182" s="38" t="s">
        <v>30</v>
      </c>
      <c r="F182" s="38">
        <v>10610.93</v>
      </c>
      <c r="G182" s="38">
        <v>158683</v>
      </c>
      <c r="H182" s="38">
        <v>17165</v>
      </c>
      <c r="I182" s="38">
        <v>33626.300000000003</v>
      </c>
      <c r="J182" s="38">
        <v>11</v>
      </c>
      <c r="K182" s="39">
        <f t="shared" si="11"/>
        <v>0.10817163779358847</v>
      </c>
      <c r="L182" s="40">
        <f t="shared" si="12"/>
        <v>3.1690247697421436</v>
      </c>
      <c r="M182" s="40">
        <f t="shared" si="13"/>
        <v>2.1690247697421436</v>
      </c>
      <c r="N182" s="40">
        <f t="shared" si="14"/>
        <v>1.9590037867754153</v>
      </c>
      <c r="O182" s="1" t="str">
        <f t="shared" si="10"/>
        <v>Normal</v>
      </c>
      <c r="P182" s="51" t="str">
        <f>IF(Table4[[#This Row],[Sales]]&lt;=$B$3,"Normal","High Revenue")</f>
        <v>Normal</v>
      </c>
      <c r="Q182" s="51" t="str">
        <f>IF(Table4[[#This Row],[CTR]]&lt;=$B$4,"Normal","High CTR")</f>
        <v>Normal</v>
      </c>
      <c r="R182" s="51" t="str">
        <f>IF(Table4[[#This Row],[ROAS]]&lt;1,"Poor",IF(Table4[[#This Row],[ROAS]]&lt;3,"Average",IF(Table4[[#This Row],[ROAS]]&lt;5,"Good",
"Excellent")))</f>
        <v>Good</v>
      </c>
      <c r="S182" s="51" t="str">
        <f>IF(AND(Table4[[#This Row],[USD_Spend]]&gt;=$B$5,Table4[[#This Row],[Sales]]&lt;=$B$6),"Wasted Budget","Spend Justified")</f>
        <v>Wasted Budget</v>
      </c>
      <c r="T182" s="51" t="str">
        <f>IF(AND(Table4[[#This Row],[Clicks]]&gt;=$B$7,Table4[[#This Row],[Sales]]&lt;=$B$6),"Poor Monetization","Normal Monitization")</f>
        <v>Normal Monitization</v>
      </c>
    </row>
    <row r="183" spans="1:20" x14ac:dyDescent="0.35">
      <c r="A183" s="41" t="s">
        <v>97</v>
      </c>
      <c r="B183" s="41" t="s">
        <v>48</v>
      </c>
      <c r="C183" s="41" t="s">
        <v>29</v>
      </c>
      <c r="D183" s="41" t="s">
        <v>51</v>
      </c>
      <c r="E183" s="41" t="s">
        <v>22</v>
      </c>
      <c r="F183" s="41">
        <v>7211.84</v>
      </c>
      <c r="G183" s="41">
        <v>274760</v>
      </c>
      <c r="H183" s="41">
        <v>32284</v>
      </c>
      <c r="I183" s="41">
        <v>112191.14</v>
      </c>
      <c r="J183" s="41">
        <v>46</v>
      </c>
      <c r="K183" s="42">
        <f t="shared" si="11"/>
        <v>0.11749890813801135</v>
      </c>
      <c r="L183" s="43">
        <f t="shared" si="12"/>
        <v>15.556520943337622</v>
      </c>
      <c r="M183" s="43">
        <f t="shared" si="13"/>
        <v>14.556520943337622</v>
      </c>
      <c r="N183" s="43">
        <f t="shared" si="14"/>
        <v>3.4751313344071368</v>
      </c>
      <c r="O183" s="1" t="str">
        <f t="shared" si="10"/>
        <v>Normal</v>
      </c>
      <c r="P183" s="51" t="str">
        <f>IF(Table4[[#This Row],[Sales]]&lt;=$B$3,"Normal","High Revenue")</f>
        <v>Normal</v>
      </c>
      <c r="Q183" s="51" t="str">
        <f>IF(Table4[[#This Row],[CTR]]&lt;=$B$4,"Normal","High CTR")</f>
        <v>Normal</v>
      </c>
      <c r="R183" s="51" t="str">
        <f>IF(Table4[[#This Row],[ROAS]]&lt;1,"Poor",IF(Table4[[#This Row],[ROAS]]&lt;3,"Average",IF(Table4[[#This Row],[ROAS]]&lt;5,"Good",
"Excellent")))</f>
        <v>Excellent</v>
      </c>
      <c r="S183" s="51" t="str">
        <f>IF(AND(Table4[[#This Row],[USD_Spend]]&gt;=$B$5,Table4[[#This Row],[Sales]]&lt;=$B$6),"Wasted Budget","Spend Justified")</f>
        <v>Spend Justified</v>
      </c>
      <c r="T183" s="51" t="str">
        <f>IF(AND(Table4[[#This Row],[Clicks]]&gt;=$B$7,Table4[[#This Row],[Sales]]&lt;=$B$6),"Poor Monetization","Normal Monitization")</f>
        <v>Normal Monitization</v>
      </c>
    </row>
    <row r="184" spans="1:20" x14ac:dyDescent="0.35">
      <c r="A184" s="38" t="s">
        <v>120</v>
      </c>
      <c r="B184" s="38" t="s">
        <v>35</v>
      </c>
      <c r="C184" s="38" t="s">
        <v>20</v>
      </c>
      <c r="D184" s="38" t="s">
        <v>63</v>
      </c>
      <c r="E184" s="38" t="s">
        <v>38</v>
      </c>
      <c r="F184" s="38">
        <v>3122.64</v>
      </c>
      <c r="G184" s="38">
        <v>271103</v>
      </c>
      <c r="H184" s="38">
        <v>13860</v>
      </c>
      <c r="I184" s="38">
        <v>135975.76</v>
      </c>
      <c r="J184" s="38">
        <v>23</v>
      </c>
      <c r="K184" s="39">
        <f t="shared" si="11"/>
        <v>5.1124480363551862E-2</v>
      </c>
      <c r="L184" s="40">
        <f t="shared" si="12"/>
        <v>43.545128481028875</v>
      </c>
      <c r="M184" s="40">
        <f t="shared" si="13"/>
        <v>42.545128481028875</v>
      </c>
      <c r="N184" s="40">
        <f t="shared" si="14"/>
        <v>9.8106608946608951</v>
      </c>
      <c r="O184" s="1" t="str">
        <f t="shared" si="10"/>
        <v>Normal</v>
      </c>
      <c r="P184" s="51" t="str">
        <f>IF(Table4[[#This Row],[Sales]]&lt;=$B$3,"Normal","High Revenue")</f>
        <v>Normal</v>
      </c>
      <c r="Q184" s="51" t="str">
        <f>IF(Table4[[#This Row],[CTR]]&lt;=$B$4,"Normal","High CTR")</f>
        <v>Normal</v>
      </c>
      <c r="R184" s="51" t="str">
        <f>IF(Table4[[#This Row],[ROAS]]&lt;1,"Poor",IF(Table4[[#This Row],[ROAS]]&lt;3,"Average",IF(Table4[[#This Row],[ROAS]]&lt;5,"Good",
"Excellent")))</f>
        <v>Excellent</v>
      </c>
      <c r="S184" s="51" t="str">
        <f>IF(AND(Table4[[#This Row],[USD_Spend]]&gt;=$B$5,Table4[[#This Row],[Sales]]&lt;=$B$6),"Wasted Budget","Spend Justified")</f>
        <v>Spend Justified</v>
      </c>
      <c r="T184" s="51" t="str">
        <f>IF(AND(Table4[[#This Row],[Clicks]]&gt;=$B$7,Table4[[#This Row],[Sales]]&lt;=$B$6),"Poor Monetization","Normal Monitization")</f>
        <v>Normal Monitization</v>
      </c>
    </row>
    <row r="185" spans="1:20" x14ac:dyDescent="0.35">
      <c r="A185" s="41" t="s">
        <v>115</v>
      </c>
      <c r="B185" s="41" t="s">
        <v>28</v>
      </c>
      <c r="C185" s="41" t="s">
        <v>69</v>
      </c>
      <c r="D185" s="41" t="s">
        <v>51</v>
      </c>
      <c r="E185" s="41" t="s">
        <v>22</v>
      </c>
      <c r="F185" s="41">
        <v>8603.94</v>
      </c>
      <c r="G185" s="41">
        <v>858102</v>
      </c>
      <c r="H185" s="41">
        <v>7482</v>
      </c>
      <c r="I185" s="41">
        <v>86017.600000000006</v>
      </c>
      <c r="J185" s="41">
        <v>60</v>
      </c>
      <c r="K185" s="42">
        <f t="shared" si="11"/>
        <v>8.7192431668962431E-3</v>
      </c>
      <c r="L185" s="43">
        <f t="shared" si="12"/>
        <v>9.9974662770777112</v>
      </c>
      <c r="M185" s="43">
        <f t="shared" si="13"/>
        <v>8.9974662770777112</v>
      </c>
      <c r="N185" s="43">
        <f t="shared" si="14"/>
        <v>11.496605185779204</v>
      </c>
      <c r="O185" s="1" t="str">
        <f t="shared" si="10"/>
        <v>Normal</v>
      </c>
      <c r="P185" s="51" t="str">
        <f>IF(Table4[[#This Row],[Sales]]&lt;=$B$3,"Normal","High Revenue")</f>
        <v>Normal</v>
      </c>
      <c r="Q185" s="51" t="str">
        <f>IF(Table4[[#This Row],[CTR]]&lt;=$B$4,"Normal","High CTR")</f>
        <v>Normal</v>
      </c>
      <c r="R185" s="51" t="str">
        <f>IF(Table4[[#This Row],[ROAS]]&lt;1,"Poor",IF(Table4[[#This Row],[ROAS]]&lt;3,"Average",IF(Table4[[#This Row],[ROAS]]&lt;5,"Good",
"Excellent")))</f>
        <v>Excellent</v>
      </c>
      <c r="S185" s="51" t="str">
        <f>IF(AND(Table4[[#This Row],[USD_Spend]]&gt;=$B$5,Table4[[#This Row],[Sales]]&lt;=$B$6),"Wasted Budget","Spend Justified")</f>
        <v>Spend Justified</v>
      </c>
      <c r="T185" s="51" t="str">
        <f>IF(AND(Table4[[#This Row],[Clicks]]&gt;=$B$7,Table4[[#This Row],[Sales]]&lt;=$B$6),"Poor Monetization","Normal Monitization")</f>
        <v>Normal Monitization</v>
      </c>
    </row>
    <row r="186" spans="1:20" x14ac:dyDescent="0.35">
      <c r="A186" s="38" t="s">
        <v>91</v>
      </c>
      <c r="B186" s="38" t="s">
        <v>35</v>
      </c>
      <c r="C186" s="38" t="s">
        <v>58</v>
      </c>
      <c r="D186" s="38" t="s">
        <v>21</v>
      </c>
      <c r="E186" s="38" t="s">
        <v>38</v>
      </c>
      <c r="F186" s="38">
        <v>2758.27</v>
      </c>
      <c r="G186" s="38">
        <v>378653</v>
      </c>
      <c r="H186" s="38">
        <v>15184</v>
      </c>
      <c r="I186" s="38">
        <v>148070.75</v>
      </c>
      <c r="J186" s="38">
        <v>54</v>
      </c>
      <c r="K186" s="39">
        <f t="shared" si="11"/>
        <v>4.0100038821823676E-2</v>
      </c>
      <c r="L186" s="40">
        <f t="shared" si="12"/>
        <v>53.682471259158824</v>
      </c>
      <c r="M186" s="40">
        <f t="shared" si="13"/>
        <v>52.682471259158824</v>
      </c>
      <c r="N186" s="40">
        <f t="shared" si="14"/>
        <v>9.7517617228661742</v>
      </c>
      <c r="O186" s="1" t="str">
        <f t="shared" si="10"/>
        <v>Normal</v>
      </c>
      <c r="P186" s="51" t="str">
        <f>IF(Table4[[#This Row],[Sales]]&lt;=$B$3,"Normal","High Revenue")</f>
        <v>Normal</v>
      </c>
      <c r="Q186" s="51" t="str">
        <f>IF(Table4[[#This Row],[CTR]]&lt;=$B$4,"Normal","High CTR")</f>
        <v>Normal</v>
      </c>
      <c r="R186" s="51" t="str">
        <f>IF(Table4[[#This Row],[ROAS]]&lt;1,"Poor",IF(Table4[[#This Row],[ROAS]]&lt;3,"Average",IF(Table4[[#This Row],[ROAS]]&lt;5,"Good",
"Excellent")))</f>
        <v>Excellent</v>
      </c>
      <c r="S186" s="51" t="str">
        <f>IF(AND(Table4[[#This Row],[USD_Spend]]&gt;=$B$5,Table4[[#This Row],[Sales]]&lt;=$B$6),"Wasted Budget","Spend Justified")</f>
        <v>Spend Justified</v>
      </c>
      <c r="T186" s="51" t="str">
        <f>IF(AND(Table4[[#This Row],[Clicks]]&gt;=$B$7,Table4[[#This Row],[Sales]]&lt;=$B$6),"Poor Monetization","Normal Monitization")</f>
        <v>Normal Monitization</v>
      </c>
    </row>
    <row r="187" spans="1:20" x14ac:dyDescent="0.35">
      <c r="A187" s="41" t="s">
        <v>115</v>
      </c>
      <c r="B187" s="41" t="s">
        <v>19</v>
      </c>
      <c r="C187" s="41" t="s">
        <v>58</v>
      </c>
      <c r="D187" s="41" t="s">
        <v>43</v>
      </c>
      <c r="E187" s="41" t="s">
        <v>30</v>
      </c>
      <c r="F187" s="41">
        <v>34594.15</v>
      </c>
      <c r="G187" s="41">
        <v>172293</v>
      </c>
      <c r="H187" s="41">
        <v>19819</v>
      </c>
      <c r="I187" s="41">
        <v>158918.67000000001</v>
      </c>
      <c r="J187" s="41">
        <v>20</v>
      </c>
      <c r="K187" s="42">
        <f t="shared" si="11"/>
        <v>0.11503079057187465</v>
      </c>
      <c r="L187" s="43">
        <f t="shared" si="12"/>
        <v>4.5938018422189879</v>
      </c>
      <c r="M187" s="43">
        <f t="shared" si="13"/>
        <v>3.5938018422189884</v>
      </c>
      <c r="N187" s="43">
        <f t="shared" si="14"/>
        <v>8.0185009334477026</v>
      </c>
      <c r="O187" s="1" t="str">
        <f t="shared" si="10"/>
        <v>Normal</v>
      </c>
      <c r="P187" s="51" t="str">
        <f>IF(Table4[[#This Row],[Sales]]&lt;=$B$3,"Normal","High Revenue")</f>
        <v>Normal</v>
      </c>
      <c r="Q187" s="51" t="str">
        <f>IF(Table4[[#This Row],[CTR]]&lt;=$B$4,"Normal","High CTR")</f>
        <v>Normal</v>
      </c>
      <c r="R187" s="51" t="str">
        <f>IF(Table4[[#This Row],[ROAS]]&lt;1,"Poor",IF(Table4[[#This Row],[ROAS]]&lt;3,"Average",IF(Table4[[#This Row],[ROAS]]&lt;5,"Good",
"Excellent")))</f>
        <v>Good</v>
      </c>
      <c r="S187" s="51" t="str">
        <f>IF(AND(Table4[[#This Row],[USD_Spend]]&gt;=$B$5,Table4[[#This Row],[Sales]]&lt;=$B$6),"Wasted Budget","Spend Justified")</f>
        <v>Spend Justified</v>
      </c>
      <c r="T187" s="51" t="str">
        <f>IF(AND(Table4[[#This Row],[Clicks]]&gt;=$B$7,Table4[[#This Row],[Sales]]&lt;=$B$6),"Poor Monetization","Normal Monitization")</f>
        <v>Normal Monitization</v>
      </c>
    </row>
    <row r="188" spans="1:20" x14ac:dyDescent="0.35">
      <c r="A188" s="38" t="s">
        <v>110</v>
      </c>
      <c r="B188" s="38" t="s">
        <v>35</v>
      </c>
      <c r="C188" s="38" t="s">
        <v>29</v>
      </c>
      <c r="D188" s="38" t="s">
        <v>51</v>
      </c>
      <c r="E188" s="38" t="s">
        <v>30</v>
      </c>
      <c r="F188" s="38">
        <v>19545.490000000002</v>
      </c>
      <c r="G188" s="38">
        <v>680318</v>
      </c>
      <c r="H188" s="38">
        <v>32029</v>
      </c>
      <c r="I188" s="38">
        <v>164049.17000000001</v>
      </c>
      <c r="J188" s="38">
        <v>16</v>
      </c>
      <c r="K188" s="39">
        <f t="shared" si="11"/>
        <v>4.7079454020031809E-2</v>
      </c>
      <c r="L188" s="40">
        <f t="shared" si="12"/>
        <v>8.3931981239661937</v>
      </c>
      <c r="M188" s="40">
        <f t="shared" si="13"/>
        <v>7.3931981239661946</v>
      </c>
      <c r="N188" s="40">
        <f t="shared" si="14"/>
        <v>5.1218948452964508</v>
      </c>
      <c r="O188" s="1" t="str">
        <f t="shared" si="10"/>
        <v>Normal</v>
      </c>
      <c r="P188" s="51" t="str">
        <f>IF(Table4[[#This Row],[Sales]]&lt;=$B$3,"Normal","High Revenue")</f>
        <v>Normal</v>
      </c>
      <c r="Q188" s="51" t="str">
        <f>IF(Table4[[#This Row],[CTR]]&lt;=$B$4,"Normal","High CTR")</f>
        <v>Normal</v>
      </c>
      <c r="R188" s="51" t="str">
        <f>IF(Table4[[#This Row],[ROAS]]&lt;1,"Poor",IF(Table4[[#This Row],[ROAS]]&lt;3,"Average",IF(Table4[[#This Row],[ROAS]]&lt;5,"Good",
"Excellent")))</f>
        <v>Excellent</v>
      </c>
      <c r="S188" s="51" t="str">
        <f>IF(AND(Table4[[#This Row],[USD_Spend]]&gt;=$B$5,Table4[[#This Row],[Sales]]&lt;=$B$6),"Wasted Budget","Spend Justified")</f>
        <v>Spend Justified</v>
      </c>
      <c r="T188" s="51" t="str">
        <f>IF(AND(Table4[[#This Row],[Clicks]]&gt;=$B$7,Table4[[#This Row],[Sales]]&lt;=$B$6),"Poor Monetization","Normal Monitization")</f>
        <v>Normal Monitization</v>
      </c>
    </row>
    <row r="189" spans="1:20" x14ac:dyDescent="0.35">
      <c r="A189" s="41" t="s">
        <v>91</v>
      </c>
      <c r="B189" s="41" t="s">
        <v>35</v>
      </c>
      <c r="C189" s="41" t="s">
        <v>36</v>
      </c>
      <c r="D189" s="41" t="s">
        <v>43</v>
      </c>
      <c r="E189" s="41" t="s">
        <v>30</v>
      </c>
      <c r="F189" s="41">
        <v>2900.11</v>
      </c>
      <c r="G189" s="41">
        <v>168366</v>
      </c>
      <c r="H189" s="41">
        <v>699</v>
      </c>
      <c r="I189" s="41">
        <v>58586.32</v>
      </c>
      <c r="J189" s="41">
        <v>59</v>
      </c>
      <c r="K189" s="42">
        <f t="shared" si="11"/>
        <v>4.1516695769929796E-3</v>
      </c>
      <c r="L189" s="43">
        <f t="shared" si="12"/>
        <v>20.201413049849833</v>
      </c>
      <c r="M189" s="43">
        <f t="shared" si="13"/>
        <v>19.201413049849833</v>
      </c>
      <c r="N189" s="43">
        <f t="shared" si="14"/>
        <v>83.814477825464948</v>
      </c>
      <c r="O189" s="1" t="str">
        <f t="shared" si="10"/>
        <v>Normal</v>
      </c>
      <c r="P189" s="51" t="str">
        <f>IF(Table4[[#This Row],[Sales]]&lt;=$B$3,"Normal","High Revenue")</f>
        <v>Normal</v>
      </c>
      <c r="Q189" s="51" t="str">
        <f>IF(Table4[[#This Row],[CTR]]&lt;=$B$4,"Normal","High CTR")</f>
        <v>Normal</v>
      </c>
      <c r="R189" s="51" t="str">
        <f>IF(Table4[[#This Row],[ROAS]]&lt;1,"Poor",IF(Table4[[#This Row],[ROAS]]&lt;3,"Average",IF(Table4[[#This Row],[ROAS]]&lt;5,"Good",
"Excellent")))</f>
        <v>Excellent</v>
      </c>
      <c r="S189" s="51" t="str">
        <f>IF(AND(Table4[[#This Row],[USD_Spend]]&gt;=$B$5,Table4[[#This Row],[Sales]]&lt;=$B$6),"Wasted Budget","Spend Justified")</f>
        <v>Spend Justified</v>
      </c>
      <c r="T189" s="51" t="str">
        <f>IF(AND(Table4[[#This Row],[Clicks]]&gt;=$B$7,Table4[[#This Row],[Sales]]&lt;=$B$6),"Poor Monetization","Normal Monitization")</f>
        <v>Normal Monitization</v>
      </c>
    </row>
    <row r="190" spans="1:20" x14ac:dyDescent="0.35">
      <c r="A190" s="38" t="s">
        <v>27</v>
      </c>
      <c r="B190" s="38" t="s">
        <v>28</v>
      </c>
      <c r="C190" s="38" t="s">
        <v>20</v>
      </c>
      <c r="D190" s="38" t="s">
        <v>43</v>
      </c>
      <c r="E190" s="38" t="s">
        <v>22</v>
      </c>
      <c r="F190" s="38">
        <v>52299.85</v>
      </c>
      <c r="G190" s="38">
        <v>411798</v>
      </c>
      <c r="H190" s="38">
        <v>27537</v>
      </c>
      <c r="I190" s="38">
        <v>139588.12</v>
      </c>
      <c r="J190" s="38">
        <v>57</v>
      </c>
      <c r="K190" s="39">
        <f t="shared" si="11"/>
        <v>6.6870164498127729E-2</v>
      </c>
      <c r="L190" s="40">
        <f t="shared" si="12"/>
        <v>2.6689965649997083</v>
      </c>
      <c r="M190" s="40">
        <f t="shared" si="13"/>
        <v>1.6689965649997083</v>
      </c>
      <c r="N190" s="40">
        <f t="shared" si="14"/>
        <v>5.069111377419472</v>
      </c>
      <c r="O190" s="1" t="str">
        <f t="shared" si="10"/>
        <v>High Spend</v>
      </c>
      <c r="P190" s="51" t="str">
        <f>IF(Table4[[#This Row],[Sales]]&lt;=$B$3,"Normal","High Revenue")</f>
        <v>Normal</v>
      </c>
      <c r="Q190" s="51" t="str">
        <f>IF(Table4[[#This Row],[CTR]]&lt;=$B$4,"Normal","High CTR")</f>
        <v>Normal</v>
      </c>
      <c r="R190" s="51" t="str">
        <f>IF(Table4[[#This Row],[ROAS]]&lt;1,"Poor",IF(Table4[[#This Row],[ROAS]]&lt;3,"Average",IF(Table4[[#This Row],[ROAS]]&lt;5,"Good",
"Excellent")))</f>
        <v>Average</v>
      </c>
      <c r="S190" s="51" t="str">
        <f>IF(AND(Table4[[#This Row],[USD_Spend]]&gt;=$B$5,Table4[[#This Row],[Sales]]&lt;=$B$6),"Wasted Budget","Spend Justified")</f>
        <v>Spend Justified</v>
      </c>
      <c r="T190" s="51" t="str">
        <f>IF(AND(Table4[[#This Row],[Clicks]]&gt;=$B$7,Table4[[#This Row],[Sales]]&lt;=$B$6),"Poor Monetization","Normal Monitization")</f>
        <v>Normal Monitization</v>
      </c>
    </row>
    <row r="191" spans="1:20" x14ac:dyDescent="0.35">
      <c r="A191" s="41" t="s">
        <v>119</v>
      </c>
      <c r="B191" s="41" t="s">
        <v>35</v>
      </c>
      <c r="C191" s="41" t="s">
        <v>36</v>
      </c>
      <c r="D191" s="41" t="s">
        <v>63</v>
      </c>
      <c r="E191" s="41" t="s">
        <v>22</v>
      </c>
      <c r="F191" s="41">
        <v>10543.69</v>
      </c>
      <c r="G191" s="41">
        <v>431139</v>
      </c>
      <c r="H191" s="41">
        <v>40569</v>
      </c>
      <c r="I191" s="41">
        <v>211014.84</v>
      </c>
      <c r="J191" s="41">
        <v>49</v>
      </c>
      <c r="K191" s="42">
        <f t="shared" si="11"/>
        <v>9.409726329559609E-2</v>
      </c>
      <c r="L191" s="43">
        <f t="shared" si="12"/>
        <v>20.013376721053064</v>
      </c>
      <c r="M191" s="43">
        <f t="shared" si="13"/>
        <v>19.013376721053064</v>
      </c>
      <c r="N191" s="43">
        <f t="shared" si="14"/>
        <v>5.2013813502920945</v>
      </c>
      <c r="O191" s="1" t="str">
        <f t="shared" si="10"/>
        <v>Normal</v>
      </c>
      <c r="P191" s="51" t="str">
        <f>IF(Table4[[#This Row],[Sales]]&lt;=$B$3,"Normal","High Revenue")</f>
        <v>Normal</v>
      </c>
      <c r="Q191" s="51" t="str">
        <f>IF(Table4[[#This Row],[CTR]]&lt;=$B$4,"Normal","High CTR")</f>
        <v>Normal</v>
      </c>
      <c r="R191" s="51" t="str">
        <f>IF(Table4[[#This Row],[ROAS]]&lt;1,"Poor",IF(Table4[[#This Row],[ROAS]]&lt;3,"Average",IF(Table4[[#This Row],[ROAS]]&lt;5,"Good",
"Excellent")))</f>
        <v>Excellent</v>
      </c>
      <c r="S191" s="51" t="str">
        <f>IF(AND(Table4[[#This Row],[USD_Spend]]&gt;=$B$5,Table4[[#This Row],[Sales]]&lt;=$B$6),"Wasted Budget","Spend Justified")</f>
        <v>Spend Justified</v>
      </c>
      <c r="T191" s="51" t="str">
        <f>IF(AND(Table4[[#This Row],[Clicks]]&gt;=$B$7,Table4[[#This Row],[Sales]]&lt;=$B$6),"Poor Monetization","Normal Monitization")</f>
        <v>Normal Monitization</v>
      </c>
    </row>
    <row r="192" spans="1:20" x14ac:dyDescent="0.35">
      <c r="A192" s="38" t="s">
        <v>97</v>
      </c>
      <c r="B192" s="38" t="s">
        <v>35</v>
      </c>
      <c r="C192" s="38" t="s">
        <v>20</v>
      </c>
      <c r="D192" s="38" t="s">
        <v>63</v>
      </c>
      <c r="E192" s="38" t="s">
        <v>30</v>
      </c>
      <c r="F192" s="38">
        <v>22251.43</v>
      </c>
      <c r="G192" s="38">
        <v>19708</v>
      </c>
      <c r="H192" s="38">
        <v>19547</v>
      </c>
      <c r="I192" s="38">
        <v>33807.9</v>
      </c>
      <c r="J192" s="38">
        <v>53</v>
      </c>
      <c r="K192" s="39">
        <f t="shared" si="11"/>
        <v>0.9918307286381165</v>
      </c>
      <c r="L192" s="40">
        <f t="shared" si="12"/>
        <v>1.5193585311146296</v>
      </c>
      <c r="M192" s="40">
        <f t="shared" si="13"/>
        <v>0.51935853111462948</v>
      </c>
      <c r="N192" s="40">
        <f t="shared" si="14"/>
        <v>1.7295697549496087</v>
      </c>
      <c r="O192" s="1" t="str">
        <f t="shared" si="10"/>
        <v>Normal</v>
      </c>
      <c r="P192" s="51" t="str">
        <f>IF(Table4[[#This Row],[Sales]]&lt;=$B$3,"Normal","High Revenue")</f>
        <v>Normal</v>
      </c>
      <c r="Q192" s="51" t="str">
        <f>IF(Table4[[#This Row],[CTR]]&lt;=$B$4,"Normal","High CTR")</f>
        <v>High CTR</v>
      </c>
      <c r="R192" s="51" t="str">
        <f>IF(Table4[[#This Row],[ROAS]]&lt;1,"Poor",IF(Table4[[#This Row],[ROAS]]&lt;3,"Average",IF(Table4[[#This Row],[ROAS]]&lt;5,"Good",
"Excellent")))</f>
        <v>Average</v>
      </c>
      <c r="S192" s="51" t="str">
        <f>IF(AND(Table4[[#This Row],[USD_Spend]]&gt;=$B$5,Table4[[#This Row],[Sales]]&lt;=$B$6),"Wasted Budget","Spend Justified")</f>
        <v>Wasted Budget</v>
      </c>
      <c r="T192" s="51" t="str">
        <f>IF(AND(Table4[[#This Row],[Clicks]]&gt;=$B$7,Table4[[#This Row],[Sales]]&lt;=$B$6),"Poor Monetization","Normal Monitization")</f>
        <v>Normal Monitization</v>
      </c>
    </row>
    <row r="193" spans="1:20" x14ac:dyDescent="0.35">
      <c r="A193" s="41" t="s">
        <v>92</v>
      </c>
      <c r="B193" s="41" t="s">
        <v>19</v>
      </c>
      <c r="C193" s="41" t="s">
        <v>36</v>
      </c>
      <c r="D193" s="41" t="s">
        <v>51</v>
      </c>
      <c r="E193" s="41" t="s">
        <v>22</v>
      </c>
      <c r="F193" s="41">
        <v>6361.8</v>
      </c>
      <c r="G193" s="41">
        <v>942566</v>
      </c>
      <c r="H193" s="41">
        <v>35629</v>
      </c>
      <c r="I193" s="41">
        <v>247629.27</v>
      </c>
      <c r="J193" s="41">
        <v>52</v>
      </c>
      <c r="K193" s="42">
        <f t="shared" si="11"/>
        <v>3.7800005516855056E-2</v>
      </c>
      <c r="L193" s="43">
        <f t="shared" si="12"/>
        <v>38.924403470715831</v>
      </c>
      <c r="M193" s="43">
        <f t="shared" si="13"/>
        <v>37.924403470715838</v>
      </c>
      <c r="N193" s="43">
        <f t="shared" si="14"/>
        <v>6.9502166774256926</v>
      </c>
      <c r="O193" s="1" t="str">
        <f t="shared" si="10"/>
        <v>Normal</v>
      </c>
      <c r="P193" s="51" t="str">
        <f>IF(Table4[[#This Row],[Sales]]&lt;=$B$3,"Normal","High Revenue")</f>
        <v>High Revenue</v>
      </c>
      <c r="Q193" s="51" t="str">
        <f>IF(Table4[[#This Row],[CTR]]&lt;=$B$4,"Normal","High CTR")</f>
        <v>Normal</v>
      </c>
      <c r="R193" s="51" t="str">
        <f>IF(Table4[[#This Row],[ROAS]]&lt;1,"Poor",IF(Table4[[#This Row],[ROAS]]&lt;3,"Average",IF(Table4[[#This Row],[ROAS]]&lt;5,"Good",
"Excellent")))</f>
        <v>Excellent</v>
      </c>
      <c r="S193" s="51" t="str">
        <f>IF(AND(Table4[[#This Row],[USD_Spend]]&gt;=$B$5,Table4[[#This Row],[Sales]]&lt;=$B$6),"Wasted Budget","Spend Justified")</f>
        <v>Spend Justified</v>
      </c>
      <c r="T193" s="51" t="str">
        <f>IF(AND(Table4[[#This Row],[Clicks]]&gt;=$B$7,Table4[[#This Row],[Sales]]&lt;=$B$6),"Poor Monetization","Normal Monitization")</f>
        <v>Normal Monitization</v>
      </c>
    </row>
    <row r="194" spans="1:20" x14ac:dyDescent="0.35">
      <c r="A194" s="38" t="s">
        <v>77</v>
      </c>
      <c r="B194" s="38" t="s">
        <v>48</v>
      </c>
      <c r="C194" s="38" t="s">
        <v>36</v>
      </c>
      <c r="D194" s="38" t="s">
        <v>51</v>
      </c>
      <c r="E194" s="38" t="s">
        <v>22</v>
      </c>
      <c r="F194" s="38">
        <v>9572.1200000000008</v>
      </c>
      <c r="G194" s="38">
        <v>965025</v>
      </c>
      <c r="H194" s="38">
        <v>23176</v>
      </c>
      <c r="I194" s="38">
        <v>153512.17000000001</v>
      </c>
      <c r="J194" s="38">
        <v>42</v>
      </c>
      <c r="K194" s="39">
        <f t="shared" si="11"/>
        <v>2.4015958135799591E-2</v>
      </c>
      <c r="L194" s="40">
        <f t="shared" si="12"/>
        <v>16.037426400839102</v>
      </c>
      <c r="M194" s="40">
        <f t="shared" si="13"/>
        <v>15.037426400839104</v>
      </c>
      <c r="N194" s="40">
        <f t="shared" si="14"/>
        <v>6.6237560407317924</v>
      </c>
      <c r="O194" s="1" t="str">
        <f t="shared" si="10"/>
        <v>Normal</v>
      </c>
      <c r="P194" s="51" t="str">
        <f>IF(Table4[[#This Row],[Sales]]&lt;=$B$3,"Normal","High Revenue")</f>
        <v>Normal</v>
      </c>
      <c r="Q194" s="51" t="str">
        <f>IF(Table4[[#This Row],[CTR]]&lt;=$B$4,"Normal","High CTR")</f>
        <v>Normal</v>
      </c>
      <c r="R194" s="51" t="str">
        <f>IF(Table4[[#This Row],[ROAS]]&lt;1,"Poor",IF(Table4[[#This Row],[ROAS]]&lt;3,"Average",IF(Table4[[#This Row],[ROAS]]&lt;5,"Good",
"Excellent")))</f>
        <v>Excellent</v>
      </c>
      <c r="S194" s="51" t="str">
        <f>IF(AND(Table4[[#This Row],[USD_Spend]]&gt;=$B$5,Table4[[#This Row],[Sales]]&lt;=$B$6),"Wasted Budget","Spend Justified")</f>
        <v>Spend Justified</v>
      </c>
      <c r="T194" s="51" t="str">
        <f>IF(AND(Table4[[#This Row],[Clicks]]&gt;=$B$7,Table4[[#This Row],[Sales]]&lt;=$B$6),"Poor Monetization","Normal Monitization")</f>
        <v>Normal Monitization</v>
      </c>
    </row>
    <row r="195" spans="1:20" x14ac:dyDescent="0.35">
      <c r="A195" s="41" t="s">
        <v>101</v>
      </c>
      <c r="B195" s="41" t="s">
        <v>35</v>
      </c>
      <c r="C195" s="41" t="s">
        <v>29</v>
      </c>
      <c r="D195" s="41" t="s">
        <v>63</v>
      </c>
      <c r="E195" s="41" t="s">
        <v>22</v>
      </c>
      <c r="F195" s="41">
        <v>14342.82</v>
      </c>
      <c r="G195" s="41">
        <v>970911</v>
      </c>
      <c r="H195" s="41">
        <v>48040</v>
      </c>
      <c r="I195" s="41">
        <v>146147.03</v>
      </c>
      <c r="J195" s="41">
        <v>38</v>
      </c>
      <c r="K195" s="42">
        <f t="shared" si="11"/>
        <v>4.9479303458298443E-2</v>
      </c>
      <c r="L195" s="43">
        <f t="shared" si="12"/>
        <v>10.18956035145111</v>
      </c>
      <c r="M195" s="43">
        <f t="shared" si="13"/>
        <v>9.1895603514511084</v>
      </c>
      <c r="N195" s="43">
        <f t="shared" si="14"/>
        <v>3.042194629475437</v>
      </c>
      <c r="O195" s="1" t="str">
        <f t="shared" si="10"/>
        <v>Normal</v>
      </c>
      <c r="P195" s="51" t="str">
        <f>IF(Table4[[#This Row],[Sales]]&lt;=$B$3,"Normal","High Revenue")</f>
        <v>Normal</v>
      </c>
      <c r="Q195" s="51" t="str">
        <f>IF(Table4[[#This Row],[CTR]]&lt;=$B$4,"Normal","High CTR")</f>
        <v>Normal</v>
      </c>
      <c r="R195" s="51" t="str">
        <f>IF(Table4[[#This Row],[ROAS]]&lt;1,"Poor",IF(Table4[[#This Row],[ROAS]]&lt;3,"Average",IF(Table4[[#This Row],[ROAS]]&lt;5,"Good",
"Excellent")))</f>
        <v>Excellent</v>
      </c>
      <c r="S195" s="51" t="str">
        <f>IF(AND(Table4[[#This Row],[USD_Spend]]&gt;=$B$5,Table4[[#This Row],[Sales]]&lt;=$B$6),"Wasted Budget","Spend Justified")</f>
        <v>Spend Justified</v>
      </c>
      <c r="T195" s="51" t="str">
        <f>IF(AND(Table4[[#This Row],[Clicks]]&gt;=$B$7,Table4[[#This Row],[Sales]]&lt;=$B$6),"Poor Monetization","Normal Monitization")</f>
        <v>Normal Monitization</v>
      </c>
    </row>
    <row r="196" spans="1:20" x14ac:dyDescent="0.35">
      <c r="A196" s="38" t="s">
        <v>50</v>
      </c>
      <c r="B196" s="38" t="s">
        <v>35</v>
      </c>
      <c r="C196" s="38" t="s">
        <v>58</v>
      </c>
      <c r="D196" s="38" t="s">
        <v>21</v>
      </c>
      <c r="E196" s="38" t="s">
        <v>22</v>
      </c>
      <c r="F196" s="38">
        <v>6747.74</v>
      </c>
      <c r="G196" s="38">
        <v>653825</v>
      </c>
      <c r="H196" s="38">
        <v>46923</v>
      </c>
      <c r="I196" s="38">
        <v>95957.06</v>
      </c>
      <c r="J196" s="38">
        <v>24</v>
      </c>
      <c r="K196" s="39">
        <f t="shared" si="11"/>
        <v>7.1766910105915196E-2</v>
      </c>
      <c r="L196" s="40">
        <f t="shared" si="12"/>
        <v>14.220622015667468</v>
      </c>
      <c r="M196" s="40">
        <f t="shared" si="13"/>
        <v>13.220622015667468</v>
      </c>
      <c r="N196" s="40">
        <f t="shared" si="14"/>
        <v>2.0449898770325854</v>
      </c>
      <c r="O196" s="1" t="str">
        <f t="shared" si="10"/>
        <v>Normal</v>
      </c>
      <c r="P196" s="51" t="str">
        <f>IF(Table4[[#This Row],[Sales]]&lt;=$B$3,"Normal","High Revenue")</f>
        <v>Normal</v>
      </c>
      <c r="Q196" s="51" t="str">
        <f>IF(Table4[[#This Row],[CTR]]&lt;=$B$4,"Normal","High CTR")</f>
        <v>Normal</v>
      </c>
      <c r="R196" s="51" t="str">
        <f>IF(Table4[[#This Row],[ROAS]]&lt;1,"Poor",IF(Table4[[#This Row],[ROAS]]&lt;3,"Average",IF(Table4[[#This Row],[ROAS]]&lt;5,"Good",
"Excellent")))</f>
        <v>Excellent</v>
      </c>
      <c r="S196" s="51" t="str">
        <f>IF(AND(Table4[[#This Row],[USD_Spend]]&gt;=$B$5,Table4[[#This Row],[Sales]]&lt;=$B$6),"Wasted Budget","Spend Justified")</f>
        <v>Spend Justified</v>
      </c>
      <c r="T196" s="51" t="str">
        <f>IF(AND(Table4[[#This Row],[Clicks]]&gt;=$B$7,Table4[[#This Row],[Sales]]&lt;=$B$6),"Poor Monetization","Normal Monitization")</f>
        <v>Normal Monitization</v>
      </c>
    </row>
    <row r="197" spans="1:20" x14ac:dyDescent="0.35">
      <c r="A197" s="41" t="s">
        <v>116</v>
      </c>
      <c r="B197" s="41" t="s">
        <v>48</v>
      </c>
      <c r="C197" s="41" t="s">
        <v>58</v>
      </c>
      <c r="D197" s="41" t="s">
        <v>37</v>
      </c>
      <c r="E197" s="41" t="s">
        <v>22</v>
      </c>
      <c r="F197" s="41">
        <v>2029.64</v>
      </c>
      <c r="G197" s="41">
        <v>947692</v>
      </c>
      <c r="H197" s="41">
        <v>20099</v>
      </c>
      <c r="I197" s="41">
        <v>222819.02</v>
      </c>
      <c r="J197" s="41">
        <v>56</v>
      </c>
      <c r="K197" s="42">
        <f t="shared" si="11"/>
        <v>2.120836727544392E-2</v>
      </c>
      <c r="L197" s="43">
        <f t="shared" si="12"/>
        <v>109.78253286297077</v>
      </c>
      <c r="M197" s="43">
        <f t="shared" si="13"/>
        <v>108.78253286297075</v>
      </c>
      <c r="N197" s="43">
        <f t="shared" si="14"/>
        <v>11.086074929100949</v>
      </c>
      <c r="O197" s="1" t="str">
        <f t="shared" si="10"/>
        <v>Normal</v>
      </c>
      <c r="P197" s="51" t="str">
        <f>IF(Table4[[#This Row],[Sales]]&lt;=$B$3,"Normal","High Revenue")</f>
        <v>Normal</v>
      </c>
      <c r="Q197" s="51" t="str">
        <f>IF(Table4[[#This Row],[CTR]]&lt;=$B$4,"Normal","High CTR")</f>
        <v>Normal</v>
      </c>
      <c r="R197" s="51" t="str">
        <f>IF(Table4[[#This Row],[ROAS]]&lt;1,"Poor",IF(Table4[[#This Row],[ROAS]]&lt;3,"Average",IF(Table4[[#This Row],[ROAS]]&lt;5,"Good",
"Excellent")))</f>
        <v>Excellent</v>
      </c>
      <c r="S197" s="51" t="str">
        <f>IF(AND(Table4[[#This Row],[USD_Spend]]&gt;=$B$5,Table4[[#This Row],[Sales]]&lt;=$B$6),"Wasted Budget","Spend Justified")</f>
        <v>Spend Justified</v>
      </c>
      <c r="T197" s="51" t="str">
        <f>IF(AND(Table4[[#This Row],[Clicks]]&gt;=$B$7,Table4[[#This Row],[Sales]]&lt;=$B$6),"Poor Monetization","Normal Monitization")</f>
        <v>Normal Monitization</v>
      </c>
    </row>
    <row r="198" spans="1:20" x14ac:dyDescent="0.35">
      <c r="A198" s="38" t="s">
        <v>96</v>
      </c>
      <c r="B198" s="38" t="s">
        <v>48</v>
      </c>
      <c r="C198" s="38" t="s">
        <v>69</v>
      </c>
      <c r="D198" s="38" t="s">
        <v>59</v>
      </c>
      <c r="E198" s="38" t="s">
        <v>22</v>
      </c>
      <c r="F198" s="38">
        <v>1545.97</v>
      </c>
      <c r="G198" s="38">
        <v>926220</v>
      </c>
      <c r="H198" s="38">
        <v>46775</v>
      </c>
      <c r="I198" s="38">
        <v>115598.13</v>
      </c>
      <c r="J198" s="38">
        <v>10</v>
      </c>
      <c r="K198" s="39">
        <f t="shared" si="11"/>
        <v>5.0500960894819806E-2</v>
      </c>
      <c r="L198" s="40">
        <f t="shared" si="12"/>
        <v>74.773850721553458</v>
      </c>
      <c r="M198" s="40">
        <f t="shared" si="13"/>
        <v>73.773850721553458</v>
      </c>
      <c r="N198" s="40">
        <f t="shared" si="14"/>
        <v>2.4713656867985034</v>
      </c>
      <c r="O198" s="1" t="str">
        <f t="shared" si="10"/>
        <v>Normal</v>
      </c>
      <c r="P198" s="51" t="str">
        <f>IF(Table4[[#This Row],[Sales]]&lt;=$B$3,"Normal","High Revenue")</f>
        <v>Normal</v>
      </c>
      <c r="Q198" s="51" t="str">
        <f>IF(Table4[[#This Row],[CTR]]&lt;=$B$4,"Normal","High CTR")</f>
        <v>Normal</v>
      </c>
      <c r="R198" s="51" t="str">
        <f>IF(Table4[[#This Row],[ROAS]]&lt;1,"Poor",IF(Table4[[#This Row],[ROAS]]&lt;3,"Average",IF(Table4[[#This Row],[ROAS]]&lt;5,"Good",
"Excellent")))</f>
        <v>Excellent</v>
      </c>
      <c r="S198" s="51" t="str">
        <f>IF(AND(Table4[[#This Row],[USD_Spend]]&gt;=$B$5,Table4[[#This Row],[Sales]]&lt;=$B$6),"Wasted Budget","Spend Justified")</f>
        <v>Spend Justified</v>
      </c>
      <c r="T198" s="51" t="str">
        <f>IF(AND(Table4[[#This Row],[Clicks]]&gt;=$B$7,Table4[[#This Row],[Sales]]&lt;=$B$6),"Poor Monetization","Normal Monitization")</f>
        <v>Normal Monitization</v>
      </c>
    </row>
    <row r="199" spans="1:20" x14ac:dyDescent="0.35">
      <c r="A199" s="41" t="s">
        <v>95</v>
      </c>
      <c r="B199" s="41" t="s">
        <v>35</v>
      </c>
      <c r="C199" s="41" t="s">
        <v>69</v>
      </c>
      <c r="D199" s="41" t="s">
        <v>21</v>
      </c>
      <c r="E199" s="41" t="s">
        <v>30</v>
      </c>
      <c r="F199" s="41">
        <v>28918.65</v>
      </c>
      <c r="G199" s="41">
        <v>46489</v>
      </c>
      <c r="H199" s="41">
        <v>8372</v>
      </c>
      <c r="I199" s="41">
        <v>21472.17</v>
      </c>
      <c r="J199" s="41">
        <v>60</v>
      </c>
      <c r="K199" s="42">
        <f t="shared" si="11"/>
        <v>0.18008561165006776</v>
      </c>
      <c r="L199" s="43">
        <f t="shared" si="12"/>
        <v>0.74250250271018869</v>
      </c>
      <c r="M199" s="43">
        <f t="shared" si="13"/>
        <v>-0.25749749728981136</v>
      </c>
      <c r="N199" s="43">
        <f t="shared" si="14"/>
        <v>2.564759913999044</v>
      </c>
      <c r="O199" s="1" t="str">
        <f t="shared" si="10"/>
        <v>Normal</v>
      </c>
      <c r="P199" s="51" t="str">
        <f>IF(Table4[[#This Row],[Sales]]&lt;=$B$3,"Normal","High Revenue")</f>
        <v>Normal</v>
      </c>
      <c r="Q199" s="51" t="str">
        <f>IF(Table4[[#This Row],[CTR]]&lt;=$B$4,"Normal","High CTR")</f>
        <v>Normal</v>
      </c>
      <c r="R199" s="51" t="str">
        <f>IF(Table4[[#This Row],[ROAS]]&lt;1,"Poor",IF(Table4[[#This Row],[ROAS]]&lt;3,"Average",IF(Table4[[#This Row],[ROAS]]&lt;5,"Good",
"Excellent")))</f>
        <v>Poor</v>
      </c>
      <c r="S199" s="51" t="str">
        <f>IF(AND(Table4[[#This Row],[USD_Spend]]&gt;=$B$5,Table4[[#This Row],[Sales]]&lt;=$B$6),"Wasted Budget","Spend Justified")</f>
        <v>Wasted Budget</v>
      </c>
      <c r="T199" s="51" t="str">
        <f>IF(AND(Table4[[#This Row],[Clicks]]&gt;=$B$7,Table4[[#This Row],[Sales]]&lt;=$B$6),"Poor Monetization","Normal Monitization")</f>
        <v>Normal Monitization</v>
      </c>
    </row>
    <row r="200" spans="1:20" x14ac:dyDescent="0.35">
      <c r="A200" s="38" t="s">
        <v>70</v>
      </c>
      <c r="B200" s="38" t="s">
        <v>48</v>
      </c>
      <c r="C200" s="38" t="s">
        <v>58</v>
      </c>
      <c r="D200" s="38" t="s">
        <v>43</v>
      </c>
      <c r="E200" s="38" t="s">
        <v>22</v>
      </c>
      <c r="F200" s="38">
        <v>7794.99</v>
      </c>
      <c r="G200" s="38">
        <v>260875</v>
      </c>
      <c r="H200" s="38">
        <v>11539</v>
      </c>
      <c r="I200" s="38">
        <v>154581.81</v>
      </c>
      <c r="J200" s="38">
        <v>46</v>
      </c>
      <c r="K200" s="39">
        <f t="shared" si="11"/>
        <v>4.4231911835170099E-2</v>
      </c>
      <c r="L200" s="40">
        <f t="shared" si="12"/>
        <v>19.830918320613627</v>
      </c>
      <c r="M200" s="40">
        <f t="shared" si="13"/>
        <v>18.830918320613627</v>
      </c>
      <c r="N200" s="40">
        <f t="shared" si="14"/>
        <v>13.396465031631857</v>
      </c>
      <c r="O200" s="1" t="str">
        <f t="shared" si="10"/>
        <v>Normal</v>
      </c>
      <c r="P200" s="51" t="str">
        <f>IF(Table4[[#This Row],[Sales]]&lt;=$B$3,"Normal","High Revenue")</f>
        <v>Normal</v>
      </c>
      <c r="Q200" s="51" t="str">
        <f>IF(Table4[[#This Row],[CTR]]&lt;=$B$4,"Normal","High CTR")</f>
        <v>Normal</v>
      </c>
      <c r="R200" s="51" t="str">
        <f>IF(Table4[[#This Row],[ROAS]]&lt;1,"Poor",IF(Table4[[#This Row],[ROAS]]&lt;3,"Average",IF(Table4[[#This Row],[ROAS]]&lt;5,"Good",
"Excellent")))</f>
        <v>Excellent</v>
      </c>
      <c r="S200" s="51" t="str">
        <f>IF(AND(Table4[[#This Row],[USD_Spend]]&gt;=$B$5,Table4[[#This Row],[Sales]]&lt;=$B$6),"Wasted Budget","Spend Justified")</f>
        <v>Spend Justified</v>
      </c>
      <c r="T200" s="51" t="str">
        <f>IF(AND(Table4[[#This Row],[Clicks]]&gt;=$B$7,Table4[[#This Row],[Sales]]&lt;=$B$6),"Poor Monetization","Normal Monitization")</f>
        <v>Normal Monitization</v>
      </c>
    </row>
    <row r="201" spans="1:20" x14ac:dyDescent="0.35">
      <c r="A201" s="41" t="s">
        <v>110</v>
      </c>
      <c r="B201" s="41" t="s">
        <v>35</v>
      </c>
      <c r="C201" s="41" t="s">
        <v>36</v>
      </c>
      <c r="D201" s="41" t="s">
        <v>37</v>
      </c>
      <c r="E201" s="41" t="s">
        <v>38</v>
      </c>
      <c r="F201" s="41">
        <v>9715.59</v>
      </c>
      <c r="G201" s="41">
        <v>94736</v>
      </c>
      <c r="H201" s="41">
        <v>32054</v>
      </c>
      <c r="I201" s="41">
        <v>86494.21</v>
      </c>
      <c r="J201" s="41">
        <v>26</v>
      </c>
      <c r="K201" s="42">
        <f t="shared" si="11"/>
        <v>0.33835078534031415</v>
      </c>
      <c r="L201" s="43">
        <f t="shared" si="12"/>
        <v>8.9026204275808265</v>
      </c>
      <c r="M201" s="43">
        <f t="shared" si="13"/>
        <v>7.9026204275808274</v>
      </c>
      <c r="N201" s="43">
        <f t="shared" si="14"/>
        <v>2.6983905284831846</v>
      </c>
      <c r="O201" s="1" t="str">
        <f t="shared" si="10"/>
        <v>Normal</v>
      </c>
      <c r="P201" s="51" t="str">
        <f>IF(Table4[[#This Row],[Sales]]&lt;=$B$3,"Normal","High Revenue")</f>
        <v>Normal</v>
      </c>
      <c r="Q201" s="51" t="str">
        <f>IF(Table4[[#This Row],[CTR]]&lt;=$B$4,"Normal","High CTR")</f>
        <v>Normal</v>
      </c>
      <c r="R201" s="51" t="str">
        <f>IF(Table4[[#This Row],[ROAS]]&lt;1,"Poor",IF(Table4[[#This Row],[ROAS]]&lt;3,"Average",IF(Table4[[#This Row],[ROAS]]&lt;5,"Good",
"Excellent")))</f>
        <v>Excellent</v>
      </c>
      <c r="S201" s="51" t="str">
        <f>IF(AND(Table4[[#This Row],[USD_Spend]]&gt;=$B$5,Table4[[#This Row],[Sales]]&lt;=$B$6),"Wasted Budget","Spend Justified")</f>
        <v>Spend Justified</v>
      </c>
      <c r="T201" s="51" t="str">
        <f>IF(AND(Table4[[#This Row],[Clicks]]&gt;=$B$7,Table4[[#This Row],[Sales]]&lt;=$B$6),"Poor Monetization","Normal Monitization")</f>
        <v>Normal Monitization</v>
      </c>
    </row>
    <row r="202" spans="1:20" x14ac:dyDescent="0.35">
      <c r="A202" s="38" t="s">
        <v>118</v>
      </c>
      <c r="B202" s="38" t="s">
        <v>28</v>
      </c>
      <c r="C202" s="38" t="s">
        <v>58</v>
      </c>
      <c r="D202" s="38" t="s">
        <v>51</v>
      </c>
      <c r="E202" s="38" t="s">
        <v>30</v>
      </c>
      <c r="F202" s="38">
        <v>35172.69</v>
      </c>
      <c r="G202" s="38">
        <v>152371</v>
      </c>
      <c r="H202" s="38">
        <v>5648</v>
      </c>
      <c r="I202" s="38">
        <v>38618.97</v>
      </c>
      <c r="J202" s="38">
        <v>52</v>
      </c>
      <c r="K202" s="39">
        <f t="shared" si="11"/>
        <v>3.7067420965931838E-2</v>
      </c>
      <c r="L202" s="40">
        <f t="shared" si="12"/>
        <v>1.0979817011436999</v>
      </c>
      <c r="M202" s="40">
        <f t="shared" si="13"/>
        <v>9.7981701143699806E-2</v>
      </c>
      <c r="N202" s="40">
        <f t="shared" si="14"/>
        <v>6.8376363314447595</v>
      </c>
      <c r="O202" s="1" t="str">
        <f t="shared" ref="O202:O265" si="15">IF(F202&lt;=$B$2,"Normal","High Spend")</f>
        <v>Normal</v>
      </c>
      <c r="P202" s="51" t="str">
        <f>IF(Table4[[#This Row],[Sales]]&lt;=$B$3,"Normal","High Revenue")</f>
        <v>Normal</v>
      </c>
      <c r="Q202" s="51" t="str">
        <f>IF(Table4[[#This Row],[CTR]]&lt;=$B$4,"Normal","High CTR")</f>
        <v>Normal</v>
      </c>
      <c r="R202" s="51" t="str">
        <f>IF(Table4[[#This Row],[ROAS]]&lt;1,"Poor",IF(Table4[[#This Row],[ROAS]]&lt;3,"Average",IF(Table4[[#This Row],[ROAS]]&lt;5,"Good",
"Excellent")))</f>
        <v>Average</v>
      </c>
      <c r="S202" s="51" t="str">
        <f>IF(AND(Table4[[#This Row],[USD_Spend]]&gt;=$B$5,Table4[[#This Row],[Sales]]&lt;=$B$6),"Wasted Budget","Spend Justified")</f>
        <v>Wasted Budget</v>
      </c>
      <c r="T202" s="51" t="str">
        <f>IF(AND(Table4[[#This Row],[Clicks]]&gt;=$B$7,Table4[[#This Row],[Sales]]&lt;=$B$6),"Poor Monetization","Normal Monitization")</f>
        <v>Normal Monitization</v>
      </c>
    </row>
    <row r="203" spans="1:20" x14ac:dyDescent="0.35">
      <c r="A203" s="41" t="s">
        <v>115</v>
      </c>
      <c r="B203" s="41" t="s">
        <v>19</v>
      </c>
      <c r="C203" s="41" t="s">
        <v>29</v>
      </c>
      <c r="D203" s="41" t="s">
        <v>21</v>
      </c>
      <c r="E203" s="41" t="s">
        <v>38</v>
      </c>
      <c r="F203" s="41">
        <v>10526.83</v>
      </c>
      <c r="G203" s="41">
        <v>781037</v>
      </c>
      <c r="H203" s="41">
        <v>42779</v>
      </c>
      <c r="I203" s="41">
        <v>7237.47</v>
      </c>
      <c r="J203" s="41">
        <v>19</v>
      </c>
      <c r="K203" s="42">
        <f t="shared" ref="K203:K266" si="16">H203/G203</f>
        <v>5.4772053052544248E-2</v>
      </c>
      <c r="L203" s="43">
        <f t="shared" ref="L203:L266" si="17">I203/F203</f>
        <v>0.68752606435175645</v>
      </c>
      <c r="M203" s="43">
        <f t="shared" ref="M203:M266" si="18">(I203-F203)/F203</f>
        <v>-0.31247393564824355</v>
      </c>
      <c r="N203" s="43">
        <f t="shared" ref="N203:N266" si="19">I203/H203</f>
        <v>0.16918277659599337</v>
      </c>
      <c r="O203" s="1" t="str">
        <f t="shared" si="15"/>
        <v>Normal</v>
      </c>
      <c r="P203" s="51" t="str">
        <f>IF(Table4[[#This Row],[Sales]]&lt;=$B$3,"Normal","High Revenue")</f>
        <v>Normal</v>
      </c>
      <c r="Q203" s="51" t="str">
        <f>IF(Table4[[#This Row],[CTR]]&lt;=$B$4,"Normal","High CTR")</f>
        <v>Normal</v>
      </c>
      <c r="R203" s="51" t="str">
        <f>IF(Table4[[#This Row],[ROAS]]&lt;1,"Poor",IF(Table4[[#This Row],[ROAS]]&lt;3,"Average",IF(Table4[[#This Row],[ROAS]]&lt;5,"Good",
"Excellent")))</f>
        <v>Poor</v>
      </c>
      <c r="S203" s="51" t="str">
        <f>IF(AND(Table4[[#This Row],[USD_Spend]]&gt;=$B$5,Table4[[#This Row],[Sales]]&lt;=$B$6),"Wasted Budget","Spend Justified")</f>
        <v>Wasted Budget</v>
      </c>
      <c r="T203" s="51" t="str">
        <f>IF(AND(Table4[[#This Row],[Clicks]]&gt;=$B$7,Table4[[#This Row],[Sales]]&lt;=$B$6),"Poor Monetization","Normal Monitization")</f>
        <v>Poor Monetization</v>
      </c>
    </row>
    <row r="204" spans="1:20" x14ac:dyDescent="0.35">
      <c r="A204" s="38" t="s">
        <v>57</v>
      </c>
      <c r="B204" s="38" t="s">
        <v>28</v>
      </c>
      <c r="C204" s="38" t="s">
        <v>58</v>
      </c>
      <c r="D204" s="38" t="s">
        <v>51</v>
      </c>
      <c r="E204" s="38" t="s">
        <v>38</v>
      </c>
      <c r="F204" s="38">
        <v>2723.03</v>
      </c>
      <c r="G204" s="38">
        <v>814819</v>
      </c>
      <c r="H204" s="38">
        <v>25332</v>
      </c>
      <c r="I204" s="38">
        <v>91389.15</v>
      </c>
      <c r="J204" s="38">
        <v>11</v>
      </c>
      <c r="K204" s="39">
        <f t="shared" si="16"/>
        <v>3.1089113042283009E-2</v>
      </c>
      <c r="L204" s="40">
        <f t="shared" si="17"/>
        <v>33.561565608898903</v>
      </c>
      <c r="M204" s="40">
        <f t="shared" si="18"/>
        <v>32.56156560889891</v>
      </c>
      <c r="N204" s="40">
        <f t="shared" si="19"/>
        <v>3.6076563240170532</v>
      </c>
      <c r="O204" s="1" t="str">
        <f t="shared" si="15"/>
        <v>Normal</v>
      </c>
      <c r="P204" s="51" t="str">
        <f>IF(Table4[[#This Row],[Sales]]&lt;=$B$3,"Normal","High Revenue")</f>
        <v>Normal</v>
      </c>
      <c r="Q204" s="51" t="str">
        <f>IF(Table4[[#This Row],[CTR]]&lt;=$B$4,"Normal","High CTR")</f>
        <v>Normal</v>
      </c>
      <c r="R204" s="51" t="str">
        <f>IF(Table4[[#This Row],[ROAS]]&lt;1,"Poor",IF(Table4[[#This Row],[ROAS]]&lt;3,"Average",IF(Table4[[#This Row],[ROAS]]&lt;5,"Good",
"Excellent")))</f>
        <v>Excellent</v>
      </c>
      <c r="S204" s="51" t="str">
        <f>IF(AND(Table4[[#This Row],[USD_Spend]]&gt;=$B$5,Table4[[#This Row],[Sales]]&lt;=$B$6),"Wasted Budget","Spend Justified")</f>
        <v>Spend Justified</v>
      </c>
      <c r="T204" s="51" t="str">
        <f>IF(AND(Table4[[#This Row],[Clicks]]&gt;=$B$7,Table4[[#This Row],[Sales]]&lt;=$B$6),"Poor Monetization","Normal Monitization")</f>
        <v>Normal Monitization</v>
      </c>
    </row>
    <row r="205" spans="1:20" x14ac:dyDescent="0.35">
      <c r="A205" s="41" t="s">
        <v>47</v>
      </c>
      <c r="B205" s="41" t="s">
        <v>48</v>
      </c>
      <c r="C205" s="41" t="s">
        <v>20</v>
      </c>
      <c r="D205" s="41" t="s">
        <v>43</v>
      </c>
      <c r="E205" s="41" t="s">
        <v>22</v>
      </c>
      <c r="F205" s="41">
        <v>12775.41</v>
      </c>
      <c r="G205" s="41">
        <v>617913</v>
      </c>
      <c r="H205" s="41">
        <v>22895</v>
      </c>
      <c r="I205" s="41">
        <v>91289.8</v>
      </c>
      <c r="J205" s="41">
        <v>60</v>
      </c>
      <c r="K205" s="42">
        <f t="shared" si="16"/>
        <v>3.705214164453572E-2</v>
      </c>
      <c r="L205" s="43">
        <f t="shared" si="17"/>
        <v>7.145743267730742</v>
      </c>
      <c r="M205" s="43">
        <f t="shared" si="18"/>
        <v>6.145743267730742</v>
      </c>
      <c r="N205" s="43">
        <f t="shared" si="19"/>
        <v>3.9873247433937542</v>
      </c>
      <c r="O205" s="1" t="str">
        <f t="shared" si="15"/>
        <v>Normal</v>
      </c>
      <c r="P205" s="51" t="str">
        <f>IF(Table4[[#This Row],[Sales]]&lt;=$B$3,"Normal","High Revenue")</f>
        <v>Normal</v>
      </c>
      <c r="Q205" s="51" t="str">
        <f>IF(Table4[[#This Row],[CTR]]&lt;=$B$4,"Normal","High CTR")</f>
        <v>Normal</v>
      </c>
      <c r="R205" s="51" t="str">
        <f>IF(Table4[[#This Row],[ROAS]]&lt;1,"Poor",IF(Table4[[#This Row],[ROAS]]&lt;3,"Average",IF(Table4[[#This Row],[ROAS]]&lt;5,"Good",
"Excellent")))</f>
        <v>Excellent</v>
      </c>
      <c r="S205" s="51" t="str">
        <f>IF(AND(Table4[[#This Row],[USD_Spend]]&gt;=$B$5,Table4[[#This Row],[Sales]]&lt;=$B$6),"Wasted Budget","Spend Justified")</f>
        <v>Spend Justified</v>
      </c>
      <c r="T205" s="51" t="str">
        <f>IF(AND(Table4[[#This Row],[Clicks]]&gt;=$B$7,Table4[[#This Row],[Sales]]&lt;=$B$6),"Poor Monetization","Normal Monitization")</f>
        <v>Normal Monitization</v>
      </c>
    </row>
    <row r="206" spans="1:20" x14ac:dyDescent="0.35">
      <c r="A206" s="38" t="s">
        <v>79</v>
      </c>
      <c r="B206" s="38" t="s">
        <v>19</v>
      </c>
      <c r="C206" s="38" t="s">
        <v>69</v>
      </c>
      <c r="D206" s="38" t="s">
        <v>51</v>
      </c>
      <c r="E206" s="38" t="s">
        <v>30</v>
      </c>
      <c r="F206" s="38">
        <v>32375.7</v>
      </c>
      <c r="G206" s="38">
        <v>747114</v>
      </c>
      <c r="H206" s="38">
        <v>2350</v>
      </c>
      <c r="I206" s="38">
        <v>151725.68</v>
      </c>
      <c r="J206" s="38">
        <v>53</v>
      </c>
      <c r="K206" s="39">
        <f t="shared" si="16"/>
        <v>3.1454369748124115E-3</v>
      </c>
      <c r="L206" s="40">
        <f t="shared" si="17"/>
        <v>4.6864061626466764</v>
      </c>
      <c r="M206" s="40">
        <f t="shared" si="18"/>
        <v>3.686406162646676</v>
      </c>
      <c r="N206" s="40">
        <f t="shared" si="19"/>
        <v>64.564119148936172</v>
      </c>
      <c r="O206" s="1" t="str">
        <f t="shared" si="15"/>
        <v>Normal</v>
      </c>
      <c r="P206" s="51" t="str">
        <f>IF(Table4[[#This Row],[Sales]]&lt;=$B$3,"Normal","High Revenue")</f>
        <v>Normal</v>
      </c>
      <c r="Q206" s="51" t="str">
        <f>IF(Table4[[#This Row],[CTR]]&lt;=$B$4,"Normal","High CTR")</f>
        <v>Normal</v>
      </c>
      <c r="R206" s="51" t="str">
        <f>IF(Table4[[#This Row],[ROAS]]&lt;1,"Poor",IF(Table4[[#This Row],[ROAS]]&lt;3,"Average",IF(Table4[[#This Row],[ROAS]]&lt;5,"Good",
"Excellent")))</f>
        <v>Good</v>
      </c>
      <c r="S206" s="51" t="str">
        <f>IF(AND(Table4[[#This Row],[USD_Spend]]&gt;=$B$5,Table4[[#This Row],[Sales]]&lt;=$B$6),"Wasted Budget","Spend Justified")</f>
        <v>Spend Justified</v>
      </c>
      <c r="T206" s="51" t="str">
        <f>IF(AND(Table4[[#This Row],[Clicks]]&gt;=$B$7,Table4[[#This Row],[Sales]]&lt;=$B$6),"Poor Monetization","Normal Monitization")</f>
        <v>Normal Monitization</v>
      </c>
    </row>
    <row r="207" spans="1:20" x14ac:dyDescent="0.35">
      <c r="A207" s="41" t="s">
        <v>57</v>
      </c>
      <c r="B207" s="41" t="s">
        <v>48</v>
      </c>
      <c r="C207" s="41" t="s">
        <v>69</v>
      </c>
      <c r="D207" s="41" t="s">
        <v>37</v>
      </c>
      <c r="E207" s="41" t="s">
        <v>38</v>
      </c>
      <c r="F207" s="41">
        <v>1263.53</v>
      </c>
      <c r="G207" s="41">
        <v>204015</v>
      </c>
      <c r="H207" s="41">
        <v>11641</v>
      </c>
      <c r="I207" s="41">
        <v>51270.68</v>
      </c>
      <c r="J207" s="41">
        <v>36</v>
      </c>
      <c r="K207" s="42">
        <f t="shared" si="16"/>
        <v>5.7059529936524273E-2</v>
      </c>
      <c r="L207" s="43">
        <f t="shared" si="17"/>
        <v>40.577334926752826</v>
      </c>
      <c r="M207" s="43">
        <f t="shared" si="18"/>
        <v>39.577334926752826</v>
      </c>
      <c r="N207" s="43">
        <f t="shared" si="19"/>
        <v>4.4043192165621514</v>
      </c>
      <c r="O207" s="1" t="str">
        <f t="shared" si="15"/>
        <v>Normal</v>
      </c>
      <c r="P207" s="51" t="str">
        <f>IF(Table4[[#This Row],[Sales]]&lt;=$B$3,"Normal","High Revenue")</f>
        <v>Normal</v>
      </c>
      <c r="Q207" s="51" t="str">
        <f>IF(Table4[[#This Row],[CTR]]&lt;=$B$4,"Normal","High CTR")</f>
        <v>Normal</v>
      </c>
      <c r="R207" s="51" t="str">
        <f>IF(Table4[[#This Row],[ROAS]]&lt;1,"Poor",IF(Table4[[#This Row],[ROAS]]&lt;3,"Average",IF(Table4[[#This Row],[ROAS]]&lt;5,"Good",
"Excellent")))</f>
        <v>Excellent</v>
      </c>
      <c r="S207" s="51" t="str">
        <f>IF(AND(Table4[[#This Row],[USD_Spend]]&gt;=$B$5,Table4[[#This Row],[Sales]]&lt;=$B$6),"Wasted Budget","Spend Justified")</f>
        <v>Spend Justified</v>
      </c>
      <c r="T207" s="51" t="str">
        <f>IF(AND(Table4[[#This Row],[Clicks]]&gt;=$B$7,Table4[[#This Row],[Sales]]&lt;=$B$6),"Poor Monetization","Normal Monitization")</f>
        <v>Normal Monitization</v>
      </c>
    </row>
    <row r="208" spans="1:20" x14ac:dyDescent="0.35">
      <c r="A208" s="38" t="s">
        <v>67</v>
      </c>
      <c r="B208" s="38" t="s">
        <v>28</v>
      </c>
      <c r="C208" s="38" t="s">
        <v>69</v>
      </c>
      <c r="D208" s="38" t="s">
        <v>59</v>
      </c>
      <c r="E208" s="38" t="s">
        <v>30</v>
      </c>
      <c r="F208" s="38">
        <v>34133.64</v>
      </c>
      <c r="G208" s="38">
        <v>158513</v>
      </c>
      <c r="H208" s="38">
        <v>23509</v>
      </c>
      <c r="I208" s="38">
        <v>126968.9</v>
      </c>
      <c r="J208" s="38">
        <v>32</v>
      </c>
      <c r="K208" s="39">
        <f t="shared" si="16"/>
        <v>0.14830960236699828</v>
      </c>
      <c r="L208" s="40">
        <f t="shared" si="17"/>
        <v>3.7197585724815752</v>
      </c>
      <c r="M208" s="40">
        <f t="shared" si="18"/>
        <v>2.7197585724815752</v>
      </c>
      <c r="N208" s="40">
        <f t="shared" si="19"/>
        <v>5.4008634990854567</v>
      </c>
      <c r="O208" s="1" t="str">
        <f t="shared" si="15"/>
        <v>Normal</v>
      </c>
      <c r="P208" s="51" t="str">
        <f>IF(Table4[[#This Row],[Sales]]&lt;=$B$3,"Normal","High Revenue")</f>
        <v>Normal</v>
      </c>
      <c r="Q208" s="51" t="str">
        <f>IF(Table4[[#This Row],[CTR]]&lt;=$B$4,"Normal","High CTR")</f>
        <v>Normal</v>
      </c>
      <c r="R208" s="51" t="str">
        <f>IF(Table4[[#This Row],[ROAS]]&lt;1,"Poor",IF(Table4[[#This Row],[ROAS]]&lt;3,"Average",IF(Table4[[#This Row],[ROAS]]&lt;5,"Good",
"Excellent")))</f>
        <v>Good</v>
      </c>
      <c r="S208" s="51" t="str">
        <f>IF(AND(Table4[[#This Row],[USD_Spend]]&gt;=$B$5,Table4[[#This Row],[Sales]]&lt;=$B$6),"Wasted Budget","Spend Justified")</f>
        <v>Spend Justified</v>
      </c>
      <c r="T208" s="51" t="str">
        <f>IF(AND(Table4[[#This Row],[Clicks]]&gt;=$B$7,Table4[[#This Row],[Sales]]&lt;=$B$6),"Poor Monetization","Normal Monitization")</f>
        <v>Normal Monitization</v>
      </c>
    </row>
    <row r="209" spans="1:20" x14ac:dyDescent="0.35">
      <c r="A209" s="41" t="s">
        <v>96</v>
      </c>
      <c r="B209" s="41" t="s">
        <v>48</v>
      </c>
      <c r="C209" s="41" t="s">
        <v>20</v>
      </c>
      <c r="D209" s="41" t="s">
        <v>21</v>
      </c>
      <c r="E209" s="41" t="s">
        <v>38</v>
      </c>
      <c r="F209" s="41">
        <v>10620.01</v>
      </c>
      <c r="G209" s="41">
        <v>270247</v>
      </c>
      <c r="H209" s="41">
        <v>7862</v>
      </c>
      <c r="I209" s="41">
        <v>141727.89000000001</v>
      </c>
      <c r="J209" s="41">
        <v>57</v>
      </c>
      <c r="K209" s="42">
        <f t="shared" si="16"/>
        <v>2.9091904813004398E-2</v>
      </c>
      <c r="L209" s="43">
        <f t="shared" si="17"/>
        <v>13.34536313995938</v>
      </c>
      <c r="M209" s="43">
        <f t="shared" si="18"/>
        <v>12.345363139959378</v>
      </c>
      <c r="N209" s="43">
        <f t="shared" si="19"/>
        <v>18.026951157466296</v>
      </c>
      <c r="O209" s="1" t="str">
        <f t="shared" si="15"/>
        <v>Normal</v>
      </c>
      <c r="P209" s="51" t="str">
        <f>IF(Table4[[#This Row],[Sales]]&lt;=$B$3,"Normal","High Revenue")</f>
        <v>Normal</v>
      </c>
      <c r="Q209" s="51" t="str">
        <f>IF(Table4[[#This Row],[CTR]]&lt;=$B$4,"Normal","High CTR")</f>
        <v>Normal</v>
      </c>
      <c r="R209" s="51" t="str">
        <f>IF(Table4[[#This Row],[ROAS]]&lt;1,"Poor",IF(Table4[[#This Row],[ROAS]]&lt;3,"Average",IF(Table4[[#This Row],[ROAS]]&lt;5,"Good",
"Excellent")))</f>
        <v>Excellent</v>
      </c>
      <c r="S209" s="51" t="str">
        <f>IF(AND(Table4[[#This Row],[USD_Spend]]&gt;=$B$5,Table4[[#This Row],[Sales]]&lt;=$B$6),"Wasted Budget","Spend Justified")</f>
        <v>Spend Justified</v>
      </c>
      <c r="T209" s="51" t="str">
        <f>IF(AND(Table4[[#This Row],[Clicks]]&gt;=$B$7,Table4[[#This Row],[Sales]]&lt;=$B$6),"Poor Monetization","Normal Monitization")</f>
        <v>Normal Monitization</v>
      </c>
    </row>
    <row r="210" spans="1:20" x14ac:dyDescent="0.35">
      <c r="A210" s="38" t="s">
        <v>85</v>
      </c>
      <c r="B210" s="38" t="s">
        <v>28</v>
      </c>
      <c r="C210" s="38" t="s">
        <v>69</v>
      </c>
      <c r="D210" s="38" t="s">
        <v>63</v>
      </c>
      <c r="E210" s="38" t="s">
        <v>30</v>
      </c>
      <c r="F210" s="38">
        <v>26124.51</v>
      </c>
      <c r="G210" s="38">
        <v>310947</v>
      </c>
      <c r="H210" s="38">
        <v>22931</v>
      </c>
      <c r="I210" s="38">
        <v>219473.53</v>
      </c>
      <c r="J210" s="38">
        <v>48</v>
      </c>
      <c r="K210" s="39">
        <f t="shared" si="16"/>
        <v>7.3745686563948198E-2</v>
      </c>
      <c r="L210" s="40">
        <f t="shared" si="17"/>
        <v>8.4010582399440228</v>
      </c>
      <c r="M210" s="40">
        <f t="shared" si="18"/>
        <v>7.4010582399440219</v>
      </c>
      <c r="N210" s="40">
        <f t="shared" si="19"/>
        <v>9.5710405128428757</v>
      </c>
      <c r="O210" s="1" t="str">
        <f t="shared" si="15"/>
        <v>Normal</v>
      </c>
      <c r="P210" s="51" t="str">
        <f>IF(Table4[[#This Row],[Sales]]&lt;=$B$3,"Normal","High Revenue")</f>
        <v>Normal</v>
      </c>
      <c r="Q210" s="51" t="str">
        <f>IF(Table4[[#This Row],[CTR]]&lt;=$B$4,"Normal","High CTR")</f>
        <v>Normal</v>
      </c>
      <c r="R210" s="51" t="str">
        <f>IF(Table4[[#This Row],[ROAS]]&lt;1,"Poor",IF(Table4[[#This Row],[ROAS]]&lt;3,"Average",IF(Table4[[#This Row],[ROAS]]&lt;5,"Good",
"Excellent")))</f>
        <v>Excellent</v>
      </c>
      <c r="S210" s="51" t="str">
        <f>IF(AND(Table4[[#This Row],[USD_Spend]]&gt;=$B$5,Table4[[#This Row],[Sales]]&lt;=$B$6),"Wasted Budget","Spend Justified")</f>
        <v>Spend Justified</v>
      </c>
      <c r="T210" s="51" t="str">
        <f>IF(AND(Table4[[#This Row],[Clicks]]&gt;=$B$7,Table4[[#This Row],[Sales]]&lt;=$B$6),"Poor Monetization","Normal Monitization")</f>
        <v>Normal Monitization</v>
      </c>
    </row>
    <row r="211" spans="1:20" x14ac:dyDescent="0.35">
      <c r="A211" s="41" t="s">
        <v>88</v>
      </c>
      <c r="B211" s="41" t="s">
        <v>48</v>
      </c>
      <c r="C211" s="41" t="s">
        <v>36</v>
      </c>
      <c r="D211" s="41" t="s">
        <v>51</v>
      </c>
      <c r="E211" s="41" t="s">
        <v>38</v>
      </c>
      <c r="F211" s="41">
        <v>41612.01</v>
      </c>
      <c r="G211" s="41">
        <v>854554</v>
      </c>
      <c r="H211" s="41">
        <v>39423</v>
      </c>
      <c r="I211" s="41">
        <v>104004.11</v>
      </c>
      <c r="J211" s="41">
        <v>39</v>
      </c>
      <c r="K211" s="42">
        <f t="shared" si="16"/>
        <v>4.6132836543974987E-2</v>
      </c>
      <c r="L211" s="43">
        <f t="shared" si="17"/>
        <v>2.4993772230661291</v>
      </c>
      <c r="M211" s="43">
        <f t="shared" si="18"/>
        <v>1.4993772230661291</v>
      </c>
      <c r="N211" s="43">
        <f t="shared" si="19"/>
        <v>2.6381581817720621</v>
      </c>
      <c r="O211" s="1" t="str">
        <f t="shared" si="15"/>
        <v>Normal</v>
      </c>
      <c r="P211" s="51" t="str">
        <f>IF(Table4[[#This Row],[Sales]]&lt;=$B$3,"Normal","High Revenue")</f>
        <v>Normal</v>
      </c>
      <c r="Q211" s="51" t="str">
        <f>IF(Table4[[#This Row],[CTR]]&lt;=$B$4,"Normal","High CTR")</f>
        <v>Normal</v>
      </c>
      <c r="R211" s="51" t="str">
        <f>IF(Table4[[#This Row],[ROAS]]&lt;1,"Poor",IF(Table4[[#This Row],[ROAS]]&lt;3,"Average",IF(Table4[[#This Row],[ROAS]]&lt;5,"Good",
"Excellent")))</f>
        <v>Average</v>
      </c>
      <c r="S211" s="51" t="str">
        <f>IF(AND(Table4[[#This Row],[USD_Spend]]&gt;=$B$5,Table4[[#This Row],[Sales]]&lt;=$B$6),"Wasted Budget","Spend Justified")</f>
        <v>Spend Justified</v>
      </c>
      <c r="T211" s="51" t="str">
        <f>IF(AND(Table4[[#This Row],[Clicks]]&gt;=$B$7,Table4[[#This Row],[Sales]]&lt;=$B$6),"Poor Monetization","Normal Monitization")</f>
        <v>Normal Monitization</v>
      </c>
    </row>
    <row r="212" spans="1:20" x14ac:dyDescent="0.35">
      <c r="A212" s="38" t="s">
        <v>18</v>
      </c>
      <c r="B212" s="38" t="s">
        <v>28</v>
      </c>
      <c r="C212" s="38" t="s">
        <v>69</v>
      </c>
      <c r="D212" s="38" t="s">
        <v>43</v>
      </c>
      <c r="E212" s="38" t="s">
        <v>30</v>
      </c>
      <c r="F212" s="38">
        <v>28255.35</v>
      </c>
      <c r="G212" s="38">
        <v>341777</v>
      </c>
      <c r="H212" s="38">
        <v>7545</v>
      </c>
      <c r="I212" s="38">
        <v>199044.12</v>
      </c>
      <c r="J212" s="38">
        <v>35</v>
      </c>
      <c r="K212" s="39">
        <f t="shared" si="16"/>
        <v>2.2075797961828913E-2</v>
      </c>
      <c r="L212" s="40">
        <f t="shared" si="17"/>
        <v>7.0444754710169937</v>
      </c>
      <c r="M212" s="40">
        <f t="shared" si="18"/>
        <v>6.0444754710169928</v>
      </c>
      <c r="N212" s="40">
        <f t="shared" si="19"/>
        <v>26.38093041749503</v>
      </c>
      <c r="O212" s="1" t="str">
        <f t="shared" si="15"/>
        <v>Normal</v>
      </c>
      <c r="P212" s="51" t="str">
        <f>IF(Table4[[#This Row],[Sales]]&lt;=$B$3,"Normal","High Revenue")</f>
        <v>Normal</v>
      </c>
      <c r="Q212" s="51" t="str">
        <f>IF(Table4[[#This Row],[CTR]]&lt;=$B$4,"Normal","High CTR")</f>
        <v>Normal</v>
      </c>
      <c r="R212" s="51" t="str">
        <f>IF(Table4[[#This Row],[ROAS]]&lt;1,"Poor",IF(Table4[[#This Row],[ROAS]]&lt;3,"Average",IF(Table4[[#This Row],[ROAS]]&lt;5,"Good",
"Excellent")))</f>
        <v>Excellent</v>
      </c>
      <c r="S212" s="51" t="str">
        <f>IF(AND(Table4[[#This Row],[USD_Spend]]&gt;=$B$5,Table4[[#This Row],[Sales]]&lt;=$B$6),"Wasted Budget","Spend Justified")</f>
        <v>Spend Justified</v>
      </c>
      <c r="T212" s="51" t="str">
        <f>IF(AND(Table4[[#This Row],[Clicks]]&gt;=$B$7,Table4[[#This Row],[Sales]]&lt;=$B$6),"Poor Monetization","Normal Monitization")</f>
        <v>Normal Monitization</v>
      </c>
    </row>
    <row r="213" spans="1:20" x14ac:dyDescent="0.35">
      <c r="A213" s="41" t="s">
        <v>90</v>
      </c>
      <c r="B213" s="41" t="s">
        <v>48</v>
      </c>
      <c r="C213" s="41" t="s">
        <v>29</v>
      </c>
      <c r="D213" s="41" t="s">
        <v>63</v>
      </c>
      <c r="E213" s="41" t="s">
        <v>30</v>
      </c>
      <c r="F213" s="41">
        <v>40989.4</v>
      </c>
      <c r="G213" s="41">
        <v>504392</v>
      </c>
      <c r="H213" s="41">
        <v>1386</v>
      </c>
      <c r="I213" s="41">
        <v>215650.13</v>
      </c>
      <c r="J213" s="41">
        <v>53</v>
      </c>
      <c r="K213" s="42">
        <f t="shared" si="16"/>
        <v>2.7478627733984679E-3</v>
      </c>
      <c r="L213" s="43">
        <f t="shared" si="17"/>
        <v>5.2611194601531128</v>
      </c>
      <c r="M213" s="43">
        <f t="shared" si="18"/>
        <v>4.2611194601531128</v>
      </c>
      <c r="N213" s="43">
        <f t="shared" si="19"/>
        <v>155.59172438672439</v>
      </c>
      <c r="O213" s="1" t="str">
        <f t="shared" si="15"/>
        <v>Normal</v>
      </c>
      <c r="P213" s="51" t="str">
        <f>IF(Table4[[#This Row],[Sales]]&lt;=$B$3,"Normal","High Revenue")</f>
        <v>Normal</v>
      </c>
      <c r="Q213" s="51" t="str">
        <f>IF(Table4[[#This Row],[CTR]]&lt;=$B$4,"Normal","High CTR")</f>
        <v>Normal</v>
      </c>
      <c r="R213" s="51" t="str">
        <f>IF(Table4[[#This Row],[ROAS]]&lt;1,"Poor",IF(Table4[[#This Row],[ROAS]]&lt;3,"Average",IF(Table4[[#This Row],[ROAS]]&lt;5,"Good",
"Excellent")))</f>
        <v>Excellent</v>
      </c>
      <c r="S213" s="51" t="str">
        <f>IF(AND(Table4[[#This Row],[USD_Spend]]&gt;=$B$5,Table4[[#This Row],[Sales]]&lt;=$B$6),"Wasted Budget","Spend Justified")</f>
        <v>Spend Justified</v>
      </c>
      <c r="T213" s="51" t="str">
        <f>IF(AND(Table4[[#This Row],[Clicks]]&gt;=$B$7,Table4[[#This Row],[Sales]]&lt;=$B$6),"Poor Monetization","Normal Monitization")</f>
        <v>Normal Monitization</v>
      </c>
    </row>
    <row r="214" spans="1:20" x14ac:dyDescent="0.35">
      <c r="A214" s="38" t="s">
        <v>50</v>
      </c>
      <c r="B214" s="38" t="s">
        <v>28</v>
      </c>
      <c r="C214" s="38" t="s">
        <v>20</v>
      </c>
      <c r="D214" s="38" t="s">
        <v>63</v>
      </c>
      <c r="E214" s="38" t="s">
        <v>30</v>
      </c>
      <c r="F214" s="38">
        <v>7246.31</v>
      </c>
      <c r="G214" s="38">
        <v>635380</v>
      </c>
      <c r="H214" s="38">
        <v>4263</v>
      </c>
      <c r="I214" s="38">
        <v>99267.99</v>
      </c>
      <c r="J214" s="38">
        <v>46</v>
      </c>
      <c r="K214" s="39">
        <f t="shared" si="16"/>
        <v>6.7093707702477259E-3</v>
      </c>
      <c r="L214" s="40">
        <f t="shared" si="17"/>
        <v>13.699108925784296</v>
      </c>
      <c r="M214" s="40">
        <f t="shared" si="18"/>
        <v>12.699108925784296</v>
      </c>
      <c r="N214" s="40">
        <f t="shared" si="19"/>
        <v>23.285946516537649</v>
      </c>
      <c r="O214" s="1" t="str">
        <f t="shared" si="15"/>
        <v>Normal</v>
      </c>
      <c r="P214" s="51" t="str">
        <f>IF(Table4[[#This Row],[Sales]]&lt;=$B$3,"Normal","High Revenue")</f>
        <v>Normal</v>
      </c>
      <c r="Q214" s="51" t="str">
        <f>IF(Table4[[#This Row],[CTR]]&lt;=$B$4,"Normal","High CTR")</f>
        <v>Normal</v>
      </c>
      <c r="R214" s="51" t="str">
        <f>IF(Table4[[#This Row],[ROAS]]&lt;1,"Poor",IF(Table4[[#This Row],[ROAS]]&lt;3,"Average",IF(Table4[[#This Row],[ROAS]]&lt;5,"Good",
"Excellent")))</f>
        <v>Excellent</v>
      </c>
      <c r="S214" s="51" t="str">
        <f>IF(AND(Table4[[#This Row],[USD_Spend]]&gt;=$B$5,Table4[[#This Row],[Sales]]&lt;=$B$6),"Wasted Budget","Spend Justified")</f>
        <v>Spend Justified</v>
      </c>
      <c r="T214" s="51" t="str">
        <f>IF(AND(Table4[[#This Row],[Clicks]]&gt;=$B$7,Table4[[#This Row],[Sales]]&lt;=$B$6),"Poor Monetization","Normal Monitization")</f>
        <v>Normal Monitization</v>
      </c>
    </row>
    <row r="215" spans="1:20" x14ac:dyDescent="0.35">
      <c r="A215" s="41" t="s">
        <v>34</v>
      </c>
      <c r="B215" s="41" t="s">
        <v>35</v>
      </c>
      <c r="C215" s="41" t="s">
        <v>20</v>
      </c>
      <c r="D215" s="41" t="s">
        <v>59</v>
      </c>
      <c r="E215" s="41" t="s">
        <v>38</v>
      </c>
      <c r="F215" s="41">
        <v>25077.96</v>
      </c>
      <c r="G215" s="41">
        <v>377121</v>
      </c>
      <c r="H215" s="41">
        <v>36555</v>
      </c>
      <c r="I215" s="41">
        <v>95052.46</v>
      </c>
      <c r="J215" s="41">
        <v>48</v>
      </c>
      <c r="K215" s="42">
        <f t="shared" si="16"/>
        <v>9.6931753999379505E-2</v>
      </c>
      <c r="L215" s="43">
        <f t="shared" si="17"/>
        <v>3.7902787946068983</v>
      </c>
      <c r="M215" s="43">
        <f t="shared" si="18"/>
        <v>2.7902787946068979</v>
      </c>
      <c r="N215" s="43">
        <f t="shared" si="19"/>
        <v>2.6002587881274795</v>
      </c>
      <c r="O215" s="1" t="str">
        <f t="shared" si="15"/>
        <v>Normal</v>
      </c>
      <c r="P215" s="51" t="str">
        <f>IF(Table4[[#This Row],[Sales]]&lt;=$B$3,"Normal","High Revenue")</f>
        <v>Normal</v>
      </c>
      <c r="Q215" s="51" t="str">
        <f>IF(Table4[[#This Row],[CTR]]&lt;=$B$4,"Normal","High CTR")</f>
        <v>Normal</v>
      </c>
      <c r="R215" s="51" t="str">
        <f>IF(Table4[[#This Row],[ROAS]]&lt;1,"Poor",IF(Table4[[#This Row],[ROAS]]&lt;3,"Average",IF(Table4[[#This Row],[ROAS]]&lt;5,"Good",
"Excellent")))</f>
        <v>Good</v>
      </c>
      <c r="S215" s="51" t="str">
        <f>IF(AND(Table4[[#This Row],[USD_Spend]]&gt;=$B$5,Table4[[#This Row],[Sales]]&lt;=$B$6),"Wasted Budget","Spend Justified")</f>
        <v>Spend Justified</v>
      </c>
      <c r="T215" s="51" t="str">
        <f>IF(AND(Table4[[#This Row],[Clicks]]&gt;=$B$7,Table4[[#This Row],[Sales]]&lt;=$B$6),"Poor Monetization","Normal Monitization")</f>
        <v>Normal Monitization</v>
      </c>
    </row>
    <row r="216" spans="1:20" x14ac:dyDescent="0.35">
      <c r="A216" s="38" t="s">
        <v>75</v>
      </c>
      <c r="B216" s="38" t="s">
        <v>28</v>
      </c>
      <c r="C216" s="38" t="s">
        <v>58</v>
      </c>
      <c r="D216" s="38" t="s">
        <v>51</v>
      </c>
      <c r="E216" s="38" t="s">
        <v>38</v>
      </c>
      <c r="F216" s="38">
        <v>1247.5</v>
      </c>
      <c r="G216" s="38">
        <v>775847</v>
      </c>
      <c r="H216" s="38">
        <v>47636</v>
      </c>
      <c r="I216" s="38">
        <v>96693.16</v>
      </c>
      <c r="J216" s="38">
        <v>18</v>
      </c>
      <c r="K216" s="39">
        <f t="shared" si="16"/>
        <v>6.139870361037679E-2</v>
      </c>
      <c r="L216" s="40">
        <f t="shared" si="17"/>
        <v>77.509547094188378</v>
      </c>
      <c r="M216" s="40">
        <f t="shared" si="18"/>
        <v>76.509547094188378</v>
      </c>
      <c r="N216" s="40">
        <f t="shared" si="19"/>
        <v>2.0298337391888488</v>
      </c>
      <c r="O216" s="1" t="str">
        <f t="shared" si="15"/>
        <v>Normal</v>
      </c>
      <c r="P216" s="51" t="str">
        <f>IF(Table4[[#This Row],[Sales]]&lt;=$B$3,"Normal","High Revenue")</f>
        <v>Normal</v>
      </c>
      <c r="Q216" s="51" t="str">
        <f>IF(Table4[[#This Row],[CTR]]&lt;=$B$4,"Normal","High CTR")</f>
        <v>Normal</v>
      </c>
      <c r="R216" s="51" t="str">
        <f>IF(Table4[[#This Row],[ROAS]]&lt;1,"Poor",IF(Table4[[#This Row],[ROAS]]&lt;3,"Average",IF(Table4[[#This Row],[ROAS]]&lt;5,"Good",
"Excellent")))</f>
        <v>Excellent</v>
      </c>
      <c r="S216" s="51" t="str">
        <f>IF(AND(Table4[[#This Row],[USD_Spend]]&gt;=$B$5,Table4[[#This Row],[Sales]]&lt;=$B$6),"Wasted Budget","Spend Justified")</f>
        <v>Spend Justified</v>
      </c>
      <c r="T216" s="51" t="str">
        <f>IF(AND(Table4[[#This Row],[Clicks]]&gt;=$B$7,Table4[[#This Row],[Sales]]&lt;=$B$6),"Poor Monetization","Normal Monitization")</f>
        <v>Normal Monitization</v>
      </c>
    </row>
    <row r="217" spans="1:20" x14ac:dyDescent="0.35">
      <c r="A217" s="41" t="s">
        <v>117</v>
      </c>
      <c r="B217" s="41" t="s">
        <v>19</v>
      </c>
      <c r="C217" s="41" t="s">
        <v>58</v>
      </c>
      <c r="D217" s="41" t="s">
        <v>21</v>
      </c>
      <c r="E217" s="41" t="s">
        <v>38</v>
      </c>
      <c r="F217" s="41">
        <v>959.96</v>
      </c>
      <c r="G217" s="41">
        <v>805128</v>
      </c>
      <c r="H217" s="41">
        <v>9032</v>
      </c>
      <c r="I217" s="41">
        <v>89251.8</v>
      </c>
      <c r="J217" s="41">
        <v>25</v>
      </c>
      <c r="K217" s="42">
        <f t="shared" si="16"/>
        <v>1.1218092030087142E-2</v>
      </c>
      <c r="L217" s="43">
        <f t="shared" si="17"/>
        <v>92.974498937455721</v>
      </c>
      <c r="M217" s="43">
        <f t="shared" si="18"/>
        <v>91.974498937455721</v>
      </c>
      <c r="N217" s="43">
        <f t="shared" si="19"/>
        <v>9.8817316209034551</v>
      </c>
      <c r="O217" s="1" t="str">
        <f t="shared" si="15"/>
        <v>Normal</v>
      </c>
      <c r="P217" s="51" t="str">
        <f>IF(Table4[[#This Row],[Sales]]&lt;=$B$3,"Normal","High Revenue")</f>
        <v>Normal</v>
      </c>
      <c r="Q217" s="51" t="str">
        <f>IF(Table4[[#This Row],[CTR]]&lt;=$B$4,"Normal","High CTR")</f>
        <v>Normal</v>
      </c>
      <c r="R217" s="51" t="str">
        <f>IF(Table4[[#This Row],[ROAS]]&lt;1,"Poor",IF(Table4[[#This Row],[ROAS]]&lt;3,"Average",IF(Table4[[#This Row],[ROAS]]&lt;5,"Good",
"Excellent")))</f>
        <v>Excellent</v>
      </c>
      <c r="S217" s="51" t="str">
        <f>IF(AND(Table4[[#This Row],[USD_Spend]]&gt;=$B$5,Table4[[#This Row],[Sales]]&lt;=$B$6),"Wasted Budget","Spend Justified")</f>
        <v>Spend Justified</v>
      </c>
      <c r="T217" s="51" t="str">
        <f>IF(AND(Table4[[#This Row],[Clicks]]&gt;=$B$7,Table4[[#This Row],[Sales]]&lt;=$B$6),"Poor Monetization","Normal Monitization")</f>
        <v>Normal Monitization</v>
      </c>
    </row>
    <row r="218" spans="1:20" x14ac:dyDescent="0.35">
      <c r="A218" s="38" t="s">
        <v>95</v>
      </c>
      <c r="B218" s="38" t="s">
        <v>48</v>
      </c>
      <c r="C218" s="38" t="s">
        <v>58</v>
      </c>
      <c r="D218" s="38" t="s">
        <v>63</v>
      </c>
      <c r="E218" s="38" t="s">
        <v>38</v>
      </c>
      <c r="F218" s="38">
        <v>5112.1000000000004</v>
      </c>
      <c r="G218" s="38">
        <v>436259</v>
      </c>
      <c r="H218" s="38">
        <v>8012</v>
      </c>
      <c r="I218" s="38">
        <v>136301.51</v>
      </c>
      <c r="J218" s="38">
        <v>12</v>
      </c>
      <c r="K218" s="39">
        <f t="shared" si="16"/>
        <v>1.8365237164161656E-2</v>
      </c>
      <c r="L218" s="40">
        <f t="shared" si="17"/>
        <v>26.662528119559475</v>
      </c>
      <c r="M218" s="40">
        <f t="shared" si="18"/>
        <v>25.662528119559475</v>
      </c>
      <c r="N218" s="40">
        <f t="shared" si="19"/>
        <v>17.012170494258612</v>
      </c>
      <c r="O218" s="1" t="str">
        <f t="shared" si="15"/>
        <v>Normal</v>
      </c>
      <c r="P218" s="51" t="str">
        <f>IF(Table4[[#This Row],[Sales]]&lt;=$B$3,"Normal","High Revenue")</f>
        <v>Normal</v>
      </c>
      <c r="Q218" s="51" t="str">
        <f>IF(Table4[[#This Row],[CTR]]&lt;=$B$4,"Normal","High CTR")</f>
        <v>Normal</v>
      </c>
      <c r="R218" s="51" t="str">
        <f>IF(Table4[[#This Row],[ROAS]]&lt;1,"Poor",IF(Table4[[#This Row],[ROAS]]&lt;3,"Average",IF(Table4[[#This Row],[ROAS]]&lt;5,"Good",
"Excellent")))</f>
        <v>Excellent</v>
      </c>
      <c r="S218" s="51" t="str">
        <f>IF(AND(Table4[[#This Row],[USD_Spend]]&gt;=$B$5,Table4[[#This Row],[Sales]]&lt;=$B$6),"Wasted Budget","Spend Justified")</f>
        <v>Spend Justified</v>
      </c>
      <c r="T218" s="51" t="str">
        <f>IF(AND(Table4[[#This Row],[Clicks]]&gt;=$B$7,Table4[[#This Row],[Sales]]&lt;=$B$6),"Poor Monetization","Normal Monitization")</f>
        <v>Normal Monitization</v>
      </c>
    </row>
    <row r="219" spans="1:20" x14ac:dyDescent="0.35">
      <c r="A219" s="41" t="s">
        <v>50</v>
      </c>
      <c r="B219" s="41" t="s">
        <v>28</v>
      </c>
      <c r="C219" s="41" t="s">
        <v>69</v>
      </c>
      <c r="D219" s="41" t="s">
        <v>37</v>
      </c>
      <c r="E219" s="41" t="s">
        <v>22</v>
      </c>
      <c r="F219" s="41">
        <v>945.02</v>
      </c>
      <c r="G219" s="41">
        <v>12805</v>
      </c>
      <c r="H219" s="41">
        <v>26872</v>
      </c>
      <c r="I219" s="41">
        <v>115373.41</v>
      </c>
      <c r="J219" s="41">
        <v>21</v>
      </c>
      <c r="K219" s="42">
        <f t="shared" si="16"/>
        <v>2.0985552518547443</v>
      </c>
      <c r="L219" s="43">
        <f t="shared" si="17"/>
        <v>122.08568072633383</v>
      </c>
      <c r="M219" s="43">
        <f t="shared" si="18"/>
        <v>121.08568072633383</v>
      </c>
      <c r="N219" s="43">
        <f t="shared" si="19"/>
        <v>4.2934433611193805</v>
      </c>
      <c r="O219" s="1" t="str">
        <f t="shared" si="15"/>
        <v>Normal</v>
      </c>
      <c r="P219" s="51" t="str">
        <f>IF(Table4[[#This Row],[Sales]]&lt;=$B$3,"Normal","High Revenue")</f>
        <v>Normal</v>
      </c>
      <c r="Q219" s="51" t="str">
        <f>IF(Table4[[#This Row],[CTR]]&lt;=$B$4,"Normal","High CTR")</f>
        <v>High CTR</v>
      </c>
      <c r="R219" s="51" t="str">
        <f>IF(Table4[[#This Row],[ROAS]]&lt;1,"Poor",IF(Table4[[#This Row],[ROAS]]&lt;3,"Average",IF(Table4[[#This Row],[ROAS]]&lt;5,"Good",
"Excellent")))</f>
        <v>Excellent</v>
      </c>
      <c r="S219" s="51" t="str">
        <f>IF(AND(Table4[[#This Row],[USD_Spend]]&gt;=$B$5,Table4[[#This Row],[Sales]]&lt;=$B$6),"Wasted Budget","Spend Justified")</f>
        <v>Spend Justified</v>
      </c>
      <c r="T219" s="51" t="str">
        <f>IF(AND(Table4[[#This Row],[Clicks]]&gt;=$B$7,Table4[[#This Row],[Sales]]&lt;=$B$6),"Poor Monetization","Normal Monitization")</f>
        <v>Normal Monitization</v>
      </c>
    </row>
    <row r="220" spans="1:20" x14ac:dyDescent="0.35">
      <c r="A220" s="38" t="s">
        <v>50</v>
      </c>
      <c r="B220" s="38" t="s">
        <v>48</v>
      </c>
      <c r="C220" s="38" t="s">
        <v>69</v>
      </c>
      <c r="D220" s="38" t="s">
        <v>43</v>
      </c>
      <c r="E220" s="38" t="s">
        <v>30</v>
      </c>
      <c r="F220" s="38">
        <v>3558.99</v>
      </c>
      <c r="G220" s="38">
        <v>966167</v>
      </c>
      <c r="H220" s="38">
        <v>38846</v>
      </c>
      <c r="I220" s="38">
        <v>11256.15</v>
      </c>
      <c r="J220" s="38">
        <v>29</v>
      </c>
      <c r="K220" s="39">
        <f t="shared" si="16"/>
        <v>4.0206299739072027E-2</v>
      </c>
      <c r="L220" s="40">
        <f t="shared" si="17"/>
        <v>3.1627371810541756</v>
      </c>
      <c r="M220" s="40">
        <f t="shared" si="18"/>
        <v>2.1627371810541756</v>
      </c>
      <c r="N220" s="40">
        <f t="shared" si="19"/>
        <v>0.28976342480564277</v>
      </c>
      <c r="O220" s="1" t="str">
        <f t="shared" si="15"/>
        <v>Normal</v>
      </c>
      <c r="P220" s="51" t="str">
        <f>IF(Table4[[#This Row],[Sales]]&lt;=$B$3,"Normal","High Revenue")</f>
        <v>Normal</v>
      </c>
      <c r="Q220" s="51" t="str">
        <f>IF(Table4[[#This Row],[CTR]]&lt;=$B$4,"Normal","High CTR")</f>
        <v>Normal</v>
      </c>
      <c r="R220" s="51" t="str">
        <f>IF(Table4[[#This Row],[ROAS]]&lt;1,"Poor",IF(Table4[[#This Row],[ROAS]]&lt;3,"Average",IF(Table4[[#This Row],[ROAS]]&lt;5,"Good",
"Excellent")))</f>
        <v>Good</v>
      </c>
      <c r="S220" s="51" t="str">
        <f>IF(AND(Table4[[#This Row],[USD_Spend]]&gt;=$B$5,Table4[[#This Row],[Sales]]&lt;=$B$6),"Wasted Budget","Spend Justified")</f>
        <v>Spend Justified</v>
      </c>
      <c r="T220" s="51" t="str">
        <f>IF(AND(Table4[[#This Row],[Clicks]]&gt;=$B$7,Table4[[#This Row],[Sales]]&lt;=$B$6),"Poor Monetization","Normal Monitization")</f>
        <v>Poor Monetization</v>
      </c>
    </row>
    <row r="221" spans="1:20" x14ac:dyDescent="0.35">
      <c r="A221" s="41" t="s">
        <v>118</v>
      </c>
      <c r="B221" s="41" t="s">
        <v>19</v>
      </c>
      <c r="C221" s="41" t="s">
        <v>20</v>
      </c>
      <c r="D221" s="41" t="s">
        <v>21</v>
      </c>
      <c r="E221" s="41" t="s">
        <v>30</v>
      </c>
      <c r="F221" s="41">
        <v>11858.79</v>
      </c>
      <c r="G221" s="41">
        <v>213765</v>
      </c>
      <c r="H221" s="41">
        <v>7611</v>
      </c>
      <c r="I221" s="41">
        <v>49432.71</v>
      </c>
      <c r="J221" s="41">
        <v>17</v>
      </c>
      <c r="K221" s="42">
        <f t="shared" si="16"/>
        <v>3.5604518981124135E-2</v>
      </c>
      <c r="L221" s="43">
        <f t="shared" si="17"/>
        <v>4.1684446726858297</v>
      </c>
      <c r="M221" s="43">
        <f t="shared" si="18"/>
        <v>3.1684446726858302</v>
      </c>
      <c r="N221" s="43">
        <f t="shared" si="19"/>
        <v>6.4949034292471426</v>
      </c>
      <c r="O221" s="1" t="str">
        <f t="shared" si="15"/>
        <v>Normal</v>
      </c>
      <c r="P221" s="51" t="str">
        <f>IF(Table4[[#This Row],[Sales]]&lt;=$B$3,"Normal","High Revenue")</f>
        <v>Normal</v>
      </c>
      <c r="Q221" s="51" t="str">
        <f>IF(Table4[[#This Row],[CTR]]&lt;=$B$4,"Normal","High CTR")</f>
        <v>Normal</v>
      </c>
      <c r="R221" s="51" t="str">
        <f>IF(Table4[[#This Row],[ROAS]]&lt;1,"Poor",IF(Table4[[#This Row],[ROAS]]&lt;3,"Average",IF(Table4[[#This Row],[ROAS]]&lt;5,"Good",
"Excellent")))</f>
        <v>Good</v>
      </c>
      <c r="S221" s="51" t="str">
        <f>IF(AND(Table4[[#This Row],[USD_Spend]]&gt;=$B$5,Table4[[#This Row],[Sales]]&lt;=$B$6),"Wasted Budget","Spend Justified")</f>
        <v>Wasted Budget</v>
      </c>
      <c r="T221" s="51" t="str">
        <f>IF(AND(Table4[[#This Row],[Clicks]]&gt;=$B$7,Table4[[#This Row],[Sales]]&lt;=$B$6),"Poor Monetization","Normal Monitization")</f>
        <v>Normal Monitization</v>
      </c>
    </row>
    <row r="222" spans="1:20" x14ac:dyDescent="0.35">
      <c r="A222" s="38" t="s">
        <v>115</v>
      </c>
      <c r="B222" s="38" t="s">
        <v>28</v>
      </c>
      <c r="C222" s="38" t="s">
        <v>69</v>
      </c>
      <c r="D222" s="38" t="s">
        <v>51</v>
      </c>
      <c r="E222" s="38" t="s">
        <v>22</v>
      </c>
      <c r="F222" s="38">
        <v>7481.75</v>
      </c>
      <c r="G222" s="38">
        <v>63802</v>
      </c>
      <c r="H222" s="38">
        <v>27597</v>
      </c>
      <c r="I222" s="38">
        <v>80475.240000000005</v>
      </c>
      <c r="J222" s="38">
        <v>61</v>
      </c>
      <c r="K222" s="39">
        <f t="shared" si="16"/>
        <v>0.43254129964577914</v>
      </c>
      <c r="L222" s="40">
        <f t="shared" si="17"/>
        <v>10.756205433220838</v>
      </c>
      <c r="M222" s="40">
        <f t="shared" si="18"/>
        <v>9.7562054332208383</v>
      </c>
      <c r="N222" s="40">
        <f t="shared" si="19"/>
        <v>2.91608653114469</v>
      </c>
      <c r="O222" s="1" t="str">
        <f t="shared" si="15"/>
        <v>Normal</v>
      </c>
      <c r="P222" s="51" t="str">
        <f>IF(Table4[[#This Row],[Sales]]&lt;=$B$3,"Normal","High Revenue")</f>
        <v>Normal</v>
      </c>
      <c r="Q222" s="51" t="str">
        <f>IF(Table4[[#This Row],[CTR]]&lt;=$B$4,"Normal","High CTR")</f>
        <v>High CTR</v>
      </c>
      <c r="R222" s="51" t="str">
        <f>IF(Table4[[#This Row],[ROAS]]&lt;1,"Poor",IF(Table4[[#This Row],[ROAS]]&lt;3,"Average",IF(Table4[[#This Row],[ROAS]]&lt;5,"Good",
"Excellent")))</f>
        <v>Excellent</v>
      </c>
      <c r="S222" s="51" t="str">
        <f>IF(AND(Table4[[#This Row],[USD_Spend]]&gt;=$B$5,Table4[[#This Row],[Sales]]&lt;=$B$6),"Wasted Budget","Spend Justified")</f>
        <v>Spend Justified</v>
      </c>
      <c r="T222" s="51" t="str">
        <f>IF(AND(Table4[[#This Row],[Clicks]]&gt;=$B$7,Table4[[#This Row],[Sales]]&lt;=$B$6),"Poor Monetization","Normal Monitization")</f>
        <v>Normal Monitization</v>
      </c>
    </row>
    <row r="223" spans="1:20" x14ac:dyDescent="0.35">
      <c r="A223" s="41" t="s">
        <v>114</v>
      </c>
      <c r="B223" s="41" t="s">
        <v>48</v>
      </c>
      <c r="C223" s="41" t="s">
        <v>36</v>
      </c>
      <c r="D223" s="41" t="s">
        <v>59</v>
      </c>
      <c r="E223" s="41" t="s">
        <v>38</v>
      </c>
      <c r="F223" s="41">
        <v>1630.03</v>
      </c>
      <c r="G223" s="41">
        <v>21510</v>
      </c>
      <c r="H223" s="41">
        <v>49679</v>
      </c>
      <c r="I223" s="41">
        <v>227873.32</v>
      </c>
      <c r="J223" s="41">
        <v>40</v>
      </c>
      <c r="K223" s="42">
        <f t="shared" si="16"/>
        <v>2.3095769409576943</v>
      </c>
      <c r="L223" s="43">
        <f t="shared" si="17"/>
        <v>139.79700987098397</v>
      </c>
      <c r="M223" s="43">
        <f t="shared" si="18"/>
        <v>138.79700987098397</v>
      </c>
      <c r="N223" s="43">
        <f t="shared" si="19"/>
        <v>4.5869143903862799</v>
      </c>
      <c r="O223" s="1" t="str">
        <f t="shared" si="15"/>
        <v>Normal</v>
      </c>
      <c r="P223" s="51" t="str">
        <f>IF(Table4[[#This Row],[Sales]]&lt;=$B$3,"Normal","High Revenue")</f>
        <v>Normal</v>
      </c>
      <c r="Q223" s="51" t="str">
        <f>IF(Table4[[#This Row],[CTR]]&lt;=$B$4,"Normal","High CTR")</f>
        <v>High CTR</v>
      </c>
      <c r="R223" s="51" t="str">
        <f>IF(Table4[[#This Row],[ROAS]]&lt;1,"Poor",IF(Table4[[#This Row],[ROAS]]&lt;3,"Average",IF(Table4[[#This Row],[ROAS]]&lt;5,"Good",
"Excellent")))</f>
        <v>Excellent</v>
      </c>
      <c r="S223" s="51" t="str">
        <f>IF(AND(Table4[[#This Row],[USD_Spend]]&gt;=$B$5,Table4[[#This Row],[Sales]]&lt;=$B$6),"Wasted Budget","Spend Justified")</f>
        <v>Spend Justified</v>
      </c>
      <c r="T223" s="51" t="str">
        <f>IF(AND(Table4[[#This Row],[Clicks]]&gt;=$B$7,Table4[[#This Row],[Sales]]&lt;=$B$6),"Poor Monetization","Normal Monitization")</f>
        <v>Normal Monitization</v>
      </c>
    </row>
    <row r="224" spans="1:20" x14ac:dyDescent="0.35">
      <c r="A224" s="38" t="s">
        <v>94</v>
      </c>
      <c r="B224" s="38" t="s">
        <v>19</v>
      </c>
      <c r="C224" s="38" t="s">
        <v>69</v>
      </c>
      <c r="D224" s="38" t="s">
        <v>59</v>
      </c>
      <c r="E224" s="38" t="s">
        <v>38</v>
      </c>
      <c r="F224" s="38">
        <v>4687.8500000000004</v>
      </c>
      <c r="G224" s="38">
        <v>319234</v>
      </c>
      <c r="H224" s="38">
        <v>1415</v>
      </c>
      <c r="I224" s="38">
        <v>83085.64</v>
      </c>
      <c r="J224" s="38">
        <v>34</v>
      </c>
      <c r="K224" s="39">
        <f t="shared" si="16"/>
        <v>4.4324852615949427E-3</v>
      </c>
      <c r="L224" s="40">
        <f t="shared" si="17"/>
        <v>17.723613170216623</v>
      </c>
      <c r="M224" s="40">
        <f t="shared" si="18"/>
        <v>16.72361317021662</v>
      </c>
      <c r="N224" s="40">
        <f t="shared" si="19"/>
        <v>58.717766784452294</v>
      </c>
      <c r="O224" s="1" t="str">
        <f t="shared" si="15"/>
        <v>Normal</v>
      </c>
      <c r="P224" s="51" t="str">
        <f>IF(Table4[[#This Row],[Sales]]&lt;=$B$3,"Normal","High Revenue")</f>
        <v>Normal</v>
      </c>
      <c r="Q224" s="51" t="str">
        <f>IF(Table4[[#This Row],[CTR]]&lt;=$B$4,"Normal","High CTR")</f>
        <v>Normal</v>
      </c>
      <c r="R224" s="51" t="str">
        <f>IF(Table4[[#This Row],[ROAS]]&lt;1,"Poor",IF(Table4[[#This Row],[ROAS]]&lt;3,"Average",IF(Table4[[#This Row],[ROAS]]&lt;5,"Good",
"Excellent")))</f>
        <v>Excellent</v>
      </c>
      <c r="S224" s="51" t="str">
        <f>IF(AND(Table4[[#This Row],[USD_Spend]]&gt;=$B$5,Table4[[#This Row],[Sales]]&lt;=$B$6),"Wasted Budget","Spend Justified")</f>
        <v>Spend Justified</v>
      </c>
      <c r="T224" s="51" t="str">
        <f>IF(AND(Table4[[#This Row],[Clicks]]&gt;=$B$7,Table4[[#This Row],[Sales]]&lt;=$B$6),"Poor Monetization","Normal Monitization")</f>
        <v>Normal Monitization</v>
      </c>
    </row>
    <row r="225" spans="1:20" x14ac:dyDescent="0.35">
      <c r="A225" s="41" t="s">
        <v>50</v>
      </c>
      <c r="B225" s="41" t="s">
        <v>48</v>
      </c>
      <c r="C225" s="41" t="s">
        <v>20</v>
      </c>
      <c r="D225" s="41" t="s">
        <v>51</v>
      </c>
      <c r="E225" s="41" t="s">
        <v>22</v>
      </c>
      <c r="F225" s="41">
        <v>14864.67</v>
      </c>
      <c r="G225" s="41">
        <v>745911</v>
      </c>
      <c r="H225" s="41">
        <v>44896</v>
      </c>
      <c r="I225" s="41">
        <v>163768.67000000001</v>
      </c>
      <c r="J225" s="41">
        <v>29</v>
      </c>
      <c r="K225" s="42">
        <f t="shared" si="16"/>
        <v>6.0189486413258421E-2</v>
      </c>
      <c r="L225" s="43">
        <f t="shared" si="17"/>
        <v>11.017309499639078</v>
      </c>
      <c r="M225" s="43">
        <f t="shared" si="18"/>
        <v>10.017309499639078</v>
      </c>
      <c r="N225" s="43">
        <f t="shared" si="19"/>
        <v>3.6477340965787599</v>
      </c>
      <c r="O225" s="1" t="str">
        <f t="shared" si="15"/>
        <v>Normal</v>
      </c>
      <c r="P225" s="51" t="str">
        <f>IF(Table4[[#This Row],[Sales]]&lt;=$B$3,"Normal","High Revenue")</f>
        <v>Normal</v>
      </c>
      <c r="Q225" s="51" t="str">
        <f>IF(Table4[[#This Row],[CTR]]&lt;=$B$4,"Normal","High CTR")</f>
        <v>Normal</v>
      </c>
      <c r="R225" s="51" t="str">
        <f>IF(Table4[[#This Row],[ROAS]]&lt;1,"Poor",IF(Table4[[#This Row],[ROAS]]&lt;3,"Average",IF(Table4[[#This Row],[ROAS]]&lt;5,"Good",
"Excellent")))</f>
        <v>Excellent</v>
      </c>
      <c r="S225" s="51" t="str">
        <f>IF(AND(Table4[[#This Row],[USD_Spend]]&gt;=$B$5,Table4[[#This Row],[Sales]]&lt;=$B$6),"Wasted Budget","Spend Justified")</f>
        <v>Spend Justified</v>
      </c>
      <c r="T225" s="51" t="str">
        <f>IF(AND(Table4[[#This Row],[Clicks]]&gt;=$B$7,Table4[[#This Row],[Sales]]&lt;=$B$6),"Poor Monetization","Normal Monitization")</f>
        <v>Normal Monitization</v>
      </c>
    </row>
    <row r="226" spans="1:20" x14ac:dyDescent="0.35">
      <c r="A226" s="38" t="s">
        <v>111</v>
      </c>
      <c r="B226" s="38" t="s">
        <v>48</v>
      </c>
      <c r="C226" s="38" t="s">
        <v>69</v>
      </c>
      <c r="D226" s="38" t="s">
        <v>51</v>
      </c>
      <c r="E226" s="38" t="s">
        <v>22</v>
      </c>
      <c r="F226" s="38">
        <v>30164.080000000002</v>
      </c>
      <c r="G226" s="38">
        <v>831021</v>
      </c>
      <c r="H226" s="38">
        <v>47336</v>
      </c>
      <c r="I226" s="38">
        <v>68515.509999999995</v>
      </c>
      <c r="J226" s="38">
        <v>37</v>
      </c>
      <c r="K226" s="39">
        <f t="shared" si="16"/>
        <v>5.6961256093407991E-2</v>
      </c>
      <c r="L226" s="40">
        <f t="shared" si="17"/>
        <v>2.2714271411559706</v>
      </c>
      <c r="M226" s="40">
        <f t="shared" si="18"/>
        <v>1.2714271411559706</v>
      </c>
      <c r="N226" s="40">
        <f t="shared" si="19"/>
        <v>1.4474292293391922</v>
      </c>
      <c r="O226" s="1" t="str">
        <f t="shared" si="15"/>
        <v>Normal</v>
      </c>
      <c r="P226" s="51" t="str">
        <f>IF(Table4[[#This Row],[Sales]]&lt;=$B$3,"Normal","High Revenue")</f>
        <v>Normal</v>
      </c>
      <c r="Q226" s="51" t="str">
        <f>IF(Table4[[#This Row],[CTR]]&lt;=$B$4,"Normal","High CTR")</f>
        <v>Normal</v>
      </c>
      <c r="R226" s="51" t="str">
        <f>IF(Table4[[#This Row],[ROAS]]&lt;1,"Poor",IF(Table4[[#This Row],[ROAS]]&lt;3,"Average",IF(Table4[[#This Row],[ROAS]]&lt;5,"Good",
"Excellent")))</f>
        <v>Average</v>
      </c>
      <c r="S226" s="51" t="str">
        <f>IF(AND(Table4[[#This Row],[USD_Spend]]&gt;=$B$5,Table4[[#This Row],[Sales]]&lt;=$B$6),"Wasted Budget","Spend Justified")</f>
        <v>Wasted Budget</v>
      </c>
      <c r="T226" s="51" t="str">
        <f>IF(AND(Table4[[#This Row],[Clicks]]&gt;=$B$7,Table4[[#This Row],[Sales]]&lt;=$B$6),"Poor Monetization","Normal Monitization")</f>
        <v>Poor Monetization</v>
      </c>
    </row>
    <row r="227" spans="1:20" x14ac:dyDescent="0.35">
      <c r="A227" s="41" t="s">
        <v>62</v>
      </c>
      <c r="B227" s="41" t="s">
        <v>48</v>
      </c>
      <c r="C227" s="41" t="s">
        <v>29</v>
      </c>
      <c r="D227" s="41" t="s">
        <v>37</v>
      </c>
      <c r="E227" s="41" t="s">
        <v>22</v>
      </c>
      <c r="F227" s="41">
        <v>5997.76</v>
      </c>
      <c r="G227" s="41">
        <v>25743</v>
      </c>
      <c r="H227" s="41">
        <v>17785</v>
      </c>
      <c r="I227" s="41">
        <v>237798.52</v>
      </c>
      <c r="J227" s="41">
        <v>18</v>
      </c>
      <c r="K227" s="42">
        <f t="shared" si="16"/>
        <v>0.69086742026958781</v>
      </c>
      <c r="L227" s="43">
        <f t="shared" si="17"/>
        <v>39.647888545056816</v>
      </c>
      <c r="M227" s="43">
        <f t="shared" si="18"/>
        <v>38.647888545056816</v>
      </c>
      <c r="N227" s="43">
        <f t="shared" si="19"/>
        <v>13.370734888951363</v>
      </c>
      <c r="O227" s="1" t="str">
        <f t="shared" si="15"/>
        <v>Normal</v>
      </c>
      <c r="P227" s="51" t="str">
        <f>IF(Table4[[#This Row],[Sales]]&lt;=$B$3,"Normal","High Revenue")</f>
        <v>High Revenue</v>
      </c>
      <c r="Q227" s="51" t="str">
        <f>IF(Table4[[#This Row],[CTR]]&lt;=$B$4,"Normal","High CTR")</f>
        <v>High CTR</v>
      </c>
      <c r="R227" s="51" t="str">
        <f>IF(Table4[[#This Row],[ROAS]]&lt;1,"Poor",IF(Table4[[#This Row],[ROAS]]&lt;3,"Average",IF(Table4[[#This Row],[ROAS]]&lt;5,"Good",
"Excellent")))</f>
        <v>Excellent</v>
      </c>
      <c r="S227" s="51" t="str">
        <f>IF(AND(Table4[[#This Row],[USD_Spend]]&gt;=$B$5,Table4[[#This Row],[Sales]]&lt;=$B$6),"Wasted Budget","Spend Justified")</f>
        <v>Spend Justified</v>
      </c>
      <c r="T227" s="51" t="str">
        <f>IF(AND(Table4[[#This Row],[Clicks]]&gt;=$B$7,Table4[[#This Row],[Sales]]&lt;=$B$6),"Poor Monetization","Normal Monitization")</f>
        <v>Normal Monitization</v>
      </c>
    </row>
    <row r="228" spans="1:20" x14ac:dyDescent="0.35">
      <c r="A228" s="38" t="s">
        <v>117</v>
      </c>
      <c r="B228" s="38" t="s">
        <v>19</v>
      </c>
      <c r="C228" s="38" t="s">
        <v>36</v>
      </c>
      <c r="D228" s="38" t="s">
        <v>63</v>
      </c>
      <c r="E228" s="38" t="s">
        <v>30</v>
      </c>
      <c r="F228" s="38">
        <v>20682.78</v>
      </c>
      <c r="G228" s="38">
        <v>343120</v>
      </c>
      <c r="H228" s="38">
        <v>27382</v>
      </c>
      <c r="I228" s="38">
        <v>48910.32</v>
      </c>
      <c r="J228" s="38">
        <v>39</v>
      </c>
      <c r="K228" s="39">
        <f t="shared" si="16"/>
        <v>7.9802984378643041E-2</v>
      </c>
      <c r="L228" s="40">
        <f t="shared" si="17"/>
        <v>2.3647846179285379</v>
      </c>
      <c r="M228" s="40">
        <f t="shared" si="18"/>
        <v>1.3647846179285377</v>
      </c>
      <c r="N228" s="40">
        <f t="shared" si="19"/>
        <v>1.7862216054342268</v>
      </c>
      <c r="O228" s="1" t="str">
        <f t="shared" si="15"/>
        <v>Normal</v>
      </c>
      <c r="P228" s="51" t="str">
        <f>IF(Table4[[#This Row],[Sales]]&lt;=$B$3,"Normal","High Revenue")</f>
        <v>Normal</v>
      </c>
      <c r="Q228" s="51" t="str">
        <f>IF(Table4[[#This Row],[CTR]]&lt;=$B$4,"Normal","High CTR")</f>
        <v>Normal</v>
      </c>
      <c r="R228" s="51" t="str">
        <f>IF(Table4[[#This Row],[ROAS]]&lt;1,"Poor",IF(Table4[[#This Row],[ROAS]]&lt;3,"Average",IF(Table4[[#This Row],[ROAS]]&lt;5,"Good",
"Excellent")))</f>
        <v>Average</v>
      </c>
      <c r="S228" s="51" t="str">
        <f>IF(AND(Table4[[#This Row],[USD_Spend]]&gt;=$B$5,Table4[[#This Row],[Sales]]&lt;=$B$6),"Wasted Budget","Spend Justified")</f>
        <v>Wasted Budget</v>
      </c>
      <c r="T228" s="51" t="str">
        <f>IF(AND(Table4[[#This Row],[Clicks]]&gt;=$B$7,Table4[[#This Row],[Sales]]&lt;=$B$6),"Poor Monetization","Normal Monitization")</f>
        <v>Normal Monitization</v>
      </c>
    </row>
    <row r="229" spans="1:20" x14ac:dyDescent="0.35">
      <c r="A229" s="41" t="s">
        <v>98</v>
      </c>
      <c r="B229" s="41" t="s">
        <v>35</v>
      </c>
      <c r="C229" s="41" t="s">
        <v>20</v>
      </c>
      <c r="D229" s="41" t="s">
        <v>63</v>
      </c>
      <c r="E229" s="41" t="s">
        <v>22</v>
      </c>
      <c r="F229" s="41">
        <v>31463.439999999999</v>
      </c>
      <c r="G229" s="41">
        <v>214189</v>
      </c>
      <c r="H229" s="41">
        <v>17789</v>
      </c>
      <c r="I229" s="41">
        <v>31558.22</v>
      </c>
      <c r="J229" s="41">
        <v>9</v>
      </c>
      <c r="K229" s="42">
        <f t="shared" si="16"/>
        <v>8.3052817838451087E-2</v>
      </c>
      <c r="L229" s="43">
        <f t="shared" si="17"/>
        <v>1.0030123851683097</v>
      </c>
      <c r="M229" s="43">
        <f t="shared" si="18"/>
        <v>3.0123851683097106E-3</v>
      </c>
      <c r="N229" s="43">
        <f t="shared" si="19"/>
        <v>1.7740300185507898</v>
      </c>
      <c r="O229" s="1" t="str">
        <f t="shared" si="15"/>
        <v>Normal</v>
      </c>
      <c r="P229" s="51" t="str">
        <f>IF(Table4[[#This Row],[Sales]]&lt;=$B$3,"Normal","High Revenue")</f>
        <v>Normal</v>
      </c>
      <c r="Q229" s="51" t="str">
        <f>IF(Table4[[#This Row],[CTR]]&lt;=$B$4,"Normal","High CTR")</f>
        <v>Normal</v>
      </c>
      <c r="R229" s="51" t="str">
        <f>IF(Table4[[#This Row],[ROAS]]&lt;1,"Poor",IF(Table4[[#This Row],[ROAS]]&lt;3,"Average",IF(Table4[[#This Row],[ROAS]]&lt;5,"Good",
"Excellent")))</f>
        <v>Average</v>
      </c>
      <c r="S229" s="51" t="str">
        <f>IF(AND(Table4[[#This Row],[USD_Spend]]&gt;=$B$5,Table4[[#This Row],[Sales]]&lt;=$B$6),"Wasted Budget","Spend Justified")</f>
        <v>Wasted Budget</v>
      </c>
      <c r="T229" s="51" t="str">
        <f>IF(AND(Table4[[#This Row],[Clicks]]&gt;=$B$7,Table4[[#This Row],[Sales]]&lt;=$B$6),"Poor Monetization","Normal Monitization")</f>
        <v>Normal Monitization</v>
      </c>
    </row>
    <row r="230" spans="1:20" x14ac:dyDescent="0.35">
      <c r="A230" s="38" t="s">
        <v>27</v>
      </c>
      <c r="B230" s="38" t="s">
        <v>35</v>
      </c>
      <c r="C230" s="38" t="s">
        <v>20</v>
      </c>
      <c r="D230" s="38" t="s">
        <v>43</v>
      </c>
      <c r="E230" s="38" t="s">
        <v>22</v>
      </c>
      <c r="F230" s="38">
        <v>2001.78</v>
      </c>
      <c r="G230" s="38">
        <v>226995</v>
      </c>
      <c r="H230" s="38">
        <v>3990</v>
      </c>
      <c r="I230" s="38">
        <v>144668.21</v>
      </c>
      <c r="J230" s="38">
        <v>45</v>
      </c>
      <c r="K230" s="39">
        <f t="shared" si="16"/>
        <v>1.7577479680169168E-2</v>
      </c>
      <c r="L230" s="40">
        <f t="shared" si="17"/>
        <v>72.269784891446605</v>
      </c>
      <c r="M230" s="40">
        <f t="shared" si="18"/>
        <v>71.269784891446605</v>
      </c>
      <c r="N230" s="40">
        <f t="shared" si="19"/>
        <v>36.257696741854637</v>
      </c>
      <c r="O230" s="1" t="str">
        <f t="shared" si="15"/>
        <v>Normal</v>
      </c>
      <c r="P230" s="51" t="str">
        <f>IF(Table4[[#This Row],[Sales]]&lt;=$B$3,"Normal","High Revenue")</f>
        <v>Normal</v>
      </c>
      <c r="Q230" s="51" t="str">
        <f>IF(Table4[[#This Row],[CTR]]&lt;=$B$4,"Normal","High CTR")</f>
        <v>Normal</v>
      </c>
      <c r="R230" s="51" t="str">
        <f>IF(Table4[[#This Row],[ROAS]]&lt;1,"Poor",IF(Table4[[#This Row],[ROAS]]&lt;3,"Average",IF(Table4[[#This Row],[ROAS]]&lt;5,"Good",
"Excellent")))</f>
        <v>Excellent</v>
      </c>
      <c r="S230" s="51" t="str">
        <f>IF(AND(Table4[[#This Row],[USD_Spend]]&gt;=$B$5,Table4[[#This Row],[Sales]]&lt;=$B$6),"Wasted Budget","Spend Justified")</f>
        <v>Spend Justified</v>
      </c>
      <c r="T230" s="51" t="str">
        <f>IF(AND(Table4[[#This Row],[Clicks]]&gt;=$B$7,Table4[[#This Row],[Sales]]&lt;=$B$6),"Poor Monetization","Normal Monitization")</f>
        <v>Normal Monitization</v>
      </c>
    </row>
    <row r="231" spans="1:20" x14ac:dyDescent="0.35">
      <c r="A231" s="41" t="s">
        <v>95</v>
      </c>
      <c r="B231" s="41" t="s">
        <v>48</v>
      </c>
      <c r="C231" s="41" t="s">
        <v>58</v>
      </c>
      <c r="D231" s="41" t="s">
        <v>37</v>
      </c>
      <c r="E231" s="41" t="s">
        <v>22</v>
      </c>
      <c r="F231" s="41">
        <v>511.65</v>
      </c>
      <c r="G231" s="41">
        <v>78652</v>
      </c>
      <c r="H231" s="41">
        <v>13913</v>
      </c>
      <c r="I231" s="41">
        <v>169232.11</v>
      </c>
      <c r="J231" s="41">
        <v>55</v>
      </c>
      <c r="K231" s="42">
        <f t="shared" si="16"/>
        <v>0.17689314957025887</v>
      </c>
      <c r="L231" s="43">
        <f t="shared" si="17"/>
        <v>330.75756865044463</v>
      </c>
      <c r="M231" s="43">
        <f t="shared" si="18"/>
        <v>329.75756865044463</v>
      </c>
      <c r="N231" s="43">
        <f t="shared" si="19"/>
        <v>12.163595917487241</v>
      </c>
      <c r="O231" s="1" t="str">
        <f t="shared" si="15"/>
        <v>Normal</v>
      </c>
      <c r="P231" s="51" t="str">
        <f>IF(Table4[[#This Row],[Sales]]&lt;=$B$3,"Normal","High Revenue")</f>
        <v>Normal</v>
      </c>
      <c r="Q231" s="51" t="str">
        <f>IF(Table4[[#This Row],[CTR]]&lt;=$B$4,"Normal","High CTR")</f>
        <v>Normal</v>
      </c>
      <c r="R231" s="51" t="str">
        <f>IF(Table4[[#This Row],[ROAS]]&lt;1,"Poor",IF(Table4[[#This Row],[ROAS]]&lt;3,"Average",IF(Table4[[#This Row],[ROAS]]&lt;5,"Good",
"Excellent")))</f>
        <v>Excellent</v>
      </c>
      <c r="S231" s="51" t="str">
        <f>IF(AND(Table4[[#This Row],[USD_Spend]]&gt;=$B$5,Table4[[#This Row],[Sales]]&lt;=$B$6),"Wasted Budget","Spend Justified")</f>
        <v>Spend Justified</v>
      </c>
      <c r="T231" s="51" t="str">
        <f>IF(AND(Table4[[#This Row],[Clicks]]&gt;=$B$7,Table4[[#This Row],[Sales]]&lt;=$B$6),"Poor Monetization","Normal Monitization")</f>
        <v>Normal Monitization</v>
      </c>
    </row>
    <row r="232" spans="1:20" x14ac:dyDescent="0.35">
      <c r="A232" s="38" t="s">
        <v>68</v>
      </c>
      <c r="B232" s="38" t="s">
        <v>48</v>
      </c>
      <c r="C232" s="38" t="s">
        <v>69</v>
      </c>
      <c r="D232" s="38" t="s">
        <v>59</v>
      </c>
      <c r="E232" s="38" t="s">
        <v>22</v>
      </c>
      <c r="F232" s="38">
        <v>19382.13</v>
      </c>
      <c r="G232" s="38">
        <v>530226</v>
      </c>
      <c r="H232" s="38">
        <v>2032</v>
      </c>
      <c r="I232" s="38">
        <v>98768.71</v>
      </c>
      <c r="J232" s="38">
        <v>42</v>
      </c>
      <c r="K232" s="39">
        <f t="shared" si="16"/>
        <v>3.8323281016019585E-3</v>
      </c>
      <c r="L232" s="40">
        <f t="shared" si="17"/>
        <v>5.0958645927975921</v>
      </c>
      <c r="M232" s="40">
        <f t="shared" si="18"/>
        <v>4.0958645927975921</v>
      </c>
      <c r="N232" s="40">
        <f t="shared" si="19"/>
        <v>48.606648622047246</v>
      </c>
      <c r="O232" s="1" t="str">
        <f t="shared" si="15"/>
        <v>Normal</v>
      </c>
      <c r="P232" s="51" t="str">
        <f>IF(Table4[[#This Row],[Sales]]&lt;=$B$3,"Normal","High Revenue")</f>
        <v>Normal</v>
      </c>
      <c r="Q232" s="51" t="str">
        <f>IF(Table4[[#This Row],[CTR]]&lt;=$B$4,"Normal","High CTR")</f>
        <v>Normal</v>
      </c>
      <c r="R232" s="51" t="str">
        <f>IF(Table4[[#This Row],[ROAS]]&lt;1,"Poor",IF(Table4[[#This Row],[ROAS]]&lt;3,"Average",IF(Table4[[#This Row],[ROAS]]&lt;5,"Good",
"Excellent")))</f>
        <v>Excellent</v>
      </c>
      <c r="S232" s="51" t="str">
        <f>IF(AND(Table4[[#This Row],[USD_Spend]]&gt;=$B$5,Table4[[#This Row],[Sales]]&lt;=$B$6),"Wasted Budget","Spend Justified")</f>
        <v>Spend Justified</v>
      </c>
      <c r="T232" s="51" t="str">
        <f>IF(AND(Table4[[#This Row],[Clicks]]&gt;=$B$7,Table4[[#This Row],[Sales]]&lt;=$B$6),"Poor Monetization","Normal Monitization")</f>
        <v>Normal Monitization</v>
      </c>
    </row>
    <row r="233" spans="1:20" x14ac:dyDescent="0.35">
      <c r="A233" s="41" t="s">
        <v>110</v>
      </c>
      <c r="B233" s="41" t="s">
        <v>19</v>
      </c>
      <c r="C233" s="41" t="s">
        <v>20</v>
      </c>
      <c r="D233" s="41" t="s">
        <v>59</v>
      </c>
      <c r="E233" s="41" t="s">
        <v>30</v>
      </c>
      <c r="F233" s="41">
        <v>9331.92</v>
      </c>
      <c r="G233" s="41">
        <v>714827</v>
      </c>
      <c r="H233" s="41">
        <v>44820</v>
      </c>
      <c r="I233" s="41">
        <v>152728.26999999999</v>
      </c>
      <c r="J233" s="41">
        <v>41</v>
      </c>
      <c r="K233" s="42">
        <f t="shared" si="16"/>
        <v>6.2700485572033518E-2</v>
      </c>
      <c r="L233" s="43">
        <f t="shared" si="17"/>
        <v>16.366221527831357</v>
      </c>
      <c r="M233" s="43">
        <f t="shared" si="18"/>
        <v>15.366221527831355</v>
      </c>
      <c r="N233" s="43">
        <f t="shared" si="19"/>
        <v>3.4075919232485496</v>
      </c>
      <c r="O233" s="1" t="str">
        <f t="shared" si="15"/>
        <v>Normal</v>
      </c>
      <c r="P233" s="51" t="str">
        <f>IF(Table4[[#This Row],[Sales]]&lt;=$B$3,"Normal","High Revenue")</f>
        <v>Normal</v>
      </c>
      <c r="Q233" s="51" t="str">
        <f>IF(Table4[[#This Row],[CTR]]&lt;=$B$4,"Normal","High CTR")</f>
        <v>Normal</v>
      </c>
      <c r="R233" s="51" t="str">
        <f>IF(Table4[[#This Row],[ROAS]]&lt;1,"Poor",IF(Table4[[#This Row],[ROAS]]&lt;3,"Average",IF(Table4[[#This Row],[ROAS]]&lt;5,"Good",
"Excellent")))</f>
        <v>Excellent</v>
      </c>
      <c r="S233" s="51" t="str">
        <f>IF(AND(Table4[[#This Row],[USD_Spend]]&gt;=$B$5,Table4[[#This Row],[Sales]]&lt;=$B$6),"Wasted Budget","Spend Justified")</f>
        <v>Spend Justified</v>
      </c>
      <c r="T233" s="51" t="str">
        <f>IF(AND(Table4[[#This Row],[Clicks]]&gt;=$B$7,Table4[[#This Row],[Sales]]&lt;=$B$6),"Poor Monetization","Normal Monitization")</f>
        <v>Normal Monitization</v>
      </c>
    </row>
    <row r="234" spans="1:20" x14ac:dyDescent="0.35">
      <c r="A234" s="38" t="s">
        <v>47</v>
      </c>
      <c r="B234" s="38" t="s">
        <v>19</v>
      </c>
      <c r="C234" s="38" t="s">
        <v>29</v>
      </c>
      <c r="D234" s="38" t="s">
        <v>21</v>
      </c>
      <c r="E234" s="38" t="s">
        <v>30</v>
      </c>
      <c r="F234" s="38">
        <v>26443.95</v>
      </c>
      <c r="G234" s="38">
        <v>733108</v>
      </c>
      <c r="H234" s="38">
        <v>23814</v>
      </c>
      <c r="I234" s="38">
        <v>26591.82</v>
      </c>
      <c r="J234" s="38">
        <v>57</v>
      </c>
      <c r="K234" s="39">
        <f t="shared" si="16"/>
        <v>3.248361769343671E-2</v>
      </c>
      <c r="L234" s="40">
        <f t="shared" si="17"/>
        <v>1.005591827242148</v>
      </c>
      <c r="M234" s="40">
        <f t="shared" si="18"/>
        <v>5.5918272421479759E-3</v>
      </c>
      <c r="N234" s="40">
        <f t="shared" si="19"/>
        <v>1.1166465104560344</v>
      </c>
      <c r="O234" s="1" t="str">
        <f t="shared" si="15"/>
        <v>Normal</v>
      </c>
      <c r="P234" s="51" t="str">
        <f>IF(Table4[[#This Row],[Sales]]&lt;=$B$3,"Normal","High Revenue")</f>
        <v>Normal</v>
      </c>
      <c r="Q234" s="51" t="str">
        <f>IF(Table4[[#This Row],[CTR]]&lt;=$B$4,"Normal","High CTR")</f>
        <v>Normal</v>
      </c>
      <c r="R234" s="51" t="str">
        <f>IF(Table4[[#This Row],[ROAS]]&lt;1,"Poor",IF(Table4[[#This Row],[ROAS]]&lt;3,"Average",IF(Table4[[#This Row],[ROAS]]&lt;5,"Good",
"Excellent")))</f>
        <v>Average</v>
      </c>
      <c r="S234" s="51" t="str">
        <f>IF(AND(Table4[[#This Row],[USD_Spend]]&gt;=$B$5,Table4[[#This Row],[Sales]]&lt;=$B$6),"Wasted Budget","Spend Justified")</f>
        <v>Wasted Budget</v>
      </c>
      <c r="T234" s="51" t="str">
        <f>IF(AND(Table4[[#This Row],[Clicks]]&gt;=$B$7,Table4[[#This Row],[Sales]]&lt;=$B$6),"Poor Monetization","Normal Monitization")</f>
        <v>Normal Monitization</v>
      </c>
    </row>
    <row r="235" spans="1:20" x14ac:dyDescent="0.35">
      <c r="A235" s="41" t="s">
        <v>97</v>
      </c>
      <c r="B235" s="41" t="s">
        <v>28</v>
      </c>
      <c r="C235" s="41" t="s">
        <v>29</v>
      </c>
      <c r="D235" s="41" t="s">
        <v>43</v>
      </c>
      <c r="E235" s="41" t="s">
        <v>22</v>
      </c>
      <c r="F235" s="41">
        <v>8054.6</v>
      </c>
      <c r="G235" s="41">
        <v>312143</v>
      </c>
      <c r="H235" s="41">
        <v>3201</v>
      </c>
      <c r="I235" s="41">
        <v>41342.89</v>
      </c>
      <c r="J235" s="41">
        <v>56</v>
      </c>
      <c r="K235" s="42">
        <f t="shared" si="16"/>
        <v>1.0254915215141778E-2</v>
      </c>
      <c r="L235" s="43">
        <f t="shared" si="17"/>
        <v>5.132829687383607</v>
      </c>
      <c r="M235" s="43">
        <f t="shared" si="18"/>
        <v>4.132829687383607</v>
      </c>
      <c r="N235" s="43">
        <f t="shared" si="19"/>
        <v>12.915616994689159</v>
      </c>
      <c r="O235" s="1" t="str">
        <f t="shared" si="15"/>
        <v>Normal</v>
      </c>
      <c r="P235" s="51" t="str">
        <f>IF(Table4[[#This Row],[Sales]]&lt;=$B$3,"Normal","High Revenue")</f>
        <v>Normal</v>
      </c>
      <c r="Q235" s="51" t="str">
        <f>IF(Table4[[#This Row],[CTR]]&lt;=$B$4,"Normal","High CTR")</f>
        <v>Normal</v>
      </c>
      <c r="R235" s="51" t="str">
        <f>IF(Table4[[#This Row],[ROAS]]&lt;1,"Poor",IF(Table4[[#This Row],[ROAS]]&lt;3,"Average",IF(Table4[[#This Row],[ROAS]]&lt;5,"Good",
"Excellent")))</f>
        <v>Excellent</v>
      </c>
      <c r="S235" s="51" t="str">
        <f>IF(AND(Table4[[#This Row],[USD_Spend]]&gt;=$B$5,Table4[[#This Row],[Sales]]&lt;=$B$6),"Wasted Budget","Spend Justified")</f>
        <v>Wasted Budget</v>
      </c>
      <c r="T235" s="51" t="str">
        <f>IF(AND(Table4[[#This Row],[Clicks]]&gt;=$B$7,Table4[[#This Row],[Sales]]&lt;=$B$6),"Poor Monetization","Normal Monitization")</f>
        <v>Normal Monitization</v>
      </c>
    </row>
    <row r="236" spans="1:20" x14ac:dyDescent="0.35">
      <c r="A236" s="38" t="s">
        <v>96</v>
      </c>
      <c r="B236" s="38" t="s">
        <v>28</v>
      </c>
      <c r="C236" s="38" t="s">
        <v>36</v>
      </c>
      <c r="D236" s="38" t="s">
        <v>21</v>
      </c>
      <c r="E236" s="38" t="s">
        <v>22</v>
      </c>
      <c r="F236" s="38">
        <v>21515.39</v>
      </c>
      <c r="G236" s="38">
        <v>174663</v>
      </c>
      <c r="H236" s="38">
        <v>7357</v>
      </c>
      <c r="I236" s="38">
        <v>36638.730000000003</v>
      </c>
      <c r="J236" s="38">
        <v>26</v>
      </c>
      <c r="K236" s="39">
        <f t="shared" si="16"/>
        <v>4.212111322947619E-2</v>
      </c>
      <c r="L236" s="40">
        <f t="shared" si="17"/>
        <v>1.7029080114280988</v>
      </c>
      <c r="M236" s="40">
        <f t="shared" si="18"/>
        <v>0.70290801142809889</v>
      </c>
      <c r="N236" s="40">
        <f t="shared" si="19"/>
        <v>4.9801182547233935</v>
      </c>
      <c r="O236" s="1" t="str">
        <f t="shared" si="15"/>
        <v>Normal</v>
      </c>
      <c r="P236" s="51" t="str">
        <f>IF(Table4[[#This Row],[Sales]]&lt;=$B$3,"Normal","High Revenue")</f>
        <v>Normal</v>
      </c>
      <c r="Q236" s="51" t="str">
        <f>IF(Table4[[#This Row],[CTR]]&lt;=$B$4,"Normal","High CTR")</f>
        <v>Normal</v>
      </c>
      <c r="R236" s="51" t="str">
        <f>IF(Table4[[#This Row],[ROAS]]&lt;1,"Poor",IF(Table4[[#This Row],[ROAS]]&lt;3,"Average",IF(Table4[[#This Row],[ROAS]]&lt;5,"Good",
"Excellent")))</f>
        <v>Average</v>
      </c>
      <c r="S236" s="51" t="str">
        <f>IF(AND(Table4[[#This Row],[USD_Spend]]&gt;=$B$5,Table4[[#This Row],[Sales]]&lt;=$B$6),"Wasted Budget","Spend Justified")</f>
        <v>Wasted Budget</v>
      </c>
      <c r="T236" s="51" t="str">
        <f>IF(AND(Table4[[#This Row],[Clicks]]&gt;=$B$7,Table4[[#This Row],[Sales]]&lt;=$B$6),"Poor Monetization","Normal Monitization")</f>
        <v>Normal Monitization</v>
      </c>
    </row>
    <row r="237" spans="1:20" x14ac:dyDescent="0.35">
      <c r="A237" s="41" t="s">
        <v>111</v>
      </c>
      <c r="B237" s="41" t="s">
        <v>48</v>
      </c>
      <c r="C237" s="41" t="s">
        <v>58</v>
      </c>
      <c r="D237" s="41" t="s">
        <v>21</v>
      </c>
      <c r="E237" s="41" t="s">
        <v>30</v>
      </c>
      <c r="F237" s="41">
        <v>12017.19</v>
      </c>
      <c r="G237" s="41">
        <v>305485</v>
      </c>
      <c r="H237" s="41">
        <v>13119</v>
      </c>
      <c r="I237" s="41">
        <v>25677.74</v>
      </c>
      <c r="J237" s="41">
        <v>49</v>
      </c>
      <c r="K237" s="42">
        <f t="shared" si="16"/>
        <v>4.2944825441511042E-2</v>
      </c>
      <c r="L237" s="43">
        <f t="shared" si="17"/>
        <v>2.1367507711869416</v>
      </c>
      <c r="M237" s="43">
        <f t="shared" si="18"/>
        <v>1.1367507711869413</v>
      </c>
      <c r="N237" s="43">
        <f t="shared" si="19"/>
        <v>1.9572940010671547</v>
      </c>
      <c r="O237" s="1" t="str">
        <f t="shared" si="15"/>
        <v>Normal</v>
      </c>
      <c r="P237" s="51" t="str">
        <f>IF(Table4[[#This Row],[Sales]]&lt;=$B$3,"Normal","High Revenue")</f>
        <v>Normal</v>
      </c>
      <c r="Q237" s="51" t="str">
        <f>IF(Table4[[#This Row],[CTR]]&lt;=$B$4,"Normal","High CTR")</f>
        <v>Normal</v>
      </c>
      <c r="R237" s="51" t="str">
        <f>IF(Table4[[#This Row],[ROAS]]&lt;1,"Poor",IF(Table4[[#This Row],[ROAS]]&lt;3,"Average",IF(Table4[[#This Row],[ROAS]]&lt;5,"Good",
"Excellent")))</f>
        <v>Average</v>
      </c>
      <c r="S237" s="51" t="str">
        <f>IF(AND(Table4[[#This Row],[USD_Spend]]&gt;=$B$5,Table4[[#This Row],[Sales]]&lt;=$B$6),"Wasted Budget","Spend Justified")</f>
        <v>Wasted Budget</v>
      </c>
      <c r="T237" s="51" t="str">
        <f>IF(AND(Table4[[#This Row],[Clicks]]&gt;=$B$7,Table4[[#This Row],[Sales]]&lt;=$B$6),"Poor Monetization","Normal Monitization")</f>
        <v>Normal Monitization</v>
      </c>
    </row>
    <row r="238" spans="1:20" x14ac:dyDescent="0.35">
      <c r="A238" s="38" t="s">
        <v>71</v>
      </c>
      <c r="B238" s="38" t="s">
        <v>35</v>
      </c>
      <c r="C238" s="38" t="s">
        <v>29</v>
      </c>
      <c r="D238" s="38" t="s">
        <v>59</v>
      </c>
      <c r="E238" s="38" t="s">
        <v>30</v>
      </c>
      <c r="F238" s="38">
        <v>36950.300000000003</v>
      </c>
      <c r="G238" s="38">
        <v>304736</v>
      </c>
      <c r="H238" s="38">
        <v>25844</v>
      </c>
      <c r="I238" s="38">
        <v>30209.18</v>
      </c>
      <c r="J238" s="38">
        <v>18</v>
      </c>
      <c r="K238" s="39">
        <f t="shared" si="16"/>
        <v>8.4807833665861601E-2</v>
      </c>
      <c r="L238" s="40">
        <f t="shared" si="17"/>
        <v>0.81756250964132893</v>
      </c>
      <c r="M238" s="40">
        <f t="shared" si="18"/>
        <v>-0.18243749035867102</v>
      </c>
      <c r="N238" s="40">
        <f t="shared" si="19"/>
        <v>1.1689049682711654</v>
      </c>
      <c r="O238" s="1" t="str">
        <f t="shared" si="15"/>
        <v>Normal</v>
      </c>
      <c r="P238" s="51" t="str">
        <f>IF(Table4[[#This Row],[Sales]]&lt;=$B$3,"Normal","High Revenue")</f>
        <v>Normal</v>
      </c>
      <c r="Q238" s="51" t="str">
        <f>IF(Table4[[#This Row],[CTR]]&lt;=$B$4,"Normal","High CTR")</f>
        <v>Normal</v>
      </c>
      <c r="R238" s="51" t="str">
        <f>IF(Table4[[#This Row],[ROAS]]&lt;1,"Poor",IF(Table4[[#This Row],[ROAS]]&lt;3,"Average",IF(Table4[[#This Row],[ROAS]]&lt;5,"Good",
"Excellent")))</f>
        <v>Poor</v>
      </c>
      <c r="S238" s="51" t="str">
        <f>IF(AND(Table4[[#This Row],[USD_Spend]]&gt;=$B$5,Table4[[#This Row],[Sales]]&lt;=$B$6),"Wasted Budget","Spend Justified")</f>
        <v>Wasted Budget</v>
      </c>
      <c r="T238" s="51" t="str">
        <f>IF(AND(Table4[[#This Row],[Clicks]]&gt;=$B$7,Table4[[#This Row],[Sales]]&lt;=$B$6),"Poor Monetization","Normal Monitization")</f>
        <v>Normal Monitization</v>
      </c>
    </row>
    <row r="239" spans="1:20" x14ac:dyDescent="0.35">
      <c r="A239" s="41" t="s">
        <v>114</v>
      </c>
      <c r="B239" s="41" t="s">
        <v>19</v>
      </c>
      <c r="C239" s="41" t="s">
        <v>29</v>
      </c>
      <c r="D239" s="41" t="s">
        <v>63</v>
      </c>
      <c r="E239" s="41" t="s">
        <v>22</v>
      </c>
      <c r="F239" s="41">
        <v>38409.68</v>
      </c>
      <c r="G239" s="41">
        <v>366324</v>
      </c>
      <c r="H239" s="41">
        <v>36440</v>
      </c>
      <c r="I239" s="41">
        <v>65261.24</v>
      </c>
      <c r="J239" s="41">
        <v>20</v>
      </c>
      <c r="K239" s="42">
        <f t="shared" si="16"/>
        <v>9.947478188707265E-2</v>
      </c>
      <c r="L239" s="43">
        <f t="shared" si="17"/>
        <v>1.6990831477898278</v>
      </c>
      <c r="M239" s="43">
        <f t="shared" si="18"/>
        <v>0.69908314778982794</v>
      </c>
      <c r="N239" s="43">
        <f t="shared" si="19"/>
        <v>1.7909231613611416</v>
      </c>
      <c r="O239" s="1" t="str">
        <f t="shared" si="15"/>
        <v>Normal</v>
      </c>
      <c r="P239" s="51" t="str">
        <f>IF(Table4[[#This Row],[Sales]]&lt;=$B$3,"Normal","High Revenue")</f>
        <v>Normal</v>
      </c>
      <c r="Q239" s="51" t="str">
        <f>IF(Table4[[#This Row],[CTR]]&lt;=$B$4,"Normal","High CTR")</f>
        <v>Normal</v>
      </c>
      <c r="R239" s="51" t="str">
        <f>IF(Table4[[#This Row],[ROAS]]&lt;1,"Poor",IF(Table4[[#This Row],[ROAS]]&lt;3,"Average",IF(Table4[[#This Row],[ROAS]]&lt;5,"Good",
"Excellent")))</f>
        <v>Average</v>
      </c>
      <c r="S239" s="51" t="str">
        <f>IF(AND(Table4[[#This Row],[USD_Spend]]&gt;=$B$5,Table4[[#This Row],[Sales]]&lt;=$B$6),"Wasted Budget","Spend Justified")</f>
        <v>Wasted Budget</v>
      </c>
      <c r="T239" s="51" t="str">
        <f>IF(AND(Table4[[#This Row],[Clicks]]&gt;=$B$7,Table4[[#This Row],[Sales]]&lt;=$B$6),"Poor Monetization","Normal Monitization")</f>
        <v>Normal Monitization</v>
      </c>
    </row>
    <row r="240" spans="1:20" x14ac:dyDescent="0.35">
      <c r="A240" s="38" t="s">
        <v>27</v>
      </c>
      <c r="B240" s="38" t="s">
        <v>35</v>
      </c>
      <c r="C240" s="38" t="s">
        <v>36</v>
      </c>
      <c r="D240" s="38" t="s">
        <v>63</v>
      </c>
      <c r="E240" s="38" t="s">
        <v>30</v>
      </c>
      <c r="F240" s="38">
        <v>25864.49</v>
      </c>
      <c r="G240" s="38">
        <v>276659</v>
      </c>
      <c r="H240" s="38">
        <v>38732</v>
      </c>
      <c r="I240" s="38">
        <v>18701.72</v>
      </c>
      <c r="J240" s="38">
        <v>19</v>
      </c>
      <c r="K240" s="39">
        <f t="shared" si="16"/>
        <v>0.13999906021492162</v>
      </c>
      <c r="L240" s="40">
        <f t="shared" si="17"/>
        <v>0.72306548476308641</v>
      </c>
      <c r="M240" s="40">
        <f t="shared" si="18"/>
        <v>-0.27693451523691365</v>
      </c>
      <c r="N240" s="40">
        <f t="shared" si="19"/>
        <v>0.48284932355674898</v>
      </c>
      <c r="O240" s="1" t="str">
        <f t="shared" si="15"/>
        <v>Normal</v>
      </c>
      <c r="P240" s="51" t="str">
        <f>IF(Table4[[#This Row],[Sales]]&lt;=$B$3,"Normal","High Revenue")</f>
        <v>Normal</v>
      </c>
      <c r="Q240" s="51" t="str">
        <f>IF(Table4[[#This Row],[CTR]]&lt;=$B$4,"Normal","High CTR")</f>
        <v>Normal</v>
      </c>
      <c r="R240" s="51" t="str">
        <f>IF(Table4[[#This Row],[ROAS]]&lt;1,"Poor",IF(Table4[[#This Row],[ROAS]]&lt;3,"Average",IF(Table4[[#This Row],[ROAS]]&lt;5,"Good",
"Excellent")))</f>
        <v>Poor</v>
      </c>
      <c r="S240" s="51" t="str">
        <f>IF(AND(Table4[[#This Row],[USD_Spend]]&gt;=$B$5,Table4[[#This Row],[Sales]]&lt;=$B$6),"Wasted Budget","Spend Justified")</f>
        <v>Wasted Budget</v>
      </c>
      <c r="T240" s="51" t="str">
        <f>IF(AND(Table4[[#This Row],[Clicks]]&gt;=$B$7,Table4[[#This Row],[Sales]]&lt;=$B$6),"Poor Monetization","Normal Monitization")</f>
        <v>Poor Monetization</v>
      </c>
    </row>
    <row r="241" spans="1:20" x14ac:dyDescent="0.35">
      <c r="A241" s="41" t="s">
        <v>106</v>
      </c>
      <c r="B241" s="41" t="s">
        <v>28</v>
      </c>
      <c r="C241" s="41" t="s">
        <v>58</v>
      </c>
      <c r="D241" s="41" t="s">
        <v>43</v>
      </c>
      <c r="E241" s="41" t="s">
        <v>38</v>
      </c>
      <c r="F241" s="41">
        <v>38100.92</v>
      </c>
      <c r="G241" s="41">
        <v>374462</v>
      </c>
      <c r="H241" s="41">
        <v>45776</v>
      </c>
      <c r="I241" s="41">
        <v>102531.88</v>
      </c>
      <c r="J241" s="41">
        <v>35</v>
      </c>
      <c r="K241" s="42">
        <f t="shared" si="16"/>
        <v>0.1222447137493257</v>
      </c>
      <c r="L241" s="43">
        <f t="shared" si="17"/>
        <v>2.6910604783296574</v>
      </c>
      <c r="M241" s="43">
        <f t="shared" si="18"/>
        <v>1.6910604783296574</v>
      </c>
      <c r="N241" s="43">
        <f t="shared" si="19"/>
        <v>2.2398610625655366</v>
      </c>
      <c r="O241" s="1" t="str">
        <f t="shared" si="15"/>
        <v>Normal</v>
      </c>
      <c r="P241" s="51" t="str">
        <f>IF(Table4[[#This Row],[Sales]]&lt;=$B$3,"Normal","High Revenue")</f>
        <v>Normal</v>
      </c>
      <c r="Q241" s="51" t="str">
        <f>IF(Table4[[#This Row],[CTR]]&lt;=$B$4,"Normal","High CTR")</f>
        <v>Normal</v>
      </c>
      <c r="R241" s="51" t="str">
        <f>IF(Table4[[#This Row],[ROAS]]&lt;1,"Poor",IF(Table4[[#This Row],[ROAS]]&lt;3,"Average",IF(Table4[[#This Row],[ROAS]]&lt;5,"Good",
"Excellent")))</f>
        <v>Average</v>
      </c>
      <c r="S241" s="51" t="str">
        <f>IF(AND(Table4[[#This Row],[USD_Spend]]&gt;=$B$5,Table4[[#This Row],[Sales]]&lt;=$B$6),"Wasted Budget","Spend Justified")</f>
        <v>Spend Justified</v>
      </c>
      <c r="T241" s="51" t="str">
        <f>IF(AND(Table4[[#This Row],[Clicks]]&gt;=$B$7,Table4[[#This Row],[Sales]]&lt;=$B$6),"Poor Monetization","Normal Monitization")</f>
        <v>Normal Monitization</v>
      </c>
    </row>
    <row r="242" spans="1:20" x14ac:dyDescent="0.35">
      <c r="A242" s="38" t="s">
        <v>86</v>
      </c>
      <c r="B242" s="38" t="s">
        <v>35</v>
      </c>
      <c r="C242" s="38" t="s">
        <v>20</v>
      </c>
      <c r="D242" s="38" t="s">
        <v>43</v>
      </c>
      <c r="E242" s="38" t="s">
        <v>22</v>
      </c>
      <c r="F242" s="38">
        <v>29114.44</v>
      </c>
      <c r="G242" s="38">
        <v>741514</v>
      </c>
      <c r="H242" s="38">
        <v>23613</v>
      </c>
      <c r="I242" s="38">
        <v>228925.1</v>
      </c>
      <c r="J242" s="38">
        <v>21</v>
      </c>
      <c r="K242" s="39">
        <f t="shared" si="16"/>
        <v>3.1844307727163616E-2</v>
      </c>
      <c r="L242" s="40">
        <f t="shared" si="17"/>
        <v>7.8629401767645204</v>
      </c>
      <c r="M242" s="40">
        <f t="shared" si="18"/>
        <v>6.8629401767645204</v>
      </c>
      <c r="N242" s="40">
        <f t="shared" si="19"/>
        <v>9.6948757040613227</v>
      </c>
      <c r="O242" s="1" t="str">
        <f t="shared" si="15"/>
        <v>Normal</v>
      </c>
      <c r="P242" s="51" t="str">
        <f>IF(Table4[[#This Row],[Sales]]&lt;=$B$3,"Normal","High Revenue")</f>
        <v>Normal</v>
      </c>
      <c r="Q242" s="51" t="str">
        <f>IF(Table4[[#This Row],[CTR]]&lt;=$B$4,"Normal","High CTR")</f>
        <v>Normal</v>
      </c>
      <c r="R242" s="51" t="str">
        <f>IF(Table4[[#This Row],[ROAS]]&lt;1,"Poor",IF(Table4[[#This Row],[ROAS]]&lt;3,"Average",IF(Table4[[#This Row],[ROAS]]&lt;5,"Good",
"Excellent")))</f>
        <v>Excellent</v>
      </c>
      <c r="S242" s="51" t="str">
        <f>IF(AND(Table4[[#This Row],[USD_Spend]]&gt;=$B$5,Table4[[#This Row],[Sales]]&lt;=$B$6),"Wasted Budget","Spend Justified")</f>
        <v>Spend Justified</v>
      </c>
      <c r="T242" s="51" t="str">
        <f>IF(AND(Table4[[#This Row],[Clicks]]&gt;=$B$7,Table4[[#This Row],[Sales]]&lt;=$B$6),"Poor Monetization","Normal Monitization")</f>
        <v>Normal Monitization</v>
      </c>
    </row>
    <row r="243" spans="1:20" x14ac:dyDescent="0.35">
      <c r="A243" s="41" t="s">
        <v>85</v>
      </c>
      <c r="B243" s="41" t="s">
        <v>48</v>
      </c>
      <c r="C243" s="41" t="s">
        <v>69</v>
      </c>
      <c r="D243" s="41" t="s">
        <v>59</v>
      </c>
      <c r="E243" s="41" t="s">
        <v>22</v>
      </c>
      <c r="F243" s="41">
        <v>10706.14</v>
      </c>
      <c r="G243" s="41">
        <v>213586</v>
      </c>
      <c r="H243" s="41">
        <v>41520</v>
      </c>
      <c r="I243" s="41">
        <v>92854.6</v>
      </c>
      <c r="J243" s="41">
        <v>30</v>
      </c>
      <c r="K243" s="42">
        <f t="shared" si="16"/>
        <v>0.19439476370174075</v>
      </c>
      <c r="L243" s="43">
        <f t="shared" si="17"/>
        <v>8.6730231437287397</v>
      </c>
      <c r="M243" s="43">
        <f t="shared" si="18"/>
        <v>7.6730231437287397</v>
      </c>
      <c r="N243" s="43">
        <f t="shared" si="19"/>
        <v>2.2363824662813103</v>
      </c>
      <c r="O243" s="1" t="str">
        <f t="shared" si="15"/>
        <v>Normal</v>
      </c>
      <c r="P243" s="51" t="str">
        <f>IF(Table4[[#This Row],[Sales]]&lt;=$B$3,"Normal","High Revenue")</f>
        <v>Normal</v>
      </c>
      <c r="Q243" s="51" t="str">
        <f>IF(Table4[[#This Row],[CTR]]&lt;=$B$4,"Normal","High CTR")</f>
        <v>Normal</v>
      </c>
      <c r="R243" s="51" t="str">
        <f>IF(Table4[[#This Row],[ROAS]]&lt;1,"Poor",IF(Table4[[#This Row],[ROAS]]&lt;3,"Average",IF(Table4[[#This Row],[ROAS]]&lt;5,"Good",
"Excellent")))</f>
        <v>Excellent</v>
      </c>
      <c r="S243" s="51" t="str">
        <f>IF(AND(Table4[[#This Row],[USD_Spend]]&gt;=$B$5,Table4[[#This Row],[Sales]]&lt;=$B$6),"Wasted Budget","Spend Justified")</f>
        <v>Spend Justified</v>
      </c>
      <c r="T243" s="51" t="str">
        <f>IF(AND(Table4[[#This Row],[Clicks]]&gt;=$B$7,Table4[[#This Row],[Sales]]&lt;=$B$6),"Poor Monetization","Normal Monitization")</f>
        <v>Normal Monitization</v>
      </c>
    </row>
    <row r="244" spans="1:20" x14ac:dyDescent="0.35">
      <c r="A244" s="38" t="s">
        <v>101</v>
      </c>
      <c r="B244" s="38" t="s">
        <v>19</v>
      </c>
      <c r="C244" s="38" t="s">
        <v>58</v>
      </c>
      <c r="D244" s="38" t="s">
        <v>51</v>
      </c>
      <c r="E244" s="38" t="s">
        <v>22</v>
      </c>
      <c r="F244" s="38">
        <v>20488.18</v>
      </c>
      <c r="G244" s="38">
        <v>965077</v>
      </c>
      <c r="H244" s="38">
        <v>43293</v>
      </c>
      <c r="I244" s="38">
        <v>49943.86</v>
      </c>
      <c r="J244" s="38">
        <v>45</v>
      </c>
      <c r="K244" s="39">
        <f t="shared" si="16"/>
        <v>4.4859632961929463E-2</v>
      </c>
      <c r="L244" s="40">
        <f t="shared" si="17"/>
        <v>2.4376913908409628</v>
      </c>
      <c r="M244" s="40">
        <f t="shared" si="18"/>
        <v>1.437691390840963</v>
      </c>
      <c r="N244" s="40">
        <f t="shared" si="19"/>
        <v>1.1536243734552931</v>
      </c>
      <c r="O244" s="1" t="str">
        <f t="shared" si="15"/>
        <v>Normal</v>
      </c>
      <c r="P244" s="51" t="str">
        <f>IF(Table4[[#This Row],[Sales]]&lt;=$B$3,"Normal","High Revenue")</f>
        <v>Normal</v>
      </c>
      <c r="Q244" s="51" t="str">
        <f>IF(Table4[[#This Row],[CTR]]&lt;=$B$4,"Normal","High CTR")</f>
        <v>Normal</v>
      </c>
      <c r="R244" s="51" t="str">
        <f>IF(Table4[[#This Row],[ROAS]]&lt;1,"Poor",IF(Table4[[#This Row],[ROAS]]&lt;3,"Average",IF(Table4[[#This Row],[ROAS]]&lt;5,"Good",
"Excellent")))</f>
        <v>Average</v>
      </c>
      <c r="S244" s="51" t="str">
        <f>IF(AND(Table4[[#This Row],[USD_Spend]]&gt;=$B$5,Table4[[#This Row],[Sales]]&lt;=$B$6),"Wasted Budget","Spend Justified")</f>
        <v>Wasted Budget</v>
      </c>
      <c r="T244" s="51" t="str">
        <f>IF(AND(Table4[[#This Row],[Clicks]]&gt;=$B$7,Table4[[#This Row],[Sales]]&lt;=$B$6),"Poor Monetization","Normal Monitization")</f>
        <v>Poor Monetization</v>
      </c>
    </row>
    <row r="245" spans="1:20" x14ac:dyDescent="0.35">
      <c r="A245" s="41" t="s">
        <v>88</v>
      </c>
      <c r="B245" s="41" t="s">
        <v>48</v>
      </c>
      <c r="C245" s="41" t="s">
        <v>36</v>
      </c>
      <c r="D245" s="41" t="s">
        <v>37</v>
      </c>
      <c r="E245" s="41" t="s">
        <v>22</v>
      </c>
      <c r="F245" s="41">
        <v>25676.04</v>
      </c>
      <c r="G245" s="41">
        <v>221741</v>
      </c>
      <c r="H245" s="41">
        <v>29898</v>
      </c>
      <c r="I245" s="41">
        <v>27094.02</v>
      </c>
      <c r="J245" s="41">
        <v>35</v>
      </c>
      <c r="K245" s="42">
        <f t="shared" si="16"/>
        <v>0.13483298081996564</v>
      </c>
      <c r="L245" s="43">
        <f t="shared" si="17"/>
        <v>1.0552258058485655</v>
      </c>
      <c r="M245" s="43">
        <f t="shared" si="18"/>
        <v>5.5225805848565415E-2</v>
      </c>
      <c r="N245" s="43">
        <f t="shared" si="19"/>
        <v>0.90621513144691956</v>
      </c>
      <c r="O245" s="1" t="str">
        <f t="shared" si="15"/>
        <v>Normal</v>
      </c>
      <c r="P245" s="51" t="str">
        <f>IF(Table4[[#This Row],[Sales]]&lt;=$B$3,"Normal","High Revenue")</f>
        <v>Normal</v>
      </c>
      <c r="Q245" s="51" t="str">
        <f>IF(Table4[[#This Row],[CTR]]&lt;=$B$4,"Normal","High CTR")</f>
        <v>Normal</v>
      </c>
      <c r="R245" s="51" t="str">
        <f>IF(Table4[[#This Row],[ROAS]]&lt;1,"Poor",IF(Table4[[#This Row],[ROAS]]&lt;3,"Average",IF(Table4[[#This Row],[ROAS]]&lt;5,"Good",
"Excellent")))</f>
        <v>Average</v>
      </c>
      <c r="S245" s="51" t="str">
        <f>IF(AND(Table4[[#This Row],[USD_Spend]]&gt;=$B$5,Table4[[#This Row],[Sales]]&lt;=$B$6),"Wasted Budget","Spend Justified")</f>
        <v>Wasted Budget</v>
      </c>
      <c r="T245" s="51" t="str">
        <f>IF(AND(Table4[[#This Row],[Clicks]]&gt;=$B$7,Table4[[#This Row],[Sales]]&lt;=$B$6),"Poor Monetization","Normal Monitization")</f>
        <v>Normal Monitization</v>
      </c>
    </row>
    <row r="246" spans="1:20" x14ac:dyDescent="0.35">
      <c r="A246" s="38" t="s">
        <v>117</v>
      </c>
      <c r="B246" s="38" t="s">
        <v>35</v>
      </c>
      <c r="C246" s="38" t="s">
        <v>20</v>
      </c>
      <c r="D246" s="38" t="s">
        <v>21</v>
      </c>
      <c r="E246" s="38" t="s">
        <v>30</v>
      </c>
      <c r="F246" s="38">
        <v>22814.799999999999</v>
      </c>
      <c r="G246" s="38">
        <v>516773</v>
      </c>
      <c r="H246" s="38">
        <v>47000</v>
      </c>
      <c r="I246" s="38">
        <v>239159.21</v>
      </c>
      <c r="J246" s="38">
        <v>26</v>
      </c>
      <c r="K246" s="39">
        <f t="shared" si="16"/>
        <v>9.0949024039568629E-2</v>
      </c>
      <c r="L246" s="40">
        <f t="shared" si="17"/>
        <v>10.482634517944492</v>
      </c>
      <c r="M246" s="40">
        <f t="shared" si="18"/>
        <v>9.4826345179444917</v>
      </c>
      <c r="N246" s="40">
        <f t="shared" si="19"/>
        <v>5.0884938297872342</v>
      </c>
      <c r="O246" s="1" t="str">
        <f t="shared" si="15"/>
        <v>Normal</v>
      </c>
      <c r="P246" s="51" t="str">
        <f>IF(Table4[[#This Row],[Sales]]&lt;=$B$3,"Normal","High Revenue")</f>
        <v>High Revenue</v>
      </c>
      <c r="Q246" s="51" t="str">
        <f>IF(Table4[[#This Row],[CTR]]&lt;=$B$4,"Normal","High CTR")</f>
        <v>Normal</v>
      </c>
      <c r="R246" s="51" t="str">
        <f>IF(Table4[[#This Row],[ROAS]]&lt;1,"Poor",IF(Table4[[#This Row],[ROAS]]&lt;3,"Average",IF(Table4[[#This Row],[ROAS]]&lt;5,"Good",
"Excellent")))</f>
        <v>Excellent</v>
      </c>
      <c r="S246" s="51" t="str">
        <f>IF(AND(Table4[[#This Row],[USD_Spend]]&gt;=$B$5,Table4[[#This Row],[Sales]]&lt;=$B$6),"Wasted Budget","Spend Justified")</f>
        <v>Spend Justified</v>
      </c>
      <c r="T246" s="51" t="str">
        <f>IF(AND(Table4[[#This Row],[Clicks]]&gt;=$B$7,Table4[[#This Row],[Sales]]&lt;=$B$6),"Poor Monetization","Normal Monitization")</f>
        <v>Normal Monitization</v>
      </c>
    </row>
    <row r="247" spans="1:20" x14ac:dyDescent="0.35">
      <c r="A247" s="41" t="s">
        <v>66</v>
      </c>
      <c r="B247" s="41" t="s">
        <v>19</v>
      </c>
      <c r="C247" s="41" t="s">
        <v>69</v>
      </c>
      <c r="D247" s="41" t="s">
        <v>37</v>
      </c>
      <c r="E247" s="41" t="s">
        <v>30</v>
      </c>
      <c r="F247" s="41">
        <v>16355.46</v>
      </c>
      <c r="G247" s="41">
        <v>211332</v>
      </c>
      <c r="H247" s="41">
        <v>14946</v>
      </c>
      <c r="I247" s="41">
        <v>249994.27</v>
      </c>
      <c r="J247" s="41">
        <v>19</v>
      </c>
      <c r="K247" s="42">
        <f t="shared" si="16"/>
        <v>7.0722843677247169E-2</v>
      </c>
      <c r="L247" s="43">
        <f t="shared" si="17"/>
        <v>15.285065048613735</v>
      </c>
      <c r="M247" s="43">
        <f t="shared" si="18"/>
        <v>14.285065048613736</v>
      </c>
      <c r="N247" s="43">
        <f t="shared" si="19"/>
        <v>16.726500066907533</v>
      </c>
      <c r="O247" s="1" t="str">
        <f t="shared" si="15"/>
        <v>Normal</v>
      </c>
      <c r="P247" s="51" t="str">
        <f>IF(Table4[[#This Row],[Sales]]&lt;=$B$3,"Normal","High Revenue")</f>
        <v>High Revenue</v>
      </c>
      <c r="Q247" s="51" t="str">
        <f>IF(Table4[[#This Row],[CTR]]&lt;=$B$4,"Normal","High CTR")</f>
        <v>Normal</v>
      </c>
      <c r="R247" s="51" t="str">
        <f>IF(Table4[[#This Row],[ROAS]]&lt;1,"Poor",IF(Table4[[#This Row],[ROAS]]&lt;3,"Average",IF(Table4[[#This Row],[ROAS]]&lt;5,"Good",
"Excellent")))</f>
        <v>Excellent</v>
      </c>
      <c r="S247" s="51" t="str">
        <f>IF(AND(Table4[[#This Row],[USD_Spend]]&gt;=$B$5,Table4[[#This Row],[Sales]]&lt;=$B$6),"Wasted Budget","Spend Justified")</f>
        <v>Spend Justified</v>
      </c>
      <c r="T247" s="51" t="str">
        <f>IF(AND(Table4[[#This Row],[Clicks]]&gt;=$B$7,Table4[[#This Row],[Sales]]&lt;=$B$6),"Poor Monetization","Normal Monitization")</f>
        <v>Normal Monitization</v>
      </c>
    </row>
    <row r="248" spans="1:20" x14ac:dyDescent="0.35">
      <c r="A248" s="38" t="s">
        <v>102</v>
      </c>
      <c r="B248" s="38" t="s">
        <v>35</v>
      </c>
      <c r="C248" s="38" t="s">
        <v>36</v>
      </c>
      <c r="D248" s="38" t="s">
        <v>59</v>
      </c>
      <c r="E248" s="38" t="s">
        <v>38</v>
      </c>
      <c r="F248" s="38">
        <v>21888.83</v>
      </c>
      <c r="G248" s="38">
        <v>105674</v>
      </c>
      <c r="H248" s="38">
        <v>30902</v>
      </c>
      <c r="I248" s="38">
        <v>90250.46</v>
      </c>
      <c r="J248" s="38">
        <v>43</v>
      </c>
      <c r="K248" s="39">
        <f t="shared" si="16"/>
        <v>0.29242765486306943</v>
      </c>
      <c r="L248" s="40">
        <f t="shared" si="17"/>
        <v>4.1231285546098171</v>
      </c>
      <c r="M248" s="40">
        <f t="shared" si="18"/>
        <v>3.1231285546098171</v>
      </c>
      <c r="N248" s="40">
        <f t="shared" si="19"/>
        <v>2.9205378292667143</v>
      </c>
      <c r="O248" s="1" t="str">
        <f t="shared" si="15"/>
        <v>Normal</v>
      </c>
      <c r="P248" s="51" t="str">
        <f>IF(Table4[[#This Row],[Sales]]&lt;=$B$3,"Normal","High Revenue")</f>
        <v>Normal</v>
      </c>
      <c r="Q248" s="51" t="str">
        <f>IF(Table4[[#This Row],[CTR]]&lt;=$B$4,"Normal","High CTR")</f>
        <v>Normal</v>
      </c>
      <c r="R248" s="51" t="str">
        <f>IF(Table4[[#This Row],[ROAS]]&lt;1,"Poor",IF(Table4[[#This Row],[ROAS]]&lt;3,"Average",IF(Table4[[#This Row],[ROAS]]&lt;5,"Good",
"Excellent")))</f>
        <v>Good</v>
      </c>
      <c r="S248" s="51" t="str">
        <f>IF(AND(Table4[[#This Row],[USD_Spend]]&gt;=$B$5,Table4[[#This Row],[Sales]]&lt;=$B$6),"Wasted Budget","Spend Justified")</f>
        <v>Spend Justified</v>
      </c>
      <c r="T248" s="51" t="str">
        <f>IF(AND(Table4[[#This Row],[Clicks]]&gt;=$B$7,Table4[[#This Row],[Sales]]&lt;=$B$6),"Poor Monetization","Normal Monitization")</f>
        <v>Normal Monitization</v>
      </c>
    </row>
    <row r="249" spans="1:20" x14ac:dyDescent="0.35">
      <c r="A249" s="41" t="s">
        <v>93</v>
      </c>
      <c r="B249" s="41" t="s">
        <v>19</v>
      </c>
      <c r="C249" s="41" t="s">
        <v>69</v>
      </c>
      <c r="D249" s="41" t="s">
        <v>43</v>
      </c>
      <c r="E249" s="41" t="s">
        <v>22</v>
      </c>
      <c r="F249" s="41">
        <v>35155.19</v>
      </c>
      <c r="G249" s="41">
        <v>708724</v>
      </c>
      <c r="H249" s="41">
        <v>10158</v>
      </c>
      <c r="I249" s="41">
        <v>44507.4</v>
      </c>
      <c r="J249" s="41">
        <v>17</v>
      </c>
      <c r="K249" s="42">
        <f t="shared" si="16"/>
        <v>1.4332800921091991E-2</v>
      </c>
      <c r="L249" s="43">
        <f t="shared" si="17"/>
        <v>1.2660264387704916</v>
      </c>
      <c r="M249" s="43">
        <f t="shared" si="18"/>
        <v>0.26602643877049159</v>
      </c>
      <c r="N249" s="43">
        <f t="shared" si="19"/>
        <v>4.3815121086828119</v>
      </c>
      <c r="O249" s="1" t="str">
        <f t="shared" si="15"/>
        <v>Normal</v>
      </c>
      <c r="P249" s="51" t="str">
        <f>IF(Table4[[#This Row],[Sales]]&lt;=$B$3,"Normal","High Revenue")</f>
        <v>Normal</v>
      </c>
      <c r="Q249" s="51" t="str">
        <f>IF(Table4[[#This Row],[CTR]]&lt;=$B$4,"Normal","High CTR")</f>
        <v>Normal</v>
      </c>
      <c r="R249" s="51" t="str">
        <f>IF(Table4[[#This Row],[ROAS]]&lt;1,"Poor",IF(Table4[[#This Row],[ROAS]]&lt;3,"Average",IF(Table4[[#This Row],[ROAS]]&lt;5,"Good",
"Excellent")))</f>
        <v>Average</v>
      </c>
      <c r="S249" s="51" t="str">
        <f>IF(AND(Table4[[#This Row],[USD_Spend]]&gt;=$B$5,Table4[[#This Row],[Sales]]&lt;=$B$6),"Wasted Budget","Spend Justified")</f>
        <v>Wasted Budget</v>
      </c>
      <c r="T249" s="51" t="str">
        <f>IF(AND(Table4[[#This Row],[Clicks]]&gt;=$B$7,Table4[[#This Row],[Sales]]&lt;=$B$6),"Poor Monetization","Normal Monitization")</f>
        <v>Normal Monitization</v>
      </c>
    </row>
    <row r="250" spans="1:20" x14ac:dyDescent="0.35">
      <c r="A250" s="38" t="s">
        <v>105</v>
      </c>
      <c r="B250" s="38" t="s">
        <v>28</v>
      </c>
      <c r="C250" s="38" t="s">
        <v>29</v>
      </c>
      <c r="D250" s="38" t="s">
        <v>21</v>
      </c>
      <c r="E250" s="38" t="s">
        <v>30</v>
      </c>
      <c r="F250" s="38">
        <v>21613.15</v>
      </c>
      <c r="G250" s="38">
        <v>448555</v>
      </c>
      <c r="H250" s="38">
        <v>39187</v>
      </c>
      <c r="I250" s="38">
        <v>38777.49</v>
      </c>
      <c r="J250" s="38">
        <v>29</v>
      </c>
      <c r="K250" s="39">
        <f t="shared" si="16"/>
        <v>8.7362753731426476E-2</v>
      </c>
      <c r="L250" s="40">
        <f t="shared" si="17"/>
        <v>1.7941618875545673</v>
      </c>
      <c r="M250" s="40">
        <f t="shared" si="18"/>
        <v>0.79416188755456729</v>
      </c>
      <c r="N250" s="40">
        <f t="shared" si="19"/>
        <v>0.9895498507157986</v>
      </c>
      <c r="O250" s="1" t="str">
        <f t="shared" si="15"/>
        <v>Normal</v>
      </c>
      <c r="P250" s="51" t="str">
        <f>IF(Table4[[#This Row],[Sales]]&lt;=$B$3,"Normal","High Revenue")</f>
        <v>Normal</v>
      </c>
      <c r="Q250" s="51" t="str">
        <f>IF(Table4[[#This Row],[CTR]]&lt;=$B$4,"Normal","High CTR")</f>
        <v>Normal</v>
      </c>
      <c r="R250" s="51" t="str">
        <f>IF(Table4[[#This Row],[ROAS]]&lt;1,"Poor",IF(Table4[[#This Row],[ROAS]]&lt;3,"Average",IF(Table4[[#This Row],[ROAS]]&lt;5,"Good",
"Excellent")))</f>
        <v>Average</v>
      </c>
      <c r="S250" s="51" t="str">
        <f>IF(AND(Table4[[#This Row],[USD_Spend]]&gt;=$B$5,Table4[[#This Row],[Sales]]&lt;=$B$6),"Wasted Budget","Spend Justified")</f>
        <v>Wasted Budget</v>
      </c>
      <c r="T250" s="51" t="str">
        <f>IF(AND(Table4[[#This Row],[Clicks]]&gt;=$B$7,Table4[[#This Row],[Sales]]&lt;=$B$6),"Poor Monetization","Normal Monitization")</f>
        <v>Poor Monetization</v>
      </c>
    </row>
    <row r="251" spans="1:20" x14ac:dyDescent="0.35">
      <c r="A251" s="41" t="s">
        <v>89</v>
      </c>
      <c r="B251" s="41" t="s">
        <v>19</v>
      </c>
      <c r="C251" s="41" t="s">
        <v>29</v>
      </c>
      <c r="D251" s="41" t="s">
        <v>59</v>
      </c>
      <c r="E251" s="41" t="s">
        <v>38</v>
      </c>
      <c r="F251" s="41">
        <v>1867.59</v>
      </c>
      <c r="G251" s="41">
        <v>704180</v>
      </c>
      <c r="H251" s="41">
        <v>16591</v>
      </c>
      <c r="I251" s="41">
        <v>235407.15</v>
      </c>
      <c r="J251" s="41">
        <v>60</v>
      </c>
      <c r="K251" s="42">
        <f t="shared" si="16"/>
        <v>2.3560737311482859E-2</v>
      </c>
      <c r="L251" s="43">
        <f t="shared" si="17"/>
        <v>126.04862416269096</v>
      </c>
      <c r="M251" s="43">
        <f t="shared" si="18"/>
        <v>125.04862416269096</v>
      </c>
      <c r="N251" s="43">
        <f t="shared" si="19"/>
        <v>14.188846362485684</v>
      </c>
      <c r="O251" s="1" t="str">
        <f t="shared" si="15"/>
        <v>Normal</v>
      </c>
      <c r="P251" s="51" t="str">
        <f>IF(Table4[[#This Row],[Sales]]&lt;=$B$3,"Normal","High Revenue")</f>
        <v>High Revenue</v>
      </c>
      <c r="Q251" s="51" t="str">
        <f>IF(Table4[[#This Row],[CTR]]&lt;=$B$4,"Normal","High CTR")</f>
        <v>Normal</v>
      </c>
      <c r="R251" s="51" t="str">
        <f>IF(Table4[[#This Row],[ROAS]]&lt;1,"Poor",IF(Table4[[#This Row],[ROAS]]&lt;3,"Average",IF(Table4[[#This Row],[ROAS]]&lt;5,"Good",
"Excellent")))</f>
        <v>Excellent</v>
      </c>
      <c r="S251" s="51" t="str">
        <f>IF(AND(Table4[[#This Row],[USD_Spend]]&gt;=$B$5,Table4[[#This Row],[Sales]]&lt;=$B$6),"Wasted Budget","Spend Justified")</f>
        <v>Spend Justified</v>
      </c>
      <c r="T251" s="51" t="str">
        <f>IF(AND(Table4[[#This Row],[Clicks]]&gt;=$B$7,Table4[[#This Row],[Sales]]&lt;=$B$6),"Poor Monetization","Normal Monitization")</f>
        <v>Normal Monitization</v>
      </c>
    </row>
    <row r="252" spans="1:20" x14ac:dyDescent="0.35">
      <c r="A252" s="38" t="s">
        <v>96</v>
      </c>
      <c r="B252" s="38" t="s">
        <v>28</v>
      </c>
      <c r="C252" s="38" t="s">
        <v>69</v>
      </c>
      <c r="D252" s="38" t="s">
        <v>21</v>
      </c>
      <c r="E252" s="38" t="s">
        <v>30</v>
      </c>
      <c r="F252" s="38">
        <v>7719.43</v>
      </c>
      <c r="G252" s="38">
        <v>40915</v>
      </c>
      <c r="H252" s="38">
        <v>20985</v>
      </c>
      <c r="I252" s="38">
        <v>220632.32000000001</v>
      </c>
      <c r="J252" s="38">
        <v>26</v>
      </c>
      <c r="K252" s="39">
        <f t="shared" si="16"/>
        <v>0.51289258218257361</v>
      </c>
      <c r="L252" s="40">
        <f t="shared" si="17"/>
        <v>28.581426348836636</v>
      </c>
      <c r="M252" s="40">
        <f t="shared" si="18"/>
        <v>27.581426348836636</v>
      </c>
      <c r="N252" s="40">
        <f t="shared" si="19"/>
        <v>10.513810817250418</v>
      </c>
      <c r="O252" s="1" t="str">
        <f t="shared" si="15"/>
        <v>Normal</v>
      </c>
      <c r="P252" s="51" t="str">
        <f>IF(Table4[[#This Row],[Sales]]&lt;=$B$3,"Normal","High Revenue")</f>
        <v>Normal</v>
      </c>
      <c r="Q252" s="51" t="str">
        <f>IF(Table4[[#This Row],[CTR]]&lt;=$B$4,"Normal","High CTR")</f>
        <v>High CTR</v>
      </c>
      <c r="R252" s="51" t="str">
        <f>IF(Table4[[#This Row],[ROAS]]&lt;1,"Poor",IF(Table4[[#This Row],[ROAS]]&lt;3,"Average",IF(Table4[[#This Row],[ROAS]]&lt;5,"Good",
"Excellent")))</f>
        <v>Excellent</v>
      </c>
      <c r="S252" s="51" t="str">
        <f>IF(AND(Table4[[#This Row],[USD_Spend]]&gt;=$B$5,Table4[[#This Row],[Sales]]&lt;=$B$6),"Wasted Budget","Spend Justified")</f>
        <v>Spend Justified</v>
      </c>
      <c r="T252" s="51" t="str">
        <f>IF(AND(Table4[[#This Row],[Clicks]]&gt;=$B$7,Table4[[#This Row],[Sales]]&lt;=$B$6),"Poor Monetization","Normal Monitization")</f>
        <v>Normal Monitization</v>
      </c>
    </row>
    <row r="253" spans="1:20" x14ac:dyDescent="0.35">
      <c r="A253" s="41" t="s">
        <v>91</v>
      </c>
      <c r="B253" s="41" t="s">
        <v>35</v>
      </c>
      <c r="C253" s="41" t="s">
        <v>29</v>
      </c>
      <c r="D253" s="41" t="s">
        <v>63</v>
      </c>
      <c r="E253" s="41" t="s">
        <v>30</v>
      </c>
      <c r="F253" s="41">
        <v>19957.36</v>
      </c>
      <c r="G253" s="41">
        <v>477429</v>
      </c>
      <c r="H253" s="41">
        <v>3024</v>
      </c>
      <c r="I253" s="41">
        <v>69507.509999999995</v>
      </c>
      <c r="J253" s="41">
        <v>29</v>
      </c>
      <c r="K253" s="42">
        <f t="shared" si="16"/>
        <v>6.3339260916282841E-3</v>
      </c>
      <c r="L253" s="43">
        <f t="shared" si="17"/>
        <v>3.4828008313724856</v>
      </c>
      <c r="M253" s="43">
        <f t="shared" si="18"/>
        <v>2.4828008313724856</v>
      </c>
      <c r="N253" s="43">
        <f t="shared" si="19"/>
        <v>22.985287698412698</v>
      </c>
      <c r="O253" s="1" t="str">
        <f t="shared" si="15"/>
        <v>Normal</v>
      </c>
      <c r="P253" s="51" t="str">
        <f>IF(Table4[[#This Row],[Sales]]&lt;=$B$3,"Normal","High Revenue")</f>
        <v>Normal</v>
      </c>
      <c r="Q253" s="51" t="str">
        <f>IF(Table4[[#This Row],[CTR]]&lt;=$B$4,"Normal","High CTR")</f>
        <v>Normal</v>
      </c>
      <c r="R253" s="51" t="str">
        <f>IF(Table4[[#This Row],[ROAS]]&lt;1,"Poor",IF(Table4[[#This Row],[ROAS]]&lt;3,"Average",IF(Table4[[#This Row],[ROAS]]&lt;5,"Good",
"Excellent")))</f>
        <v>Good</v>
      </c>
      <c r="S253" s="51" t="str">
        <f>IF(AND(Table4[[#This Row],[USD_Spend]]&gt;=$B$5,Table4[[#This Row],[Sales]]&lt;=$B$6),"Wasted Budget","Spend Justified")</f>
        <v>Spend Justified</v>
      </c>
      <c r="T253" s="51" t="str">
        <f>IF(AND(Table4[[#This Row],[Clicks]]&gt;=$B$7,Table4[[#This Row],[Sales]]&lt;=$B$6),"Poor Monetization","Normal Monitization")</f>
        <v>Normal Monitization</v>
      </c>
    </row>
    <row r="254" spans="1:20" x14ac:dyDescent="0.35">
      <c r="A254" s="38" t="s">
        <v>77</v>
      </c>
      <c r="B254" s="38" t="s">
        <v>35</v>
      </c>
      <c r="C254" s="38" t="s">
        <v>69</v>
      </c>
      <c r="D254" s="38" t="s">
        <v>43</v>
      </c>
      <c r="E254" s="38" t="s">
        <v>30</v>
      </c>
      <c r="F254" s="38">
        <v>483.35</v>
      </c>
      <c r="G254" s="38">
        <v>143882</v>
      </c>
      <c r="H254" s="38">
        <v>20525</v>
      </c>
      <c r="I254" s="38">
        <v>148207.96</v>
      </c>
      <c r="J254" s="38">
        <v>21</v>
      </c>
      <c r="K254" s="39">
        <f t="shared" si="16"/>
        <v>0.14265161729750769</v>
      </c>
      <c r="L254" s="40">
        <f t="shared" si="17"/>
        <v>306.62658529016238</v>
      </c>
      <c r="M254" s="40">
        <f t="shared" si="18"/>
        <v>305.62658529016238</v>
      </c>
      <c r="N254" s="40">
        <f t="shared" si="19"/>
        <v>7.2208506699147375</v>
      </c>
      <c r="O254" s="1" t="str">
        <f t="shared" si="15"/>
        <v>Normal</v>
      </c>
      <c r="P254" s="51" t="str">
        <f>IF(Table4[[#This Row],[Sales]]&lt;=$B$3,"Normal","High Revenue")</f>
        <v>Normal</v>
      </c>
      <c r="Q254" s="51" t="str">
        <f>IF(Table4[[#This Row],[CTR]]&lt;=$B$4,"Normal","High CTR")</f>
        <v>Normal</v>
      </c>
      <c r="R254" s="51" t="str">
        <f>IF(Table4[[#This Row],[ROAS]]&lt;1,"Poor",IF(Table4[[#This Row],[ROAS]]&lt;3,"Average",IF(Table4[[#This Row],[ROAS]]&lt;5,"Good",
"Excellent")))</f>
        <v>Excellent</v>
      </c>
      <c r="S254" s="51" t="str">
        <f>IF(AND(Table4[[#This Row],[USD_Spend]]&gt;=$B$5,Table4[[#This Row],[Sales]]&lt;=$B$6),"Wasted Budget","Spend Justified")</f>
        <v>Spend Justified</v>
      </c>
      <c r="T254" s="51" t="str">
        <f>IF(AND(Table4[[#This Row],[Clicks]]&gt;=$B$7,Table4[[#This Row],[Sales]]&lt;=$B$6),"Poor Monetization","Normal Monitization")</f>
        <v>Normal Monitization</v>
      </c>
    </row>
    <row r="255" spans="1:20" x14ac:dyDescent="0.35">
      <c r="A255" s="41" t="s">
        <v>78</v>
      </c>
      <c r="B255" s="41" t="s">
        <v>28</v>
      </c>
      <c r="C255" s="41" t="s">
        <v>36</v>
      </c>
      <c r="D255" s="41" t="s">
        <v>21</v>
      </c>
      <c r="E255" s="41" t="s">
        <v>30</v>
      </c>
      <c r="F255" s="41">
        <v>15608.87</v>
      </c>
      <c r="G255" s="41">
        <v>846020</v>
      </c>
      <c r="H255" s="41">
        <v>34131</v>
      </c>
      <c r="I255" s="41">
        <v>70346.570000000007</v>
      </c>
      <c r="J255" s="41">
        <v>37</v>
      </c>
      <c r="K255" s="42">
        <f t="shared" si="16"/>
        <v>4.0343017895558025E-2</v>
      </c>
      <c r="L255" s="43">
        <f t="shared" si="17"/>
        <v>4.5068329738155297</v>
      </c>
      <c r="M255" s="43">
        <f t="shared" si="18"/>
        <v>3.5068329738155293</v>
      </c>
      <c r="N255" s="43">
        <f t="shared" si="19"/>
        <v>2.0610755618059828</v>
      </c>
      <c r="O255" s="1" t="str">
        <f t="shared" si="15"/>
        <v>Normal</v>
      </c>
      <c r="P255" s="51" t="str">
        <f>IF(Table4[[#This Row],[Sales]]&lt;=$B$3,"Normal","High Revenue")</f>
        <v>Normal</v>
      </c>
      <c r="Q255" s="51" t="str">
        <f>IF(Table4[[#This Row],[CTR]]&lt;=$B$4,"Normal","High CTR")</f>
        <v>Normal</v>
      </c>
      <c r="R255" s="51" t="str">
        <f>IF(Table4[[#This Row],[ROAS]]&lt;1,"Poor",IF(Table4[[#This Row],[ROAS]]&lt;3,"Average",IF(Table4[[#This Row],[ROAS]]&lt;5,"Good",
"Excellent")))</f>
        <v>Good</v>
      </c>
      <c r="S255" s="51" t="str">
        <f>IF(AND(Table4[[#This Row],[USD_Spend]]&gt;=$B$5,Table4[[#This Row],[Sales]]&lt;=$B$6),"Wasted Budget","Spend Justified")</f>
        <v>Spend Justified</v>
      </c>
      <c r="T255" s="51" t="str">
        <f>IF(AND(Table4[[#This Row],[Clicks]]&gt;=$B$7,Table4[[#This Row],[Sales]]&lt;=$B$6),"Poor Monetization","Normal Monitization")</f>
        <v>Normal Monitization</v>
      </c>
    </row>
    <row r="256" spans="1:20" x14ac:dyDescent="0.35">
      <c r="A256" s="38" t="s">
        <v>82</v>
      </c>
      <c r="B256" s="38" t="s">
        <v>19</v>
      </c>
      <c r="C256" s="38" t="s">
        <v>58</v>
      </c>
      <c r="D256" s="38" t="s">
        <v>37</v>
      </c>
      <c r="E256" s="38" t="s">
        <v>38</v>
      </c>
      <c r="F256" s="38">
        <v>5092.25</v>
      </c>
      <c r="G256" s="38">
        <v>307604</v>
      </c>
      <c r="H256" s="38">
        <v>13593</v>
      </c>
      <c r="I256" s="38">
        <v>62094.66</v>
      </c>
      <c r="J256" s="38">
        <v>18</v>
      </c>
      <c r="K256" s="39">
        <f t="shared" si="16"/>
        <v>4.4189932510630553E-2</v>
      </c>
      <c r="L256" s="40">
        <f t="shared" si="17"/>
        <v>12.193953556875645</v>
      </c>
      <c r="M256" s="40">
        <f t="shared" si="18"/>
        <v>11.193953556875645</v>
      </c>
      <c r="N256" s="40">
        <f t="shared" si="19"/>
        <v>4.5681350695210776</v>
      </c>
      <c r="O256" s="1" t="str">
        <f t="shared" si="15"/>
        <v>Normal</v>
      </c>
      <c r="P256" s="51" t="str">
        <f>IF(Table4[[#This Row],[Sales]]&lt;=$B$3,"Normal","High Revenue")</f>
        <v>Normal</v>
      </c>
      <c r="Q256" s="51" t="str">
        <f>IF(Table4[[#This Row],[CTR]]&lt;=$B$4,"Normal","High CTR")</f>
        <v>Normal</v>
      </c>
      <c r="R256" s="51" t="str">
        <f>IF(Table4[[#This Row],[ROAS]]&lt;1,"Poor",IF(Table4[[#This Row],[ROAS]]&lt;3,"Average",IF(Table4[[#This Row],[ROAS]]&lt;5,"Good",
"Excellent")))</f>
        <v>Excellent</v>
      </c>
      <c r="S256" s="51" t="str">
        <f>IF(AND(Table4[[#This Row],[USD_Spend]]&gt;=$B$5,Table4[[#This Row],[Sales]]&lt;=$B$6),"Wasted Budget","Spend Justified")</f>
        <v>Wasted Budget</v>
      </c>
      <c r="T256" s="51" t="str">
        <f>IF(AND(Table4[[#This Row],[Clicks]]&gt;=$B$7,Table4[[#This Row],[Sales]]&lt;=$B$6),"Poor Monetization","Normal Monitization")</f>
        <v>Normal Monitization</v>
      </c>
    </row>
    <row r="257" spans="1:20" x14ac:dyDescent="0.35">
      <c r="A257" s="41" t="s">
        <v>83</v>
      </c>
      <c r="B257" s="41" t="s">
        <v>48</v>
      </c>
      <c r="C257" s="41" t="s">
        <v>29</v>
      </c>
      <c r="D257" s="41" t="s">
        <v>43</v>
      </c>
      <c r="E257" s="41" t="s">
        <v>38</v>
      </c>
      <c r="F257" s="41">
        <v>5626.87</v>
      </c>
      <c r="G257" s="41">
        <v>52608</v>
      </c>
      <c r="H257" s="41">
        <v>28182</v>
      </c>
      <c r="I257" s="41">
        <v>73382.5</v>
      </c>
      <c r="J257" s="41">
        <v>17</v>
      </c>
      <c r="K257" s="42">
        <f t="shared" si="16"/>
        <v>0.53569799270072993</v>
      </c>
      <c r="L257" s="43">
        <f t="shared" si="17"/>
        <v>13.041442222763278</v>
      </c>
      <c r="M257" s="43">
        <f t="shared" si="18"/>
        <v>12.041442222763278</v>
      </c>
      <c r="N257" s="43">
        <f t="shared" si="19"/>
        <v>2.6038783620750836</v>
      </c>
      <c r="O257" s="1" t="str">
        <f t="shared" si="15"/>
        <v>Normal</v>
      </c>
      <c r="P257" s="51" t="str">
        <f>IF(Table4[[#This Row],[Sales]]&lt;=$B$3,"Normal","High Revenue")</f>
        <v>Normal</v>
      </c>
      <c r="Q257" s="51" t="str">
        <f>IF(Table4[[#This Row],[CTR]]&lt;=$B$4,"Normal","High CTR")</f>
        <v>High CTR</v>
      </c>
      <c r="R257" s="51" t="str">
        <f>IF(Table4[[#This Row],[ROAS]]&lt;1,"Poor",IF(Table4[[#This Row],[ROAS]]&lt;3,"Average",IF(Table4[[#This Row],[ROAS]]&lt;5,"Good",
"Excellent")))</f>
        <v>Excellent</v>
      </c>
      <c r="S257" s="51" t="str">
        <f>IF(AND(Table4[[#This Row],[USD_Spend]]&gt;=$B$5,Table4[[#This Row],[Sales]]&lt;=$B$6),"Wasted Budget","Spend Justified")</f>
        <v>Spend Justified</v>
      </c>
      <c r="T257" s="51" t="str">
        <f>IF(AND(Table4[[#This Row],[Clicks]]&gt;=$B$7,Table4[[#This Row],[Sales]]&lt;=$B$6),"Poor Monetization","Normal Monitization")</f>
        <v>Normal Monitization</v>
      </c>
    </row>
    <row r="258" spans="1:20" x14ac:dyDescent="0.35">
      <c r="A258" s="38" t="s">
        <v>118</v>
      </c>
      <c r="B258" s="38" t="s">
        <v>35</v>
      </c>
      <c r="C258" s="38" t="s">
        <v>36</v>
      </c>
      <c r="D258" s="38" t="s">
        <v>21</v>
      </c>
      <c r="E258" s="38" t="s">
        <v>30</v>
      </c>
      <c r="F258" s="38">
        <v>16191.57</v>
      </c>
      <c r="G258" s="38">
        <v>134078</v>
      </c>
      <c r="H258" s="38">
        <v>43426</v>
      </c>
      <c r="I258" s="38">
        <v>61434.85</v>
      </c>
      <c r="J258" s="38">
        <v>16</v>
      </c>
      <c r="K258" s="39">
        <f t="shared" si="16"/>
        <v>0.32388609615298558</v>
      </c>
      <c r="L258" s="40">
        <f t="shared" si="17"/>
        <v>3.79424910617068</v>
      </c>
      <c r="M258" s="40">
        <f t="shared" si="18"/>
        <v>2.79424910617068</v>
      </c>
      <c r="N258" s="40">
        <f t="shared" si="19"/>
        <v>1.41470202183024</v>
      </c>
      <c r="O258" s="1" t="str">
        <f t="shared" si="15"/>
        <v>Normal</v>
      </c>
      <c r="P258" s="51" t="str">
        <f>IF(Table4[[#This Row],[Sales]]&lt;=$B$3,"Normal","High Revenue")</f>
        <v>Normal</v>
      </c>
      <c r="Q258" s="51" t="str">
        <f>IF(Table4[[#This Row],[CTR]]&lt;=$B$4,"Normal","High CTR")</f>
        <v>Normal</v>
      </c>
      <c r="R258" s="51" t="str">
        <f>IF(Table4[[#This Row],[ROAS]]&lt;1,"Poor",IF(Table4[[#This Row],[ROAS]]&lt;3,"Average",IF(Table4[[#This Row],[ROAS]]&lt;5,"Good",
"Excellent")))</f>
        <v>Good</v>
      </c>
      <c r="S258" s="51" t="str">
        <f>IF(AND(Table4[[#This Row],[USD_Spend]]&gt;=$B$5,Table4[[#This Row],[Sales]]&lt;=$B$6),"Wasted Budget","Spend Justified")</f>
        <v>Wasted Budget</v>
      </c>
      <c r="T258" s="51" t="str">
        <f>IF(AND(Table4[[#This Row],[Clicks]]&gt;=$B$7,Table4[[#This Row],[Sales]]&lt;=$B$6),"Poor Monetization","Normal Monitization")</f>
        <v>Poor Monetization</v>
      </c>
    </row>
    <row r="259" spans="1:20" x14ac:dyDescent="0.35">
      <c r="A259" s="41" t="s">
        <v>90</v>
      </c>
      <c r="B259" s="41" t="s">
        <v>35</v>
      </c>
      <c r="C259" s="41" t="s">
        <v>69</v>
      </c>
      <c r="D259" s="41" t="s">
        <v>59</v>
      </c>
      <c r="E259" s="41" t="s">
        <v>30</v>
      </c>
      <c r="F259" s="41">
        <v>15698.3</v>
      </c>
      <c r="G259" s="41">
        <v>150727</v>
      </c>
      <c r="H259" s="41">
        <v>39562</v>
      </c>
      <c r="I259" s="41">
        <v>140257.29999999999</v>
      </c>
      <c r="J259" s="41">
        <v>15</v>
      </c>
      <c r="K259" s="42">
        <f t="shared" si="16"/>
        <v>0.2624745400624971</v>
      </c>
      <c r="L259" s="43">
        <f t="shared" si="17"/>
        <v>8.9345534229821055</v>
      </c>
      <c r="M259" s="43">
        <f t="shared" si="18"/>
        <v>7.9345534229821055</v>
      </c>
      <c r="N259" s="43">
        <f t="shared" si="19"/>
        <v>3.5452530205752995</v>
      </c>
      <c r="O259" s="1" t="str">
        <f t="shared" si="15"/>
        <v>Normal</v>
      </c>
      <c r="P259" s="51" t="str">
        <f>IF(Table4[[#This Row],[Sales]]&lt;=$B$3,"Normal","High Revenue")</f>
        <v>Normal</v>
      </c>
      <c r="Q259" s="51" t="str">
        <f>IF(Table4[[#This Row],[CTR]]&lt;=$B$4,"Normal","High CTR")</f>
        <v>Normal</v>
      </c>
      <c r="R259" s="51" t="str">
        <f>IF(Table4[[#This Row],[ROAS]]&lt;1,"Poor",IF(Table4[[#This Row],[ROAS]]&lt;3,"Average",IF(Table4[[#This Row],[ROAS]]&lt;5,"Good",
"Excellent")))</f>
        <v>Excellent</v>
      </c>
      <c r="S259" s="51" t="str">
        <f>IF(AND(Table4[[#This Row],[USD_Spend]]&gt;=$B$5,Table4[[#This Row],[Sales]]&lt;=$B$6),"Wasted Budget","Spend Justified")</f>
        <v>Spend Justified</v>
      </c>
      <c r="T259" s="51" t="str">
        <f>IF(AND(Table4[[#This Row],[Clicks]]&gt;=$B$7,Table4[[#This Row],[Sales]]&lt;=$B$6),"Poor Monetization","Normal Monitization")</f>
        <v>Normal Monitization</v>
      </c>
    </row>
    <row r="260" spans="1:20" x14ac:dyDescent="0.35">
      <c r="A260" s="38" t="s">
        <v>120</v>
      </c>
      <c r="B260" s="38" t="s">
        <v>28</v>
      </c>
      <c r="C260" s="38" t="s">
        <v>36</v>
      </c>
      <c r="D260" s="38" t="s">
        <v>21</v>
      </c>
      <c r="E260" s="38" t="s">
        <v>38</v>
      </c>
      <c r="F260" s="38">
        <v>4458.93</v>
      </c>
      <c r="G260" s="38">
        <v>508783</v>
      </c>
      <c r="H260" s="38">
        <v>44607</v>
      </c>
      <c r="I260" s="38">
        <v>95023.14</v>
      </c>
      <c r="J260" s="38">
        <v>60</v>
      </c>
      <c r="K260" s="39">
        <f t="shared" si="16"/>
        <v>8.7673919922638927E-2</v>
      </c>
      <c r="L260" s="40">
        <f t="shared" si="17"/>
        <v>21.310749439888042</v>
      </c>
      <c r="M260" s="40">
        <f t="shared" si="18"/>
        <v>20.310749439888042</v>
      </c>
      <c r="N260" s="40">
        <f t="shared" si="19"/>
        <v>2.1302293362028379</v>
      </c>
      <c r="O260" s="1" t="str">
        <f t="shared" si="15"/>
        <v>Normal</v>
      </c>
      <c r="P260" s="51" t="str">
        <f>IF(Table4[[#This Row],[Sales]]&lt;=$B$3,"Normal","High Revenue")</f>
        <v>Normal</v>
      </c>
      <c r="Q260" s="51" t="str">
        <f>IF(Table4[[#This Row],[CTR]]&lt;=$B$4,"Normal","High CTR")</f>
        <v>Normal</v>
      </c>
      <c r="R260" s="51" t="str">
        <f>IF(Table4[[#This Row],[ROAS]]&lt;1,"Poor",IF(Table4[[#This Row],[ROAS]]&lt;3,"Average",IF(Table4[[#This Row],[ROAS]]&lt;5,"Good",
"Excellent")))</f>
        <v>Excellent</v>
      </c>
      <c r="S260" s="51" t="str">
        <f>IF(AND(Table4[[#This Row],[USD_Spend]]&gt;=$B$5,Table4[[#This Row],[Sales]]&lt;=$B$6),"Wasted Budget","Spend Justified")</f>
        <v>Spend Justified</v>
      </c>
      <c r="T260" s="51" t="str">
        <f>IF(AND(Table4[[#This Row],[Clicks]]&gt;=$B$7,Table4[[#This Row],[Sales]]&lt;=$B$6),"Poor Monetization","Normal Monitization")</f>
        <v>Normal Monitization</v>
      </c>
    </row>
    <row r="261" spans="1:20" x14ac:dyDescent="0.35">
      <c r="A261" s="41" t="s">
        <v>99</v>
      </c>
      <c r="B261" s="41" t="s">
        <v>19</v>
      </c>
      <c r="C261" s="41" t="s">
        <v>29</v>
      </c>
      <c r="D261" s="41" t="s">
        <v>59</v>
      </c>
      <c r="E261" s="41" t="s">
        <v>30</v>
      </c>
      <c r="F261" s="41">
        <v>28543.119999999999</v>
      </c>
      <c r="G261" s="41">
        <v>666493</v>
      </c>
      <c r="H261" s="41">
        <v>2435</v>
      </c>
      <c r="I261" s="41">
        <v>237549.72</v>
      </c>
      <c r="J261" s="41">
        <v>59</v>
      </c>
      <c r="K261" s="42">
        <f t="shared" si="16"/>
        <v>3.6534517241741476E-3</v>
      </c>
      <c r="L261" s="43">
        <f t="shared" si="17"/>
        <v>8.3224861192469497</v>
      </c>
      <c r="M261" s="43">
        <f t="shared" si="18"/>
        <v>7.3224861192469506</v>
      </c>
      <c r="N261" s="43">
        <f t="shared" si="19"/>
        <v>97.556353182751536</v>
      </c>
      <c r="O261" s="1" t="str">
        <f t="shared" si="15"/>
        <v>Normal</v>
      </c>
      <c r="P261" s="51" t="str">
        <f>IF(Table4[[#This Row],[Sales]]&lt;=$B$3,"Normal","High Revenue")</f>
        <v>High Revenue</v>
      </c>
      <c r="Q261" s="51" t="str">
        <f>IF(Table4[[#This Row],[CTR]]&lt;=$B$4,"Normal","High CTR")</f>
        <v>Normal</v>
      </c>
      <c r="R261" s="51" t="str">
        <f>IF(Table4[[#This Row],[ROAS]]&lt;1,"Poor",IF(Table4[[#This Row],[ROAS]]&lt;3,"Average",IF(Table4[[#This Row],[ROAS]]&lt;5,"Good",
"Excellent")))</f>
        <v>Excellent</v>
      </c>
      <c r="S261" s="51" t="str">
        <f>IF(AND(Table4[[#This Row],[USD_Spend]]&gt;=$B$5,Table4[[#This Row],[Sales]]&lt;=$B$6),"Wasted Budget","Spend Justified")</f>
        <v>Spend Justified</v>
      </c>
      <c r="T261" s="51" t="str">
        <f>IF(AND(Table4[[#This Row],[Clicks]]&gt;=$B$7,Table4[[#This Row],[Sales]]&lt;=$B$6),"Poor Monetization","Normal Monitization")</f>
        <v>Normal Monitization</v>
      </c>
    </row>
    <row r="262" spans="1:20" x14ac:dyDescent="0.35">
      <c r="A262" s="38" t="s">
        <v>77</v>
      </c>
      <c r="B262" s="38" t="s">
        <v>28</v>
      </c>
      <c r="C262" s="38" t="s">
        <v>36</v>
      </c>
      <c r="D262" s="38" t="s">
        <v>51</v>
      </c>
      <c r="E262" s="38" t="s">
        <v>22</v>
      </c>
      <c r="F262" s="38">
        <v>11493.12</v>
      </c>
      <c r="G262" s="38">
        <v>443020</v>
      </c>
      <c r="H262" s="38">
        <v>45352</v>
      </c>
      <c r="I262" s="38">
        <v>54953.46</v>
      </c>
      <c r="J262" s="38">
        <v>7</v>
      </c>
      <c r="K262" s="39">
        <f t="shared" si="16"/>
        <v>0.10237009615818699</v>
      </c>
      <c r="L262" s="40">
        <f t="shared" si="17"/>
        <v>4.7814222769796189</v>
      </c>
      <c r="M262" s="40">
        <f t="shared" si="18"/>
        <v>3.7814222769796184</v>
      </c>
      <c r="N262" s="40">
        <f t="shared" si="19"/>
        <v>1.2117097371670489</v>
      </c>
      <c r="O262" s="1" t="str">
        <f t="shared" si="15"/>
        <v>Normal</v>
      </c>
      <c r="P262" s="51" t="str">
        <f>IF(Table4[[#This Row],[Sales]]&lt;=$B$3,"Normal","High Revenue")</f>
        <v>Normal</v>
      </c>
      <c r="Q262" s="51" t="str">
        <f>IF(Table4[[#This Row],[CTR]]&lt;=$B$4,"Normal","High CTR")</f>
        <v>Normal</v>
      </c>
      <c r="R262" s="51" t="str">
        <f>IF(Table4[[#This Row],[ROAS]]&lt;1,"Poor",IF(Table4[[#This Row],[ROAS]]&lt;3,"Average",IF(Table4[[#This Row],[ROAS]]&lt;5,"Good",
"Excellent")))</f>
        <v>Good</v>
      </c>
      <c r="S262" s="51" t="str">
        <f>IF(AND(Table4[[#This Row],[USD_Spend]]&gt;=$B$5,Table4[[#This Row],[Sales]]&lt;=$B$6),"Wasted Budget","Spend Justified")</f>
        <v>Wasted Budget</v>
      </c>
      <c r="T262" s="51" t="str">
        <f>IF(AND(Table4[[#This Row],[Clicks]]&gt;=$B$7,Table4[[#This Row],[Sales]]&lt;=$B$6),"Poor Monetization","Normal Monitization")</f>
        <v>Poor Monetization</v>
      </c>
    </row>
    <row r="263" spans="1:20" x14ac:dyDescent="0.35">
      <c r="A263" s="41" t="s">
        <v>109</v>
      </c>
      <c r="B263" s="41" t="s">
        <v>48</v>
      </c>
      <c r="C263" s="41" t="s">
        <v>58</v>
      </c>
      <c r="D263" s="41" t="s">
        <v>63</v>
      </c>
      <c r="E263" s="41" t="s">
        <v>38</v>
      </c>
      <c r="F263" s="41">
        <v>5357.96</v>
      </c>
      <c r="G263" s="41">
        <v>997219</v>
      </c>
      <c r="H263" s="41">
        <v>19604</v>
      </c>
      <c r="I263" s="41">
        <v>193937.7</v>
      </c>
      <c r="J263" s="41">
        <v>21</v>
      </c>
      <c r="K263" s="42">
        <f t="shared" si="16"/>
        <v>1.9658670763392994E-2</v>
      </c>
      <c r="L263" s="43">
        <f t="shared" si="17"/>
        <v>36.196182875572049</v>
      </c>
      <c r="M263" s="43">
        <f t="shared" si="18"/>
        <v>35.196182875572049</v>
      </c>
      <c r="N263" s="43">
        <f t="shared" si="19"/>
        <v>9.8927616812895334</v>
      </c>
      <c r="O263" s="1" t="str">
        <f t="shared" si="15"/>
        <v>Normal</v>
      </c>
      <c r="P263" s="51" t="str">
        <f>IF(Table4[[#This Row],[Sales]]&lt;=$B$3,"Normal","High Revenue")</f>
        <v>Normal</v>
      </c>
      <c r="Q263" s="51" t="str">
        <f>IF(Table4[[#This Row],[CTR]]&lt;=$B$4,"Normal","High CTR")</f>
        <v>Normal</v>
      </c>
      <c r="R263" s="51" t="str">
        <f>IF(Table4[[#This Row],[ROAS]]&lt;1,"Poor",IF(Table4[[#This Row],[ROAS]]&lt;3,"Average",IF(Table4[[#This Row],[ROAS]]&lt;5,"Good",
"Excellent")))</f>
        <v>Excellent</v>
      </c>
      <c r="S263" s="51" t="str">
        <f>IF(AND(Table4[[#This Row],[USD_Spend]]&gt;=$B$5,Table4[[#This Row],[Sales]]&lt;=$B$6),"Wasted Budget","Spend Justified")</f>
        <v>Spend Justified</v>
      </c>
      <c r="T263" s="51" t="str">
        <f>IF(AND(Table4[[#This Row],[Clicks]]&gt;=$B$7,Table4[[#This Row],[Sales]]&lt;=$B$6),"Poor Monetization","Normal Monitization")</f>
        <v>Normal Monitization</v>
      </c>
    </row>
    <row r="264" spans="1:20" x14ac:dyDescent="0.35">
      <c r="A264" s="38" t="s">
        <v>99</v>
      </c>
      <c r="B264" s="38" t="s">
        <v>28</v>
      </c>
      <c r="C264" s="38" t="s">
        <v>29</v>
      </c>
      <c r="D264" s="38" t="s">
        <v>21</v>
      </c>
      <c r="E264" s="38" t="s">
        <v>38</v>
      </c>
      <c r="F264" s="38">
        <v>32446.97</v>
      </c>
      <c r="G264" s="38">
        <v>850257</v>
      </c>
      <c r="H264" s="38">
        <v>37970</v>
      </c>
      <c r="I264" s="38">
        <v>110130.1</v>
      </c>
      <c r="J264" s="38">
        <v>45</v>
      </c>
      <c r="K264" s="39">
        <f t="shared" si="16"/>
        <v>4.4657086033987374E-2</v>
      </c>
      <c r="L264" s="40">
        <f t="shared" si="17"/>
        <v>3.3941566808857653</v>
      </c>
      <c r="M264" s="40">
        <f t="shared" si="18"/>
        <v>2.3941566808857653</v>
      </c>
      <c r="N264" s="40">
        <f t="shared" si="19"/>
        <v>2.9004503555438506</v>
      </c>
      <c r="O264" s="1" t="str">
        <f t="shared" si="15"/>
        <v>Normal</v>
      </c>
      <c r="P264" s="51" t="str">
        <f>IF(Table4[[#This Row],[Sales]]&lt;=$B$3,"Normal","High Revenue")</f>
        <v>Normal</v>
      </c>
      <c r="Q264" s="51" t="str">
        <f>IF(Table4[[#This Row],[CTR]]&lt;=$B$4,"Normal","High CTR")</f>
        <v>Normal</v>
      </c>
      <c r="R264" s="51" t="str">
        <f>IF(Table4[[#This Row],[ROAS]]&lt;1,"Poor",IF(Table4[[#This Row],[ROAS]]&lt;3,"Average",IF(Table4[[#This Row],[ROAS]]&lt;5,"Good",
"Excellent")))</f>
        <v>Good</v>
      </c>
      <c r="S264" s="51" t="str">
        <f>IF(AND(Table4[[#This Row],[USD_Spend]]&gt;=$B$5,Table4[[#This Row],[Sales]]&lt;=$B$6),"Wasted Budget","Spend Justified")</f>
        <v>Spend Justified</v>
      </c>
      <c r="T264" s="51" t="str">
        <f>IF(AND(Table4[[#This Row],[Clicks]]&gt;=$B$7,Table4[[#This Row],[Sales]]&lt;=$B$6),"Poor Monetization","Normal Monitization")</f>
        <v>Normal Monitization</v>
      </c>
    </row>
    <row r="265" spans="1:20" x14ac:dyDescent="0.35">
      <c r="A265" s="41" t="s">
        <v>18</v>
      </c>
      <c r="B265" s="41" t="s">
        <v>19</v>
      </c>
      <c r="C265" s="41" t="s">
        <v>69</v>
      </c>
      <c r="D265" s="41" t="s">
        <v>59</v>
      </c>
      <c r="E265" s="41" t="s">
        <v>30</v>
      </c>
      <c r="F265" s="41">
        <v>24342.09</v>
      </c>
      <c r="G265" s="41">
        <v>742377</v>
      </c>
      <c r="H265" s="41">
        <v>15282</v>
      </c>
      <c r="I265" s="41">
        <v>155721.54999999999</v>
      </c>
      <c r="J265" s="41">
        <v>8</v>
      </c>
      <c r="K265" s="42">
        <f t="shared" si="16"/>
        <v>2.0585228260034994E-2</v>
      </c>
      <c r="L265" s="43">
        <f t="shared" si="17"/>
        <v>6.3972136328474667</v>
      </c>
      <c r="M265" s="43">
        <f t="shared" si="18"/>
        <v>5.3972136328474667</v>
      </c>
      <c r="N265" s="43">
        <f t="shared" si="19"/>
        <v>10.18986716398377</v>
      </c>
      <c r="O265" s="1" t="str">
        <f t="shared" si="15"/>
        <v>Normal</v>
      </c>
      <c r="P265" s="51" t="str">
        <f>IF(Table4[[#This Row],[Sales]]&lt;=$B$3,"Normal","High Revenue")</f>
        <v>Normal</v>
      </c>
      <c r="Q265" s="51" t="str">
        <f>IF(Table4[[#This Row],[CTR]]&lt;=$B$4,"Normal","High CTR")</f>
        <v>Normal</v>
      </c>
      <c r="R265" s="51" t="str">
        <f>IF(Table4[[#This Row],[ROAS]]&lt;1,"Poor",IF(Table4[[#This Row],[ROAS]]&lt;3,"Average",IF(Table4[[#This Row],[ROAS]]&lt;5,"Good",
"Excellent")))</f>
        <v>Excellent</v>
      </c>
      <c r="S265" s="51" t="str">
        <f>IF(AND(Table4[[#This Row],[USD_Spend]]&gt;=$B$5,Table4[[#This Row],[Sales]]&lt;=$B$6),"Wasted Budget","Spend Justified")</f>
        <v>Spend Justified</v>
      </c>
      <c r="T265" s="51" t="str">
        <f>IF(AND(Table4[[#This Row],[Clicks]]&gt;=$B$7,Table4[[#This Row],[Sales]]&lt;=$B$6),"Poor Monetization","Normal Monitization")</f>
        <v>Normal Monitization</v>
      </c>
    </row>
    <row r="266" spans="1:20" x14ac:dyDescent="0.35">
      <c r="A266" s="38" t="s">
        <v>57</v>
      </c>
      <c r="B266" s="38" t="s">
        <v>48</v>
      </c>
      <c r="C266" s="38" t="s">
        <v>20</v>
      </c>
      <c r="D266" s="38" t="s">
        <v>43</v>
      </c>
      <c r="E266" s="38" t="s">
        <v>30</v>
      </c>
      <c r="F266" s="38">
        <v>35735.42</v>
      </c>
      <c r="G266" s="38">
        <v>505962</v>
      </c>
      <c r="H266" s="38">
        <v>738</v>
      </c>
      <c r="I266" s="38">
        <v>48268.78</v>
      </c>
      <c r="J266" s="38">
        <v>15</v>
      </c>
      <c r="K266" s="39">
        <f t="shared" si="16"/>
        <v>1.4586075634138531E-3</v>
      </c>
      <c r="L266" s="40">
        <f t="shared" si="17"/>
        <v>1.3507265340662009</v>
      </c>
      <c r="M266" s="40">
        <f t="shared" si="18"/>
        <v>0.35072653406620102</v>
      </c>
      <c r="N266" s="40">
        <f t="shared" si="19"/>
        <v>65.404850948509477</v>
      </c>
      <c r="O266" s="1" t="str">
        <f t="shared" ref="O266:O329" si="20">IF(F266&lt;=$B$2,"Normal","High Spend")</f>
        <v>Normal</v>
      </c>
      <c r="P266" s="51" t="str">
        <f>IF(Table4[[#This Row],[Sales]]&lt;=$B$3,"Normal","High Revenue")</f>
        <v>Normal</v>
      </c>
      <c r="Q266" s="51" t="str">
        <f>IF(Table4[[#This Row],[CTR]]&lt;=$B$4,"Normal","High CTR")</f>
        <v>Normal</v>
      </c>
      <c r="R266" s="51" t="str">
        <f>IF(Table4[[#This Row],[ROAS]]&lt;1,"Poor",IF(Table4[[#This Row],[ROAS]]&lt;3,"Average",IF(Table4[[#This Row],[ROAS]]&lt;5,"Good",
"Excellent")))</f>
        <v>Average</v>
      </c>
      <c r="S266" s="51" t="str">
        <f>IF(AND(Table4[[#This Row],[USD_Spend]]&gt;=$B$5,Table4[[#This Row],[Sales]]&lt;=$B$6),"Wasted Budget","Spend Justified")</f>
        <v>Wasted Budget</v>
      </c>
      <c r="T266" s="51" t="str">
        <f>IF(AND(Table4[[#This Row],[Clicks]]&gt;=$B$7,Table4[[#This Row],[Sales]]&lt;=$B$6),"Poor Monetization","Normal Monitization")</f>
        <v>Normal Monitization</v>
      </c>
    </row>
    <row r="267" spans="1:20" x14ac:dyDescent="0.35">
      <c r="A267" s="41" t="s">
        <v>82</v>
      </c>
      <c r="B267" s="41" t="s">
        <v>48</v>
      </c>
      <c r="C267" s="41" t="s">
        <v>58</v>
      </c>
      <c r="D267" s="41" t="s">
        <v>63</v>
      </c>
      <c r="E267" s="41" t="s">
        <v>38</v>
      </c>
      <c r="F267" s="41">
        <v>19602.36</v>
      </c>
      <c r="G267" s="41">
        <v>870394</v>
      </c>
      <c r="H267" s="41">
        <v>15015</v>
      </c>
      <c r="I267" s="41">
        <v>59616.27</v>
      </c>
      <c r="J267" s="41">
        <v>58</v>
      </c>
      <c r="K267" s="42">
        <f t="shared" ref="K267:K330" si="21">H267/G267</f>
        <v>1.7250808254652489E-2</v>
      </c>
      <c r="L267" s="43">
        <f t="shared" ref="L267:L330" si="22">I267/F267</f>
        <v>3.041280233604525</v>
      </c>
      <c r="M267" s="43">
        <f t="shared" ref="M267:M330" si="23">(I267-F267)/F267</f>
        <v>2.041280233604525</v>
      </c>
      <c r="N267" s="43">
        <f t="shared" ref="N267:N330" si="24">I267/H267</f>
        <v>3.9704475524475522</v>
      </c>
      <c r="O267" s="1" t="str">
        <f t="shared" si="20"/>
        <v>Normal</v>
      </c>
      <c r="P267" s="51" t="str">
        <f>IF(Table4[[#This Row],[Sales]]&lt;=$B$3,"Normal","High Revenue")</f>
        <v>Normal</v>
      </c>
      <c r="Q267" s="51" t="str">
        <f>IF(Table4[[#This Row],[CTR]]&lt;=$B$4,"Normal","High CTR")</f>
        <v>Normal</v>
      </c>
      <c r="R267" s="51" t="str">
        <f>IF(Table4[[#This Row],[ROAS]]&lt;1,"Poor",IF(Table4[[#This Row],[ROAS]]&lt;3,"Average",IF(Table4[[#This Row],[ROAS]]&lt;5,"Good",
"Excellent")))</f>
        <v>Good</v>
      </c>
      <c r="S267" s="51" t="str">
        <f>IF(AND(Table4[[#This Row],[USD_Spend]]&gt;=$B$5,Table4[[#This Row],[Sales]]&lt;=$B$6),"Wasted Budget","Spend Justified")</f>
        <v>Wasted Budget</v>
      </c>
      <c r="T267" s="51" t="str">
        <f>IF(AND(Table4[[#This Row],[Clicks]]&gt;=$B$7,Table4[[#This Row],[Sales]]&lt;=$B$6),"Poor Monetization","Normal Monitization")</f>
        <v>Normal Monitization</v>
      </c>
    </row>
    <row r="268" spans="1:20" x14ac:dyDescent="0.35">
      <c r="A268" s="38" t="s">
        <v>78</v>
      </c>
      <c r="B268" s="38" t="s">
        <v>35</v>
      </c>
      <c r="C268" s="38" t="s">
        <v>69</v>
      </c>
      <c r="D268" s="38" t="s">
        <v>51</v>
      </c>
      <c r="E268" s="38" t="s">
        <v>22</v>
      </c>
      <c r="F268" s="38">
        <v>750.53</v>
      </c>
      <c r="G268" s="38">
        <v>191043</v>
      </c>
      <c r="H268" s="38">
        <v>46851</v>
      </c>
      <c r="I268" s="38">
        <v>114052.24</v>
      </c>
      <c r="J268" s="38">
        <v>13</v>
      </c>
      <c r="K268" s="39">
        <f t="shared" si="21"/>
        <v>0.24523798307187386</v>
      </c>
      <c r="L268" s="40">
        <f t="shared" si="22"/>
        <v>151.96226666489017</v>
      </c>
      <c r="M268" s="40">
        <f t="shared" si="23"/>
        <v>150.96226666489017</v>
      </c>
      <c r="N268" s="40">
        <f t="shared" si="24"/>
        <v>2.4343608460865296</v>
      </c>
      <c r="O268" s="1" t="str">
        <f t="shared" si="20"/>
        <v>Normal</v>
      </c>
      <c r="P268" s="51" t="str">
        <f>IF(Table4[[#This Row],[Sales]]&lt;=$B$3,"Normal","High Revenue")</f>
        <v>Normal</v>
      </c>
      <c r="Q268" s="51" t="str">
        <f>IF(Table4[[#This Row],[CTR]]&lt;=$B$4,"Normal","High CTR")</f>
        <v>Normal</v>
      </c>
      <c r="R268" s="51" t="str">
        <f>IF(Table4[[#This Row],[ROAS]]&lt;1,"Poor",IF(Table4[[#This Row],[ROAS]]&lt;3,"Average",IF(Table4[[#This Row],[ROAS]]&lt;5,"Good",
"Excellent")))</f>
        <v>Excellent</v>
      </c>
      <c r="S268" s="51" t="str">
        <f>IF(AND(Table4[[#This Row],[USD_Spend]]&gt;=$B$5,Table4[[#This Row],[Sales]]&lt;=$B$6),"Wasted Budget","Spend Justified")</f>
        <v>Spend Justified</v>
      </c>
      <c r="T268" s="51" t="str">
        <f>IF(AND(Table4[[#This Row],[Clicks]]&gt;=$B$7,Table4[[#This Row],[Sales]]&lt;=$B$6),"Poor Monetization","Normal Monitization")</f>
        <v>Normal Monitization</v>
      </c>
    </row>
    <row r="269" spans="1:20" x14ac:dyDescent="0.35">
      <c r="A269" s="41" t="s">
        <v>83</v>
      </c>
      <c r="B269" s="41" t="s">
        <v>19</v>
      </c>
      <c r="C269" s="41" t="s">
        <v>69</v>
      </c>
      <c r="D269" s="41" t="s">
        <v>43</v>
      </c>
      <c r="E269" s="41" t="s">
        <v>38</v>
      </c>
      <c r="F269" s="41">
        <v>37574.31</v>
      </c>
      <c r="G269" s="41">
        <v>88979</v>
      </c>
      <c r="H269" s="41">
        <v>35216</v>
      </c>
      <c r="I269" s="41">
        <v>57449.63</v>
      </c>
      <c r="J269" s="41">
        <v>37</v>
      </c>
      <c r="K269" s="42">
        <f t="shared" si="21"/>
        <v>0.39577877926252264</v>
      </c>
      <c r="L269" s="43">
        <f t="shared" si="22"/>
        <v>1.5289603455126655</v>
      </c>
      <c r="M269" s="43">
        <f t="shared" si="23"/>
        <v>0.52896034551266546</v>
      </c>
      <c r="N269" s="43">
        <f t="shared" si="24"/>
        <v>1.6313502385279417</v>
      </c>
      <c r="O269" s="1" t="str">
        <f t="shared" si="20"/>
        <v>Normal</v>
      </c>
      <c r="P269" s="51" t="str">
        <f>IF(Table4[[#This Row],[Sales]]&lt;=$B$3,"Normal","High Revenue")</f>
        <v>Normal</v>
      </c>
      <c r="Q269" s="51" t="str">
        <f>IF(Table4[[#This Row],[CTR]]&lt;=$B$4,"Normal","High CTR")</f>
        <v>Normal</v>
      </c>
      <c r="R269" s="51" t="str">
        <f>IF(Table4[[#This Row],[ROAS]]&lt;1,"Poor",IF(Table4[[#This Row],[ROAS]]&lt;3,"Average",IF(Table4[[#This Row],[ROAS]]&lt;5,"Good",
"Excellent")))</f>
        <v>Average</v>
      </c>
      <c r="S269" s="51" t="str">
        <f>IF(AND(Table4[[#This Row],[USD_Spend]]&gt;=$B$5,Table4[[#This Row],[Sales]]&lt;=$B$6),"Wasted Budget","Spend Justified")</f>
        <v>Wasted Budget</v>
      </c>
      <c r="T269" s="51" t="str">
        <f>IF(AND(Table4[[#This Row],[Clicks]]&gt;=$B$7,Table4[[#This Row],[Sales]]&lt;=$B$6),"Poor Monetization","Normal Monitization")</f>
        <v>Normal Monitization</v>
      </c>
    </row>
    <row r="270" spans="1:20" x14ac:dyDescent="0.35">
      <c r="A270" s="38" t="s">
        <v>113</v>
      </c>
      <c r="B270" s="38" t="s">
        <v>19</v>
      </c>
      <c r="C270" s="38" t="s">
        <v>36</v>
      </c>
      <c r="D270" s="38" t="s">
        <v>21</v>
      </c>
      <c r="E270" s="38" t="s">
        <v>22</v>
      </c>
      <c r="F270" s="38">
        <v>19844.82</v>
      </c>
      <c r="G270" s="38">
        <v>284375</v>
      </c>
      <c r="H270" s="38">
        <v>35649</v>
      </c>
      <c r="I270" s="38">
        <v>89185.83</v>
      </c>
      <c r="J270" s="38">
        <v>24</v>
      </c>
      <c r="K270" s="39">
        <f t="shared" si="21"/>
        <v>0.12535912087912088</v>
      </c>
      <c r="L270" s="40">
        <f t="shared" si="22"/>
        <v>4.494161700635229</v>
      </c>
      <c r="M270" s="40">
        <f t="shared" si="23"/>
        <v>3.4941617006352295</v>
      </c>
      <c r="N270" s="40">
        <f t="shared" si="24"/>
        <v>2.501776487419002</v>
      </c>
      <c r="O270" s="1" t="str">
        <f t="shared" si="20"/>
        <v>Normal</v>
      </c>
      <c r="P270" s="51" t="str">
        <f>IF(Table4[[#This Row],[Sales]]&lt;=$B$3,"Normal","High Revenue")</f>
        <v>Normal</v>
      </c>
      <c r="Q270" s="51" t="str">
        <f>IF(Table4[[#This Row],[CTR]]&lt;=$B$4,"Normal","High CTR")</f>
        <v>Normal</v>
      </c>
      <c r="R270" s="51" t="str">
        <f>IF(Table4[[#This Row],[ROAS]]&lt;1,"Poor",IF(Table4[[#This Row],[ROAS]]&lt;3,"Average",IF(Table4[[#This Row],[ROAS]]&lt;5,"Good",
"Excellent")))</f>
        <v>Good</v>
      </c>
      <c r="S270" s="51" t="str">
        <f>IF(AND(Table4[[#This Row],[USD_Spend]]&gt;=$B$5,Table4[[#This Row],[Sales]]&lt;=$B$6),"Wasted Budget","Spend Justified")</f>
        <v>Spend Justified</v>
      </c>
      <c r="T270" s="51" t="str">
        <f>IF(AND(Table4[[#This Row],[Clicks]]&gt;=$B$7,Table4[[#This Row],[Sales]]&lt;=$B$6),"Poor Monetization","Normal Monitization")</f>
        <v>Normal Monitization</v>
      </c>
    </row>
    <row r="271" spans="1:20" x14ac:dyDescent="0.35">
      <c r="A271" s="41" t="s">
        <v>100</v>
      </c>
      <c r="B271" s="41" t="s">
        <v>28</v>
      </c>
      <c r="C271" s="41" t="s">
        <v>69</v>
      </c>
      <c r="D271" s="41" t="s">
        <v>37</v>
      </c>
      <c r="E271" s="41" t="s">
        <v>30</v>
      </c>
      <c r="F271" s="41">
        <v>42313.24</v>
      </c>
      <c r="G271" s="41">
        <v>340926</v>
      </c>
      <c r="H271" s="41">
        <v>20421</v>
      </c>
      <c r="I271" s="41">
        <v>131268.98000000001</v>
      </c>
      <c r="J271" s="41">
        <v>8</v>
      </c>
      <c r="K271" s="42">
        <f t="shared" si="21"/>
        <v>5.9898629028000208E-2</v>
      </c>
      <c r="L271" s="43">
        <f t="shared" si="22"/>
        <v>3.1023145474088021</v>
      </c>
      <c r="M271" s="43">
        <f t="shared" si="23"/>
        <v>2.1023145474088021</v>
      </c>
      <c r="N271" s="43">
        <f t="shared" si="24"/>
        <v>6.4281367220018613</v>
      </c>
      <c r="O271" s="1" t="str">
        <f t="shared" si="20"/>
        <v>High Spend</v>
      </c>
      <c r="P271" s="51" t="str">
        <f>IF(Table4[[#This Row],[Sales]]&lt;=$B$3,"Normal","High Revenue")</f>
        <v>Normal</v>
      </c>
      <c r="Q271" s="51" t="str">
        <f>IF(Table4[[#This Row],[CTR]]&lt;=$B$4,"Normal","High CTR")</f>
        <v>Normal</v>
      </c>
      <c r="R271" s="51" t="str">
        <f>IF(Table4[[#This Row],[ROAS]]&lt;1,"Poor",IF(Table4[[#This Row],[ROAS]]&lt;3,"Average",IF(Table4[[#This Row],[ROAS]]&lt;5,"Good",
"Excellent")))</f>
        <v>Good</v>
      </c>
      <c r="S271" s="51" t="str">
        <f>IF(AND(Table4[[#This Row],[USD_Spend]]&gt;=$B$5,Table4[[#This Row],[Sales]]&lt;=$B$6),"Wasted Budget","Spend Justified")</f>
        <v>Spend Justified</v>
      </c>
      <c r="T271" s="51" t="str">
        <f>IF(AND(Table4[[#This Row],[Clicks]]&gt;=$B$7,Table4[[#This Row],[Sales]]&lt;=$B$6),"Poor Monetization","Normal Monitization")</f>
        <v>Normal Monitization</v>
      </c>
    </row>
    <row r="272" spans="1:20" x14ac:dyDescent="0.35">
      <c r="A272" s="38" t="s">
        <v>67</v>
      </c>
      <c r="B272" s="38" t="s">
        <v>35</v>
      </c>
      <c r="C272" s="38" t="s">
        <v>20</v>
      </c>
      <c r="D272" s="38" t="s">
        <v>21</v>
      </c>
      <c r="E272" s="38" t="s">
        <v>38</v>
      </c>
      <c r="F272" s="38">
        <v>26783.94</v>
      </c>
      <c r="G272" s="38">
        <v>874637</v>
      </c>
      <c r="H272" s="38">
        <v>26264</v>
      </c>
      <c r="I272" s="38">
        <v>153187.91</v>
      </c>
      <c r="J272" s="38">
        <v>6</v>
      </c>
      <c r="K272" s="39">
        <f t="shared" si="21"/>
        <v>3.0028457520091194E-2</v>
      </c>
      <c r="L272" s="40">
        <f t="shared" si="22"/>
        <v>5.7193941593357813</v>
      </c>
      <c r="M272" s="40">
        <f t="shared" si="23"/>
        <v>4.7193941593357813</v>
      </c>
      <c r="N272" s="40">
        <f t="shared" si="24"/>
        <v>5.8326191745354858</v>
      </c>
      <c r="O272" s="1" t="str">
        <f t="shared" si="20"/>
        <v>Normal</v>
      </c>
      <c r="P272" s="51" t="str">
        <f>IF(Table4[[#This Row],[Sales]]&lt;=$B$3,"Normal","High Revenue")</f>
        <v>Normal</v>
      </c>
      <c r="Q272" s="51" t="str">
        <f>IF(Table4[[#This Row],[CTR]]&lt;=$B$4,"Normal","High CTR")</f>
        <v>Normal</v>
      </c>
      <c r="R272" s="51" t="str">
        <f>IF(Table4[[#This Row],[ROAS]]&lt;1,"Poor",IF(Table4[[#This Row],[ROAS]]&lt;3,"Average",IF(Table4[[#This Row],[ROAS]]&lt;5,"Good",
"Excellent")))</f>
        <v>Excellent</v>
      </c>
      <c r="S272" s="51" t="str">
        <f>IF(AND(Table4[[#This Row],[USD_Spend]]&gt;=$B$5,Table4[[#This Row],[Sales]]&lt;=$B$6),"Wasted Budget","Spend Justified")</f>
        <v>Spend Justified</v>
      </c>
      <c r="T272" s="51" t="str">
        <f>IF(AND(Table4[[#This Row],[Clicks]]&gt;=$B$7,Table4[[#This Row],[Sales]]&lt;=$B$6),"Poor Monetization","Normal Monitization")</f>
        <v>Normal Monitization</v>
      </c>
    </row>
    <row r="273" spans="1:20" x14ac:dyDescent="0.35">
      <c r="A273" s="41" t="s">
        <v>27</v>
      </c>
      <c r="B273" s="41" t="s">
        <v>19</v>
      </c>
      <c r="C273" s="41" t="s">
        <v>20</v>
      </c>
      <c r="D273" s="41" t="s">
        <v>21</v>
      </c>
      <c r="E273" s="41" t="s">
        <v>22</v>
      </c>
      <c r="F273" s="41">
        <v>9804.5</v>
      </c>
      <c r="G273" s="41">
        <v>490921</v>
      </c>
      <c r="H273" s="41">
        <v>32712</v>
      </c>
      <c r="I273" s="41">
        <v>214575.71</v>
      </c>
      <c r="J273" s="41">
        <v>6</v>
      </c>
      <c r="K273" s="42">
        <f t="shared" si="21"/>
        <v>6.6633939065552303E-2</v>
      </c>
      <c r="L273" s="43">
        <f t="shared" si="22"/>
        <v>21.885431179560406</v>
      </c>
      <c r="M273" s="43">
        <f t="shared" si="23"/>
        <v>20.885431179560406</v>
      </c>
      <c r="N273" s="43">
        <f t="shared" si="24"/>
        <v>6.5595411469797016</v>
      </c>
      <c r="O273" s="1" t="str">
        <f t="shared" si="20"/>
        <v>Normal</v>
      </c>
      <c r="P273" s="51" t="str">
        <f>IF(Table4[[#This Row],[Sales]]&lt;=$B$3,"Normal","High Revenue")</f>
        <v>Normal</v>
      </c>
      <c r="Q273" s="51" t="str">
        <f>IF(Table4[[#This Row],[CTR]]&lt;=$B$4,"Normal","High CTR")</f>
        <v>Normal</v>
      </c>
      <c r="R273" s="51" t="str">
        <f>IF(Table4[[#This Row],[ROAS]]&lt;1,"Poor",IF(Table4[[#This Row],[ROAS]]&lt;3,"Average",IF(Table4[[#This Row],[ROAS]]&lt;5,"Good",
"Excellent")))</f>
        <v>Excellent</v>
      </c>
      <c r="S273" s="51" t="str">
        <f>IF(AND(Table4[[#This Row],[USD_Spend]]&gt;=$B$5,Table4[[#This Row],[Sales]]&lt;=$B$6),"Wasted Budget","Spend Justified")</f>
        <v>Spend Justified</v>
      </c>
      <c r="T273" s="51" t="str">
        <f>IF(AND(Table4[[#This Row],[Clicks]]&gt;=$B$7,Table4[[#This Row],[Sales]]&lt;=$B$6),"Poor Monetization","Normal Monitization")</f>
        <v>Normal Monitization</v>
      </c>
    </row>
    <row r="274" spans="1:20" x14ac:dyDescent="0.35">
      <c r="A274" s="38" t="s">
        <v>79</v>
      </c>
      <c r="B274" s="38" t="s">
        <v>28</v>
      </c>
      <c r="C274" s="38" t="s">
        <v>69</v>
      </c>
      <c r="D274" s="38" t="s">
        <v>37</v>
      </c>
      <c r="E274" s="38" t="s">
        <v>22</v>
      </c>
      <c r="F274" s="38">
        <v>10611.46</v>
      </c>
      <c r="G274" s="38">
        <v>425011</v>
      </c>
      <c r="H274" s="38">
        <v>8677</v>
      </c>
      <c r="I274" s="38">
        <v>169564.1</v>
      </c>
      <c r="J274" s="38">
        <v>48</v>
      </c>
      <c r="K274" s="39">
        <f t="shared" si="21"/>
        <v>2.0415942175614279E-2</v>
      </c>
      <c r="L274" s="40">
        <f t="shared" si="22"/>
        <v>15.979337433303241</v>
      </c>
      <c r="M274" s="40">
        <f t="shared" si="23"/>
        <v>14.979337433303243</v>
      </c>
      <c r="N274" s="40">
        <f t="shared" si="24"/>
        <v>19.541788636625562</v>
      </c>
      <c r="O274" s="1" t="str">
        <f t="shared" si="20"/>
        <v>Normal</v>
      </c>
      <c r="P274" s="51" t="str">
        <f>IF(Table4[[#This Row],[Sales]]&lt;=$B$3,"Normal","High Revenue")</f>
        <v>Normal</v>
      </c>
      <c r="Q274" s="51" t="str">
        <f>IF(Table4[[#This Row],[CTR]]&lt;=$B$4,"Normal","High CTR")</f>
        <v>Normal</v>
      </c>
      <c r="R274" s="51" t="str">
        <f>IF(Table4[[#This Row],[ROAS]]&lt;1,"Poor",IF(Table4[[#This Row],[ROAS]]&lt;3,"Average",IF(Table4[[#This Row],[ROAS]]&lt;5,"Good",
"Excellent")))</f>
        <v>Excellent</v>
      </c>
      <c r="S274" s="51" t="str">
        <f>IF(AND(Table4[[#This Row],[USD_Spend]]&gt;=$B$5,Table4[[#This Row],[Sales]]&lt;=$B$6),"Wasted Budget","Spend Justified")</f>
        <v>Spend Justified</v>
      </c>
      <c r="T274" s="51" t="str">
        <f>IF(AND(Table4[[#This Row],[Clicks]]&gt;=$B$7,Table4[[#This Row],[Sales]]&lt;=$B$6),"Poor Monetization","Normal Monitization")</f>
        <v>Normal Monitization</v>
      </c>
    </row>
    <row r="275" spans="1:20" x14ac:dyDescent="0.35">
      <c r="A275" s="41" t="s">
        <v>101</v>
      </c>
      <c r="B275" s="41" t="s">
        <v>48</v>
      </c>
      <c r="C275" s="41" t="s">
        <v>29</v>
      </c>
      <c r="D275" s="41" t="s">
        <v>37</v>
      </c>
      <c r="E275" s="41" t="s">
        <v>38</v>
      </c>
      <c r="F275" s="41">
        <v>7066.41</v>
      </c>
      <c r="G275" s="41">
        <v>158433</v>
      </c>
      <c r="H275" s="41">
        <v>46260</v>
      </c>
      <c r="I275" s="41">
        <v>201980.7</v>
      </c>
      <c r="J275" s="41">
        <v>40</v>
      </c>
      <c r="K275" s="42">
        <f t="shared" si="21"/>
        <v>0.29198462441536799</v>
      </c>
      <c r="L275" s="43">
        <f t="shared" si="22"/>
        <v>28.583212692159105</v>
      </c>
      <c r="M275" s="43">
        <f t="shared" si="23"/>
        <v>27.583212692159105</v>
      </c>
      <c r="N275" s="43">
        <f t="shared" si="24"/>
        <v>4.3662062256809344</v>
      </c>
      <c r="O275" s="1" t="str">
        <f t="shared" si="20"/>
        <v>Normal</v>
      </c>
      <c r="P275" s="51" t="str">
        <f>IF(Table4[[#This Row],[Sales]]&lt;=$B$3,"Normal","High Revenue")</f>
        <v>Normal</v>
      </c>
      <c r="Q275" s="51" t="str">
        <f>IF(Table4[[#This Row],[CTR]]&lt;=$B$4,"Normal","High CTR")</f>
        <v>Normal</v>
      </c>
      <c r="R275" s="51" t="str">
        <f>IF(Table4[[#This Row],[ROAS]]&lt;1,"Poor",IF(Table4[[#This Row],[ROAS]]&lt;3,"Average",IF(Table4[[#This Row],[ROAS]]&lt;5,"Good",
"Excellent")))</f>
        <v>Excellent</v>
      </c>
      <c r="S275" s="51" t="str">
        <f>IF(AND(Table4[[#This Row],[USD_Spend]]&gt;=$B$5,Table4[[#This Row],[Sales]]&lt;=$B$6),"Wasted Budget","Spend Justified")</f>
        <v>Spend Justified</v>
      </c>
      <c r="T275" s="51" t="str">
        <f>IF(AND(Table4[[#This Row],[Clicks]]&gt;=$B$7,Table4[[#This Row],[Sales]]&lt;=$B$6),"Poor Monetization","Normal Monitization")</f>
        <v>Normal Monitization</v>
      </c>
    </row>
    <row r="276" spans="1:20" x14ac:dyDescent="0.35">
      <c r="A276" s="38" t="s">
        <v>75</v>
      </c>
      <c r="B276" s="38" t="s">
        <v>28</v>
      </c>
      <c r="C276" s="38" t="s">
        <v>58</v>
      </c>
      <c r="D276" s="38" t="s">
        <v>51</v>
      </c>
      <c r="E276" s="38" t="s">
        <v>38</v>
      </c>
      <c r="F276" s="38">
        <v>37844.6</v>
      </c>
      <c r="G276" s="38">
        <v>506574</v>
      </c>
      <c r="H276" s="38">
        <v>7669</v>
      </c>
      <c r="I276" s="38">
        <v>80546.58</v>
      </c>
      <c r="J276" s="38">
        <v>16</v>
      </c>
      <c r="K276" s="39">
        <f t="shared" si="21"/>
        <v>1.5138953045359612E-2</v>
      </c>
      <c r="L276" s="40">
        <f t="shared" si="22"/>
        <v>2.1283506761862987</v>
      </c>
      <c r="M276" s="40">
        <f t="shared" si="23"/>
        <v>1.1283506761862989</v>
      </c>
      <c r="N276" s="40">
        <f t="shared" si="24"/>
        <v>10.502879123744947</v>
      </c>
      <c r="O276" s="1" t="str">
        <f t="shared" si="20"/>
        <v>Normal</v>
      </c>
      <c r="P276" s="51" t="str">
        <f>IF(Table4[[#This Row],[Sales]]&lt;=$B$3,"Normal","High Revenue")</f>
        <v>Normal</v>
      </c>
      <c r="Q276" s="51" t="str">
        <f>IF(Table4[[#This Row],[CTR]]&lt;=$B$4,"Normal","High CTR")</f>
        <v>Normal</v>
      </c>
      <c r="R276" s="51" t="str">
        <f>IF(Table4[[#This Row],[ROAS]]&lt;1,"Poor",IF(Table4[[#This Row],[ROAS]]&lt;3,"Average",IF(Table4[[#This Row],[ROAS]]&lt;5,"Good",
"Excellent")))</f>
        <v>Average</v>
      </c>
      <c r="S276" s="51" t="str">
        <f>IF(AND(Table4[[#This Row],[USD_Spend]]&gt;=$B$5,Table4[[#This Row],[Sales]]&lt;=$B$6),"Wasted Budget","Spend Justified")</f>
        <v>Spend Justified</v>
      </c>
      <c r="T276" s="51" t="str">
        <f>IF(AND(Table4[[#This Row],[Clicks]]&gt;=$B$7,Table4[[#This Row],[Sales]]&lt;=$B$6),"Poor Monetization","Normal Monitization")</f>
        <v>Normal Monitization</v>
      </c>
    </row>
    <row r="277" spans="1:20" x14ac:dyDescent="0.35">
      <c r="A277" s="41" t="s">
        <v>68</v>
      </c>
      <c r="B277" s="41" t="s">
        <v>28</v>
      </c>
      <c r="C277" s="41" t="s">
        <v>20</v>
      </c>
      <c r="D277" s="41" t="s">
        <v>59</v>
      </c>
      <c r="E277" s="41" t="s">
        <v>38</v>
      </c>
      <c r="F277" s="41">
        <v>24577.439999999999</v>
      </c>
      <c r="G277" s="41">
        <v>255770</v>
      </c>
      <c r="H277" s="41">
        <v>26045</v>
      </c>
      <c r="I277" s="41">
        <v>58555.46</v>
      </c>
      <c r="J277" s="41">
        <v>20</v>
      </c>
      <c r="K277" s="42">
        <f t="shared" si="21"/>
        <v>0.10182976893302577</v>
      </c>
      <c r="L277" s="43">
        <f t="shared" si="22"/>
        <v>2.3824881680109891</v>
      </c>
      <c r="M277" s="43">
        <f t="shared" si="23"/>
        <v>1.3824881680109893</v>
      </c>
      <c r="N277" s="43">
        <f t="shared" si="24"/>
        <v>2.2482418890382032</v>
      </c>
      <c r="O277" s="1" t="str">
        <f t="shared" si="20"/>
        <v>Normal</v>
      </c>
      <c r="P277" s="51" t="str">
        <f>IF(Table4[[#This Row],[Sales]]&lt;=$B$3,"Normal","High Revenue")</f>
        <v>Normal</v>
      </c>
      <c r="Q277" s="51" t="str">
        <f>IF(Table4[[#This Row],[CTR]]&lt;=$B$4,"Normal","High CTR")</f>
        <v>Normal</v>
      </c>
      <c r="R277" s="51" t="str">
        <f>IF(Table4[[#This Row],[ROAS]]&lt;1,"Poor",IF(Table4[[#This Row],[ROAS]]&lt;3,"Average",IF(Table4[[#This Row],[ROAS]]&lt;5,"Good",
"Excellent")))</f>
        <v>Average</v>
      </c>
      <c r="S277" s="51" t="str">
        <f>IF(AND(Table4[[#This Row],[USD_Spend]]&gt;=$B$5,Table4[[#This Row],[Sales]]&lt;=$B$6),"Wasted Budget","Spend Justified")</f>
        <v>Wasted Budget</v>
      </c>
      <c r="T277" s="51" t="str">
        <f>IF(AND(Table4[[#This Row],[Clicks]]&gt;=$B$7,Table4[[#This Row],[Sales]]&lt;=$B$6),"Poor Monetization","Normal Monitization")</f>
        <v>Normal Monitization</v>
      </c>
    </row>
    <row r="278" spans="1:20" x14ac:dyDescent="0.35">
      <c r="A278" s="38" t="s">
        <v>77</v>
      </c>
      <c r="B278" s="38" t="s">
        <v>28</v>
      </c>
      <c r="C278" s="38" t="s">
        <v>20</v>
      </c>
      <c r="D278" s="38" t="s">
        <v>63</v>
      </c>
      <c r="E278" s="38" t="s">
        <v>38</v>
      </c>
      <c r="F278" s="38">
        <v>2844.22</v>
      </c>
      <c r="G278" s="38">
        <v>705732</v>
      </c>
      <c r="H278" s="38">
        <v>40397</v>
      </c>
      <c r="I278" s="38">
        <v>20893.900000000001</v>
      </c>
      <c r="J278" s="38">
        <v>52</v>
      </c>
      <c r="K278" s="39">
        <f t="shared" si="21"/>
        <v>5.7241275725062775E-2</v>
      </c>
      <c r="L278" s="40">
        <f t="shared" si="22"/>
        <v>7.3460913712722657</v>
      </c>
      <c r="M278" s="40">
        <f t="shared" si="23"/>
        <v>6.3460913712722649</v>
      </c>
      <c r="N278" s="40">
        <f t="shared" si="24"/>
        <v>0.51721414956556189</v>
      </c>
      <c r="O278" s="1" t="str">
        <f t="shared" si="20"/>
        <v>Normal</v>
      </c>
      <c r="P278" s="51" t="str">
        <f>IF(Table4[[#This Row],[Sales]]&lt;=$B$3,"Normal","High Revenue")</f>
        <v>Normal</v>
      </c>
      <c r="Q278" s="51" t="str">
        <f>IF(Table4[[#This Row],[CTR]]&lt;=$B$4,"Normal","High CTR")</f>
        <v>Normal</v>
      </c>
      <c r="R278" s="51" t="str">
        <f>IF(Table4[[#This Row],[ROAS]]&lt;1,"Poor",IF(Table4[[#This Row],[ROAS]]&lt;3,"Average",IF(Table4[[#This Row],[ROAS]]&lt;5,"Good",
"Excellent")))</f>
        <v>Excellent</v>
      </c>
      <c r="S278" s="51" t="str">
        <f>IF(AND(Table4[[#This Row],[USD_Spend]]&gt;=$B$5,Table4[[#This Row],[Sales]]&lt;=$B$6),"Wasted Budget","Spend Justified")</f>
        <v>Spend Justified</v>
      </c>
      <c r="T278" s="51" t="str">
        <f>IF(AND(Table4[[#This Row],[Clicks]]&gt;=$B$7,Table4[[#This Row],[Sales]]&lt;=$B$6),"Poor Monetization","Normal Monitization")</f>
        <v>Poor Monetization</v>
      </c>
    </row>
    <row r="279" spans="1:20" x14ac:dyDescent="0.35">
      <c r="A279" s="41" t="s">
        <v>101</v>
      </c>
      <c r="B279" s="41" t="s">
        <v>48</v>
      </c>
      <c r="C279" s="41" t="s">
        <v>29</v>
      </c>
      <c r="D279" s="41" t="s">
        <v>51</v>
      </c>
      <c r="E279" s="41" t="s">
        <v>30</v>
      </c>
      <c r="F279" s="41">
        <v>8916.2000000000007</v>
      </c>
      <c r="G279" s="41">
        <v>33536</v>
      </c>
      <c r="H279" s="41">
        <v>16069</v>
      </c>
      <c r="I279" s="41">
        <v>15570.36</v>
      </c>
      <c r="J279" s="41">
        <v>43</v>
      </c>
      <c r="K279" s="42">
        <f t="shared" si="21"/>
        <v>0.47915672709923662</v>
      </c>
      <c r="L279" s="43">
        <f t="shared" si="22"/>
        <v>1.7462999932706758</v>
      </c>
      <c r="M279" s="43">
        <f t="shared" si="23"/>
        <v>0.74629999327067575</v>
      </c>
      <c r="N279" s="43">
        <f t="shared" si="24"/>
        <v>0.96896882195531775</v>
      </c>
      <c r="O279" s="1" t="str">
        <f t="shared" si="20"/>
        <v>Normal</v>
      </c>
      <c r="P279" s="51" t="str">
        <f>IF(Table4[[#This Row],[Sales]]&lt;=$B$3,"Normal","High Revenue")</f>
        <v>Normal</v>
      </c>
      <c r="Q279" s="51" t="str">
        <f>IF(Table4[[#This Row],[CTR]]&lt;=$B$4,"Normal","High CTR")</f>
        <v>High CTR</v>
      </c>
      <c r="R279" s="51" t="str">
        <f>IF(Table4[[#This Row],[ROAS]]&lt;1,"Poor",IF(Table4[[#This Row],[ROAS]]&lt;3,"Average",IF(Table4[[#This Row],[ROAS]]&lt;5,"Good",
"Excellent")))</f>
        <v>Average</v>
      </c>
      <c r="S279" s="51" t="str">
        <f>IF(AND(Table4[[#This Row],[USD_Spend]]&gt;=$B$5,Table4[[#This Row],[Sales]]&lt;=$B$6),"Wasted Budget","Spend Justified")</f>
        <v>Wasted Budget</v>
      </c>
      <c r="T279" s="51" t="str">
        <f>IF(AND(Table4[[#This Row],[Clicks]]&gt;=$B$7,Table4[[#This Row],[Sales]]&lt;=$B$6),"Poor Monetization","Normal Monitization")</f>
        <v>Normal Monitization</v>
      </c>
    </row>
    <row r="280" spans="1:20" x14ac:dyDescent="0.35">
      <c r="A280" s="38" t="s">
        <v>18</v>
      </c>
      <c r="B280" s="38" t="s">
        <v>35</v>
      </c>
      <c r="C280" s="38" t="s">
        <v>20</v>
      </c>
      <c r="D280" s="38" t="s">
        <v>43</v>
      </c>
      <c r="E280" s="38" t="s">
        <v>30</v>
      </c>
      <c r="F280" s="38">
        <v>23904.18</v>
      </c>
      <c r="G280" s="38">
        <v>294263</v>
      </c>
      <c r="H280" s="38">
        <v>3151</v>
      </c>
      <c r="I280" s="38">
        <v>231419.02</v>
      </c>
      <c r="J280" s="38">
        <v>61</v>
      </c>
      <c r="K280" s="39">
        <f t="shared" si="21"/>
        <v>1.0708108053000208E-2</v>
      </c>
      <c r="L280" s="40">
        <f t="shared" si="22"/>
        <v>9.6811110023435223</v>
      </c>
      <c r="M280" s="40">
        <f t="shared" si="23"/>
        <v>8.6811110023435223</v>
      </c>
      <c r="N280" s="40">
        <f t="shared" si="24"/>
        <v>73.443040304665189</v>
      </c>
      <c r="O280" s="1" t="str">
        <f t="shared" si="20"/>
        <v>Normal</v>
      </c>
      <c r="P280" s="51" t="str">
        <f>IF(Table4[[#This Row],[Sales]]&lt;=$B$3,"Normal","High Revenue")</f>
        <v>Normal</v>
      </c>
      <c r="Q280" s="51" t="str">
        <f>IF(Table4[[#This Row],[CTR]]&lt;=$B$4,"Normal","High CTR")</f>
        <v>Normal</v>
      </c>
      <c r="R280" s="51" t="str">
        <f>IF(Table4[[#This Row],[ROAS]]&lt;1,"Poor",IF(Table4[[#This Row],[ROAS]]&lt;3,"Average",IF(Table4[[#This Row],[ROAS]]&lt;5,"Good",
"Excellent")))</f>
        <v>Excellent</v>
      </c>
      <c r="S280" s="51" t="str">
        <f>IF(AND(Table4[[#This Row],[USD_Spend]]&gt;=$B$5,Table4[[#This Row],[Sales]]&lt;=$B$6),"Wasted Budget","Spend Justified")</f>
        <v>Spend Justified</v>
      </c>
      <c r="T280" s="51" t="str">
        <f>IF(AND(Table4[[#This Row],[Clicks]]&gt;=$B$7,Table4[[#This Row],[Sales]]&lt;=$B$6),"Poor Monetization","Normal Monitization")</f>
        <v>Normal Monitization</v>
      </c>
    </row>
    <row r="281" spans="1:20" x14ac:dyDescent="0.35">
      <c r="A281" s="41" t="s">
        <v>84</v>
      </c>
      <c r="B281" s="41" t="s">
        <v>28</v>
      </c>
      <c r="C281" s="41" t="s">
        <v>36</v>
      </c>
      <c r="D281" s="41" t="s">
        <v>21</v>
      </c>
      <c r="E281" s="41" t="s">
        <v>38</v>
      </c>
      <c r="F281" s="41">
        <v>2626.76</v>
      </c>
      <c r="G281" s="41">
        <v>348869</v>
      </c>
      <c r="H281" s="41">
        <v>3739</v>
      </c>
      <c r="I281" s="41">
        <v>187231</v>
      </c>
      <c r="J281" s="41">
        <v>61</v>
      </c>
      <c r="K281" s="42">
        <f t="shared" si="21"/>
        <v>1.0717489946082914E-2</v>
      </c>
      <c r="L281" s="43">
        <f t="shared" si="22"/>
        <v>71.278304831808001</v>
      </c>
      <c r="M281" s="43">
        <f t="shared" si="23"/>
        <v>70.278304831808001</v>
      </c>
      <c r="N281" s="43">
        <f t="shared" si="24"/>
        <v>50.075153784434342</v>
      </c>
      <c r="O281" s="1" t="str">
        <f t="shared" si="20"/>
        <v>Normal</v>
      </c>
      <c r="P281" s="51" t="str">
        <f>IF(Table4[[#This Row],[Sales]]&lt;=$B$3,"Normal","High Revenue")</f>
        <v>Normal</v>
      </c>
      <c r="Q281" s="51" t="str">
        <f>IF(Table4[[#This Row],[CTR]]&lt;=$B$4,"Normal","High CTR")</f>
        <v>Normal</v>
      </c>
      <c r="R281" s="51" t="str">
        <f>IF(Table4[[#This Row],[ROAS]]&lt;1,"Poor",IF(Table4[[#This Row],[ROAS]]&lt;3,"Average",IF(Table4[[#This Row],[ROAS]]&lt;5,"Good",
"Excellent")))</f>
        <v>Excellent</v>
      </c>
      <c r="S281" s="51" t="str">
        <f>IF(AND(Table4[[#This Row],[USD_Spend]]&gt;=$B$5,Table4[[#This Row],[Sales]]&lt;=$B$6),"Wasted Budget","Spend Justified")</f>
        <v>Spend Justified</v>
      </c>
      <c r="T281" s="51" t="str">
        <f>IF(AND(Table4[[#This Row],[Clicks]]&gt;=$B$7,Table4[[#This Row],[Sales]]&lt;=$B$6),"Poor Monetization","Normal Monitization")</f>
        <v>Normal Monitization</v>
      </c>
    </row>
    <row r="282" spans="1:20" x14ac:dyDescent="0.35">
      <c r="A282" s="38" t="s">
        <v>71</v>
      </c>
      <c r="B282" s="38" t="s">
        <v>19</v>
      </c>
      <c r="C282" s="38" t="s">
        <v>58</v>
      </c>
      <c r="D282" s="38" t="s">
        <v>51</v>
      </c>
      <c r="E282" s="38" t="s">
        <v>38</v>
      </c>
      <c r="F282" s="38">
        <v>1266.02</v>
      </c>
      <c r="G282" s="38">
        <v>139144</v>
      </c>
      <c r="H282" s="38">
        <v>24124</v>
      </c>
      <c r="I282" s="38">
        <v>179221.97</v>
      </c>
      <c r="J282" s="38">
        <v>52</v>
      </c>
      <c r="K282" s="39">
        <f t="shared" si="21"/>
        <v>0.17337434600126489</v>
      </c>
      <c r="L282" s="40">
        <f t="shared" si="22"/>
        <v>141.56330073774507</v>
      </c>
      <c r="M282" s="40">
        <f t="shared" si="23"/>
        <v>140.56330073774507</v>
      </c>
      <c r="N282" s="40">
        <f t="shared" si="24"/>
        <v>7.4291978942132317</v>
      </c>
      <c r="O282" s="1" t="str">
        <f t="shared" si="20"/>
        <v>Normal</v>
      </c>
      <c r="P282" s="51" t="str">
        <f>IF(Table4[[#This Row],[Sales]]&lt;=$B$3,"Normal","High Revenue")</f>
        <v>Normal</v>
      </c>
      <c r="Q282" s="51" t="str">
        <f>IF(Table4[[#This Row],[CTR]]&lt;=$B$4,"Normal","High CTR")</f>
        <v>Normal</v>
      </c>
      <c r="R282" s="51" t="str">
        <f>IF(Table4[[#This Row],[ROAS]]&lt;1,"Poor",IF(Table4[[#This Row],[ROAS]]&lt;3,"Average",IF(Table4[[#This Row],[ROAS]]&lt;5,"Good",
"Excellent")))</f>
        <v>Excellent</v>
      </c>
      <c r="S282" s="51" t="str">
        <f>IF(AND(Table4[[#This Row],[USD_Spend]]&gt;=$B$5,Table4[[#This Row],[Sales]]&lt;=$B$6),"Wasted Budget","Spend Justified")</f>
        <v>Spend Justified</v>
      </c>
      <c r="T282" s="51" t="str">
        <f>IF(AND(Table4[[#This Row],[Clicks]]&gt;=$B$7,Table4[[#This Row],[Sales]]&lt;=$B$6),"Poor Monetization","Normal Monitization")</f>
        <v>Normal Monitization</v>
      </c>
    </row>
    <row r="283" spans="1:20" x14ac:dyDescent="0.35">
      <c r="A283" s="41" t="s">
        <v>117</v>
      </c>
      <c r="B283" s="41" t="s">
        <v>48</v>
      </c>
      <c r="C283" s="41" t="s">
        <v>29</v>
      </c>
      <c r="D283" s="41" t="s">
        <v>63</v>
      </c>
      <c r="E283" s="41" t="s">
        <v>30</v>
      </c>
      <c r="F283" s="41">
        <v>5449.15</v>
      </c>
      <c r="G283" s="41">
        <v>486660</v>
      </c>
      <c r="H283" s="41">
        <v>2608</v>
      </c>
      <c r="I283" s="41">
        <v>138544.9</v>
      </c>
      <c r="J283" s="41">
        <v>50</v>
      </c>
      <c r="K283" s="42">
        <f t="shared" si="21"/>
        <v>5.358977520240003E-3</v>
      </c>
      <c r="L283" s="43">
        <f t="shared" si="22"/>
        <v>25.425047943257205</v>
      </c>
      <c r="M283" s="43">
        <f t="shared" si="23"/>
        <v>24.425047943257209</v>
      </c>
      <c r="N283" s="43">
        <f t="shared" si="24"/>
        <v>53.123044478527603</v>
      </c>
      <c r="O283" s="1" t="str">
        <f t="shared" si="20"/>
        <v>Normal</v>
      </c>
      <c r="P283" s="51" t="str">
        <f>IF(Table4[[#This Row],[Sales]]&lt;=$B$3,"Normal","High Revenue")</f>
        <v>Normal</v>
      </c>
      <c r="Q283" s="51" t="str">
        <f>IF(Table4[[#This Row],[CTR]]&lt;=$B$4,"Normal","High CTR")</f>
        <v>Normal</v>
      </c>
      <c r="R283" s="51" t="str">
        <f>IF(Table4[[#This Row],[ROAS]]&lt;1,"Poor",IF(Table4[[#This Row],[ROAS]]&lt;3,"Average",IF(Table4[[#This Row],[ROAS]]&lt;5,"Good",
"Excellent")))</f>
        <v>Excellent</v>
      </c>
      <c r="S283" s="51" t="str">
        <f>IF(AND(Table4[[#This Row],[USD_Spend]]&gt;=$B$5,Table4[[#This Row],[Sales]]&lt;=$B$6),"Wasted Budget","Spend Justified")</f>
        <v>Spend Justified</v>
      </c>
      <c r="T283" s="51" t="str">
        <f>IF(AND(Table4[[#This Row],[Clicks]]&gt;=$B$7,Table4[[#This Row],[Sales]]&lt;=$B$6),"Poor Monetization","Normal Monitization")</f>
        <v>Normal Monitization</v>
      </c>
    </row>
    <row r="284" spans="1:20" x14ac:dyDescent="0.35">
      <c r="A284" s="38" t="s">
        <v>120</v>
      </c>
      <c r="B284" s="38" t="s">
        <v>35</v>
      </c>
      <c r="C284" s="38" t="s">
        <v>36</v>
      </c>
      <c r="D284" s="38" t="s">
        <v>21</v>
      </c>
      <c r="E284" s="38" t="s">
        <v>30</v>
      </c>
      <c r="F284" s="38">
        <v>3452.81</v>
      </c>
      <c r="G284" s="38">
        <v>554676</v>
      </c>
      <c r="H284" s="38">
        <v>44663</v>
      </c>
      <c r="I284" s="38">
        <v>114041.38</v>
      </c>
      <c r="J284" s="38">
        <v>36</v>
      </c>
      <c r="K284" s="39">
        <f t="shared" si="21"/>
        <v>8.0520880658258159E-2</v>
      </c>
      <c r="L284" s="40">
        <f t="shared" si="22"/>
        <v>33.028570932081408</v>
      </c>
      <c r="M284" s="40">
        <f t="shared" si="23"/>
        <v>32.028570932081408</v>
      </c>
      <c r="N284" s="40">
        <f t="shared" si="24"/>
        <v>2.5533748292770304</v>
      </c>
      <c r="O284" s="1" t="str">
        <f t="shared" si="20"/>
        <v>Normal</v>
      </c>
      <c r="P284" s="51" t="str">
        <f>IF(Table4[[#This Row],[Sales]]&lt;=$B$3,"Normal","High Revenue")</f>
        <v>Normal</v>
      </c>
      <c r="Q284" s="51" t="str">
        <f>IF(Table4[[#This Row],[CTR]]&lt;=$B$4,"Normal","High CTR")</f>
        <v>Normal</v>
      </c>
      <c r="R284" s="51" t="str">
        <f>IF(Table4[[#This Row],[ROAS]]&lt;1,"Poor",IF(Table4[[#This Row],[ROAS]]&lt;3,"Average",IF(Table4[[#This Row],[ROAS]]&lt;5,"Good",
"Excellent")))</f>
        <v>Excellent</v>
      </c>
      <c r="S284" s="51" t="str">
        <f>IF(AND(Table4[[#This Row],[USD_Spend]]&gt;=$B$5,Table4[[#This Row],[Sales]]&lt;=$B$6),"Wasted Budget","Spend Justified")</f>
        <v>Spend Justified</v>
      </c>
      <c r="T284" s="51" t="str">
        <f>IF(AND(Table4[[#This Row],[Clicks]]&gt;=$B$7,Table4[[#This Row],[Sales]]&lt;=$B$6),"Poor Monetization","Normal Monitization")</f>
        <v>Normal Monitization</v>
      </c>
    </row>
    <row r="285" spans="1:20" x14ac:dyDescent="0.35">
      <c r="A285" s="41" t="s">
        <v>97</v>
      </c>
      <c r="B285" s="41" t="s">
        <v>48</v>
      </c>
      <c r="C285" s="41" t="s">
        <v>20</v>
      </c>
      <c r="D285" s="41" t="s">
        <v>59</v>
      </c>
      <c r="E285" s="41" t="s">
        <v>22</v>
      </c>
      <c r="F285" s="41">
        <v>11312.11</v>
      </c>
      <c r="G285" s="41">
        <v>253949</v>
      </c>
      <c r="H285" s="41">
        <v>36907</v>
      </c>
      <c r="I285" s="41">
        <v>21227.61</v>
      </c>
      <c r="J285" s="41">
        <v>35</v>
      </c>
      <c r="K285" s="42">
        <f t="shared" si="21"/>
        <v>0.1453323305073066</v>
      </c>
      <c r="L285" s="43">
        <f t="shared" si="22"/>
        <v>1.8765385060788835</v>
      </c>
      <c r="M285" s="43">
        <f t="shared" si="23"/>
        <v>0.87653850607888351</v>
      </c>
      <c r="N285" s="43">
        <f t="shared" si="24"/>
        <v>0.57516487387216519</v>
      </c>
      <c r="O285" s="1" t="str">
        <f t="shared" si="20"/>
        <v>Normal</v>
      </c>
      <c r="P285" s="51" t="str">
        <f>IF(Table4[[#This Row],[Sales]]&lt;=$B$3,"Normal","High Revenue")</f>
        <v>Normal</v>
      </c>
      <c r="Q285" s="51" t="str">
        <f>IF(Table4[[#This Row],[CTR]]&lt;=$B$4,"Normal","High CTR")</f>
        <v>Normal</v>
      </c>
      <c r="R285" s="51" t="str">
        <f>IF(Table4[[#This Row],[ROAS]]&lt;1,"Poor",IF(Table4[[#This Row],[ROAS]]&lt;3,"Average",IF(Table4[[#This Row],[ROAS]]&lt;5,"Good",
"Excellent")))</f>
        <v>Average</v>
      </c>
      <c r="S285" s="51" t="str">
        <f>IF(AND(Table4[[#This Row],[USD_Spend]]&gt;=$B$5,Table4[[#This Row],[Sales]]&lt;=$B$6),"Wasted Budget","Spend Justified")</f>
        <v>Wasted Budget</v>
      </c>
      <c r="T285" s="51" t="str">
        <f>IF(AND(Table4[[#This Row],[Clicks]]&gt;=$B$7,Table4[[#This Row],[Sales]]&lt;=$B$6),"Poor Monetization","Normal Monitization")</f>
        <v>Normal Monitization</v>
      </c>
    </row>
    <row r="286" spans="1:20" x14ac:dyDescent="0.35">
      <c r="A286" s="38" t="s">
        <v>72</v>
      </c>
      <c r="B286" s="38" t="s">
        <v>19</v>
      </c>
      <c r="C286" s="38" t="s">
        <v>58</v>
      </c>
      <c r="D286" s="38" t="s">
        <v>43</v>
      </c>
      <c r="E286" s="38" t="s">
        <v>38</v>
      </c>
      <c r="F286" s="38">
        <v>25527.439999999999</v>
      </c>
      <c r="G286" s="38">
        <v>238026</v>
      </c>
      <c r="H286" s="38">
        <v>20076</v>
      </c>
      <c r="I286" s="38">
        <v>232631.71</v>
      </c>
      <c r="J286" s="38">
        <v>6</v>
      </c>
      <c r="K286" s="39">
        <f t="shared" si="21"/>
        <v>8.4343727155856918E-2</v>
      </c>
      <c r="L286" s="40">
        <f t="shared" si="22"/>
        <v>9.1130058478249296</v>
      </c>
      <c r="M286" s="40">
        <f t="shared" si="23"/>
        <v>8.1130058478249296</v>
      </c>
      <c r="N286" s="40">
        <f t="shared" si="24"/>
        <v>11.587552799362422</v>
      </c>
      <c r="O286" s="1" t="str">
        <f t="shared" si="20"/>
        <v>Normal</v>
      </c>
      <c r="P286" s="51" t="str">
        <f>IF(Table4[[#This Row],[Sales]]&lt;=$B$3,"Normal","High Revenue")</f>
        <v>Normal</v>
      </c>
      <c r="Q286" s="51" t="str">
        <f>IF(Table4[[#This Row],[CTR]]&lt;=$B$4,"Normal","High CTR")</f>
        <v>Normal</v>
      </c>
      <c r="R286" s="51" t="str">
        <f>IF(Table4[[#This Row],[ROAS]]&lt;1,"Poor",IF(Table4[[#This Row],[ROAS]]&lt;3,"Average",IF(Table4[[#This Row],[ROAS]]&lt;5,"Good",
"Excellent")))</f>
        <v>Excellent</v>
      </c>
      <c r="S286" s="51" t="str">
        <f>IF(AND(Table4[[#This Row],[USD_Spend]]&gt;=$B$5,Table4[[#This Row],[Sales]]&lt;=$B$6),"Wasted Budget","Spend Justified")</f>
        <v>Spend Justified</v>
      </c>
      <c r="T286" s="51" t="str">
        <f>IF(AND(Table4[[#This Row],[Clicks]]&gt;=$B$7,Table4[[#This Row],[Sales]]&lt;=$B$6),"Poor Monetization","Normal Monitization")</f>
        <v>Normal Monitization</v>
      </c>
    </row>
    <row r="287" spans="1:20" x14ac:dyDescent="0.35">
      <c r="A287" s="41" t="s">
        <v>71</v>
      </c>
      <c r="B287" s="41" t="s">
        <v>28</v>
      </c>
      <c r="C287" s="41" t="s">
        <v>58</v>
      </c>
      <c r="D287" s="41" t="s">
        <v>59</v>
      </c>
      <c r="E287" s="41" t="s">
        <v>22</v>
      </c>
      <c r="F287" s="41">
        <v>8405.9699999999993</v>
      </c>
      <c r="G287" s="41">
        <v>608782</v>
      </c>
      <c r="H287" s="41">
        <v>37862</v>
      </c>
      <c r="I287" s="41">
        <v>120804.4</v>
      </c>
      <c r="J287" s="41">
        <v>40</v>
      </c>
      <c r="K287" s="42">
        <f t="shared" si="21"/>
        <v>6.2193034616660807E-2</v>
      </c>
      <c r="L287" s="43">
        <f t="shared" si="22"/>
        <v>14.371262329035199</v>
      </c>
      <c r="M287" s="43">
        <f t="shared" si="23"/>
        <v>13.371262329035197</v>
      </c>
      <c r="N287" s="43">
        <f t="shared" si="24"/>
        <v>3.1906502561935448</v>
      </c>
      <c r="O287" s="1" t="str">
        <f t="shared" si="20"/>
        <v>Normal</v>
      </c>
      <c r="P287" s="51" t="str">
        <f>IF(Table4[[#This Row],[Sales]]&lt;=$B$3,"Normal","High Revenue")</f>
        <v>Normal</v>
      </c>
      <c r="Q287" s="51" t="str">
        <f>IF(Table4[[#This Row],[CTR]]&lt;=$B$4,"Normal","High CTR")</f>
        <v>Normal</v>
      </c>
      <c r="R287" s="51" t="str">
        <f>IF(Table4[[#This Row],[ROAS]]&lt;1,"Poor",IF(Table4[[#This Row],[ROAS]]&lt;3,"Average",IF(Table4[[#This Row],[ROAS]]&lt;5,"Good",
"Excellent")))</f>
        <v>Excellent</v>
      </c>
      <c r="S287" s="51" t="str">
        <f>IF(AND(Table4[[#This Row],[USD_Spend]]&gt;=$B$5,Table4[[#This Row],[Sales]]&lt;=$B$6),"Wasted Budget","Spend Justified")</f>
        <v>Spend Justified</v>
      </c>
      <c r="T287" s="51" t="str">
        <f>IF(AND(Table4[[#This Row],[Clicks]]&gt;=$B$7,Table4[[#This Row],[Sales]]&lt;=$B$6),"Poor Monetization","Normal Monitization")</f>
        <v>Normal Monitization</v>
      </c>
    </row>
    <row r="288" spans="1:20" x14ac:dyDescent="0.35">
      <c r="A288" s="38" t="s">
        <v>72</v>
      </c>
      <c r="B288" s="38" t="s">
        <v>19</v>
      </c>
      <c r="C288" s="38" t="s">
        <v>36</v>
      </c>
      <c r="D288" s="38" t="s">
        <v>59</v>
      </c>
      <c r="E288" s="38" t="s">
        <v>30</v>
      </c>
      <c r="F288" s="38">
        <v>2035.23</v>
      </c>
      <c r="G288" s="38">
        <v>771538</v>
      </c>
      <c r="H288" s="38">
        <v>9935</v>
      </c>
      <c r="I288" s="38">
        <v>98366.97</v>
      </c>
      <c r="J288" s="38">
        <v>30</v>
      </c>
      <c r="K288" s="39">
        <f t="shared" si="21"/>
        <v>1.2876877094841732E-2</v>
      </c>
      <c r="L288" s="40">
        <f t="shared" si="22"/>
        <v>48.33211479783612</v>
      </c>
      <c r="M288" s="40">
        <f t="shared" si="23"/>
        <v>47.33211479783612</v>
      </c>
      <c r="N288" s="40">
        <f t="shared" si="24"/>
        <v>9.9010538500251641</v>
      </c>
      <c r="O288" s="1" t="str">
        <f t="shared" si="20"/>
        <v>Normal</v>
      </c>
      <c r="P288" s="51" t="str">
        <f>IF(Table4[[#This Row],[Sales]]&lt;=$B$3,"Normal","High Revenue")</f>
        <v>Normal</v>
      </c>
      <c r="Q288" s="51" t="str">
        <f>IF(Table4[[#This Row],[CTR]]&lt;=$B$4,"Normal","High CTR")</f>
        <v>Normal</v>
      </c>
      <c r="R288" s="51" t="str">
        <f>IF(Table4[[#This Row],[ROAS]]&lt;1,"Poor",IF(Table4[[#This Row],[ROAS]]&lt;3,"Average",IF(Table4[[#This Row],[ROAS]]&lt;5,"Good",
"Excellent")))</f>
        <v>Excellent</v>
      </c>
      <c r="S288" s="51" t="str">
        <f>IF(AND(Table4[[#This Row],[USD_Spend]]&gt;=$B$5,Table4[[#This Row],[Sales]]&lt;=$B$6),"Wasted Budget","Spend Justified")</f>
        <v>Spend Justified</v>
      </c>
      <c r="T288" s="51" t="str">
        <f>IF(AND(Table4[[#This Row],[Clicks]]&gt;=$B$7,Table4[[#This Row],[Sales]]&lt;=$B$6),"Poor Monetization","Normal Monitization")</f>
        <v>Normal Monitization</v>
      </c>
    </row>
    <row r="289" spans="1:20" x14ac:dyDescent="0.35">
      <c r="A289" s="41" t="s">
        <v>111</v>
      </c>
      <c r="B289" s="41" t="s">
        <v>35</v>
      </c>
      <c r="C289" s="41" t="s">
        <v>36</v>
      </c>
      <c r="D289" s="41" t="s">
        <v>63</v>
      </c>
      <c r="E289" s="41" t="s">
        <v>38</v>
      </c>
      <c r="F289" s="41">
        <v>2678.62</v>
      </c>
      <c r="G289" s="41">
        <v>722641</v>
      </c>
      <c r="H289" s="41">
        <v>37903</v>
      </c>
      <c r="I289" s="41">
        <v>239000.59</v>
      </c>
      <c r="J289" s="41">
        <v>28</v>
      </c>
      <c r="K289" s="42">
        <f t="shared" si="21"/>
        <v>5.2450663607517427E-2</v>
      </c>
      <c r="L289" s="43">
        <f t="shared" si="22"/>
        <v>89.225268981789128</v>
      </c>
      <c r="M289" s="43">
        <f t="shared" si="23"/>
        <v>88.225268981789128</v>
      </c>
      <c r="N289" s="43">
        <f t="shared" si="24"/>
        <v>6.3055850460385718</v>
      </c>
      <c r="O289" s="1" t="str">
        <f t="shared" si="20"/>
        <v>Normal</v>
      </c>
      <c r="P289" s="51" t="str">
        <f>IF(Table4[[#This Row],[Sales]]&lt;=$B$3,"Normal","High Revenue")</f>
        <v>High Revenue</v>
      </c>
      <c r="Q289" s="51" t="str">
        <f>IF(Table4[[#This Row],[CTR]]&lt;=$B$4,"Normal","High CTR")</f>
        <v>Normal</v>
      </c>
      <c r="R289" s="51" t="str">
        <f>IF(Table4[[#This Row],[ROAS]]&lt;1,"Poor",IF(Table4[[#This Row],[ROAS]]&lt;3,"Average",IF(Table4[[#This Row],[ROAS]]&lt;5,"Good",
"Excellent")))</f>
        <v>Excellent</v>
      </c>
      <c r="S289" s="51" t="str">
        <f>IF(AND(Table4[[#This Row],[USD_Spend]]&gt;=$B$5,Table4[[#This Row],[Sales]]&lt;=$B$6),"Wasted Budget","Spend Justified")</f>
        <v>Spend Justified</v>
      </c>
      <c r="T289" s="51" t="str">
        <f>IF(AND(Table4[[#This Row],[Clicks]]&gt;=$B$7,Table4[[#This Row],[Sales]]&lt;=$B$6),"Poor Monetization","Normal Monitization")</f>
        <v>Normal Monitization</v>
      </c>
    </row>
    <row r="290" spans="1:20" x14ac:dyDescent="0.35">
      <c r="A290" s="38" t="s">
        <v>34</v>
      </c>
      <c r="B290" s="38" t="s">
        <v>48</v>
      </c>
      <c r="C290" s="38" t="s">
        <v>29</v>
      </c>
      <c r="D290" s="38" t="s">
        <v>21</v>
      </c>
      <c r="E290" s="38" t="s">
        <v>30</v>
      </c>
      <c r="F290" s="38">
        <v>5473.43</v>
      </c>
      <c r="G290" s="38">
        <v>801662</v>
      </c>
      <c r="H290" s="38">
        <v>41789</v>
      </c>
      <c r="I290" s="38">
        <v>203410.65</v>
      </c>
      <c r="J290" s="38">
        <v>58</v>
      </c>
      <c r="K290" s="39">
        <f t="shared" si="21"/>
        <v>5.2127954175201018E-2</v>
      </c>
      <c r="L290" s="40">
        <f t="shared" si="22"/>
        <v>37.163287006502316</v>
      </c>
      <c r="M290" s="40">
        <f t="shared" si="23"/>
        <v>36.163287006502323</v>
      </c>
      <c r="N290" s="40">
        <f t="shared" si="24"/>
        <v>4.8675644308310799</v>
      </c>
      <c r="O290" s="1" t="str">
        <f t="shared" si="20"/>
        <v>Normal</v>
      </c>
      <c r="P290" s="51" t="str">
        <f>IF(Table4[[#This Row],[Sales]]&lt;=$B$3,"Normal","High Revenue")</f>
        <v>Normal</v>
      </c>
      <c r="Q290" s="51" t="str">
        <f>IF(Table4[[#This Row],[CTR]]&lt;=$B$4,"Normal","High CTR")</f>
        <v>Normal</v>
      </c>
      <c r="R290" s="51" t="str">
        <f>IF(Table4[[#This Row],[ROAS]]&lt;1,"Poor",IF(Table4[[#This Row],[ROAS]]&lt;3,"Average",IF(Table4[[#This Row],[ROAS]]&lt;5,"Good",
"Excellent")))</f>
        <v>Excellent</v>
      </c>
      <c r="S290" s="51" t="str">
        <f>IF(AND(Table4[[#This Row],[USD_Spend]]&gt;=$B$5,Table4[[#This Row],[Sales]]&lt;=$B$6),"Wasted Budget","Spend Justified")</f>
        <v>Spend Justified</v>
      </c>
      <c r="T290" s="51" t="str">
        <f>IF(AND(Table4[[#This Row],[Clicks]]&gt;=$B$7,Table4[[#This Row],[Sales]]&lt;=$B$6),"Poor Monetization","Normal Monitization")</f>
        <v>Normal Monitization</v>
      </c>
    </row>
    <row r="291" spans="1:20" x14ac:dyDescent="0.35">
      <c r="A291" s="41" t="s">
        <v>27</v>
      </c>
      <c r="B291" s="41" t="s">
        <v>28</v>
      </c>
      <c r="C291" s="41" t="s">
        <v>29</v>
      </c>
      <c r="D291" s="41" t="s">
        <v>21</v>
      </c>
      <c r="E291" s="41" t="s">
        <v>30</v>
      </c>
      <c r="F291" s="41">
        <v>1071.72</v>
      </c>
      <c r="G291" s="41">
        <v>218496</v>
      </c>
      <c r="H291" s="41">
        <v>47025</v>
      </c>
      <c r="I291" s="41">
        <v>164221.69</v>
      </c>
      <c r="J291" s="41">
        <v>20</v>
      </c>
      <c r="K291" s="42">
        <f t="shared" si="21"/>
        <v>0.21522133128295254</v>
      </c>
      <c r="L291" s="43">
        <f t="shared" si="22"/>
        <v>153.23189825700743</v>
      </c>
      <c r="M291" s="43">
        <f t="shared" si="23"/>
        <v>152.23189825700743</v>
      </c>
      <c r="N291" s="43">
        <f t="shared" si="24"/>
        <v>3.492220946305157</v>
      </c>
      <c r="O291" s="1" t="str">
        <f t="shared" si="20"/>
        <v>Normal</v>
      </c>
      <c r="P291" s="51" t="str">
        <f>IF(Table4[[#This Row],[Sales]]&lt;=$B$3,"Normal","High Revenue")</f>
        <v>Normal</v>
      </c>
      <c r="Q291" s="51" t="str">
        <f>IF(Table4[[#This Row],[CTR]]&lt;=$B$4,"Normal","High CTR")</f>
        <v>Normal</v>
      </c>
      <c r="R291" s="51" t="str">
        <f>IF(Table4[[#This Row],[ROAS]]&lt;1,"Poor",IF(Table4[[#This Row],[ROAS]]&lt;3,"Average",IF(Table4[[#This Row],[ROAS]]&lt;5,"Good",
"Excellent")))</f>
        <v>Excellent</v>
      </c>
      <c r="S291" s="51" t="str">
        <f>IF(AND(Table4[[#This Row],[USD_Spend]]&gt;=$B$5,Table4[[#This Row],[Sales]]&lt;=$B$6),"Wasted Budget","Spend Justified")</f>
        <v>Spend Justified</v>
      </c>
      <c r="T291" s="51" t="str">
        <f>IF(AND(Table4[[#This Row],[Clicks]]&gt;=$B$7,Table4[[#This Row],[Sales]]&lt;=$B$6),"Poor Monetization","Normal Monitization")</f>
        <v>Normal Monitization</v>
      </c>
    </row>
    <row r="292" spans="1:20" x14ac:dyDescent="0.35">
      <c r="A292" s="38" t="s">
        <v>95</v>
      </c>
      <c r="B292" s="38" t="s">
        <v>48</v>
      </c>
      <c r="C292" s="38" t="s">
        <v>69</v>
      </c>
      <c r="D292" s="38" t="s">
        <v>63</v>
      </c>
      <c r="E292" s="38" t="s">
        <v>38</v>
      </c>
      <c r="F292" s="38">
        <v>3702.69</v>
      </c>
      <c r="G292" s="38">
        <v>224353</v>
      </c>
      <c r="H292" s="38">
        <v>19853</v>
      </c>
      <c r="I292" s="38">
        <v>236604.4</v>
      </c>
      <c r="J292" s="38">
        <v>31</v>
      </c>
      <c r="K292" s="39">
        <f t="shared" si="21"/>
        <v>8.8490013505502493E-2</v>
      </c>
      <c r="L292" s="40">
        <f t="shared" si="22"/>
        <v>63.900677615463351</v>
      </c>
      <c r="M292" s="40">
        <f t="shared" si="23"/>
        <v>62.900677615463351</v>
      </c>
      <c r="N292" s="40">
        <f t="shared" si="24"/>
        <v>11.917815947212008</v>
      </c>
      <c r="O292" s="1" t="str">
        <f t="shared" si="20"/>
        <v>Normal</v>
      </c>
      <c r="P292" s="51" t="str">
        <f>IF(Table4[[#This Row],[Sales]]&lt;=$B$3,"Normal","High Revenue")</f>
        <v>High Revenue</v>
      </c>
      <c r="Q292" s="51" t="str">
        <f>IF(Table4[[#This Row],[CTR]]&lt;=$B$4,"Normal","High CTR")</f>
        <v>Normal</v>
      </c>
      <c r="R292" s="51" t="str">
        <f>IF(Table4[[#This Row],[ROAS]]&lt;1,"Poor",IF(Table4[[#This Row],[ROAS]]&lt;3,"Average",IF(Table4[[#This Row],[ROAS]]&lt;5,"Good",
"Excellent")))</f>
        <v>Excellent</v>
      </c>
      <c r="S292" s="51" t="str">
        <f>IF(AND(Table4[[#This Row],[USD_Spend]]&gt;=$B$5,Table4[[#This Row],[Sales]]&lt;=$B$6),"Wasted Budget","Spend Justified")</f>
        <v>Spend Justified</v>
      </c>
      <c r="T292" s="51" t="str">
        <f>IF(AND(Table4[[#This Row],[Clicks]]&gt;=$B$7,Table4[[#This Row],[Sales]]&lt;=$B$6),"Poor Monetization","Normal Monitization")</f>
        <v>Normal Monitization</v>
      </c>
    </row>
    <row r="293" spans="1:20" x14ac:dyDescent="0.35">
      <c r="A293" s="41" t="s">
        <v>18</v>
      </c>
      <c r="B293" s="41" t="s">
        <v>35</v>
      </c>
      <c r="C293" s="41" t="s">
        <v>69</v>
      </c>
      <c r="D293" s="41" t="s">
        <v>51</v>
      </c>
      <c r="E293" s="41" t="s">
        <v>30</v>
      </c>
      <c r="F293" s="41">
        <v>3680.97</v>
      </c>
      <c r="G293" s="41">
        <v>551704</v>
      </c>
      <c r="H293" s="41">
        <v>40287</v>
      </c>
      <c r="I293" s="41">
        <v>202855.86</v>
      </c>
      <c r="J293" s="41">
        <v>22</v>
      </c>
      <c r="K293" s="42">
        <f t="shared" si="21"/>
        <v>7.3022852834128446E-2</v>
      </c>
      <c r="L293" s="43">
        <f t="shared" si="22"/>
        <v>55.109348894449013</v>
      </c>
      <c r="M293" s="43">
        <f t="shared" si="23"/>
        <v>54.109348894449013</v>
      </c>
      <c r="N293" s="43">
        <f t="shared" si="24"/>
        <v>5.0352684488792905</v>
      </c>
      <c r="O293" s="1" t="str">
        <f t="shared" si="20"/>
        <v>Normal</v>
      </c>
      <c r="P293" s="51" t="str">
        <f>IF(Table4[[#This Row],[Sales]]&lt;=$B$3,"Normal","High Revenue")</f>
        <v>Normal</v>
      </c>
      <c r="Q293" s="51" t="str">
        <f>IF(Table4[[#This Row],[CTR]]&lt;=$B$4,"Normal","High CTR")</f>
        <v>Normal</v>
      </c>
      <c r="R293" s="51" t="str">
        <f>IF(Table4[[#This Row],[ROAS]]&lt;1,"Poor",IF(Table4[[#This Row],[ROAS]]&lt;3,"Average",IF(Table4[[#This Row],[ROAS]]&lt;5,"Good",
"Excellent")))</f>
        <v>Excellent</v>
      </c>
      <c r="S293" s="51" t="str">
        <f>IF(AND(Table4[[#This Row],[USD_Spend]]&gt;=$B$5,Table4[[#This Row],[Sales]]&lt;=$B$6),"Wasted Budget","Spend Justified")</f>
        <v>Spend Justified</v>
      </c>
      <c r="T293" s="51" t="str">
        <f>IF(AND(Table4[[#This Row],[Clicks]]&gt;=$B$7,Table4[[#This Row],[Sales]]&lt;=$B$6),"Poor Monetization","Normal Monitization")</f>
        <v>Normal Monitization</v>
      </c>
    </row>
    <row r="294" spans="1:20" x14ac:dyDescent="0.35">
      <c r="A294" s="38" t="s">
        <v>27</v>
      </c>
      <c r="B294" s="38" t="s">
        <v>19</v>
      </c>
      <c r="C294" s="38" t="s">
        <v>20</v>
      </c>
      <c r="D294" s="38" t="s">
        <v>63</v>
      </c>
      <c r="E294" s="38" t="s">
        <v>38</v>
      </c>
      <c r="F294" s="38">
        <v>2176.69</v>
      </c>
      <c r="G294" s="38">
        <v>848095</v>
      </c>
      <c r="H294" s="38">
        <v>27833</v>
      </c>
      <c r="I294" s="38">
        <v>122188.42</v>
      </c>
      <c r="J294" s="38">
        <v>54</v>
      </c>
      <c r="K294" s="39">
        <f t="shared" si="21"/>
        <v>3.2818257388618023E-2</v>
      </c>
      <c r="L294" s="40">
        <f t="shared" si="22"/>
        <v>56.134966393928394</v>
      </c>
      <c r="M294" s="40">
        <f t="shared" si="23"/>
        <v>55.134966393928394</v>
      </c>
      <c r="N294" s="40">
        <f t="shared" si="24"/>
        <v>4.3900556892896923</v>
      </c>
      <c r="O294" s="1" t="str">
        <f t="shared" si="20"/>
        <v>Normal</v>
      </c>
      <c r="P294" s="51" t="str">
        <f>IF(Table4[[#This Row],[Sales]]&lt;=$B$3,"Normal","High Revenue")</f>
        <v>Normal</v>
      </c>
      <c r="Q294" s="51" t="str">
        <f>IF(Table4[[#This Row],[CTR]]&lt;=$B$4,"Normal","High CTR")</f>
        <v>Normal</v>
      </c>
      <c r="R294" s="51" t="str">
        <f>IF(Table4[[#This Row],[ROAS]]&lt;1,"Poor",IF(Table4[[#This Row],[ROAS]]&lt;3,"Average",IF(Table4[[#This Row],[ROAS]]&lt;5,"Good",
"Excellent")))</f>
        <v>Excellent</v>
      </c>
      <c r="S294" s="51" t="str">
        <f>IF(AND(Table4[[#This Row],[USD_Spend]]&gt;=$B$5,Table4[[#This Row],[Sales]]&lt;=$B$6),"Wasted Budget","Spend Justified")</f>
        <v>Spend Justified</v>
      </c>
      <c r="T294" s="51" t="str">
        <f>IF(AND(Table4[[#This Row],[Clicks]]&gt;=$B$7,Table4[[#This Row],[Sales]]&lt;=$B$6),"Poor Monetization","Normal Monitization")</f>
        <v>Normal Monitization</v>
      </c>
    </row>
    <row r="295" spans="1:20" x14ac:dyDescent="0.35">
      <c r="A295" s="41" t="s">
        <v>111</v>
      </c>
      <c r="B295" s="41" t="s">
        <v>28</v>
      </c>
      <c r="C295" s="41" t="s">
        <v>58</v>
      </c>
      <c r="D295" s="41" t="s">
        <v>51</v>
      </c>
      <c r="E295" s="41" t="s">
        <v>30</v>
      </c>
      <c r="F295" s="41">
        <v>25339.57</v>
      </c>
      <c r="G295" s="41">
        <v>731068</v>
      </c>
      <c r="H295" s="41">
        <v>37798</v>
      </c>
      <c r="I295" s="41">
        <v>59152.78</v>
      </c>
      <c r="J295" s="41">
        <v>38</v>
      </c>
      <c r="K295" s="42">
        <f t="shared" si="21"/>
        <v>5.1702440812619349E-2</v>
      </c>
      <c r="L295" s="43">
        <f t="shared" si="22"/>
        <v>2.3344034646207494</v>
      </c>
      <c r="M295" s="43">
        <f t="shared" si="23"/>
        <v>1.3344034646207492</v>
      </c>
      <c r="N295" s="43">
        <f t="shared" si="24"/>
        <v>1.5649711624953702</v>
      </c>
      <c r="O295" s="1" t="str">
        <f t="shared" si="20"/>
        <v>Normal</v>
      </c>
      <c r="P295" s="51" t="str">
        <f>IF(Table4[[#This Row],[Sales]]&lt;=$B$3,"Normal","High Revenue")</f>
        <v>Normal</v>
      </c>
      <c r="Q295" s="51" t="str">
        <f>IF(Table4[[#This Row],[CTR]]&lt;=$B$4,"Normal","High CTR")</f>
        <v>Normal</v>
      </c>
      <c r="R295" s="51" t="str">
        <f>IF(Table4[[#This Row],[ROAS]]&lt;1,"Poor",IF(Table4[[#This Row],[ROAS]]&lt;3,"Average",IF(Table4[[#This Row],[ROAS]]&lt;5,"Good",
"Excellent")))</f>
        <v>Average</v>
      </c>
      <c r="S295" s="51" t="str">
        <f>IF(AND(Table4[[#This Row],[USD_Spend]]&gt;=$B$5,Table4[[#This Row],[Sales]]&lt;=$B$6),"Wasted Budget","Spend Justified")</f>
        <v>Wasted Budget</v>
      </c>
      <c r="T295" s="51" t="str">
        <f>IF(AND(Table4[[#This Row],[Clicks]]&gt;=$B$7,Table4[[#This Row],[Sales]]&lt;=$B$6),"Poor Monetization","Normal Monitization")</f>
        <v>Normal Monitization</v>
      </c>
    </row>
    <row r="296" spans="1:20" x14ac:dyDescent="0.35">
      <c r="A296" s="38" t="s">
        <v>90</v>
      </c>
      <c r="B296" s="38" t="s">
        <v>35</v>
      </c>
      <c r="C296" s="38" t="s">
        <v>58</v>
      </c>
      <c r="D296" s="38" t="s">
        <v>37</v>
      </c>
      <c r="E296" s="38" t="s">
        <v>38</v>
      </c>
      <c r="F296" s="38">
        <v>12504.39</v>
      </c>
      <c r="G296" s="38">
        <v>450897</v>
      </c>
      <c r="H296" s="38">
        <v>21813</v>
      </c>
      <c r="I296" s="38">
        <v>96062.2</v>
      </c>
      <c r="J296" s="38">
        <v>28</v>
      </c>
      <c r="K296" s="39">
        <f t="shared" si="21"/>
        <v>4.8376902041929751E-2</v>
      </c>
      <c r="L296" s="40">
        <f t="shared" si="22"/>
        <v>7.6822779839720292</v>
      </c>
      <c r="M296" s="40">
        <f t="shared" si="23"/>
        <v>6.6822779839720292</v>
      </c>
      <c r="N296" s="40">
        <f t="shared" si="24"/>
        <v>4.4038967588135511</v>
      </c>
      <c r="O296" s="1" t="str">
        <f t="shared" si="20"/>
        <v>Normal</v>
      </c>
      <c r="P296" s="51" t="str">
        <f>IF(Table4[[#This Row],[Sales]]&lt;=$B$3,"Normal","High Revenue")</f>
        <v>Normal</v>
      </c>
      <c r="Q296" s="51" t="str">
        <f>IF(Table4[[#This Row],[CTR]]&lt;=$B$4,"Normal","High CTR")</f>
        <v>Normal</v>
      </c>
      <c r="R296" s="51" t="str">
        <f>IF(Table4[[#This Row],[ROAS]]&lt;1,"Poor",IF(Table4[[#This Row],[ROAS]]&lt;3,"Average",IF(Table4[[#This Row],[ROAS]]&lt;5,"Good",
"Excellent")))</f>
        <v>Excellent</v>
      </c>
      <c r="S296" s="51" t="str">
        <f>IF(AND(Table4[[#This Row],[USD_Spend]]&gt;=$B$5,Table4[[#This Row],[Sales]]&lt;=$B$6),"Wasted Budget","Spend Justified")</f>
        <v>Spend Justified</v>
      </c>
      <c r="T296" s="51" t="str">
        <f>IF(AND(Table4[[#This Row],[Clicks]]&gt;=$B$7,Table4[[#This Row],[Sales]]&lt;=$B$6),"Poor Monetization","Normal Monitization")</f>
        <v>Normal Monitization</v>
      </c>
    </row>
    <row r="297" spans="1:20" x14ac:dyDescent="0.35">
      <c r="A297" s="41" t="s">
        <v>106</v>
      </c>
      <c r="B297" s="41" t="s">
        <v>19</v>
      </c>
      <c r="C297" s="41" t="s">
        <v>58</v>
      </c>
      <c r="D297" s="41" t="s">
        <v>51</v>
      </c>
      <c r="E297" s="41" t="s">
        <v>22</v>
      </c>
      <c r="F297" s="41">
        <v>7711.32</v>
      </c>
      <c r="G297" s="41">
        <v>247580</v>
      </c>
      <c r="H297" s="41">
        <v>20247</v>
      </c>
      <c r="I297" s="41">
        <v>35709.32</v>
      </c>
      <c r="J297" s="41">
        <v>14</v>
      </c>
      <c r="K297" s="42">
        <f t="shared" si="21"/>
        <v>8.177962678730108E-2</v>
      </c>
      <c r="L297" s="43">
        <f t="shared" si="22"/>
        <v>4.6307661982643697</v>
      </c>
      <c r="M297" s="43">
        <f t="shared" si="23"/>
        <v>3.6307661982643697</v>
      </c>
      <c r="N297" s="43">
        <f t="shared" si="24"/>
        <v>1.7636844964686127</v>
      </c>
      <c r="O297" s="1" t="str">
        <f t="shared" si="20"/>
        <v>Normal</v>
      </c>
      <c r="P297" s="51" t="str">
        <f>IF(Table4[[#This Row],[Sales]]&lt;=$B$3,"Normal","High Revenue")</f>
        <v>Normal</v>
      </c>
      <c r="Q297" s="51" t="str">
        <f>IF(Table4[[#This Row],[CTR]]&lt;=$B$4,"Normal","High CTR")</f>
        <v>Normal</v>
      </c>
      <c r="R297" s="51" t="str">
        <f>IF(Table4[[#This Row],[ROAS]]&lt;1,"Poor",IF(Table4[[#This Row],[ROAS]]&lt;3,"Average",IF(Table4[[#This Row],[ROAS]]&lt;5,"Good",
"Excellent")))</f>
        <v>Good</v>
      </c>
      <c r="S297" s="51" t="str">
        <f>IF(AND(Table4[[#This Row],[USD_Spend]]&gt;=$B$5,Table4[[#This Row],[Sales]]&lt;=$B$6),"Wasted Budget","Spend Justified")</f>
        <v>Wasted Budget</v>
      </c>
      <c r="T297" s="51" t="str">
        <f>IF(AND(Table4[[#This Row],[Clicks]]&gt;=$B$7,Table4[[#This Row],[Sales]]&lt;=$B$6),"Poor Monetization","Normal Monitization")</f>
        <v>Normal Monitization</v>
      </c>
    </row>
    <row r="298" spans="1:20" x14ac:dyDescent="0.35">
      <c r="A298" s="38" t="s">
        <v>101</v>
      </c>
      <c r="B298" s="38" t="s">
        <v>19</v>
      </c>
      <c r="C298" s="38" t="s">
        <v>69</v>
      </c>
      <c r="D298" s="38" t="s">
        <v>63</v>
      </c>
      <c r="E298" s="38" t="s">
        <v>22</v>
      </c>
      <c r="F298" s="38">
        <v>23553.08</v>
      </c>
      <c r="G298" s="38">
        <v>253390</v>
      </c>
      <c r="H298" s="38">
        <v>29400</v>
      </c>
      <c r="I298" s="38">
        <v>95606.3</v>
      </c>
      <c r="J298" s="38">
        <v>42</v>
      </c>
      <c r="K298" s="39">
        <f t="shared" si="21"/>
        <v>0.11602667824302458</v>
      </c>
      <c r="L298" s="40">
        <f t="shared" si="22"/>
        <v>4.0591846161945693</v>
      </c>
      <c r="M298" s="40">
        <f t="shared" si="23"/>
        <v>3.0591846161945697</v>
      </c>
      <c r="N298" s="40">
        <f t="shared" si="24"/>
        <v>3.2519149659863946</v>
      </c>
      <c r="O298" s="1" t="str">
        <f t="shared" si="20"/>
        <v>Normal</v>
      </c>
      <c r="P298" s="51" t="str">
        <f>IF(Table4[[#This Row],[Sales]]&lt;=$B$3,"Normal","High Revenue")</f>
        <v>Normal</v>
      </c>
      <c r="Q298" s="51" t="str">
        <f>IF(Table4[[#This Row],[CTR]]&lt;=$B$4,"Normal","High CTR")</f>
        <v>Normal</v>
      </c>
      <c r="R298" s="51" t="str">
        <f>IF(Table4[[#This Row],[ROAS]]&lt;1,"Poor",IF(Table4[[#This Row],[ROAS]]&lt;3,"Average",IF(Table4[[#This Row],[ROAS]]&lt;5,"Good",
"Excellent")))</f>
        <v>Good</v>
      </c>
      <c r="S298" s="51" t="str">
        <f>IF(AND(Table4[[#This Row],[USD_Spend]]&gt;=$B$5,Table4[[#This Row],[Sales]]&lt;=$B$6),"Wasted Budget","Spend Justified")</f>
        <v>Spend Justified</v>
      </c>
      <c r="T298" s="51" t="str">
        <f>IF(AND(Table4[[#This Row],[Clicks]]&gt;=$B$7,Table4[[#This Row],[Sales]]&lt;=$B$6),"Poor Monetization","Normal Monitization")</f>
        <v>Normal Monitization</v>
      </c>
    </row>
    <row r="299" spans="1:20" x14ac:dyDescent="0.35">
      <c r="A299" s="41" t="s">
        <v>68</v>
      </c>
      <c r="B299" s="41" t="s">
        <v>35</v>
      </c>
      <c r="C299" s="41" t="s">
        <v>69</v>
      </c>
      <c r="D299" s="41" t="s">
        <v>63</v>
      </c>
      <c r="E299" s="41" t="s">
        <v>22</v>
      </c>
      <c r="F299" s="41">
        <v>9678.93</v>
      </c>
      <c r="G299" s="41">
        <v>446196</v>
      </c>
      <c r="H299" s="41">
        <v>47915</v>
      </c>
      <c r="I299" s="41">
        <v>28296.03</v>
      </c>
      <c r="J299" s="41">
        <v>32</v>
      </c>
      <c r="K299" s="42">
        <f t="shared" si="21"/>
        <v>0.10738554357277967</v>
      </c>
      <c r="L299" s="43">
        <f t="shared" si="22"/>
        <v>2.923466746840818</v>
      </c>
      <c r="M299" s="43">
        <f t="shared" si="23"/>
        <v>1.923466746840818</v>
      </c>
      <c r="N299" s="43">
        <f t="shared" si="24"/>
        <v>0.59054638422205985</v>
      </c>
      <c r="O299" s="1" t="str">
        <f t="shared" si="20"/>
        <v>Normal</v>
      </c>
      <c r="P299" s="51" t="str">
        <f>IF(Table4[[#This Row],[Sales]]&lt;=$B$3,"Normal","High Revenue")</f>
        <v>Normal</v>
      </c>
      <c r="Q299" s="51" t="str">
        <f>IF(Table4[[#This Row],[CTR]]&lt;=$B$4,"Normal","High CTR")</f>
        <v>Normal</v>
      </c>
      <c r="R299" s="51" t="str">
        <f>IF(Table4[[#This Row],[ROAS]]&lt;1,"Poor",IF(Table4[[#This Row],[ROAS]]&lt;3,"Average",IF(Table4[[#This Row],[ROAS]]&lt;5,"Good",
"Excellent")))</f>
        <v>Average</v>
      </c>
      <c r="S299" s="51" t="str">
        <f>IF(AND(Table4[[#This Row],[USD_Spend]]&gt;=$B$5,Table4[[#This Row],[Sales]]&lt;=$B$6),"Wasted Budget","Spend Justified")</f>
        <v>Wasted Budget</v>
      </c>
      <c r="T299" s="51" t="str">
        <f>IF(AND(Table4[[#This Row],[Clicks]]&gt;=$B$7,Table4[[#This Row],[Sales]]&lt;=$B$6),"Poor Monetization","Normal Monitization")</f>
        <v>Poor Monetization</v>
      </c>
    </row>
    <row r="300" spans="1:20" x14ac:dyDescent="0.35">
      <c r="A300" s="38" t="s">
        <v>105</v>
      </c>
      <c r="B300" s="38" t="s">
        <v>19</v>
      </c>
      <c r="C300" s="38" t="s">
        <v>20</v>
      </c>
      <c r="D300" s="38" t="s">
        <v>63</v>
      </c>
      <c r="E300" s="38" t="s">
        <v>22</v>
      </c>
      <c r="F300" s="38">
        <v>12835.55</v>
      </c>
      <c r="G300" s="38">
        <v>204760</v>
      </c>
      <c r="H300" s="38">
        <v>44644</v>
      </c>
      <c r="I300" s="38">
        <v>148539.4</v>
      </c>
      <c r="J300" s="38">
        <v>28</v>
      </c>
      <c r="K300" s="39">
        <f t="shared" si="21"/>
        <v>0.21803086540339911</v>
      </c>
      <c r="L300" s="40">
        <f t="shared" si="22"/>
        <v>11.572499814967026</v>
      </c>
      <c r="M300" s="40">
        <f t="shared" si="23"/>
        <v>10.572499814967026</v>
      </c>
      <c r="N300" s="40">
        <f t="shared" si="24"/>
        <v>3.3271973837469759</v>
      </c>
      <c r="O300" s="1" t="str">
        <f t="shared" si="20"/>
        <v>Normal</v>
      </c>
      <c r="P300" s="51" t="str">
        <f>IF(Table4[[#This Row],[Sales]]&lt;=$B$3,"Normal","High Revenue")</f>
        <v>Normal</v>
      </c>
      <c r="Q300" s="51" t="str">
        <f>IF(Table4[[#This Row],[CTR]]&lt;=$B$4,"Normal","High CTR")</f>
        <v>Normal</v>
      </c>
      <c r="R300" s="51" t="str">
        <f>IF(Table4[[#This Row],[ROAS]]&lt;1,"Poor",IF(Table4[[#This Row],[ROAS]]&lt;3,"Average",IF(Table4[[#This Row],[ROAS]]&lt;5,"Good",
"Excellent")))</f>
        <v>Excellent</v>
      </c>
      <c r="S300" s="51" t="str">
        <f>IF(AND(Table4[[#This Row],[USD_Spend]]&gt;=$B$5,Table4[[#This Row],[Sales]]&lt;=$B$6),"Wasted Budget","Spend Justified")</f>
        <v>Spend Justified</v>
      </c>
      <c r="T300" s="51" t="str">
        <f>IF(AND(Table4[[#This Row],[Clicks]]&gt;=$B$7,Table4[[#This Row],[Sales]]&lt;=$B$6),"Poor Monetization","Normal Monitization")</f>
        <v>Normal Monitization</v>
      </c>
    </row>
    <row r="301" spans="1:20" x14ac:dyDescent="0.35">
      <c r="A301" s="41" t="s">
        <v>85</v>
      </c>
      <c r="B301" s="41" t="s">
        <v>28</v>
      </c>
      <c r="C301" s="41" t="s">
        <v>58</v>
      </c>
      <c r="D301" s="41" t="s">
        <v>37</v>
      </c>
      <c r="E301" s="41" t="s">
        <v>38</v>
      </c>
      <c r="F301" s="41">
        <v>129.57</v>
      </c>
      <c r="G301" s="41">
        <v>614402</v>
      </c>
      <c r="H301" s="41">
        <v>20799</v>
      </c>
      <c r="I301" s="41">
        <v>140547.64000000001</v>
      </c>
      <c r="J301" s="41">
        <v>51</v>
      </c>
      <c r="K301" s="42">
        <f t="shared" si="21"/>
        <v>3.3852428865791449E-2</v>
      </c>
      <c r="L301" s="43">
        <f t="shared" si="22"/>
        <v>1084.7236242957476</v>
      </c>
      <c r="M301" s="43">
        <f t="shared" si="23"/>
        <v>1083.7236242957476</v>
      </c>
      <c r="N301" s="43">
        <f t="shared" si="24"/>
        <v>6.7574229530265884</v>
      </c>
      <c r="O301" s="1" t="str">
        <f t="shared" si="20"/>
        <v>Normal</v>
      </c>
      <c r="P301" s="51" t="str">
        <f>IF(Table4[[#This Row],[Sales]]&lt;=$B$3,"Normal","High Revenue")</f>
        <v>Normal</v>
      </c>
      <c r="Q301" s="51" t="str">
        <f>IF(Table4[[#This Row],[CTR]]&lt;=$B$4,"Normal","High CTR")</f>
        <v>Normal</v>
      </c>
      <c r="R301" s="51" t="str">
        <f>IF(Table4[[#This Row],[ROAS]]&lt;1,"Poor",IF(Table4[[#This Row],[ROAS]]&lt;3,"Average",IF(Table4[[#This Row],[ROAS]]&lt;5,"Good",
"Excellent")))</f>
        <v>Excellent</v>
      </c>
      <c r="S301" s="51" t="str">
        <f>IF(AND(Table4[[#This Row],[USD_Spend]]&gt;=$B$5,Table4[[#This Row],[Sales]]&lt;=$B$6),"Wasted Budget","Spend Justified")</f>
        <v>Spend Justified</v>
      </c>
      <c r="T301" s="51" t="str">
        <f>IF(AND(Table4[[#This Row],[Clicks]]&gt;=$B$7,Table4[[#This Row],[Sales]]&lt;=$B$6),"Poor Monetization","Normal Monitization")</f>
        <v>Normal Monitization</v>
      </c>
    </row>
    <row r="302" spans="1:20" x14ac:dyDescent="0.35">
      <c r="A302" s="38" t="s">
        <v>72</v>
      </c>
      <c r="B302" s="38" t="s">
        <v>19</v>
      </c>
      <c r="C302" s="38" t="s">
        <v>29</v>
      </c>
      <c r="D302" s="38" t="s">
        <v>51</v>
      </c>
      <c r="E302" s="38" t="s">
        <v>22</v>
      </c>
      <c r="F302" s="38">
        <v>1135.9000000000001</v>
      </c>
      <c r="G302" s="38">
        <v>713011</v>
      </c>
      <c r="H302" s="38">
        <v>29138</v>
      </c>
      <c r="I302" s="38">
        <v>185298.63</v>
      </c>
      <c r="J302" s="38">
        <v>31</v>
      </c>
      <c r="K302" s="39">
        <f t="shared" si="21"/>
        <v>4.0866129695053793E-2</v>
      </c>
      <c r="L302" s="40">
        <f t="shared" si="22"/>
        <v>163.12935117527951</v>
      </c>
      <c r="M302" s="40">
        <f t="shared" si="23"/>
        <v>162.12935117527951</v>
      </c>
      <c r="N302" s="40">
        <f t="shared" si="24"/>
        <v>6.3593462145651731</v>
      </c>
      <c r="O302" s="1" t="str">
        <f t="shared" si="20"/>
        <v>Normal</v>
      </c>
      <c r="P302" s="51" t="str">
        <f>IF(Table4[[#This Row],[Sales]]&lt;=$B$3,"Normal","High Revenue")</f>
        <v>Normal</v>
      </c>
      <c r="Q302" s="51" t="str">
        <f>IF(Table4[[#This Row],[CTR]]&lt;=$B$4,"Normal","High CTR")</f>
        <v>Normal</v>
      </c>
      <c r="R302" s="51" t="str">
        <f>IF(Table4[[#This Row],[ROAS]]&lt;1,"Poor",IF(Table4[[#This Row],[ROAS]]&lt;3,"Average",IF(Table4[[#This Row],[ROAS]]&lt;5,"Good",
"Excellent")))</f>
        <v>Excellent</v>
      </c>
      <c r="S302" s="51" t="str">
        <f>IF(AND(Table4[[#This Row],[USD_Spend]]&gt;=$B$5,Table4[[#This Row],[Sales]]&lt;=$B$6),"Wasted Budget","Spend Justified")</f>
        <v>Spend Justified</v>
      </c>
      <c r="T302" s="51" t="str">
        <f>IF(AND(Table4[[#This Row],[Clicks]]&gt;=$B$7,Table4[[#This Row],[Sales]]&lt;=$B$6),"Poor Monetization","Normal Monitization")</f>
        <v>Normal Monitization</v>
      </c>
    </row>
    <row r="303" spans="1:20" x14ac:dyDescent="0.35">
      <c r="A303" s="41" t="s">
        <v>102</v>
      </c>
      <c r="B303" s="41" t="s">
        <v>19</v>
      </c>
      <c r="C303" s="41" t="s">
        <v>69</v>
      </c>
      <c r="D303" s="41" t="s">
        <v>59</v>
      </c>
      <c r="E303" s="41" t="s">
        <v>38</v>
      </c>
      <c r="F303" s="41">
        <v>19869.900000000001</v>
      </c>
      <c r="G303" s="41">
        <v>501507</v>
      </c>
      <c r="H303" s="41">
        <v>47450</v>
      </c>
      <c r="I303" s="41">
        <v>204527.44</v>
      </c>
      <c r="J303" s="41">
        <v>39</v>
      </c>
      <c r="K303" s="42">
        <f t="shared" si="21"/>
        <v>9.4614830899668406E-2</v>
      </c>
      <c r="L303" s="43">
        <f t="shared" si="22"/>
        <v>10.293330112381039</v>
      </c>
      <c r="M303" s="43">
        <f t="shared" si="23"/>
        <v>9.2933301123810388</v>
      </c>
      <c r="N303" s="43">
        <f t="shared" si="24"/>
        <v>4.3103780821917805</v>
      </c>
      <c r="O303" s="1" t="str">
        <f t="shared" si="20"/>
        <v>Normal</v>
      </c>
      <c r="P303" s="51" t="str">
        <f>IF(Table4[[#This Row],[Sales]]&lt;=$B$3,"Normal","High Revenue")</f>
        <v>Normal</v>
      </c>
      <c r="Q303" s="51" t="str">
        <f>IF(Table4[[#This Row],[CTR]]&lt;=$B$4,"Normal","High CTR")</f>
        <v>Normal</v>
      </c>
      <c r="R303" s="51" t="str">
        <f>IF(Table4[[#This Row],[ROAS]]&lt;1,"Poor",IF(Table4[[#This Row],[ROAS]]&lt;3,"Average",IF(Table4[[#This Row],[ROAS]]&lt;5,"Good",
"Excellent")))</f>
        <v>Excellent</v>
      </c>
      <c r="S303" s="51" t="str">
        <f>IF(AND(Table4[[#This Row],[USD_Spend]]&gt;=$B$5,Table4[[#This Row],[Sales]]&lt;=$B$6),"Wasted Budget","Spend Justified")</f>
        <v>Spend Justified</v>
      </c>
      <c r="T303" s="51" t="str">
        <f>IF(AND(Table4[[#This Row],[Clicks]]&gt;=$B$7,Table4[[#This Row],[Sales]]&lt;=$B$6),"Poor Monetization","Normal Monitization")</f>
        <v>Normal Monitization</v>
      </c>
    </row>
    <row r="304" spans="1:20" x14ac:dyDescent="0.35">
      <c r="A304" s="38" t="s">
        <v>70</v>
      </c>
      <c r="B304" s="38" t="s">
        <v>35</v>
      </c>
      <c r="C304" s="38" t="s">
        <v>69</v>
      </c>
      <c r="D304" s="38" t="s">
        <v>43</v>
      </c>
      <c r="E304" s="38" t="s">
        <v>38</v>
      </c>
      <c r="F304" s="38">
        <v>20754.16</v>
      </c>
      <c r="G304" s="38">
        <v>129787</v>
      </c>
      <c r="H304" s="38">
        <v>1495</v>
      </c>
      <c r="I304" s="38">
        <v>127232.34</v>
      </c>
      <c r="J304" s="38">
        <v>50</v>
      </c>
      <c r="K304" s="39">
        <f t="shared" si="21"/>
        <v>1.1518873230755006E-2</v>
      </c>
      <c r="L304" s="40">
        <f t="shared" si="22"/>
        <v>6.1304499917125046</v>
      </c>
      <c r="M304" s="40">
        <f t="shared" si="23"/>
        <v>5.1304499917125046</v>
      </c>
      <c r="N304" s="40">
        <f t="shared" si="24"/>
        <v>85.105244147157194</v>
      </c>
      <c r="O304" s="1" t="str">
        <f t="shared" si="20"/>
        <v>Normal</v>
      </c>
      <c r="P304" s="51" t="str">
        <f>IF(Table4[[#This Row],[Sales]]&lt;=$B$3,"Normal","High Revenue")</f>
        <v>Normal</v>
      </c>
      <c r="Q304" s="51" t="str">
        <f>IF(Table4[[#This Row],[CTR]]&lt;=$B$4,"Normal","High CTR")</f>
        <v>Normal</v>
      </c>
      <c r="R304" s="51" t="str">
        <f>IF(Table4[[#This Row],[ROAS]]&lt;1,"Poor",IF(Table4[[#This Row],[ROAS]]&lt;3,"Average",IF(Table4[[#This Row],[ROAS]]&lt;5,"Good",
"Excellent")))</f>
        <v>Excellent</v>
      </c>
      <c r="S304" s="51" t="str">
        <f>IF(AND(Table4[[#This Row],[USD_Spend]]&gt;=$B$5,Table4[[#This Row],[Sales]]&lt;=$B$6),"Wasted Budget","Spend Justified")</f>
        <v>Spend Justified</v>
      </c>
      <c r="T304" s="51" t="str">
        <f>IF(AND(Table4[[#This Row],[Clicks]]&gt;=$B$7,Table4[[#This Row],[Sales]]&lt;=$B$6),"Poor Monetization","Normal Monitization")</f>
        <v>Normal Monitization</v>
      </c>
    </row>
    <row r="305" spans="1:20" x14ac:dyDescent="0.35">
      <c r="A305" s="41" t="s">
        <v>47</v>
      </c>
      <c r="B305" s="41" t="s">
        <v>48</v>
      </c>
      <c r="C305" s="41" t="s">
        <v>69</v>
      </c>
      <c r="D305" s="41" t="s">
        <v>63</v>
      </c>
      <c r="E305" s="41" t="s">
        <v>38</v>
      </c>
      <c r="F305" s="41">
        <v>26358.34</v>
      </c>
      <c r="G305" s="41">
        <v>759361</v>
      </c>
      <c r="H305" s="41">
        <v>41239</v>
      </c>
      <c r="I305" s="41">
        <v>168052.53</v>
      </c>
      <c r="J305" s="41">
        <v>57</v>
      </c>
      <c r="K305" s="42">
        <f t="shared" si="21"/>
        <v>5.4307503282365041E-2</v>
      </c>
      <c r="L305" s="43">
        <f t="shared" si="22"/>
        <v>6.3756871639109294</v>
      </c>
      <c r="M305" s="43">
        <f t="shared" si="23"/>
        <v>5.3756871639109294</v>
      </c>
      <c r="N305" s="43">
        <f t="shared" si="24"/>
        <v>4.0750874172506606</v>
      </c>
      <c r="O305" s="1" t="str">
        <f t="shared" si="20"/>
        <v>Normal</v>
      </c>
      <c r="P305" s="51" t="str">
        <f>IF(Table4[[#This Row],[Sales]]&lt;=$B$3,"Normal","High Revenue")</f>
        <v>Normal</v>
      </c>
      <c r="Q305" s="51" t="str">
        <f>IF(Table4[[#This Row],[CTR]]&lt;=$B$4,"Normal","High CTR")</f>
        <v>Normal</v>
      </c>
      <c r="R305" s="51" t="str">
        <f>IF(Table4[[#This Row],[ROAS]]&lt;1,"Poor",IF(Table4[[#This Row],[ROAS]]&lt;3,"Average",IF(Table4[[#This Row],[ROAS]]&lt;5,"Good",
"Excellent")))</f>
        <v>Excellent</v>
      </c>
      <c r="S305" s="51" t="str">
        <f>IF(AND(Table4[[#This Row],[USD_Spend]]&gt;=$B$5,Table4[[#This Row],[Sales]]&lt;=$B$6),"Wasted Budget","Spend Justified")</f>
        <v>Spend Justified</v>
      </c>
      <c r="T305" s="51" t="str">
        <f>IF(AND(Table4[[#This Row],[Clicks]]&gt;=$B$7,Table4[[#This Row],[Sales]]&lt;=$B$6),"Poor Monetization","Normal Monitization")</f>
        <v>Normal Monitization</v>
      </c>
    </row>
    <row r="306" spans="1:20" x14ac:dyDescent="0.35">
      <c r="A306" s="38" t="s">
        <v>67</v>
      </c>
      <c r="B306" s="38" t="s">
        <v>28</v>
      </c>
      <c r="C306" s="38" t="s">
        <v>29</v>
      </c>
      <c r="D306" s="38" t="s">
        <v>43</v>
      </c>
      <c r="E306" s="38" t="s">
        <v>22</v>
      </c>
      <c r="F306" s="38">
        <v>4215.1899999999996</v>
      </c>
      <c r="G306" s="38">
        <v>336592</v>
      </c>
      <c r="H306" s="38">
        <v>10858</v>
      </c>
      <c r="I306" s="38">
        <v>181810.07</v>
      </c>
      <c r="J306" s="38">
        <v>38</v>
      </c>
      <c r="K306" s="39">
        <f t="shared" si="21"/>
        <v>3.2258639539858344E-2</v>
      </c>
      <c r="L306" s="40">
        <f t="shared" si="22"/>
        <v>43.132117413449933</v>
      </c>
      <c r="M306" s="40">
        <f t="shared" si="23"/>
        <v>42.132117413449933</v>
      </c>
      <c r="N306" s="40">
        <f t="shared" si="24"/>
        <v>16.744342420335236</v>
      </c>
      <c r="O306" s="1" t="str">
        <f t="shared" si="20"/>
        <v>Normal</v>
      </c>
      <c r="P306" s="51" t="str">
        <f>IF(Table4[[#This Row],[Sales]]&lt;=$B$3,"Normal","High Revenue")</f>
        <v>Normal</v>
      </c>
      <c r="Q306" s="51" t="str">
        <f>IF(Table4[[#This Row],[CTR]]&lt;=$B$4,"Normal","High CTR")</f>
        <v>Normal</v>
      </c>
      <c r="R306" s="51" t="str">
        <f>IF(Table4[[#This Row],[ROAS]]&lt;1,"Poor",IF(Table4[[#This Row],[ROAS]]&lt;3,"Average",IF(Table4[[#This Row],[ROAS]]&lt;5,"Good",
"Excellent")))</f>
        <v>Excellent</v>
      </c>
      <c r="S306" s="51" t="str">
        <f>IF(AND(Table4[[#This Row],[USD_Spend]]&gt;=$B$5,Table4[[#This Row],[Sales]]&lt;=$B$6),"Wasted Budget","Spend Justified")</f>
        <v>Spend Justified</v>
      </c>
      <c r="T306" s="51" t="str">
        <f>IF(AND(Table4[[#This Row],[Clicks]]&gt;=$B$7,Table4[[#This Row],[Sales]]&lt;=$B$6),"Poor Monetization","Normal Monitization")</f>
        <v>Normal Monitization</v>
      </c>
    </row>
    <row r="307" spans="1:20" x14ac:dyDescent="0.35">
      <c r="A307" s="41" t="s">
        <v>55</v>
      </c>
      <c r="B307" s="41" t="s">
        <v>35</v>
      </c>
      <c r="C307" s="41" t="s">
        <v>29</v>
      </c>
      <c r="D307" s="41" t="s">
        <v>59</v>
      </c>
      <c r="E307" s="41" t="s">
        <v>22</v>
      </c>
      <c r="F307" s="41">
        <v>22682.65</v>
      </c>
      <c r="G307" s="41">
        <v>39556</v>
      </c>
      <c r="H307" s="41">
        <v>20985</v>
      </c>
      <c r="I307" s="41">
        <v>233052.35</v>
      </c>
      <c r="J307" s="41">
        <v>30</v>
      </c>
      <c r="K307" s="42">
        <f t="shared" si="21"/>
        <v>0.5305137020932349</v>
      </c>
      <c r="L307" s="43">
        <f t="shared" si="22"/>
        <v>10.274476306780732</v>
      </c>
      <c r="M307" s="43">
        <f t="shared" si="23"/>
        <v>9.2744763067807341</v>
      </c>
      <c r="N307" s="43">
        <f t="shared" si="24"/>
        <v>11.105663569216107</v>
      </c>
      <c r="O307" s="1" t="str">
        <f t="shared" si="20"/>
        <v>Normal</v>
      </c>
      <c r="P307" s="51" t="str">
        <f>IF(Table4[[#This Row],[Sales]]&lt;=$B$3,"Normal","High Revenue")</f>
        <v>High Revenue</v>
      </c>
      <c r="Q307" s="51" t="str">
        <f>IF(Table4[[#This Row],[CTR]]&lt;=$B$4,"Normal","High CTR")</f>
        <v>High CTR</v>
      </c>
      <c r="R307" s="51" t="str">
        <f>IF(Table4[[#This Row],[ROAS]]&lt;1,"Poor",IF(Table4[[#This Row],[ROAS]]&lt;3,"Average",IF(Table4[[#This Row],[ROAS]]&lt;5,"Good",
"Excellent")))</f>
        <v>Excellent</v>
      </c>
      <c r="S307" s="51" t="str">
        <f>IF(AND(Table4[[#This Row],[USD_Spend]]&gt;=$B$5,Table4[[#This Row],[Sales]]&lt;=$B$6),"Wasted Budget","Spend Justified")</f>
        <v>Spend Justified</v>
      </c>
      <c r="T307" s="51" t="str">
        <f>IF(AND(Table4[[#This Row],[Clicks]]&gt;=$B$7,Table4[[#This Row],[Sales]]&lt;=$B$6),"Poor Monetization","Normal Monitization")</f>
        <v>Normal Monitization</v>
      </c>
    </row>
    <row r="308" spans="1:20" x14ac:dyDescent="0.35">
      <c r="A308" s="38" t="s">
        <v>118</v>
      </c>
      <c r="B308" s="38" t="s">
        <v>19</v>
      </c>
      <c r="C308" s="38" t="s">
        <v>36</v>
      </c>
      <c r="D308" s="38" t="s">
        <v>51</v>
      </c>
      <c r="E308" s="38" t="s">
        <v>22</v>
      </c>
      <c r="F308" s="38">
        <v>121.17</v>
      </c>
      <c r="G308" s="38">
        <v>443130</v>
      </c>
      <c r="H308" s="38">
        <v>49086</v>
      </c>
      <c r="I308" s="38">
        <v>189379.42</v>
      </c>
      <c r="J308" s="38">
        <v>20</v>
      </c>
      <c r="K308" s="39">
        <f t="shared" si="21"/>
        <v>0.11077110554464829</v>
      </c>
      <c r="L308" s="40">
        <f t="shared" si="22"/>
        <v>1562.923330857473</v>
      </c>
      <c r="M308" s="40">
        <f t="shared" si="23"/>
        <v>1561.923330857473</v>
      </c>
      <c r="N308" s="40">
        <f t="shared" si="24"/>
        <v>3.8581147373996663</v>
      </c>
      <c r="O308" s="1" t="str">
        <f t="shared" si="20"/>
        <v>Normal</v>
      </c>
      <c r="P308" s="51" t="str">
        <f>IF(Table4[[#This Row],[Sales]]&lt;=$B$3,"Normal","High Revenue")</f>
        <v>Normal</v>
      </c>
      <c r="Q308" s="51" t="str">
        <f>IF(Table4[[#This Row],[CTR]]&lt;=$B$4,"Normal","High CTR")</f>
        <v>Normal</v>
      </c>
      <c r="R308" s="51" t="str">
        <f>IF(Table4[[#This Row],[ROAS]]&lt;1,"Poor",IF(Table4[[#This Row],[ROAS]]&lt;3,"Average",IF(Table4[[#This Row],[ROAS]]&lt;5,"Good",
"Excellent")))</f>
        <v>Excellent</v>
      </c>
      <c r="S308" s="51" t="str">
        <f>IF(AND(Table4[[#This Row],[USD_Spend]]&gt;=$B$5,Table4[[#This Row],[Sales]]&lt;=$B$6),"Wasted Budget","Spend Justified")</f>
        <v>Spend Justified</v>
      </c>
      <c r="T308" s="51" t="str">
        <f>IF(AND(Table4[[#This Row],[Clicks]]&gt;=$B$7,Table4[[#This Row],[Sales]]&lt;=$B$6),"Poor Monetization","Normal Monitization")</f>
        <v>Normal Monitization</v>
      </c>
    </row>
    <row r="309" spans="1:20" x14ac:dyDescent="0.35">
      <c r="A309" s="41" t="s">
        <v>89</v>
      </c>
      <c r="B309" s="41" t="s">
        <v>48</v>
      </c>
      <c r="C309" s="41" t="s">
        <v>29</v>
      </c>
      <c r="D309" s="41" t="s">
        <v>63</v>
      </c>
      <c r="E309" s="41" t="s">
        <v>38</v>
      </c>
      <c r="F309" s="41">
        <v>3803.37</v>
      </c>
      <c r="G309" s="41">
        <v>994767</v>
      </c>
      <c r="H309" s="41">
        <v>49401</v>
      </c>
      <c r="I309" s="41">
        <v>147129.25</v>
      </c>
      <c r="J309" s="41">
        <v>40</v>
      </c>
      <c r="K309" s="42">
        <f t="shared" si="21"/>
        <v>4.9660875360762871E-2</v>
      </c>
      <c r="L309" s="43">
        <f t="shared" si="22"/>
        <v>38.683917157678586</v>
      </c>
      <c r="M309" s="43">
        <f t="shared" si="23"/>
        <v>37.683917157678586</v>
      </c>
      <c r="N309" s="43">
        <f t="shared" si="24"/>
        <v>2.9782646100281371</v>
      </c>
      <c r="O309" s="1" t="str">
        <f t="shared" si="20"/>
        <v>Normal</v>
      </c>
      <c r="P309" s="51" t="str">
        <f>IF(Table4[[#This Row],[Sales]]&lt;=$B$3,"Normal","High Revenue")</f>
        <v>Normal</v>
      </c>
      <c r="Q309" s="51" t="str">
        <f>IF(Table4[[#This Row],[CTR]]&lt;=$B$4,"Normal","High CTR")</f>
        <v>Normal</v>
      </c>
      <c r="R309" s="51" t="str">
        <f>IF(Table4[[#This Row],[ROAS]]&lt;1,"Poor",IF(Table4[[#This Row],[ROAS]]&lt;3,"Average",IF(Table4[[#This Row],[ROAS]]&lt;5,"Good",
"Excellent")))</f>
        <v>Excellent</v>
      </c>
      <c r="S309" s="51" t="str">
        <f>IF(AND(Table4[[#This Row],[USD_Spend]]&gt;=$B$5,Table4[[#This Row],[Sales]]&lt;=$B$6),"Wasted Budget","Spend Justified")</f>
        <v>Spend Justified</v>
      </c>
      <c r="T309" s="51" t="str">
        <f>IF(AND(Table4[[#This Row],[Clicks]]&gt;=$B$7,Table4[[#This Row],[Sales]]&lt;=$B$6),"Poor Monetization","Normal Monitization")</f>
        <v>Normal Monitization</v>
      </c>
    </row>
    <row r="310" spans="1:20" x14ac:dyDescent="0.35">
      <c r="A310" s="38" t="s">
        <v>100</v>
      </c>
      <c r="B310" s="38" t="s">
        <v>19</v>
      </c>
      <c r="C310" s="38" t="s">
        <v>58</v>
      </c>
      <c r="D310" s="38" t="s">
        <v>43</v>
      </c>
      <c r="E310" s="38" t="s">
        <v>22</v>
      </c>
      <c r="F310" s="38">
        <v>888.62</v>
      </c>
      <c r="G310" s="38">
        <v>673393</v>
      </c>
      <c r="H310" s="38">
        <v>3374</v>
      </c>
      <c r="I310" s="38">
        <v>226642.28</v>
      </c>
      <c r="J310" s="38">
        <v>50</v>
      </c>
      <c r="K310" s="39">
        <f t="shared" si="21"/>
        <v>5.010447094044637E-3</v>
      </c>
      <c r="L310" s="40">
        <f t="shared" si="22"/>
        <v>255.0497175395557</v>
      </c>
      <c r="M310" s="40">
        <f t="shared" si="23"/>
        <v>254.04971753955573</v>
      </c>
      <c r="N310" s="40">
        <f t="shared" si="24"/>
        <v>67.173171310017779</v>
      </c>
      <c r="O310" s="1" t="str">
        <f t="shared" si="20"/>
        <v>Normal</v>
      </c>
      <c r="P310" s="51" t="str">
        <f>IF(Table4[[#This Row],[Sales]]&lt;=$B$3,"Normal","High Revenue")</f>
        <v>Normal</v>
      </c>
      <c r="Q310" s="51" t="str">
        <f>IF(Table4[[#This Row],[CTR]]&lt;=$B$4,"Normal","High CTR")</f>
        <v>Normal</v>
      </c>
      <c r="R310" s="51" t="str">
        <f>IF(Table4[[#This Row],[ROAS]]&lt;1,"Poor",IF(Table4[[#This Row],[ROAS]]&lt;3,"Average",IF(Table4[[#This Row],[ROAS]]&lt;5,"Good",
"Excellent")))</f>
        <v>Excellent</v>
      </c>
      <c r="S310" s="51" t="str">
        <f>IF(AND(Table4[[#This Row],[USD_Spend]]&gt;=$B$5,Table4[[#This Row],[Sales]]&lt;=$B$6),"Wasted Budget","Spend Justified")</f>
        <v>Spend Justified</v>
      </c>
      <c r="T310" s="51" t="str">
        <f>IF(AND(Table4[[#This Row],[Clicks]]&gt;=$B$7,Table4[[#This Row],[Sales]]&lt;=$B$6),"Poor Monetization","Normal Monitization")</f>
        <v>Normal Monitization</v>
      </c>
    </row>
    <row r="311" spans="1:20" x14ac:dyDescent="0.35">
      <c r="A311" s="41" t="s">
        <v>89</v>
      </c>
      <c r="B311" s="41" t="s">
        <v>48</v>
      </c>
      <c r="C311" s="41" t="s">
        <v>20</v>
      </c>
      <c r="D311" s="41" t="s">
        <v>21</v>
      </c>
      <c r="E311" s="41" t="s">
        <v>30</v>
      </c>
      <c r="F311" s="41">
        <v>29864.48</v>
      </c>
      <c r="G311" s="41">
        <v>707309</v>
      </c>
      <c r="H311" s="41">
        <v>16375</v>
      </c>
      <c r="I311" s="41">
        <v>201355.69</v>
      </c>
      <c r="J311" s="41">
        <v>19</v>
      </c>
      <c r="K311" s="42">
        <f t="shared" si="21"/>
        <v>2.3151126311131344E-2</v>
      </c>
      <c r="L311" s="43">
        <f t="shared" si="22"/>
        <v>6.7423136113536888</v>
      </c>
      <c r="M311" s="43">
        <f t="shared" si="23"/>
        <v>5.7423136113536879</v>
      </c>
      <c r="N311" s="43">
        <f t="shared" si="24"/>
        <v>12.296530687022901</v>
      </c>
      <c r="O311" s="1" t="str">
        <f t="shared" si="20"/>
        <v>Normal</v>
      </c>
      <c r="P311" s="51" t="str">
        <f>IF(Table4[[#This Row],[Sales]]&lt;=$B$3,"Normal","High Revenue")</f>
        <v>Normal</v>
      </c>
      <c r="Q311" s="51" t="str">
        <f>IF(Table4[[#This Row],[CTR]]&lt;=$B$4,"Normal","High CTR")</f>
        <v>Normal</v>
      </c>
      <c r="R311" s="51" t="str">
        <f>IF(Table4[[#This Row],[ROAS]]&lt;1,"Poor",IF(Table4[[#This Row],[ROAS]]&lt;3,"Average",IF(Table4[[#This Row],[ROAS]]&lt;5,"Good",
"Excellent")))</f>
        <v>Excellent</v>
      </c>
      <c r="S311" s="51" t="str">
        <f>IF(AND(Table4[[#This Row],[USD_Spend]]&gt;=$B$5,Table4[[#This Row],[Sales]]&lt;=$B$6),"Wasted Budget","Spend Justified")</f>
        <v>Spend Justified</v>
      </c>
      <c r="T311" s="51" t="str">
        <f>IF(AND(Table4[[#This Row],[Clicks]]&gt;=$B$7,Table4[[#This Row],[Sales]]&lt;=$B$6),"Poor Monetization","Normal Monitization")</f>
        <v>Normal Monitization</v>
      </c>
    </row>
    <row r="312" spans="1:20" x14ac:dyDescent="0.35">
      <c r="A312" s="38" t="s">
        <v>109</v>
      </c>
      <c r="B312" s="38" t="s">
        <v>48</v>
      </c>
      <c r="C312" s="38" t="s">
        <v>58</v>
      </c>
      <c r="D312" s="38" t="s">
        <v>51</v>
      </c>
      <c r="E312" s="38" t="s">
        <v>22</v>
      </c>
      <c r="F312" s="38">
        <v>3179.59</v>
      </c>
      <c r="G312" s="38">
        <v>154495</v>
      </c>
      <c r="H312" s="38">
        <v>7783</v>
      </c>
      <c r="I312" s="38">
        <v>240702.74</v>
      </c>
      <c r="J312" s="38">
        <v>19</v>
      </c>
      <c r="K312" s="39">
        <f t="shared" si="21"/>
        <v>5.0377034855496938E-2</v>
      </c>
      <c r="L312" s="40">
        <f t="shared" si="22"/>
        <v>75.702445912837817</v>
      </c>
      <c r="M312" s="40">
        <f t="shared" si="23"/>
        <v>74.702445912837817</v>
      </c>
      <c r="N312" s="40">
        <f t="shared" si="24"/>
        <v>30.926730052678913</v>
      </c>
      <c r="O312" s="1" t="str">
        <f t="shared" si="20"/>
        <v>Normal</v>
      </c>
      <c r="P312" s="51" t="str">
        <f>IF(Table4[[#This Row],[Sales]]&lt;=$B$3,"Normal","High Revenue")</f>
        <v>High Revenue</v>
      </c>
      <c r="Q312" s="51" t="str">
        <f>IF(Table4[[#This Row],[CTR]]&lt;=$B$4,"Normal","High CTR")</f>
        <v>Normal</v>
      </c>
      <c r="R312" s="51" t="str">
        <f>IF(Table4[[#This Row],[ROAS]]&lt;1,"Poor",IF(Table4[[#This Row],[ROAS]]&lt;3,"Average",IF(Table4[[#This Row],[ROAS]]&lt;5,"Good",
"Excellent")))</f>
        <v>Excellent</v>
      </c>
      <c r="S312" s="51" t="str">
        <f>IF(AND(Table4[[#This Row],[USD_Spend]]&gt;=$B$5,Table4[[#This Row],[Sales]]&lt;=$B$6),"Wasted Budget","Spend Justified")</f>
        <v>Spend Justified</v>
      </c>
      <c r="T312" s="51" t="str">
        <f>IF(AND(Table4[[#This Row],[Clicks]]&gt;=$B$7,Table4[[#This Row],[Sales]]&lt;=$B$6),"Poor Monetization","Normal Monitization")</f>
        <v>Normal Monitization</v>
      </c>
    </row>
    <row r="313" spans="1:20" x14ac:dyDescent="0.35">
      <c r="A313" s="41" t="s">
        <v>96</v>
      </c>
      <c r="B313" s="41" t="s">
        <v>35</v>
      </c>
      <c r="C313" s="41" t="s">
        <v>58</v>
      </c>
      <c r="D313" s="41" t="s">
        <v>37</v>
      </c>
      <c r="E313" s="41" t="s">
        <v>30</v>
      </c>
      <c r="F313" s="41">
        <v>21710.25</v>
      </c>
      <c r="G313" s="41">
        <v>678933</v>
      </c>
      <c r="H313" s="41">
        <v>15359</v>
      </c>
      <c r="I313" s="41">
        <v>17860.32</v>
      </c>
      <c r="J313" s="41">
        <v>9</v>
      </c>
      <c r="K313" s="42">
        <f t="shared" si="21"/>
        <v>2.2622261695925815E-2</v>
      </c>
      <c r="L313" s="43">
        <f t="shared" si="22"/>
        <v>0.82266763395170484</v>
      </c>
      <c r="M313" s="43">
        <f t="shared" si="23"/>
        <v>-0.17733236604829516</v>
      </c>
      <c r="N313" s="43">
        <f t="shared" si="24"/>
        <v>1.1628569568331271</v>
      </c>
      <c r="O313" s="1" t="str">
        <f t="shared" si="20"/>
        <v>Normal</v>
      </c>
      <c r="P313" s="51" t="str">
        <f>IF(Table4[[#This Row],[Sales]]&lt;=$B$3,"Normal","High Revenue")</f>
        <v>Normal</v>
      </c>
      <c r="Q313" s="51" t="str">
        <f>IF(Table4[[#This Row],[CTR]]&lt;=$B$4,"Normal","High CTR")</f>
        <v>Normal</v>
      </c>
      <c r="R313" s="51" t="str">
        <f>IF(Table4[[#This Row],[ROAS]]&lt;1,"Poor",IF(Table4[[#This Row],[ROAS]]&lt;3,"Average",IF(Table4[[#This Row],[ROAS]]&lt;5,"Good",
"Excellent")))</f>
        <v>Poor</v>
      </c>
      <c r="S313" s="51" t="str">
        <f>IF(AND(Table4[[#This Row],[USD_Spend]]&gt;=$B$5,Table4[[#This Row],[Sales]]&lt;=$B$6),"Wasted Budget","Spend Justified")</f>
        <v>Wasted Budget</v>
      </c>
      <c r="T313" s="51" t="str">
        <f>IF(AND(Table4[[#This Row],[Clicks]]&gt;=$B$7,Table4[[#This Row],[Sales]]&lt;=$B$6),"Poor Monetization","Normal Monitization")</f>
        <v>Normal Monitization</v>
      </c>
    </row>
    <row r="314" spans="1:20" x14ac:dyDescent="0.35">
      <c r="A314" s="38" t="s">
        <v>87</v>
      </c>
      <c r="B314" s="38" t="s">
        <v>19</v>
      </c>
      <c r="C314" s="38" t="s">
        <v>29</v>
      </c>
      <c r="D314" s="38" t="s">
        <v>21</v>
      </c>
      <c r="E314" s="38" t="s">
        <v>30</v>
      </c>
      <c r="F314" s="38">
        <v>11922.93</v>
      </c>
      <c r="G314" s="38">
        <v>389547</v>
      </c>
      <c r="H314" s="38">
        <v>15231</v>
      </c>
      <c r="I314" s="38">
        <v>116676.19</v>
      </c>
      <c r="J314" s="38">
        <v>27</v>
      </c>
      <c r="K314" s="39">
        <f t="shared" si="21"/>
        <v>3.9099261449837885E-2</v>
      </c>
      <c r="L314" s="40">
        <f t="shared" si="22"/>
        <v>9.7858655548594182</v>
      </c>
      <c r="M314" s="40">
        <f t="shared" si="23"/>
        <v>8.7858655548594182</v>
      </c>
      <c r="N314" s="40">
        <f t="shared" si="24"/>
        <v>7.6604418619919903</v>
      </c>
      <c r="O314" s="1" t="str">
        <f t="shared" si="20"/>
        <v>Normal</v>
      </c>
      <c r="P314" s="51" t="str">
        <f>IF(Table4[[#This Row],[Sales]]&lt;=$B$3,"Normal","High Revenue")</f>
        <v>Normal</v>
      </c>
      <c r="Q314" s="51" t="str">
        <f>IF(Table4[[#This Row],[CTR]]&lt;=$B$4,"Normal","High CTR")</f>
        <v>Normal</v>
      </c>
      <c r="R314" s="51" t="str">
        <f>IF(Table4[[#This Row],[ROAS]]&lt;1,"Poor",IF(Table4[[#This Row],[ROAS]]&lt;3,"Average",IF(Table4[[#This Row],[ROAS]]&lt;5,"Good",
"Excellent")))</f>
        <v>Excellent</v>
      </c>
      <c r="S314" s="51" t="str">
        <f>IF(AND(Table4[[#This Row],[USD_Spend]]&gt;=$B$5,Table4[[#This Row],[Sales]]&lt;=$B$6),"Wasted Budget","Spend Justified")</f>
        <v>Spend Justified</v>
      </c>
      <c r="T314" s="51" t="str">
        <f>IF(AND(Table4[[#This Row],[Clicks]]&gt;=$B$7,Table4[[#This Row],[Sales]]&lt;=$B$6),"Poor Monetization","Normal Monitization")</f>
        <v>Normal Monitization</v>
      </c>
    </row>
    <row r="315" spans="1:20" x14ac:dyDescent="0.35">
      <c r="A315" s="41" t="s">
        <v>109</v>
      </c>
      <c r="B315" s="41" t="s">
        <v>19</v>
      </c>
      <c r="C315" s="41" t="s">
        <v>29</v>
      </c>
      <c r="D315" s="41" t="s">
        <v>63</v>
      </c>
      <c r="E315" s="41" t="s">
        <v>38</v>
      </c>
      <c r="F315" s="41">
        <v>10600.54</v>
      </c>
      <c r="G315" s="41">
        <v>743907</v>
      </c>
      <c r="H315" s="41">
        <v>5961</v>
      </c>
      <c r="I315" s="41">
        <v>30840.07</v>
      </c>
      <c r="J315" s="41">
        <v>19</v>
      </c>
      <c r="K315" s="42">
        <f t="shared" si="21"/>
        <v>8.0130984114949854E-3</v>
      </c>
      <c r="L315" s="43">
        <f t="shared" si="22"/>
        <v>2.9092923568044644</v>
      </c>
      <c r="M315" s="43">
        <f t="shared" si="23"/>
        <v>1.9092923568044644</v>
      </c>
      <c r="N315" s="43">
        <f t="shared" si="24"/>
        <v>5.1736403288038924</v>
      </c>
      <c r="O315" s="1" t="str">
        <f t="shared" si="20"/>
        <v>Normal</v>
      </c>
      <c r="P315" s="51" t="str">
        <f>IF(Table4[[#This Row],[Sales]]&lt;=$B$3,"Normal","High Revenue")</f>
        <v>Normal</v>
      </c>
      <c r="Q315" s="51" t="str">
        <f>IF(Table4[[#This Row],[CTR]]&lt;=$B$4,"Normal","High CTR")</f>
        <v>Normal</v>
      </c>
      <c r="R315" s="51" t="str">
        <f>IF(Table4[[#This Row],[ROAS]]&lt;1,"Poor",IF(Table4[[#This Row],[ROAS]]&lt;3,"Average",IF(Table4[[#This Row],[ROAS]]&lt;5,"Good",
"Excellent")))</f>
        <v>Average</v>
      </c>
      <c r="S315" s="51" t="str">
        <f>IF(AND(Table4[[#This Row],[USD_Spend]]&gt;=$B$5,Table4[[#This Row],[Sales]]&lt;=$B$6),"Wasted Budget","Spend Justified")</f>
        <v>Wasted Budget</v>
      </c>
      <c r="T315" s="51" t="str">
        <f>IF(AND(Table4[[#This Row],[Clicks]]&gt;=$B$7,Table4[[#This Row],[Sales]]&lt;=$B$6),"Poor Monetization","Normal Monitization")</f>
        <v>Normal Monitization</v>
      </c>
    </row>
    <row r="316" spans="1:20" x14ac:dyDescent="0.35">
      <c r="A316" s="38" t="s">
        <v>82</v>
      </c>
      <c r="B316" s="38" t="s">
        <v>48</v>
      </c>
      <c r="C316" s="38" t="s">
        <v>36</v>
      </c>
      <c r="D316" s="38" t="s">
        <v>37</v>
      </c>
      <c r="E316" s="38" t="s">
        <v>30</v>
      </c>
      <c r="F316" s="38">
        <v>6853.4</v>
      </c>
      <c r="G316" s="38">
        <v>652039</v>
      </c>
      <c r="H316" s="38">
        <v>40000</v>
      </c>
      <c r="I316" s="38">
        <v>18482.009999999998</v>
      </c>
      <c r="J316" s="38">
        <v>11</v>
      </c>
      <c r="K316" s="39">
        <f t="shared" si="21"/>
        <v>6.1346023780786116E-2</v>
      </c>
      <c r="L316" s="40">
        <f t="shared" si="22"/>
        <v>2.6967651092888199</v>
      </c>
      <c r="M316" s="40">
        <f t="shared" si="23"/>
        <v>1.6967651092888201</v>
      </c>
      <c r="N316" s="40">
        <f t="shared" si="24"/>
        <v>0.46205024999999994</v>
      </c>
      <c r="O316" s="1" t="str">
        <f t="shared" si="20"/>
        <v>Normal</v>
      </c>
      <c r="P316" s="51" t="str">
        <f>IF(Table4[[#This Row],[Sales]]&lt;=$B$3,"Normal","High Revenue")</f>
        <v>Normal</v>
      </c>
      <c r="Q316" s="51" t="str">
        <f>IF(Table4[[#This Row],[CTR]]&lt;=$B$4,"Normal","High CTR")</f>
        <v>Normal</v>
      </c>
      <c r="R316" s="51" t="str">
        <f>IF(Table4[[#This Row],[ROAS]]&lt;1,"Poor",IF(Table4[[#This Row],[ROAS]]&lt;3,"Average",IF(Table4[[#This Row],[ROAS]]&lt;5,"Good",
"Excellent")))</f>
        <v>Average</v>
      </c>
      <c r="S316" s="51" t="str">
        <f>IF(AND(Table4[[#This Row],[USD_Spend]]&gt;=$B$5,Table4[[#This Row],[Sales]]&lt;=$B$6),"Wasted Budget","Spend Justified")</f>
        <v>Wasted Budget</v>
      </c>
      <c r="T316" s="51" t="str">
        <f>IF(AND(Table4[[#This Row],[Clicks]]&gt;=$B$7,Table4[[#This Row],[Sales]]&lt;=$B$6),"Poor Monetization","Normal Monitization")</f>
        <v>Poor Monetization</v>
      </c>
    </row>
    <row r="317" spans="1:20" x14ac:dyDescent="0.35">
      <c r="A317" s="41" t="s">
        <v>103</v>
      </c>
      <c r="B317" s="41" t="s">
        <v>48</v>
      </c>
      <c r="C317" s="41" t="s">
        <v>36</v>
      </c>
      <c r="D317" s="41" t="s">
        <v>43</v>
      </c>
      <c r="E317" s="41" t="s">
        <v>38</v>
      </c>
      <c r="F317" s="41">
        <v>20478.509999999998</v>
      </c>
      <c r="G317" s="41">
        <v>492134</v>
      </c>
      <c r="H317" s="41">
        <v>39389</v>
      </c>
      <c r="I317" s="41">
        <v>85472.02</v>
      </c>
      <c r="J317" s="41">
        <v>48</v>
      </c>
      <c r="K317" s="42">
        <f t="shared" si="21"/>
        <v>8.0037144354992748E-2</v>
      </c>
      <c r="L317" s="43">
        <f t="shared" si="22"/>
        <v>4.1737421326063275</v>
      </c>
      <c r="M317" s="43">
        <f t="shared" si="23"/>
        <v>3.173742132606328</v>
      </c>
      <c r="N317" s="43">
        <f t="shared" si="24"/>
        <v>2.1699464317449033</v>
      </c>
      <c r="O317" s="1" t="str">
        <f t="shared" si="20"/>
        <v>Normal</v>
      </c>
      <c r="P317" s="51" t="str">
        <f>IF(Table4[[#This Row],[Sales]]&lt;=$B$3,"Normal","High Revenue")</f>
        <v>Normal</v>
      </c>
      <c r="Q317" s="51" t="str">
        <f>IF(Table4[[#This Row],[CTR]]&lt;=$B$4,"Normal","High CTR")</f>
        <v>Normal</v>
      </c>
      <c r="R317" s="51" t="str">
        <f>IF(Table4[[#This Row],[ROAS]]&lt;1,"Poor",IF(Table4[[#This Row],[ROAS]]&lt;3,"Average",IF(Table4[[#This Row],[ROAS]]&lt;5,"Good",
"Excellent")))</f>
        <v>Good</v>
      </c>
      <c r="S317" s="51" t="str">
        <f>IF(AND(Table4[[#This Row],[USD_Spend]]&gt;=$B$5,Table4[[#This Row],[Sales]]&lt;=$B$6),"Wasted Budget","Spend Justified")</f>
        <v>Spend Justified</v>
      </c>
      <c r="T317" s="51" t="str">
        <f>IF(AND(Table4[[#This Row],[Clicks]]&gt;=$B$7,Table4[[#This Row],[Sales]]&lt;=$B$6),"Poor Monetization","Normal Monitization")</f>
        <v>Normal Monitization</v>
      </c>
    </row>
    <row r="318" spans="1:20" x14ac:dyDescent="0.35">
      <c r="A318" s="38" t="s">
        <v>111</v>
      </c>
      <c r="B318" s="38" t="s">
        <v>35</v>
      </c>
      <c r="C318" s="38" t="s">
        <v>58</v>
      </c>
      <c r="D318" s="38" t="s">
        <v>21</v>
      </c>
      <c r="E318" s="38" t="s">
        <v>38</v>
      </c>
      <c r="F318" s="38">
        <v>11963.69</v>
      </c>
      <c r="G318" s="38">
        <v>558141</v>
      </c>
      <c r="H318" s="38">
        <v>40064</v>
      </c>
      <c r="I318" s="38">
        <v>43892.82</v>
      </c>
      <c r="J318" s="38">
        <v>51</v>
      </c>
      <c r="K318" s="39">
        <f t="shared" si="21"/>
        <v>7.1781144907827957E-2</v>
      </c>
      <c r="L318" s="40">
        <f t="shared" si="22"/>
        <v>3.6688362871321472</v>
      </c>
      <c r="M318" s="40">
        <f t="shared" si="23"/>
        <v>2.6688362871321472</v>
      </c>
      <c r="N318" s="40">
        <f t="shared" si="24"/>
        <v>1.0955675918530352</v>
      </c>
      <c r="O318" s="1" t="str">
        <f t="shared" si="20"/>
        <v>Normal</v>
      </c>
      <c r="P318" s="51" t="str">
        <f>IF(Table4[[#This Row],[Sales]]&lt;=$B$3,"Normal","High Revenue")</f>
        <v>Normal</v>
      </c>
      <c r="Q318" s="51" t="str">
        <f>IF(Table4[[#This Row],[CTR]]&lt;=$B$4,"Normal","High CTR")</f>
        <v>Normal</v>
      </c>
      <c r="R318" s="51" t="str">
        <f>IF(Table4[[#This Row],[ROAS]]&lt;1,"Poor",IF(Table4[[#This Row],[ROAS]]&lt;3,"Average",IF(Table4[[#This Row],[ROAS]]&lt;5,"Good",
"Excellent")))</f>
        <v>Good</v>
      </c>
      <c r="S318" s="51" t="str">
        <f>IF(AND(Table4[[#This Row],[USD_Spend]]&gt;=$B$5,Table4[[#This Row],[Sales]]&lt;=$B$6),"Wasted Budget","Spend Justified")</f>
        <v>Wasted Budget</v>
      </c>
      <c r="T318" s="51" t="str">
        <f>IF(AND(Table4[[#This Row],[Clicks]]&gt;=$B$7,Table4[[#This Row],[Sales]]&lt;=$B$6),"Poor Monetization","Normal Monitization")</f>
        <v>Poor Monetization</v>
      </c>
    </row>
    <row r="319" spans="1:20" x14ac:dyDescent="0.35">
      <c r="A319" s="41" t="s">
        <v>78</v>
      </c>
      <c r="B319" s="41" t="s">
        <v>28</v>
      </c>
      <c r="C319" s="41" t="s">
        <v>58</v>
      </c>
      <c r="D319" s="41" t="s">
        <v>51</v>
      </c>
      <c r="E319" s="41" t="s">
        <v>30</v>
      </c>
      <c r="F319" s="41">
        <v>23426.99</v>
      </c>
      <c r="G319" s="41">
        <v>179268</v>
      </c>
      <c r="H319" s="41">
        <v>908</v>
      </c>
      <c r="I319" s="41">
        <v>33599.01</v>
      </c>
      <c r="J319" s="41">
        <v>44</v>
      </c>
      <c r="K319" s="42">
        <f t="shared" si="21"/>
        <v>5.0650422830622313E-3</v>
      </c>
      <c r="L319" s="43">
        <f t="shared" si="22"/>
        <v>1.4342008939261937</v>
      </c>
      <c r="M319" s="43">
        <f t="shared" si="23"/>
        <v>0.43420089392619365</v>
      </c>
      <c r="N319" s="43">
        <f t="shared" si="24"/>
        <v>37.003314977973574</v>
      </c>
      <c r="O319" s="1" t="str">
        <f t="shared" si="20"/>
        <v>Normal</v>
      </c>
      <c r="P319" s="51" t="str">
        <f>IF(Table4[[#This Row],[Sales]]&lt;=$B$3,"Normal","High Revenue")</f>
        <v>Normal</v>
      </c>
      <c r="Q319" s="51" t="str">
        <f>IF(Table4[[#This Row],[CTR]]&lt;=$B$4,"Normal","High CTR")</f>
        <v>Normal</v>
      </c>
      <c r="R319" s="51" t="str">
        <f>IF(Table4[[#This Row],[ROAS]]&lt;1,"Poor",IF(Table4[[#This Row],[ROAS]]&lt;3,"Average",IF(Table4[[#This Row],[ROAS]]&lt;5,"Good",
"Excellent")))</f>
        <v>Average</v>
      </c>
      <c r="S319" s="51" t="str">
        <f>IF(AND(Table4[[#This Row],[USD_Spend]]&gt;=$B$5,Table4[[#This Row],[Sales]]&lt;=$B$6),"Wasted Budget","Spend Justified")</f>
        <v>Wasted Budget</v>
      </c>
      <c r="T319" s="51" t="str">
        <f>IF(AND(Table4[[#This Row],[Clicks]]&gt;=$B$7,Table4[[#This Row],[Sales]]&lt;=$B$6),"Poor Monetization","Normal Monitization")</f>
        <v>Normal Monitization</v>
      </c>
    </row>
    <row r="320" spans="1:20" x14ac:dyDescent="0.35">
      <c r="A320" s="38" t="s">
        <v>70</v>
      </c>
      <c r="B320" s="38" t="s">
        <v>28</v>
      </c>
      <c r="C320" s="38" t="s">
        <v>20</v>
      </c>
      <c r="D320" s="38" t="s">
        <v>37</v>
      </c>
      <c r="E320" s="38" t="s">
        <v>22</v>
      </c>
      <c r="F320" s="38">
        <v>6071.1</v>
      </c>
      <c r="G320" s="38">
        <v>992946</v>
      </c>
      <c r="H320" s="38">
        <v>47615</v>
      </c>
      <c r="I320" s="38">
        <v>192545.03</v>
      </c>
      <c r="J320" s="38">
        <v>35</v>
      </c>
      <c r="K320" s="39">
        <f t="shared" si="21"/>
        <v>4.7953262312351329E-2</v>
      </c>
      <c r="L320" s="40">
        <f t="shared" si="22"/>
        <v>31.715015400833455</v>
      </c>
      <c r="M320" s="40">
        <f t="shared" si="23"/>
        <v>30.715015400833455</v>
      </c>
      <c r="N320" s="40">
        <f t="shared" si="24"/>
        <v>4.0437893520949277</v>
      </c>
      <c r="O320" s="1" t="str">
        <f t="shared" si="20"/>
        <v>Normal</v>
      </c>
      <c r="P320" s="51" t="str">
        <f>IF(Table4[[#This Row],[Sales]]&lt;=$B$3,"Normal","High Revenue")</f>
        <v>Normal</v>
      </c>
      <c r="Q320" s="51" t="str">
        <f>IF(Table4[[#This Row],[CTR]]&lt;=$B$4,"Normal","High CTR")</f>
        <v>Normal</v>
      </c>
      <c r="R320" s="51" t="str">
        <f>IF(Table4[[#This Row],[ROAS]]&lt;1,"Poor",IF(Table4[[#This Row],[ROAS]]&lt;3,"Average",IF(Table4[[#This Row],[ROAS]]&lt;5,"Good",
"Excellent")))</f>
        <v>Excellent</v>
      </c>
      <c r="S320" s="51" t="str">
        <f>IF(AND(Table4[[#This Row],[USD_Spend]]&gt;=$B$5,Table4[[#This Row],[Sales]]&lt;=$B$6),"Wasted Budget","Spend Justified")</f>
        <v>Spend Justified</v>
      </c>
      <c r="T320" s="51" t="str">
        <f>IF(AND(Table4[[#This Row],[Clicks]]&gt;=$B$7,Table4[[#This Row],[Sales]]&lt;=$B$6),"Poor Monetization","Normal Monitization")</f>
        <v>Normal Monitization</v>
      </c>
    </row>
    <row r="321" spans="1:20" x14ac:dyDescent="0.35">
      <c r="A321" s="41" t="s">
        <v>103</v>
      </c>
      <c r="B321" s="41" t="s">
        <v>19</v>
      </c>
      <c r="C321" s="41" t="s">
        <v>58</v>
      </c>
      <c r="D321" s="41" t="s">
        <v>37</v>
      </c>
      <c r="E321" s="41" t="s">
        <v>22</v>
      </c>
      <c r="F321" s="41">
        <v>6119.82</v>
      </c>
      <c r="G321" s="41">
        <v>982532</v>
      </c>
      <c r="H321" s="41">
        <v>38882</v>
      </c>
      <c r="I321" s="41">
        <v>236831.83</v>
      </c>
      <c r="J321" s="41">
        <v>26</v>
      </c>
      <c r="K321" s="42">
        <f t="shared" si="21"/>
        <v>3.957326580711875E-2</v>
      </c>
      <c r="L321" s="43">
        <f t="shared" si="22"/>
        <v>38.699149648192268</v>
      </c>
      <c r="M321" s="43">
        <f t="shared" si="23"/>
        <v>37.699149648192268</v>
      </c>
      <c r="N321" s="43">
        <f t="shared" si="24"/>
        <v>6.0910403271436655</v>
      </c>
      <c r="O321" s="1" t="str">
        <f t="shared" si="20"/>
        <v>Normal</v>
      </c>
      <c r="P321" s="51" t="str">
        <f>IF(Table4[[#This Row],[Sales]]&lt;=$B$3,"Normal","High Revenue")</f>
        <v>High Revenue</v>
      </c>
      <c r="Q321" s="51" t="str">
        <f>IF(Table4[[#This Row],[CTR]]&lt;=$B$4,"Normal","High CTR")</f>
        <v>Normal</v>
      </c>
      <c r="R321" s="51" t="str">
        <f>IF(Table4[[#This Row],[ROAS]]&lt;1,"Poor",IF(Table4[[#This Row],[ROAS]]&lt;3,"Average",IF(Table4[[#This Row],[ROAS]]&lt;5,"Good",
"Excellent")))</f>
        <v>Excellent</v>
      </c>
      <c r="S321" s="51" t="str">
        <f>IF(AND(Table4[[#This Row],[USD_Spend]]&gt;=$B$5,Table4[[#This Row],[Sales]]&lt;=$B$6),"Wasted Budget","Spend Justified")</f>
        <v>Spend Justified</v>
      </c>
      <c r="T321" s="51" t="str">
        <f>IF(AND(Table4[[#This Row],[Clicks]]&gt;=$B$7,Table4[[#This Row],[Sales]]&lt;=$B$6),"Poor Monetization","Normal Monitization")</f>
        <v>Normal Monitization</v>
      </c>
    </row>
    <row r="322" spans="1:20" x14ac:dyDescent="0.35">
      <c r="A322" s="38" t="s">
        <v>93</v>
      </c>
      <c r="B322" s="38" t="s">
        <v>48</v>
      </c>
      <c r="C322" s="38" t="s">
        <v>58</v>
      </c>
      <c r="D322" s="38" t="s">
        <v>51</v>
      </c>
      <c r="E322" s="38" t="s">
        <v>38</v>
      </c>
      <c r="F322" s="38">
        <v>31566.38</v>
      </c>
      <c r="G322" s="38">
        <v>260132</v>
      </c>
      <c r="H322" s="38">
        <v>8372</v>
      </c>
      <c r="I322" s="38">
        <v>121022.46</v>
      </c>
      <c r="J322" s="38">
        <v>18</v>
      </c>
      <c r="K322" s="39">
        <f t="shared" si="21"/>
        <v>3.2183660603078437E-2</v>
      </c>
      <c r="L322" s="40">
        <f t="shared" si="22"/>
        <v>3.8339036658622243</v>
      </c>
      <c r="M322" s="40">
        <f t="shared" si="23"/>
        <v>2.8339036658622243</v>
      </c>
      <c r="N322" s="40">
        <f t="shared" si="24"/>
        <v>14.455621118012424</v>
      </c>
      <c r="O322" s="1" t="str">
        <f t="shared" si="20"/>
        <v>Normal</v>
      </c>
      <c r="P322" s="51" t="str">
        <f>IF(Table4[[#This Row],[Sales]]&lt;=$B$3,"Normal","High Revenue")</f>
        <v>Normal</v>
      </c>
      <c r="Q322" s="51" t="str">
        <f>IF(Table4[[#This Row],[CTR]]&lt;=$B$4,"Normal","High CTR")</f>
        <v>Normal</v>
      </c>
      <c r="R322" s="51" t="str">
        <f>IF(Table4[[#This Row],[ROAS]]&lt;1,"Poor",IF(Table4[[#This Row],[ROAS]]&lt;3,"Average",IF(Table4[[#This Row],[ROAS]]&lt;5,"Good",
"Excellent")))</f>
        <v>Good</v>
      </c>
      <c r="S322" s="51" t="str">
        <f>IF(AND(Table4[[#This Row],[USD_Spend]]&gt;=$B$5,Table4[[#This Row],[Sales]]&lt;=$B$6),"Wasted Budget","Spend Justified")</f>
        <v>Spend Justified</v>
      </c>
      <c r="T322" s="51" t="str">
        <f>IF(AND(Table4[[#This Row],[Clicks]]&gt;=$B$7,Table4[[#This Row],[Sales]]&lt;=$B$6),"Poor Monetization","Normal Monitization")</f>
        <v>Normal Monitization</v>
      </c>
    </row>
    <row r="323" spans="1:20" x14ac:dyDescent="0.35">
      <c r="A323" s="41" t="s">
        <v>67</v>
      </c>
      <c r="B323" s="41" t="s">
        <v>19</v>
      </c>
      <c r="C323" s="41" t="s">
        <v>58</v>
      </c>
      <c r="D323" s="41" t="s">
        <v>43</v>
      </c>
      <c r="E323" s="41" t="s">
        <v>22</v>
      </c>
      <c r="F323" s="41">
        <v>5613.18</v>
      </c>
      <c r="G323" s="41">
        <v>452374</v>
      </c>
      <c r="H323" s="41">
        <v>12125</v>
      </c>
      <c r="I323" s="41">
        <v>73243.56</v>
      </c>
      <c r="J323" s="41">
        <v>18</v>
      </c>
      <c r="K323" s="42">
        <f t="shared" si="21"/>
        <v>2.6803043499405359E-2</v>
      </c>
      <c r="L323" s="43">
        <f t="shared" si="22"/>
        <v>13.048496574134447</v>
      </c>
      <c r="M323" s="43">
        <f t="shared" si="23"/>
        <v>12.048496574134449</v>
      </c>
      <c r="N323" s="43">
        <f t="shared" si="24"/>
        <v>6.0407059793814435</v>
      </c>
      <c r="O323" s="1" t="str">
        <f t="shared" si="20"/>
        <v>Normal</v>
      </c>
      <c r="P323" s="51" t="str">
        <f>IF(Table4[[#This Row],[Sales]]&lt;=$B$3,"Normal","High Revenue")</f>
        <v>Normal</v>
      </c>
      <c r="Q323" s="51" t="str">
        <f>IF(Table4[[#This Row],[CTR]]&lt;=$B$4,"Normal","High CTR")</f>
        <v>Normal</v>
      </c>
      <c r="R323" s="51" t="str">
        <f>IF(Table4[[#This Row],[ROAS]]&lt;1,"Poor",IF(Table4[[#This Row],[ROAS]]&lt;3,"Average",IF(Table4[[#This Row],[ROAS]]&lt;5,"Good",
"Excellent")))</f>
        <v>Excellent</v>
      </c>
      <c r="S323" s="51" t="str">
        <f>IF(AND(Table4[[#This Row],[USD_Spend]]&gt;=$B$5,Table4[[#This Row],[Sales]]&lt;=$B$6),"Wasted Budget","Spend Justified")</f>
        <v>Spend Justified</v>
      </c>
      <c r="T323" s="51" t="str">
        <f>IF(AND(Table4[[#This Row],[Clicks]]&gt;=$B$7,Table4[[#This Row],[Sales]]&lt;=$B$6),"Poor Monetization","Normal Monitization")</f>
        <v>Normal Monitization</v>
      </c>
    </row>
    <row r="324" spans="1:20" x14ac:dyDescent="0.35">
      <c r="A324" s="38" t="s">
        <v>111</v>
      </c>
      <c r="B324" s="38" t="s">
        <v>35</v>
      </c>
      <c r="C324" s="38" t="s">
        <v>69</v>
      </c>
      <c r="D324" s="38" t="s">
        <v>51</v>
      </c>
      <c r="E324" s="38" t="s">
        <v>30</v>
      </c>
      <c r="F324" s="38">
        <v>11361.86</v>
      </c>
      <c r="G324" s="38">
        <v>423769</v>
      </c>
      <c r="H324" s="38">
        <v>2630</v>
      </c>
      <c r="I324" s="38">
        <v>155809.07999999999</v>
      </c>
      <c r="J324" s="38">
        <v>55</v>
      </c>
      <c r="K324" s="39">
        <f t="shared" si="21"/>
        <v>6.2062114029105483E-3</v>
      </c>
      <c r="L324" s="40">
        <f t="shared" si="22"/>
        <v>13.713342709732384</v>
      </c>
      <c r="M324" s="40">
        <f t="shared" si="23"/>
        <v>12.713342709732382</v>
      </c>
      <c r="N324" s="40">
        <f t="shared" si="24"/>
        <v>59.242996197718625</v>
      </c>
      <c r="O324" s="1" t="str">
        <f t="shared" si="20"/>
        <v>Normal</v>
      </c>
      <c r="P324" s="51" t="str">
        <f>IF(Table4[[#This Row],[Sales]]&lt;=$B$3,"Normal","High Revenue")</f>
        <v>Normal</v>
      </c>
      <c r="Q324" s="51" t="str">
        <f>IF(Table4[[#This Row],[CTR]]&lt;=$B$4,"Normal","High CTR")</f>
        <v>Normal</v>
      </c>
      <c r="R324" s="51" t="str">
        <f>IF(Table4[[#This Row],[ROAS]]&lt;1,"Poor",IF(Table4[[#This Row],[ROAS]]&lt;3,"Average",IF(Table4[[#This Row],[ROAS]]&lt;5,"Good",
"Excellent")))</f>
        <v>Excellent</v>
      </c>
      <c r="S324" s="51" t="str">
        <f>IF(AND(Table4[[#This Row],[USD_Spend]]&gt;=$B$5,Table4[[#This Row],[Sales]]&lt;=$B$6),"Wasted Budget","Spend Justified")</f>
        <v>Spend Justified</v>
      </c>
      <c r="T324" s="51" t="str">
        <f>IF(AND(Table4[[#This Row],[Clicks]]&gt;=$B$7,Table4[[#This Row],[Sales]]&lt;=$B$6),"Poor Monetization","Normal Monitization")</f>
        <v>Normal Monitization</v>
      </c>
    </row>
    <row r="325" spans="1:20" x14ac:dyDescent="0.35">
      <c r="A325" s="41" t="s">
        <v>66</v>
      </c>
      <c r="B325" s="41" t="s">
        <v>35</v>
      </c>
      <c r="C325" s="41" t="s">
        <v>58</v>
      </c>
      <c r="D325" s="41" t="s">
        <v>21</v>
      </c>
      <c r="E325" s="41" t="s">
        <v>38</v>
      </c>
      <c r="F325" s="41">
        <v>35711.33</v>
      </c>
      <c r="G325" s="41">
        <v>808462</v>
      </c>
      <c r="H325" s="41">
        <v>44417</v>
      </c>
      <c r="I325" s="41">
        <v>101211.68</v>
      </c>
      <c r="J325" s="41">
        <v>15</v>
      </c>
      <c r="K325" s="42">
        <f t="shared" si="21"/>
        <v>5.4940120871481903E-2</v>
      </c>
      <c r="L325" s="43">
        <f t="shared" si="22"/>
        <v>2.8341615952136197</v>
      </c>
      <c r="M325" s="43">
        <f t="shared" si="23"/>
        <v>1.8341615952136197</v>
      </c>
      <c r="N325" s="43">
        <f t="shared" si="24"/>
        <v>2.2786698786500663</v>
      </c>
      <c r="O325" s="1" t="str">
        <f t="shared" si="20"/>
        <v>Normal</v>
      </c>
      <c r="P325" s="51" t="str">
        <f>IF(Table4[[#This Row],[Sales]]&lt;=$B$3,"Normal","High Revenue")</f>
        <v>Normal</v>
      </c>
      <c r="Q325" s="51" t="str">
        <f>IF(Table4[[#This Row],[CTR]]&lt;=$B$4,"Normal","High CTR")</f>
        <v>Normal</v>
      </c>
      <c r="R325" s="51" t="str">
        <f>IF(Table4[[#This Row],[ROAS]]&lt;1,"Poor",IF(Table4[[#This Row],[ROAS]]&lt;3,"Average",IF(Table4[[#This Row],[ROAS]]&lt;5,"Good",
"Excellent")))</f>
        <v>Average</v>
      </c>
      <c r="S325" s="51" t="str">
        <f>IF(AND(Table4[[#This Row],[USD_Spend]]&gt;=$B$5,Table4[[#This Row],[Sales]]&lt;=$B$6),"Wasted Budget","Spend Justified")</f>
        <v>Spend Justified</v>
      </c>
      <c r="T325" s="51" t="str">
        <f>IF(AND(Table4[[#This Row],[Clicks]]&gt;=$B$7,Table4[[#This Row],[Sales]]&lt;=$B$6),"Poor Monetization","Normal Monitization")</f>
        <v>Normal Monitization</v>
      </c>
    </row>
    <row r="326" spans="1:20" x14ac:dyDescent="0.35">
      <c r="A326" s="38" t="s">
        <v>79</v>
      </c>
      <c r="B326" s="38" t="s">
        <v>48</v>
      </c>
      <c r="C326" s="38" t="s">
        <v>58</v>
      </c>
      <c r="D326" s="38" t="s">
        <v>51</v>
      </c>
      <c r="E326" s="38" t="s">
        <v>22</v>
      </c>
      <c r="F326" s="38">
        <v>20863.68</v>
      </c>
      <c r="G326" s="38">
        <v>183565</v>
      </c>
      <c r="H326" s="38">
        <v>3493</v>
      </c>
      <c r="I326" s="38">
        <v>102103.67999999999</v>
      </c>
      <c r="J326" s="38">
        <v>11</v>
      </c>
      <c r="K326" s="39">
        <f t="shared" si="21"/>
        <v>1.9028681938277996E-2</v>
      </c>
      <c r="L326" s="40">
        <f t="shared" si="22"/>
        <v>4.8938480651543728</v>
      </c>
      <c r="M326" s="40">
        <f t="shared" si="23"/>
        <v>3.8938480651543736</v>
      </c>
      <c r="N326" s="40">
        <f t="shared" si="24"/>
        <v>29.230941883767532</v>
      </c>
      <c r="O326" s="1" t="str">
        <f t="shared" si="20"/>
        <v>Normal</v>
      </c>
      <c r="P326" s="51" t="str">
        <f>IF(Table4[[#This Row],[Sales]]&lt;=$B$3,"Normal","High Revenue")</f>
        <v>Normal</v>
      </c>
      <c r="Q326" s="51" t="str">
        <f>IF(Table4[[#This Row],[CTR]]&lt;=$B$4,"Normal","High CTR")</f>
        <v>Normal</v>
      </c>
      <c r="R326" s="51" t="str">
        <f>IF(Table4[[#This Row],[ROAS]]&lt;1,"Poor",IF(Table4[[#This Row],[ROAS]]&lt;3,"Average",IF(Table4[[#This Row],[ROAS]]&lt;5,"Good",
"Excellent")))</f>
        <v>Good</v>
      </c>
      <c r="S326" s="51" t="str">
        <f>IF(AND(Table4[[#This Row],[USD_Spend]]&gt;=$B$5,Table4[[#This Row],[Sales]]&lt;=$B$6),"Wasted Budget","Spend Justified")</f>
        <v>Spend Justified</v>
      </c>
      <c r="T326" s="51" t="str">
        <f>IF(AND(Table4[[#This Row],[Clicks]]&gt;=$B$7,Table4[[#This Row],[Sales]]&lt;=$B$6),"Poor Monetization","Normal Monitization")</f>
        <v>Normal Monitization</v>
      </c>
    </row>
    <row r="327" spans="1:20" x14ac:dyDescent="0.35">
      <c r="A327" s="41" t="s">
        <v>34</v>
      </c>
      <c r="B327" s="41" t="s">
        <v>48</v>
      </c>
      <c r="C327" s="41" t="s">
        <v>29</v>
      </c>
      <c r="D327" s="41" t="s">
        <v>59</v>
      </c>
      <c r="E327" s="41" t="s">
        <v>30</v>
      </c>
      <c r="F327" s="41">
        <v>1653.38</v>
      </c>
      <c r="G327" s="41">
        <v>135362</v>
      </c>
      <c r="H327" s="41">
        <v>48785</v>
      </c>
      <c r="I327" s="41">
        <v>136286.67000000001</v>
      </c>
      <c r="J327" s="41">
        <v>20</v>
      </c>
      <c r="K327" s="42">
        <f t="shared" si="21"/>
        <v>0.36040395384228957</v>
      </c>
      <c r="L327" s="43">
        <f t="shared" si="22"/>
        <v>82.429127000447565</v>
      </c>
      <c r="M327" s="43">
        <f t="shared" si="23"/>
        <v>81.429127000447565</v>
      </c>
      <c r="N327" s="43">
        <f t="shared" si="24"/>
        <v>2.7936183253049096</v>
      </c>
      <c r="O327" s="1" t="str">
        <f t="shared" si="20"/>
        <v>Normal</v>
      </c>
      <c r="P327" s="51" t="str">
        <f>IF(Table4[[#This Row],[Sales]]&lt;=$B$3,"Normal","High Revenue")</f>
        <v>Normal</v>
      </c>
      <c r="Q327" s="51" t="str">
        <f>IF(Table4[[#This Row],[CTR]]&lt;=$B$4,"Normal","High CTR")</f>
        <v>Normal</v>
      </c>
      <c r="R327" s="51" t="str">
        <f>IF(Table4[[#This Row],[ROAS]]&lt;1,"Poor",IF(Table4[[#This Row],[ROAS]]&lt;3,"Average",IF(Table4[[#This Row],[ROAS]]&lt;5,"Good",
"Excellent")))</f>
        <v>Excellent</v>
      </c>
      <c r="S327" s="51" t="str">
        <f>IF(AND(Table4[[#This Row],[USD_Spend]]&gt;=$B$5,Table4[[#This Row],[Sales]]&lt;=$B$6),"Wasted Budget","Spend Justified")</f>
        <v>Spend Justified</v>
      </c>
      <c r="T327" s="51" t="str">
        <f>IF(AND(Table4[[#This Row],[Clicks]]&gt;=$B$7,Table4[[#This Row],[Sales]]&lt;=$B$6),"Poor Monetization","Normal Monitization")</f>
        <v>Normal Monitization</v>
      </c>
    </row>
    <row r="328" spans="1:20" x14ac:dyDescent="0.35">
      <c r="A328" s="38" t="s">
        <v>93</v>
      </c>
      <c r="B328" s="38" t="s">
        <v>28</v>
      </c>
      <c r="C328" s="38" t="s">
        <v>36</v>
      </c>
      <c r="D328" s="38" t="s">
        <v>63</v>
      </c>
      <c r="E328" s="38" t="s">
        <v>38</v>
      </c>
      <c r="F328" s="38">
        <v>44937.05</v>
      </c>
      <c r="G328" s="38">
        <v>473518</v>
      </c>
      <c r="H328" s="38">
        <v>42717</v>
      </c>
      <c r="I328" s="38">
        <v>231419.39</v>
      </c>
      <c r="J328" s="38">
        <v>36</v>
      </c>
      <c r="K328" s="39">
        <f t="shared" si="21"/>
        <v>9.0211987717467967E-2</v>
      </c>
      <c r="L328" s="40">
        <f t="shared" si="22"/>
        <v>5.1498571891123248</v>
      </c>
      <c r="M328" s="40">
        <f t="shared" si="23"/>
        <v>4.1498571891123248</v>
      </c>
      <c r="N328" s="40">
        <f t="shared" si="24"/>
        <v>5.4175009949200552</v>
      </c>
      <c r="O328" s="1" t="str">
        <f t="shared" si="20"/>
        <v>High Spend</v>
      </c>
      <c r="P328" s="51" t="str">
        <f>IF(Table4[[#This Row],[Sales]]&lt;=$B$3,"Normal","High Revenue")</f>
        <v>Normal</v>
      </c>
      <c r="Q328" s="51" t="str">
        <f>IF(Table4[[#This Row],[CTR]]&lt;=$B$4,"Normal","High CTR")</f>
        <v>Normal</v>
      </c>
      <c r="R328" s="51" t="str">
        <f>IF(Table4[[#This Row],[ROAS]]&lt;1,"Poor",IF(Table4[[#This Row],[ROAS]]&lt;3,"Average",IF(Table4[[#This Row],[ROAS]]&lt;5,"Good",
"Excellent")))</f>
        <v>Excellent</v>
      </c>
      <c r="S328" s="51" t="str">
        <f>IF(AND(Table4[[#This Row],[USD_Spend]]&gt;=$B$5,Table4[[#This Row],[Sales]]&lt;=$B$6),"Wasted Budget","Spend Justified")</f>
        <v>Spend Justified</v>
      </c>
      <c r="T328" s="51" t="str">
        <f>IF(AND(Table4[[#This Row],[Clicks]]&gt;=$B$7,Table4[[#This Row],[Sales]]&lt;=$B$6),"Poor Monetization","Normal Monitization")</f>
        <v>Normal Monitization</v>
      </c>
    </row>
    <row r="329" spans="1:20" x14ac:dyDescent="0.35">
      <c r="A329" s="41" t="s">
        <v>72</v>
      </c>
      <c r="B329" s="41" t="s">
        <v>19</v>
      </c>
      <c r="C329" s="41" t="s">
        <v>29</v>
      </c>
      <c r="D329" s="41" t="s">
        <v>37</v>
      </c>
      <c r="E329" s="41" t="s">
        <v>30</v>
      </c>
      <c r="F329" s="41">
        <v>7085.58</v>
      </c>
      <c r="G329" s="41">
        <v>192971</v>
      </c>
      <c r="H329" s="41">
        <v>9727</v>
      </c>
      <c r="I329" s="41">
        <v>218453.6</v>
      </c>
      <c r="J329" s="41">
        <v>61</v>
      </c>
      <c r="K329" s="42">
        <f t="shared" si="21"/>
        <v>5.040653776992398E-2</v>
      </c>
      <c r="L329" s="43">
        <f t="shared" si="22"/>
        <v>30.830729453340446</v>
      </c>
      <c r="M329" s="43">
        <f t="shared" si="23"/>
        <v>29.830729453340449</v>
      </c>
      <c r="N329" s="43">
        <f t="shared" si="24"/>
        <v>22.458476405880539</v>
      </c>
      <c r="O329" s="1" t="str">
        <f t="shared" si="20"/>
        <v>Normal</v>
      </c>
      <c r="P329" s="51" t="str">
        <f>IF(Table4[[#This Row],[Sales]]&lt;=$B$3,"Normal","High Revenue")</f>
        <v>Normal</v>
      </c>
      <c r="Q329" s="51" t="str">
        <f>IF(Table4[[#This Row],[CTR]]&lt;=$B$4,"Normal","High CTR")</f>
        <v>Normal</v>
      </c>
      <c r="R329" s="51" t="str">
        <f>IF(Table4[[#This Row],[ROAS]]&lt;1,"Poor",IF(Table4[[#This Row],[ROAS]]&lt;3,"Average",IF(Table4[[#This Row],[ROAS]]&lt;5,"Good",
"Excellent")))</f>
        <v>Excellent</v>
      </c>
      <c r="S329" s="51" t="str">
        <f>IF(AND(Table4[[#This Row],[USD_Spend]]&gt;=$B$5,Table4[[#This Row],[Sales]]&lt;=$B$6),"Wasted Budget","Spend Justified")</f>
        <v>Spend Justified</v>
      </c>
      <c r="T329" s="51" t="str">
        <f>IF(AND(Table4[[#This Row],[Clicks]]&gt;=$B$7,Table4[[#This Row],[Sales]]&lt;=$B$6),"Poor Monetization","Normal Monitization")</f>
        <v>Normal Monitization</v>
      </c>
    </row>
    <row r="330" spans="1:20" x14ac:dyDescent="0.35">
      <c r="A330" s="38" t="s">
        <v>119</v>
      </c>
      <c r="B330" s="38" t="s">
        <v>35</v>
      </c>
      <c r="C330" s="38" t="s">
        <v>20</v>
      </c>
      <c r="D330" s="38" t="s">
        <v>51</v>
      </c>
      <c r="E330" s="38" t="s">
        <v>22</v>
      </c>
      <c r="F330" s="38">
        <v>4068.95</v>
      </c>
      <c r="G330" s="38">
        <v>803310</v>
      </c>
      <c r="H330" s="38">
        <v>42761</v>
      </c>
      <c r="I330" s="38">
        <v>235629.04</v>
      </c>
      <c r="J330" s="38">
        <v>46</v>
      </c>
      <c r="K330" s="39">
        <f t="shared" si="21"/>
        <v>5.323100670973846E-2</v>
      </c>
      <c r="L330" s="40">
        <f t="shared" si="22"/>
        <v>57.909052704014556</v>
      </c>
      <c r="M330" s="40">
        <f t="shared" si="23"/>
        <v>56.909052704014549</v>
      </c>
      <c r="N330" s="40">
        <f t="shared" si="24"/>
        <v>5.5103725357218032</v>
      </c>
      <c r="O330" s="1" t="str">
        <f t="shared" ref="O330:O393" si="25">IF(F330&lt;=$B$2,"Normal","High Spend")</f>
        <v>Normal</v>
      </c>
      <c r="P330" s="51" t="str">
        <f>IF(Table4[[#This Row],[Sales]]&lt;=$B$3,"Normal","High Revenue")</f>
        <v>High Revenue</v>
      </c>
      <c r="Q330" s="51" t="str">
        <f>IF(Table4[[#This Row],[CTR]]&lt;=$B$4,"Normal","High CTR")</f>
        <v>Normal</v>
      </c>
      <c r="R330" s="51" t="str">
        <f>IF(Table4[[#This Row],[ROAS]]&lt;1,"Poor",IF(Table4[[#This Row],[ROAS]]&lt;3,"Average",IF(Table4[[#This Row],[ROAS]]&lt;5,"Good",
"Excellent")))</f>
        <v>Excellent</v>
      </c>
      <c r="S330" s="51" t="str">
        <f>IF(AND(Table4[[#This Row],[USD_Spend]]&gt;=$B$5,Table4[[#This Row],[Sales]]&lt;=$B$6),"Wasted Budget","Spend Justified")</f>
        <v>Spend Justified</v>
      </c>
      <c r="T330" s="51" t="str">
        <f>IF(AND(Table4[[#This Row],[Clicks]]&gt;=$B$7,Table4[[#This Row],[Sales]]&lt;=$B$6),"Poor Monetization","Normal Monitization")</f>
        <v>Normal Monitization</v>
      </c>
    </row>
    <row r="331" spans="1:20" x14ac:dyDescent="0.35">
      <c r="A331" s="41" t="s">
        <v>18</v>
      </c>
      <c r="B331" s="41" t="s">
        <v>19</v>
      </c>
      <c r="C331" s="41" t="s">
        <v>20</v>
      </c>
      <c r="D331" s="41" t="s">
        <v>43</v>
      </c>
      <c r="E331" s="41" t="s">
        <v>38</v>
      </c>
      <c r="F331" s="41">
        <v>45424.91</v>
      </c>
      <c r="G331" s="41">
        <v>774305</v>
      </c>
      <c r="H331" s="41">
        <v>18078</v>
      </c>
      <c r="I331" s="41">
        <v>52003.63</v>
      </c>
      <c r="J331" s="41">
        <v>42</v>
      </c>
      <c r="K331" s="42">
        <f t="shared" ref="K331:K394" si="26">H331/G331</f>
        <v>2.3347388948799244E-2</v>
      </c>
      <c r="L331" s="43">
        <f t="shared" ref="L331:L394" si="27">I331/F331</f>
        <v>1.1448262638274902</v>
      </c>
      <c r="M331" s="43">
        <f t="shared" ref="M331:M394" si="28">(I331-F331)/F331</f>
        <v>0.14482626382749011</v>
      </c>
      <c r="N331" s="43">
        <f t="shared" ref="N331:N394" si="29">I331/H331</f>
        <v>2.8766251797765237</v>
      </c>
      <c r="O331" s="1" t="str">
        <f t="shared" si="25"/>
        <v>High Spend</v>
      </c>
      <c r="P331" s="51" t="str">
        <f>IF(Table4[[#This Row],[Sales]]&lt;=$B$3,"Normal","High Revenue")</f>
        <v>Normal</v>
      </c>
      <c r="Q331" s="51" t="str">
        <f>IF(Table4[[#This Row],[CTR]]&lt;=$B$4,"Normal","High CTR")</f>
        <v>Normal</v>
      </c>
      <c r="R331" s="51" t="str">
        <f>IF(Table4[[#This Row],[ROAS]]&lt;1,"Poor",IF(Table4[[#This Row],[ROAS]]&lt;3,"Average",IF(Table4[[#This Row],[ROAS]]&lt;5,"Good",
"Excellent")))</f>
        <v>Average</v>
      </c>
      <c r="S331" s="51" t="str">
        <f>IF(AND(Table4[[#This Row],[USD_Spend]]&gt;=$B$5,Table4[[#This Row],[Sales]]&lt;=$B$6),"Wasted Budget","Spend Justified")</f>
        <v>Wasted Budget</v>
      </c>
      <c r="T331" s="51" t="str">
        <f>IF(AND(Table4[[#This Row],[Clicks]]&gt;=$B$7,Table4[[#This Row],[Sales]]&lt;=$B$6),"Poor Monetization","Normal Monitization")</f>
        <v>Normal Monitization</v>
      </c>
    </row>
    <row r="332" spans="1:20" x14ac:dyDescent="0.35">
      <c r="A332" s="38" t="s">
        <v>119</v>
      </c>
      <c r="B332" s="38" t="s">
        <v>35</v>
      </c>
      <c r="C332" s="38" t="s">
        <v>29</v>
      </c>
      <c r="D332" s="38" t="s">
        <v>37</v>
      </c>
      <c r="E332" s="38" t="s">
        <v>22</v>
      </c>
      <c r="F332" s="38">
        <v>15827.33</v>
      </c>
      <c r="G332" s="38">
        <v>744764</v>
      </c>
      <c r="H332" s="38">
        <v>48292</v>
      </c>
      <c r="I332" s="38">
        <v>84931.63</v>
      </c>
      <c r="J332" s="38">
        <v>60</v>
      </c>
      <c r="K332" s="39">
        <f t="shared" si="26"/>
        <v>6.4842017068494184E-2</v>
      </c>
      <c r="L332" s="40">
        <f t="shared" si="27"/>
        <v>5.3661375607888386</v>
      </c>
      <c r="M332" s="40">
        <f t="shared" si="28"/>
        <v>4.3661375607888386</v>
      </c>
      <c r="N332" s="40">
        <f t="shared" si="29"/>
        <v>1.7587101383251886</v>
      </c>
      <c r="O332" s="1" t="str">
        <f t="shared" si="25"/>
        <v>Normal</v>
      </c>
      <c r="P332" s="51" t="str">
        <f>IF(Table4[[#This Row],[Sales]]&lt;=$B$3,"Normal","High Revenue")</f>
        <v>Normal</v>
      </c>
      <c r="Q332" s="51" t="str">
        <f>IF(Table4[[#This Row],[CTR]]&lt;=$B$4,"Normal","High CTR")</f>
        <v>Normal</v>
      </c>
      <c r="R332" s="51" t="str">
        <f>IF(Table4[[#This Row],[ROAS]]&lt;1,"Poor",IF(Table4[[#This Row],[ROAS]]&lt;3,"Average",IF(Table4[[#This Row],[ROAS]]&lt;5,"Good",
"Excellent")))</f>
        <v>Excellent</v>
      </c>
      <c r="S332" s="51" t="str">
        <f>IF(AND(Table4[[#This Row],[USD_Spend]]&gt;=$B$5,Table4[[#This Row],[Sales]]&lt;=$B$6),"Wasted Budget","Spend Justified")</f>
        <v>Spend Justified</v>
      </c>
      <c r="T332" s="51" t="str">
        <f>IF(AND(Table4[[#This Row],[Clicks]]&gt;=$B$7,Table4[[#This Row],[Sales]]&lt;=$B$6),"Poor Monetization","Normal Monitization")</f>
        <v>Normal Monitization</v>
      </c>
    </row>
    <row r="333" spans="1:20" x14ac:dyDescent="0.35">
      <c r="A333" s="41" t="s">
        <v>64</v>
      </c>
      <c r="B333" s="41" t="s">
        <v>28</v>
      </c>
      <c r="C333" s="41" t="s">
        <v>20</v>
      </c>
      <c r="D333" s="41" t="s">
        <v>51</v>
      </c>
      <c r="E333" s="41" t="s">
        <v>38</v>
      </c>
      <c r="F333" s="41">
        <v>5421.58</v>
      </c>
      <c r="G333" s="41">
        <v>710224</v>
      </c>
      <c r="H333" s="41">
        <v>7847</v>
      </c>
      <c r="I333" s="41">
        <v>119021.77</v>
      </c>
      <c r="J333" s="41">
        <v>47</v>
      </c>
      <c r="K333" s="42">
        <f t="shared" si="26"/>
        <v>1.104862691207281E-2</v>
      </c>
      <c r="L333" s="43">
        <f t="shared" si="27"/>
        <v>21.953336481247167</v>
      </c>
      <c r="M333" s="43">
        <f t="shared" si="28"/>
        <v>20.953336481247163</v>
      </c>
      <c r="N333" s="43">
        <f t="shared" si="29"/>
        <v>15.167805530776093</v>
      </c>
      <c r="O333" s="1" t="str">
        <f t="shared" si="25"/>
        <v>Normal</v>
      </c>
      <c r="P333" s="51" t="str">
        <f>IF(Table4[[#This Row],[Sales]]&lt;=$B$3,"Normal","High Revenue")</f>
        <v>Normal</v>
      </c>
      <c r="Q333" s="51" t="str">
        <f>IF(Table4[[#This Row],[CTR]]&lt;=$B$4,"Normal","High CTR")</f>
        <v>Normal</v>
      </c>
      <c r="R333" s="51" t="str">
        <f>IF(Table4[[#This Row],[ROAS]]&lt;1,"Poor",IF(Table4[[#This Row],[ROAS]]&lt;3,"Average",IF(Table4[[#This Row],[ROAS]]&lt;5,"Good",
"Excellent")))</f>
        <v>Excellent</v>
      </c>
      <c r="S333" s="51" t="str">
        <f>IF(AND(Table4[[#This Row],[USD_Spend]]&gt;=$B$5,Table4[[#This Row],[Sales]]&lt;=$B$6),"Wasted Budget","Spend Justified")</f>
        <v>Spend Justified</v>
      </c>
      <c r="T333" s="51" t="str">
        <f>IF(AND(Table4[[#This Row],[Clicks]]&gt;=$B$7,Table4[[#This Row],[Sales]]&lt;=$B$6),"Poor Monetization","Normal Monitization")</f>
        <v>Normal Monitization</v>
      </c>
    </row>
    <row r="334" spans="1:20" x14ac:dyDescent="0.35">
      <c r="A334" s="38" t="s">
        <v>107</v>
      </c>
      <c r="B334" s="38" t="s">
        <v>28</v>
      </c>
      <c r="C334" s="38" t="s">
        <v>20</v>
      </c>
      <c r="D334" s="38" t="s">
        <v>37</v>
      </c>
      <c r="E334" s="38" t="s">
        <v>38</v>
      </c>
      <c r="F334" s="38">
        <v>27605.74</v>
      </c>
      <c r="G334" s="38">
        <v>680153</v>
      </c>
      <c r="H334" s="38">
        <v>20639</v>
      </c>
      <c r="I334" s="38">
        <v>151257.85</v>
      </c>
      <c r="J334" s="38">
        <v>48</v>
      </c>
      <c r="K334" s="39">
        <f t="shared" si="26"/>
        <v>3.0344643043550494E-2</v>
      </c>
      <c r="L334" s="40">
        <f t="shared" si="27"/>
        <v>5.4792173656638079</v>
      </c>
      <c r="M334" s="40">
        <f t="shared" si="28"/>
        <v>4.479217365663807</v>
      </c>
      <c r="N334" s="40">
        <f t="shared" si="29"/>
        <v>7.3287392800038766</v>
      </c>
      <c r="O334" s="1" t="str">
        <f t="shared" si="25"/>
        <v>Normal</v>
      </c>
      <c r="P334" s="51" t="str">
        <f>IF(Table4[[#This Row],[Sales]]&lt;=$B$3,"Normal","High Revenue")</f>
        <v>Normal</v>
      </c>
      <c r="Q334" s="51" t="str">
        <f>IF(Table4[[#This Row],[CTR]]&lt;=$B$4,"Normal","High CTR")</f>
        <v>Normal</v>
      </c>
      <c r="R334" s="51" t="str">
        <f>IF(Table4[[#This Row],[ROAS]]&lt;1,"Poor",IF(Table4[[#This Row],[ROAS]]&lt;3,"Average",IF(Table4[[#This Row],[ROAS]]&lt;5,"Good",
"Excellent")))</f>
        <v>Excellent</v>
      </c>
      <c r="S334" s="51" t="str">
        <f>IF(AND(Table4[[#This Row],[USD_Spend]]&gt;=$B$5,Table4[[#This Row],[Sales]]&lt;=$B$6),"Wasted Budget","Spend Justified")</f>
        <v>Spend Justified</v>
      </c>
      <c r="T334" s="51" t="str">
        <f>IF(AND(Table4[[#This Row],[Clicks]]&gt;=$B$7,Table4[[#This Row],[Sales]]&lt;=$B$6),"Poor Monetization","Normal Monitization")</f>
        <v>Normal Monitization</v>
      </c>
    </row>
    <row r="335" spans="1:20" x14ac:dyDescent="0.35">
      <c r="A335" s="41" t="s">
        <v>89</v>
      </c>
      <c r="B335" s="41" t="s">
        <v>19</v>
      </c>
      <c r="C335" s="41" t="s">
        <v>29</v>
      </c>
      <c r="D335" s="41" t="s">
        <v>37</v>
      </c>
      <c r="E335" s="41" t="s">
        <v>38</v>
      </c>
      <c r="F335" s="41">
        <v>3626.17</v>
      </c>
      <c r="G335" s="41">
        <v>69830</v>
      </c>
      <c r="H335" s="41">
        <v>48664</v>
      </c>
      <c r="I335" s="41">
        <v>198694.71</v>
      </c>
      <c r="J335" s="41">
        <v>49</v>
      </c>
      <c r="K335" s="42">
        <f t="shared" si="26"/>
        <v>0.69689245310038661</v>
      </c>
      <c r="L335" s="43">
        <f t="shared" si="27"/>
        <v>54.794648347981479</v>
      </c>
      <c r="M335" s="43">
        <f t="shared" si="28"/>
        <v>53.794648347981472</v>
      </c>
      <c r="N335" s="43">
        <f t="shared" si="29"/>
        <v>4.0829917392733845</v>
      </c>
      <c r="O335" s="1" t="str">
        <f t="shared" si="25"/>
        <v>Normal</v>
      </c>
      <c r="P335" s="51" t="str">
        <f>IF(Table4[[#This Row],[Sales]]&lt;=$B$3,"Normal","High Revenue")</f>
        <v>Normal</v>
      </c>
      <c r="Q335" s="51" t="str">
        <f>IF(Table4[[#This Row],[CTR]]&lt;=$B$4,"Normal","High CTR")</f>
        <v>High CTR</v>
      </c>
      <c r="R335" s="51" t="str">
        <f>IF(Table4[[#This Row],[ROAS]]&lt;1,"Poor",IF(Table4[[#This Row],[ROAS]]&lt;3,"Average",IF(Table4[[#This Row],[ROAS]]&lt;5,"Good",
"Excellent")))</f>
        <v>Excellent</v>
      </c>
      <c r="S335" s="51" t="str">
        <f>IF(AND(Table4[[#This Row],[USD_Spend]]&gt;=$B$5,Table4[[#This Row],[Sales]]&lt;=$B$6),"Wasted Budget","Spend Justified")</f>
        <v>Spend Justified</v>
      </c>
      <c r="T335" s="51" t="str">
        <f>IF(AND(Table4[[#This Row],[Clicks]]&gt;=$B$7,Table4[[#This Row],[Sales]]&lt;=$B$6),"Poor Monetization","Normal Monitization")</f>
        <v>Normal Monitization</v>
      </c>
    </row>
    <row r="336" spans="1:20" x14ac:dyDescent="0.35">
      <c r="A336" s="38" t="s">
        <v>111</v>
      </c>
      <c r="B336" s="38" t="s">
        <v>35</v>
      </c>
      <c r="C336" s="38" t="s">
        <v>58</v>
      </c>
      <c r="D336" s="38" t="s">
        <v>51</v>
      </c>
      <c r="E336" s="38" t="s">
        <v>22</v>
      </c>
      <c r="F336" s="38">
        <v>3376.91</v>
      </c>
      <c r="G336" s="38">
        <v>926602</v>
      </c>
      <c r="H336" s="38">
        <v>2685</v>
      </c>
      <c r="I336" s="38">
        <v>213800.93</v>
      </c>
      <c r="J336" s="38">
        <v>35</v>
      </c>
      <c r="K336" s="39">
        <f t="shared" si="26"/>
        <v>2.8976842268848978E-3</v>
      </c>
      <c r="L336" s="40">
        <f t="shared" si="27"/>
        <v>63.312593465623898</v>
      </c>
      <c r="M336" s="40">
        <f t="shared" si="28"/>
        <v>62.312593465623898</v>
      </c>
      <c r="N336" s="40">
        <f t="shared" si="29"/>
        <v>79.627906890130348</v>
      </c>
      <c r="O336" s="1" t="str">
        <f t="shared" si="25"/>
        <v>Normal</v>
      </c>
      <c r="P336" s="51" t="str">
        <f>IF(Table4[[#This Row],[Sales]]&lt;=$B$3,"Normal","High Revenue")</f>
        <v>Normal</v>
      </c>
      <c r="Q336" s="51" t="str">
        <f>IF(Table4[[#This Row],[CTR]]&lt;=$B$4,"Normal","High CTR")</f>
        <v>Normal</v>
      </c>
      <c r="R336" s="51" t="str">
        <f>IF(Table4[[#This Row],[ROAS]]&lt;1,"Poor",IF(Table4[[#This Row],[ROAS]]&lt;3,"Average",IF(Table4[[#This Row],[ROAS]]&lt;5,"Good",
"Excellent")))</f>
        <v>Excellent</v>
      </c>
      <c r="S336" s="51" t="str">
        <f>IF(AND(Table4[[#This Row],[USD_Spend]]&gt;=$B$5,Table4[[#This Row],[Sales]]&lt;=$B$6),"Wasted Budget","Spend Justified")</f>
        <v>Spend Justified</v>
      </c>
      <c r="T336" s="51" t="str">
        <f>IF(AND(Table4[[#This Row],[Clicks]]&gt;=$B$7,Table4[[#This Row],[Sales]]&lt;=$B$6),"Poor Monetization","Normal Monitization")</f>
        <v>Normal Monitization</v>
      </c>
    </row>
    <row r="337" spans="1:20" x14ac:dyDescent="0.35">
      <c r="A337" s="41" t="s">
        <v>100</v>
      </c>
      <c r="B337" s="41" t="s">
        <v>35</v>
      </c>
      <c r="C337" s="41" t="s">
        <v>58</v>
      </c>
      <c r="D337" s="41" t="s">
        <v>37</v>
      </c>
      <c r="E337" s="41" t="s">
        <v>38</v>
      </c>
      <c r="F337" s="41">
        <v>645.54</v>
      </c>
      <c r="G337" s="41">
        <v>841131</v>
      </c>
      <c r="H337" s="41">
        <v>20259</v>
      </c>
      <c r="I337" s="41">
        <v>150785.79</v>
      </c>
      <c r="J337" s="41">
        <v>58</v>
      </c>
      <c r="K337" s="42">
        <f t="shared" si="26"/>
        <v>2.4085427834665468E-2</v>
      </c>
      <c r="L337" s="43">
        <f t="shared" si="27"/>
        <v>233.58086253369274</v>
      </c>
      <c r="M337" s="43">
        <f t="shared" si="28"/>
        <v>232.58086253369274</v>
      </c>
      <c r="N337" s="43">
        <f t="shared" si="29"/>
        <v>7.4429038945653785</v>
      </c>
      <c r="O337" s="1" t="str">
        <f t="shared" si="25"/>
        <v>Normal</v>
      </c>
      <c r="P337" s="51" t="str">
        <f>IF(Table4[[#This Row],[Sales]]&lt;=$B$3,"Normal","High Revenue")</f>
        <v>Normal</v>
      </c>
      <c r="Q337" s="51" t="str">
        <f>IF(Table4[[#This Row],[CTR]]&lt;=$B$4,"Normal","High CTR")</f>
        <v>Normal</v>
      </c>
      <c r="R337" s="51" t="str">
        <f>IF(Table4[[#This Row],[ROAS]]&lt;1,"Poor",IF(Table4[[#This Row],[ROAS]]&lt;3,"Average",IF(Table4[[#This Row],[ROAS]]&lt;5,"Good",
"Excellent")))</f>
        <v>Excellent</v>
      </c>
      <c r="S337" s="51" t="str">
        <f>IF(AND(Table4[[#This Row],[USD_Spend]]&gt;=$B$5,Table4[[#This Row],[Sales]]&lt;=$B$6),"Wasted Budget","Spend Justified")</f>
        <v>Spend Justified</v>
      </c>
      <c r="T337" s="51" t="str">
        <f>IF(AND(Table4[[#This Row],[Clicks]]&gt;=$B$7,Table4[[#This Row],[Sales]]&lt;=$B$6),"Poor Monetization","Normal Monitization")</f>
        <v>Normal Monitization</v>
      </c>
    </row>
    <row r="338" spans="1:20" x14ac:dyDescent="0.35">
      <c r="A338" s="38" t="s">
        <v>34</v>
      </c>
      <c r="B338" s="38" t="s">
        <v>28</v>
      </c>
      <c r="C338" s="38" t="s">
        <v>29</v>
      </c>
      <c r="D338" s="38" t="s">
        <v>59</v>
      </c>
      <c r="E338" s="38" t="s">
        <v>38</v>
      </c>
      <c r="F338" s="38">
        <v>18162.97</v>
      </c>
      <c r="G338" s="38">
        <v>670016</v>
      </c>
      <c r="H338" s="38">
        <v>43681</v>
      </c>
      <c r="I338" s="38">
        <v>65135.56</v>
      </c>
      <c r="J338" s="38">
        <v>29</v>
      </c>
      <c r="K338" s="39">
        <f t="shared" si="26"/>
        <v>6.5193965517241381E-2</v>
      </c>
      <c r="L338" s="40">
        <f t="shared" si="27"/>
        <v>3.5861734066620157</v>
      </c>
      <c r="M338" s="40">
        <f t="shared" si="28"/>
        <v>2.5861734066620157</v>
      </c>
      <c r="N338" s="40">
        <f t="shared" si="29"/>
        <v>1.491164579565486</v>
      </c>
      <c r="O338" s="1" t="str">
        <f t="shared" si="25"/>
        <v>Normal</v>
      </c>
      <c r="P338" s="51" t="str">
        <f>IF(Table4[[#This Row],[Sales]]&lt;=$B$3,"Normal","High Revenue")</f>
        <v>Normal</v>
      </c>
      <c r="Q338" s="51" t="str">
        <f>IF(Table4[[#This Row],[CTR]]&lt;=$B$4,"Normal","High CTR")</f>
        <v>Normal</v>
      </c>
      <c r="R338" s="51" t="str">
        <f>IF(Table4[[#This Row],[ROAS]]&lt;1,"Poor",IF(Table4[[#This Row],[ROAS]]&lt;3,"Average",IF(Table4[[#This Row],[ROAS]]&lt;5,"Good",
"Excellent")))</f>
        <v>Good</v>
      </c>
      <c r="S338" s="51" t="str">
        <f>IF(AND(Table4[[#This Row],[USD_Spend]]&gt;=$B$5,Table4[[#This Row],[Sales]]&lt;=$B$6),"Wasted Budget","Spend Justified")</f>
        <v>Wasted Budget</v>
      </c>
      <c r="T338" s="51" t="str">
        <f>IF(AND(Table4[[#This Row],[Clicks]]&gt;=$B$7,Table4[[#This Row],[Sales]]&lt;=$B$6),"Poor Monetization","Normal Monitization")</f>
        <v>Poor Monetization</v>
      </c>
    </row>
    <row r="339" spans="1:20" x14ac:dyDescent="0.35">
      <c r="A339" s="41" t="s">
        <v>115</v>
      </c>
      <c r="B339" s="41" t="s">
        <v>28</v>
      </c>
      <c r="C339" s="41" t="s">
        <v>20</v>
      </c>
      <c r="D339" s="41" t="s">
        <v>59</v>
      </c>
      <c r="E339" s="41" t="s">
        <v>38</v>
      </c>
      <c r="F339" s="41">
        <v>32836.43</v>
      </c>
      <c r="G339" s="41">
        <v>578373</v>
      </c>
      <c r="H339" s="41">
        <v>49696</v>
      </c>
      <c r="I339" s="41">
        <v>15194.58</v>
      </c>
      <c r="J339" s="41">
        <v>55</v>
      </c>
      <c r="K339" s="42">
        <f t="shared" si="26"/>
        <v>8.5923789665146882E-2</v>
      </c>
      <c r="L339" s="43">
        <f t="shared" si="27"/>
        <v>0.46273544353024976</v>
      </c>
      <c r="M339" s="43">
        <f t="shared" si="28"/>
        <v>-0.53726455646975013</v>
      </c>
      <c r="N339" s="43">
        <f t="shared" si="29"/>
        <v>0.30575056342562784</v>
      </c>
      <c r="O339" s="1" t="str">
        <f t="shared" si="25"/>
        <v>Normal</v>
      </c>
      <c r="P339" s="51" t="str">
        <f>IF(Table4[[#This Row],[Sales]]&lt;=$B$3,"Normal","High Revenue")</f>
        <v>Normal</v>
      </c>
      <c r="Q339" s="51" t="str">
        <f>IF(Table4[[#This Row],[CTR]]&lt;=$B$4,"Normal","High CTR")</f>
        <v>Normal</v>
      </c>
      <c r="R339" s="51" t="str">
        <f>IF(Table4[[#This Row],[ROAS]]&lt;1,"Poor",IF(Table4[[#This Row],[ROAS]]&lt;3,"Average",IF(Table4[[#This Row],[ROAS]]&lt;5,"Good",
"Excellent")))</f>
        <v>Poor</v>
      </c>
      <c r="S339" s="51" t="str">
        <f>IF(AND(Table4[[#This Row],[USD_Spend]]&gt;=$B$5,Table4[[#This Row],[Sales]]&lt;=$B$6),"Wasted Budget","Spend Justified")</f>
        <v>Wasted Budget</v>
      </c>
      <c r="T339" s="51" t="str">
        <f>IF(AND(Table4[[#This Row],[Clicks]]&gt;=$B$7,Table4[[#This Row],[Sales]]&lt;=$B$6),"Poor Monetization","Normal Monitization")</f>
        <v>Poor Monetization</v>
      </c>
    </row>
    <row r="340" spans="1:20" x14ac:dyDescent="0.35">
      <c r="A340" s="38" t="s">
        <v>111</v>
      </c>
      <c r="B340" s="38" t="s">
        <v>19</v>
      </c>
      <c r="C340" s="38" t="s">
        <v>36</v>
      </c>
      <c r="D340" s="38" t="s">
        <v>37</v>
      </c>
      <c r="E340" s="38" t="s">
        <v>38</v>
      </c>
      <c r="F340" s="38">
        <v>18497.740000000002</v>
      </c>
      <c r="G340" s="38">
        <v>171771</v>
      </c>
      <c r="H340" s="38">
        <v>48574</v>
      </c>
      <c r="I340" s="38">
        <v>100457.38</v>
      </c>
      <c r="J340" s="38">
        <v>15</v>
      </c>
      <c r="K340" s="39">
        <f t="shared" si="26"/>
        <v>0.28278347334532605</v>
      </c>
      <c r="L340" s="40">
        <f t="shared" si="27"/>
        <v>5.4307920859521213</v>
      </c>
      <c r="M340" s="40">
        <f t="shared" si="28"/>
        <v>4.4307920859521213</v>
      </c>
      <c r="N340" s="40">
        <f t="shared" si="29"/>
        <v>2.0681306871989129</v>
      </c>
      <c r="O340" s="1" t="str">
        <f t="shared" si="25"/>
        <v>Normal</v>
      </c>
      <c r="P340" s="51" t="str">
        <f>IF(Table4[[#This Row],[Sales]]&lt;=$B$3,"Normal","High Revenue")</f>
        <v>Normal</v>
      </c>
      <c r="Q340" s="51" t="str">
        <f>IF(Table4[[#This Row],[CTR]]&lt;=$B$4,"Normal","High CTR")</f>
        <v>Normal</v>
      </c>
      <c r="R340" s="51" t="str">
        <f>IF(Table4[[#This Row],[ROAS]]&lt;1,"Poor",IF(Table4[[#This Row],[ROAS]]&lt;3,"Average",IF(Table4[[#This Row],[ROAS]]&lt;5,"Good",
"Excellent")))</f>
        <v>Excellent</v>
      </c>
      <c r="S340" s="51" t="str">
        <f>IF(AND(Table4[[#This Row],[USD_Spend]]&gt;=$B$5,Table4[[#This Row],[Sales]]&lt;=$B$6),"Wasted Budget","Spend Justified")</f>
        <v>Spend Justified</v>
      </c>
      <c r="T340" s="51" t="str">
        <f>IF(AND(Table4[[#This Row],[Clicks]]&gt;=$B$7,Table4[[#This Row],[Sales]]&lt;=$B$6),"Poor Monetization","Normal Monitization")</f>
        <v>Normal Monitization</v>
      </c>
    </row>
    <row r="341" spans="1:20" x14ac:dyDescent="0.35">
      <c r="A341" s="41" t="s">
        <v>100</v>
      </c>
      <c r="B341" s="41" t="s">
        <v>28</v>
      </c>
      <c r="C341" s="41" t="s">
        <v>58</v>
      </c>
      <c r="D341" s="41" t="s">
        <v>43</v>
      </c>
      <c r="E341" s="41" t="s">
        <v>38</v>
      </c>
      <c r="F341" s="41">
        <v>16670.490000000002</v>
      </c>
      <c r="G341" s="41">
        <v>207064</v>
      </c>
      <c r="H341" s="41">
        <v>29048</v>
      </c>
      <c r="I341" s="41">
        <v>56790.67</v>
      </c>
      <c r="J341" s="41">
        <v>52</v>
      </c>
      <c r="K341" s="42">
        <f t="shared" si="26"/>
        <v>0.14028512923540548</v>
      </c>
      <c r="L341" s="43">
        <f t="shared" si="27"/>
        <v>3.4066587124913541</v>
      </c>
      <c r="M341" s="43">
        <f t="shared" si="28"/>
        <v>2.4066587124913537</v>
      </c>
      <c r="N341" s="43">
        <f t="shared" si="29"/>
        <v>1.9550629991737813</v>
      </c>
      <c r="O341" s="1" t="str">
        <f t="shared" si="25"/>
        <v>Normal</v>
      </c>
      <c r="P341" s="51" t="str">
        <f>IF(Table4[[#This Row],[Sales]]&lt;=$B$3,"Normal","High Revenue")</f>
        <v>Normal</v>
      </c>
      <c r="Q341" s="51" t="str">
        <f>IF(Table4[[#This Row],[CTR]]&lt;=$B$4,"Normal","High CTR")</f>
        <v>Normal</v>
      </c>
      <c r="R341" s="51" t="str">
        <f>IF(Table4[[#This Row],[ROAS]]&lt;1,"Poor",IF(Table4[[#This Row],[ROAS]]&lt;3,"Average",IF(Table4[[#This Row],[ROAS]]&lt;5,"Good",
"Excellent")))</f>
        <v>Good</v>
      </c>
      <c r="S341" s="51" t="str">
        <f>IF(AND(Table4[[#This Row],[USD_Spend]]&gt;=$B$5,Table4[[#This Row],[Sales]]&lt;=$B$6),"Wasted Budget","Spend Justified")</f>
        <v>Wasted Budget</v>
      </c>
      <c r="T341" s="51" t="str">
        <f>IF(AND(Table4[[#This Row],[Clicks]]&gt;=$B$7,Table4[[#This Row],[Sales]]&lt;=$B$6),"Poor Monetization","Normal Monitization")</f>
        <v>Normal Monitization</v>
      </c>
    </row>
    <row r="342" spans="1:20" x14ac:dyDescent="0.35">
      <c r="A342" s="38" t="s">
        <v>57</v>
      </c>
      <c r="B342" s="38" t="s">
        <v>19</v>
      </c>
      <c r="C342" s="38" t="s">
        <v>29</v>
      </c>
      <c r="D342" s="38" t="s">
        <v>59</v>
      </c>
      <c r="E342" s="38" t="s">
        <v>38</v>
      </c>
      <c r="F342" s="38">
        <v>1956.96</v>
      </c>
      <c r="G342" s="38">
        <v>327776</v>
      </c>
      <c r="H342" s="38">
        <v>20478</v>
      </c>
      <c r="I342" s="38">
        <v>73684.929999999993</v>
      </c>
      <c r="J342" s="38">
        <v>29</v>
      </c>
      <c r="K342" s="39">
        <f t="shared" si="26"/>
        <v>6.2475593087962508E-2</v>
      </c>
      <c r="L342" s="40">
        <f t="shared" si="27"/>
        <v>37.652752227945378</v>
      </c>
      <c r="M342" s="40">
        <f t="shared" si="28"/>
        <v>36.652752227945378</v>
      </c>
      <c r="N342" s="40">
        <f t="shared" si="29"/>
        <v>3.598248364098056</v>
      </c>
      <c r="O342" s="1" t="str">
        <f t="shared" si="25"/>
        <v>Normal</v>
      </c>
      <c r="P342" s="51" t="str">
        <f>IF(Table4[[#This Row],[Sales]]&lt;=$B$3,"Normal","High Revenue")</f>
        <v>Normal</v>
      </c>
      <c r="Q342" s="51" t="str">
        <f>IF(Table4[[#This Row],[CTR]]&lt;=$B$4,"Normal","High CTR")</f>
        <v>Normal</v>
      </c>
      <c r="R342" s="51" t="str">
        <f>IF(Table4[[#This Row],[ROAS]]&lt;1,"Poor",IF(Table4[[#This Row],[ROAS]]&lt;3,"Average",IF(Table4[[#This Row],[ROAS]]&lt;5,"Good",
"Excellent")))</f>
        <v>Excellent</v>
      </c>
      <c r="S342" s="51" t="str">
        <f>IF(AND(Table4[[#This Row],[USD_Spend]]&gt;=$B$5,Table4[[#This Row],[Sales]]&lt;=$B$6),"Wasted Budget","Spend Justified")</f>
        <v>Spend Justified</v>
      </c>
      <c r="T342" s="51" t="str">
        <f>IF(AND(Table4[[#This Row],[Clicks]]&gt;=$B$7,Table4[[#This Row],[Sales]]&lt;=$B$6),"Poor Monetization","Normal Monitization")</f>
        <v>Normal Monitization</v>
      </c>
    </row>
    <row r="343" spans="1:20" x14ac:dyDescent="0.35">
      <c r="A343" s="41" t="s">
        <v>113</v>
      </c>
      <c r="B343" s="41" t="s">
        <v>48</v>
      </c>
      <c r="C343" s="41" t="s">
        <v>20</v>
      </c>
      <c r="D343" s="41" t="s">
        <v>21</v>
      </c>
      <c r="E343" s="41" t="s">
        <v>30</v>
      </c>
      <c r="F343" s="41">
        <v>1625.37</v>
      </c>
      <c r="G343" s="41">
        <v>493072</v>
      </c>
      <c r="H343" s="41">
        <v>7957</v>
      </c>
      <c r="I343" s="41">
        <v>35940.730000000003</v>
      </c>
      <c r="J343" s="41">
        <v>50</v>
      </c>
      <c r="K343" s="42">
        <f t="shared" si="26"/>
        <v>1.6137602621929453E-2</v>
      </c>
      <c r="L343" s="43">
        <f t="shared" si="27"/>
        <v>22.112337498538796</v>
      </c>
      <c r="M343" s="43">
        <f t="shared" si="28"/>
        <v>21.112337498538796</v>
      </c>
      <c r="N343" s="43">
        <f t="shared" si="29"/>
        <v>4.5168694231494282</v>
      </c>
      <c r="O343" s="1" t="str">
        <f t="shared" si="25"/>
        <v>Normal</v>
      </c>
      <c r="P343" s="51" t="str">
        <f>IF(Table4[[#This Row],[Sales]]&lt;=$B$3,"Normal","High Revenue")</f>
        <v>Normal</v>
      </c>
      <c r="Q343" s="51" t="str">
        <f>IF(Table4[[#This Row],[CTR]]&lt;=$B$4,"Normal","High CTR")</f>
        <v>Normal</v>
      </c>
      <c r="R343" s="51" t="str">
        <f>IF(Table4[[#This Row],[ROAS]]&lt;1,"Poor",IF(Table4[[#This Row],[ROAS]]&lt;3,"Average",IF(Table4[[#This Row],[ROAS]]&lt;5,"Good",
"Excellent")))</f>
        <v>Excellent</v>
      </c>
      <c r="S343" s="51" t="str">
        <f>IF(AND(Table4[[#This Row],[USD_Spend]]&gt;=$B$5,Table4[[#This Row],[Sales]]&lt;=$B$6),"Wasted Budget","Spend Justified")</f>
        <v>Spend Justified</v>
      </c>
      <c r="T343" s="51" t="str">
        <f>IF(AND(Table4[[#This Row],[Clicks]]&gt;=$B$7,Table4[[#This Row],[Sales]]&lt;=$B$6),"Poor Monetization","Normal Monitization")</f>
        <v>Normal Monitization</v>
      </c>
    </row>
    <row r="344" spans="1:20" x14ac:dyDescent="0.35">
      <c r="A344" s="38" t="s">
        <v>110</v>
      </c>
      <c r="B344" s="38" t="s">
        <v>48</v>
      </c>
      <c r="C344" s="38" t="s">
        <v>20</v>
      </c>
      <c r="D344" s="38" t="s">
        <v>37</v>
      </c>
      <c r="E344" s="38" t="s">
        <v>38</v>
      </c>
      <c r="F344" s="38">
        <v>2184.75</v>
      </c>
      <c r="G344" s="38">
        <v>536428</v>
      </c>
      <c r="H344" s="38">
        <v>44227</v>
      </c>
      <c r="I344" s="38">
        <v>225975.55</v>
      </c>
      <c r="J344" s="38">
        <v>58</v>
      </c>
      <c r="K344" s="39">
        <f t="shared" si="26"/>
        <v>8.2447224977070549E-2</v>
      </c>
      <c r="L344" s="40">
        <f t="shared" si="27"/>
        <v>103.43313880306671</v>
      </c>
      <c r="M344" s="40">
        <f t="shared" si="28"/>
        <v>102.43313880306671</v>
      </c>
      <c r="N344" s="40">
        <f t="shared" si="29"/>
        <v>5.109447848599272</v>
      </c>
      <c r="O344" s="1" t="str">
        <f t="shared" si="25"/>
        <v>Normal</v>
      </c>
      <c r="P344" s="51" t="str">
        <f>IF(Table4[[#This Row],[Sales]]&lt;=$B$3,"Normal","High Revenue")</f>
        <v>Normal</v>
      </c>
      <c r="Q344" s="51" t="str">
        <f>IF(Table4[[#This Row],[CTR]]&lt;=$B$4,"Normal","High CTR")</f>
        <v>Normal</v>
      </c>
      <c r="R344" s="51" t="str">
        <f>IF(Table4[[#This Row],[ROAS]]&lt;1,"Poor",IF(Table4[[#This Row],[ROAS]]&lt;3,"Average",IF(Table4[[#This Row],[ROAS]]&lt;5,"Good",
"Excellent")))</f>
        <v>Excellent</v>
      </c>
      <c r="S344" s="51" t="str">
        <f>IF(AND(Table4[[#This Row],[USD_Spend]]&gt;=$B$5,Table4[[#This Row],[Sales]]&lt;=$B$6),"Wasted Budget","Spend Justified")</f>
        <v>Spend Justified</v>
      </c>
      <c r="T344" s="51" t="str">
        <f>IF(AND(Table4[[#This Row],[Clicks]]&gt;=$B$7,Table4[[#This Row],[Sales]]&lt;=$B$6),"Poor Monetization","Normal Monitization")</f>
        <v>Normal Monitization</v>
      </c>
    </row>
    <row r="345" spans="1:20" x14ac:dyDescent="0.35">
      <c r="A345" s="41" t="s">
        <v>87</v>
      </c>
      <c r="B345" s="41" t="s">
        <v>35</v>
      </c>
      <c r="C345" s="41" t="s">
        <v>20</v>
      </c>
      <c r="D345" s="41" t="s">
        <v>63</v>
      </c>
      <c r="E345" s="41" t="s">
        <v>22</v>
      </c>
      <c r="F345" s="41">
        <v>14578.04</v>
      </c>
      <c r="G345" s="41">
        <v>637086</v>
      </c>
      <c r="H345" s="41">
        <v>2712</v>
      </c>
      <c r="I345" s="41">
        <v>222908.61</v>
      </c>
      <c r="J345" s="41">
        <v>38</v>
      </c>
      <c r="K345" s="42">
        <f t="shared" si="26"/>
        <v>4.2568821163861707E-3</v>
      </c>
      <c r="L345" s="43">
        <f t="shared" si="27"/>
        <v>15.290711920120946</v>
      </c>
      <c r="M345" s="43">
        <f t="shared" si="28"/>
        <v>14.290711920120946</v>
      </c>
      <c r="N345" s="43">
        <f t="shared" si="29"/>
        <v>82.193440265486714</v>
      </c>
      <c r="O345" s="1" t="str">
        <f t="shared" si="25"/>
        <v>Normal</v>
      </c>
      <c r="P345" s="51" t="str">
        <f>IF(Table4[[#This Row],[Sales]]&lt;=$B$3,"Normal","High Revenue")</f>
        <v>Normal</v>
      </c>
      <c r="Q345" s="51" t="str">
        <f>IF(Table4[[#This Row],[CTR]]&lt;=$B$4,"Normal","High CTR")</f>
        <v>Normal</v>
      </c>
      <c r="R345" s="51" t="str">
        <f>IF(Table4[[#This Row],[ROAS]]&lt;1,"Poor",IF(Table4[[#This Row],[ROAS]]&lt;3,"Average",IF(Table4[[#This Row],[ROAS]]&lt;5,"Good",
"Excellent")))</f>
        <v>Excellent</v>
      </c>
      <c r="S345" s="51" t="str">
        <f>IF(AND(Table4[[#This Row],[USD_Spend]]&gt;=$B$5,Table4[[#This Row],[Sales]]&lt;=$B$6),"Wasted Budget","Spend Justified")</f>
        <v>Spend Justified</v>
      </c>
      <c r="T345" s="51" t="str">
        <f>IF(AND(Table4[[#This Row],[Clicks]]&gt;=$B$7,Table4[[#This Row],[Sales]]&lt;=$B$6),"Poor Monetization","Normal Monitization")</f>
        <v>Normal Monitization</v>
      </c>
    </row>
    <row r="346" spans="1:20" x14ac:dyDescent="0.35">
      <c r="A346" s="38" t="s">
        <v>89</v>
      </c>
      <c r="B346" s="38" t="s">
        <v>48</v>
      </c>
      <c r="C346" s="38" t="s">
        <v>29</v>
      </c>
      <c r="D346" s="38" t="s">
        <v>37</v>
      </c>
      <c r="E346" s="38" t="s">
        <v>38</v>
      </c>
      <c r="F346" s="38">
        <v>10879.41</v>
      </c>
      <c r="G346" s="38">
        <v>155095</v>
      </c>
      <c r="H346" s="38">
        <v>9984</v>
      </c>
      <c r="I346" s="38">
        <v>61659.06</v>
      </c>
      <c r="J346" s="38">
        <v>27</v>
      </c>
      <c r="K346" s="39">
        <f t="shared" si="26"/>
        <v>6.4373448531545183E-2</v>
      </c>
      <c r="L346" s="40">
        <f t="shared" si="27"/>
        <v>5.6675003515815652</v>
      </c>
      <c r="M346" s="40">
        <f t="shared" si="28"/>
        <v>4.6675003515815652</v>
      </c>
      <c r="N346" s="40">
        <f t="shared" si="29"/>
        <v>6.175787259615384</v>
      </c>
      <c r="O346" s="1" t="str">
        <f t="shared" si="25"/>
        <v>Normal</v>
      </c>
      <c r="P346" s="51" t="str">
        <f>IF(Table4[[#This Row],[Sales]]&lt;=$B$3,"Normal","High Revenue")</f>
        <v>Normal</v>
      </c>
      <c r="Q346" s="51" t="str">
        <f>IF(Table4[[#This Row],[CTR]]&lt;=$B$4,"Normal","High CTR")</f>
        <v>Normal</v>
      </c>
      <c r="R346" s="51" t="str">
        <f>IF(Table4[[#This Row],[ROAS]]&lt;1,"Poor",IF(Table4[[#This Row],[ROAS]]&lt;3,"Average",IF(Table4[[#This Row],[ROAS]]&lt;5,"Good",
"Excellent")))</f>
        <v>Excellent</v>
      </c>
      <c r="S346" s="51" t="str">
        <f>IF(AND(Table4[[#This Row],[USD_Spend]]&gt;=$B$5,Table4[[#This Row],[Sales]]&lt;=$B$6),"Wasted Budget","Spend Justified")</f>
        <v>Wasted Budget</v>
      </c>
      <c r="T346" s="51" t="str">
        <f>IF(AND(Table4[[#This Row],[Clicks]]&gt;=$B$7,Table4[[#This Row],[Sales]]&lt;=$B$6),"Poor Monetization","Normal Monitization")</f>
        <v>Normal Monitization</v>
      </c>
    </row>
    <row r="347" spans="1:20" x14ac:dyDescent="0.35">
      <c r="A347" s="41" t="s">
        <v>83</v>
      </c>
      <c r="B347" s="41" t="s">
        <v>28</v>
      </c>
      <c r="C347" s="41" t="s">
        <v>69</v>
      </c>
      <c r="D347" s="41" t="s">
        <v>37</v>
      </c>
      <c r="E347" s="41" t="s">
        <v>22</v>
      </c>
      <c r="F347" s="41">
        <v>26470.07</v>
      </c>
      <c r="G347" s="41">
        <v>223487</v>
      </c>
      <c r="H347" s="41">
        <v>45155</v>
      </c>
      <c r="I347" s="41">
        <v>160388.29999999999</v>
      </c>
      <c r="J347" s="41">
        <v>24</v>
      </c>
      <c r="K347" s="42">
        <f t="shared" si="26"/>
        <v>0.20204754638972289</v>
      </c>
      <c r="L347" s="43">
        <f t="shared" si="27"/>
        <v>6.0592321818567152</v>
      </c>
      <c r="M347" s="43">
        <f t="shared" si="28"/>
        <v>5.0592321818567152</v>
      </c>
      <c r="N347" s="43">
        <f t="shared" si="29"/>
        <v>3.5519499501716307</v>
      </c>
      <c r="O347" s="1" t="str">
        <f t="shared" si="25"/>
        <v>Normal</v>
      </c>
      <c r="P347" s="51" t="str">
        <f>IF(Table4[[#This Row],[Sales]]&lt;=$B$3,"Normal","High Revenue")</f>
        <v>Normal</v>
      </c>
      <c r="Q347" s="51" t="str">
        <f>IF(Table4[[#This Row],[CTR]]&lt;=$B$4,"Normal","High CTR")</f>
        <v>Normal</v>
      </c>
      <c r="R347" s="51" t="str">
        <f>IF(Table4[[#This Row],[ROAS]]&lt;1,"Poor",IF(Table4[[#This Row],[ROAS]]&lt;3,"Average",IF(Table4[[#This Row],[ROAS]]&lt;5,"Good",
"Excellent")))</f>
        <v>Excellent</v>
      </c>
      <c r="S347" s="51" t="str">
        <f>IF(AND(Table4[[#This Row],[USD_Spend]]&gt;=$B$5,Table4[[#This Row],[Sales]]&lt;=$B$6),"Wasted Budget","Spend Justified")</f>
        <v>Spend Justified</v>
      </c>
      <c r="T347" s="51" t="str">
        <f>IF(AND(Table4[[#This Row],[Clicks]]&gt;=$B$7,Table4[[#This Row],[Sales]]&lt;=$B$6),"Poor Monetization","Normal Monitization")</f>
        <v>Normal Monitization</v>
      </c>
    </row>
    <row r="348" spans="1:20" x14ac:dyDescent="0.35">
      <c r="A348" s="38" t="s">
        <v>72</v>
      </c>
      <c r="B348" s="38" t="s">
        <v>28</v>
      </c>
      <c r="C348" s="38" t="s">
        <v>69</v>
      </c>
      <c r="D348" s="38" t="s">
        <v>43</v>
      </c>
      <c r="E348" s="38" t="s">
        <v>22</v>
      </c>
      <c r="F348" s="38">
        <v>35845.35</v>
      </c>
      <c r="G348" s="38">
        <v>199893</v>
      </c>
      <c r="H348" s="38">
        <v>25263</v>
      </c>
      <c r="I348" s="38">
        <v>123626.91</v>
      </c>
      <c r="J348" s="38">
        <v>50</v>
      </c>
      <c r="K348" s="39">
        <f t="shared" si="26"/>
        <v>0.12638261469886389</v>
      </c>
      <c r="L348" s="40">
        <f t="shared" si="27"/>
        <v>3.44889671882127</v>
      </c>
      <c r="M348" s="40">
        <f t="shared" si="28"/>
        <v>2.4488967188212696</v>
      </c>
      <c r="N348" s="40">
        <f t="shared" si="29"/>
        <v>4.8935957724735779</v>
      </c>
      <c r="O348" s="1" t="str">
        <f t="shared" si="25"/>
        <v>Normal</v>
      </c>
      <c r="P348" s="51" t="str">
        <f>IF(Table4[[#This Row],[Sales]]&lt;=$B$3,"Normal","High Revenue")</f>
        <v>Normal</v>
      </c>
      <c r="Q348" s="51" t="str">
        <f>IF(Table4[[#This Row],[CTR]]&lt;=$B$4,"Normal","High CTR")</f>
        <v>Normal</v>
      </c>
      <c r="R348" s="51" t="str">
        <f>IF(Table4[[#This Row],[ROAS]]&lt;1,"Poor",IF(Table4[[#This Row],[ROAS]]&lt;3,"Average",IF(Table4[[#This Row],[ROAS]]&lt;5,"Good",
"Excellent")))</f>
        <v>Good</v>
      </c>
      <c r="S348" s="51" t="str">
        <f>IF(AND(Table4[[#This Row],[USD_Spend]]&gt;=$B$5,Table4[[#This Row],[Sales]]&lt;=$B$6),"Wasted Budget","Spend Justified")</f>
        <v>Spend Justified</v>
      </c>
      <c r="T348" s="51" t="str">
        <f>IF(AND(Table4[[#This Row],[Clicks]]&gt;=$B$7,Table4[[#This Row],[Sales]]&lt;=$B$6),"Poor Monetization","Normal Monitization")</f>
        <v>Normal Monitization</v>
      </c>
    </row>
    <row r="349" spans="1:20" x14ac:dyDescent="0.35">
      <c r="A349" s="41" t="s">
        <v>108</v>
      </c>
      <c r="B349" s="41" t="s">
        <v>48</v>
      </c>
      <c r="C349" s="41" t="s">
        <v>58</v>
      </c>
      <c r="D349" s="41" t="s">
        <v>21</v>
      </c>
      <c r="E349" s="41" t="s">
        <v>30</v>
      </c>
      <c r="F349" s="41">
        <v>21969.56</v>
      </c>
      <c r="G349" s="41">
        <v>79986</v>
      </c>
      <c r="H349" s="41">
        <v>45847</v>
      </c>
      <c r="I349" s="41">
        <v>183001.75</v>
      </c>
      <c r="J349" s="41">
        <v>46</v>
      </c>
      <c r="K349" s="42">
        <f t="shared" si="26"/>
        <v>0.57318780786637658</v>
      </c>
      <c r="L349" s="43">
        <f t="shared" si="27"/>
        <v>8.3297867594981412</v>
      </c>
      <c r="M349" s="43">
        <f t="shared" si="28"/>
        <v>7.3297867594981421</v>
      </c>
      <c r="N349" s="43">
        <f t="shared" si="29"/>
        <v>3.9915752393831658</v>
      </c>
      <c r="O349" s="1" t="str">
        <f t="shared" si="25"/>
        <v>Normal</v>
      </c>
      <c r="P349" s="51" t="str">
        <f>IF(Table4[[#This Row],[Sales]]&lt;=$B$3,"Normal","High Revenue")</f>
        <v>Normal</v>
      </c>
      <c r="Q349" s="51" t="str">
        <f>IF(Table4[[#This Row],[CTR]]&lt;=$B$4,"Normal","High CTR")</f>
        <v>High CTR</v>
      </c>
      <c r="R349" s="51" t="str">
        <f>IF(Table4[[#This Row],[ROAS]]&lt;1,"Poor",IF(Table4[[#This Row],[ROAS]]&lt;3,"Average",IF(Table4[[#This Row],[ROAS]]&lt;5,"Good",
"Excellent")))</f>
        <v>Excellent</v>
      </c>
      <c r="S349" s="51" t="str">
        <f>IF(AND(Table4[[#This Row],[USD_Spend]]&gt;=$B$5,Table4[[#This Row],[Sales]]&lt;=$B$6),"Wasted Budget","Spend Justified")</f>
        <v>Spend Justified</v>
      </c>
      <c r="T349" s="51" t="str">
        <f>IF(AND(Table4[[#This Row],[Clicks]]&gt;=$B$7,Table4[[#This Row],[Sales]]&lt;=$B$6),"Poor Monetization","Normal Monitization")</f>
        <v>Normal Monitization</v>
      </c>
    </row>
    <row r="350" spans="1:20" x14ac:dyDescent="0.35">
      <c r="A350" s="38" t="s">
        <v>91</v>
      </c>
      <c r="B350" s="38" t="s">
        <v>28</v>
      </c>
      <c r="C350" s="38" t="s">
        <v>58</v>
      </c>
      <c r="D350" s="38" t="s">
        <v>43</v>
      </c>
      <c r="E350" s="38" t="s">
        <v>38</v>
      </c>
      <c r="F350" s="38">
        <v>1285.06</v>
      </c>
      <c r="G350" s="38">
        <v>752479</v>
      </c>
      <c r="H350" s="38">
        <v>36242</v>
      </c>
      <c r="I350" s="38">
        <v>164721.51</v>
      </c>
      <c r="J350" s="38">
        <v>36</v>
      </c>
      <c r="K350" s="39">
        <f t="shared" si="26"/>
        <v>4.8163470342693949E-2</v>
      </c>
      <c r="L350" s="40">
        <f t="shared" si="27"/>
        <v>128.18196037539104</v>
      </c>
      <c r="M350" s="40">
        <f t="shared" si="28"/>
        <v>127.18196037539104</v>
      </c>
      <c r="N350" s="40">
        <f t="shared" si="29"/>
        <v>4.5450446995198943</v>
      </c>
      <c r="O350" s="1" t="str">
        <f t="shared" si="25"/>
        <v>Normal</v>
      </c>
      <c r="P350" s="51" t="str">
        <f>IF(Table4[[#This Row],[Sales]]&lt;=$B$3,"Normal","High Revenue")</f>
        <v>Normal</v>
      </c>
      <c r="Q350" s="51" t="str">
        <f>IF(Table4[[#This Row],[CTR]]&lt;=$B$4,"Normal","High CTR")</f>
        <v>Normal</v>
      </c>
      <c r="R350" s="51" t="str">
        <f>IF(Table4[[#This Row],[ROAS]]&lt;1,"Poor",IF(Table4[[#This Row],[ROAS]]&lt;3,"Average",IF(Table4[[#This Row],[ROAS]]&lt;5,"Good",
"Excellent")))</f>
        <v>Excellent</v>
      </c>
      <c r="S350" s="51" t="str">
        <f>IF(AND(Table4[[#This Row],[USD_Spend]]&gt;=$B$5,Table4[[#This Row],[Sales]]&lt;=$B$6),"Wasted Budget","Spend Justified")</f>
        <v>Spend Justified</v>
      </c>
      <c r="T350" s="51" t="str">
        <f>IF(AND(Table4[[#This Row],[Clicks]]&gt;=$B$7,Table4[[#This Row],[Sales]]&lt;=$B$6),"Poor Monetization","Normal Monitization")</f>
        <v>Normal Monitization</v>
      </c>
    </row>
    <row r="351" spans="1:20" x14ac:dyDescent="0.35">
      <c r="A351" s="41" t="s">
        <v>97</v>
      </c>
      <c r="B351" s="41" t="s">
        <v>28</v>
      </c>
      <c r="C351" s="41" t="s">
        <v>36</v>
      </c>
      <c r="D351" s="41" t="s">
        <v>59</v>
      </c>
      <c r="E351" s="41" t="s">
        <v>38</v>
      </c>
      <c r="F351" s="41">
        <v>3547</v>
      </c>
      <c r="G351" s="41">
        <v>697919</v>
      </c>
      <c r="H351" s="41">
        <v>37861</v>
      </c>
      <c r="I351" s="41">
        <v>120493.09</v>
      </c>
      <c r="J351" s="41">
        <v>35</v>
      </c>
      <c r="K351" s="42">
        <f t="shared" si="26"/>
        <v>5.4248415647087989E-2</v>
      </c>
      <c r="L351" s="43">
        <f t="shared" si="27"/>
        <v>33.970422892585283</v>
      </c>
      <c r="M351" s="43">
        <f t="shared" si="28"/>
        <v>32.970422892585283</v>
      </c>
      <c r="N351" s="43">
        <f t="shared" si="29"/>
        <v>3.1825120836744936</v>
      </c>
      <c r="O351" s="1" t="str">
        <f t="shared" si="25"/>
        <v>Normal</v>
      </c>
      <c r="P351" s="51" t="str">
        <f>IF(Table4[[#This Row],[Sales]]&lt;=$B$3,"Normal","High Revenue")</f>
        <v>Normal</v>
      </c>
      <c r="Q351" s="51" t="str">
        <f>IF(Table4[[#This Row],[CTR]]&lt;=$B$4,"Normal","High CTR")</f>
        <v>Normal</v>
      </c>
      <c r="R351" s="51" t="str">
        <f>IF(Table4[[#This Row],[ROAS]]&lt;1,"Poor",IF(Table4[[#This Row],[ROAS]]&lt;3,"Average",IF(Table4[[#This Row],[ROAS]]&lt;5,"Good",
"Excellent")))</f>
        <v>Excellent</v>
      </c>
      <c r="S351" s="51" t="str">
        <f>IF(AND(Table4[[#This Row],[USD_Spend]]&gt;=$B$5,Table4[[#This Row],[Sales]]&lt;=$B$6),"Wasted Budget","Spend Justified")</f>
        <v>Spend Justified</v>
      </c>
      <c r="T351" s="51" t="str">
        <f>IF(AND(Table4[[#This Row],[Clicks]]&gt;=$B$7,Table4[[#This Row],[Sales]]&lt;=$B$6),"Poor Monetization","Normal Monitization")</f>
        <v>Normal Monitization</v>
      </c>
    </row>
    <row r="352" spans="1:20" x14ac:dyDescent="0.35">
      <c r="A352" s="38" t="s">
        <v>34</v>
      </c>
      <c r="B352" s="38" t="s">
        <v>28</v>
      </c>
      <c r="C352" s="38" t="s">
        <v>36</v>
      </c>
      <c r="D352" s="38" t="s">
        <v>37</v>
      </c>
      <c r="E352" s="38" t="s">
        <v>30</v>
      </c>
      <c r="F352" s="38">
        <v>32582.99</v>
      </c>
      <c r="G352" s="38">
        <v>741295</v>
      </c>
      <c r="H352" s="38">
        <v>8375</v>
      </c>
      <c r="I352" s="38">
        <v>161278.07</v>
      </c>
      <c r="J352" s="38">
        <v>8</v>
      </c>
      <c r="K352" s="39">
        <f t="shared" si="26"/>
        <v>1.1297796423825873E-2</v>
      </c>
      <c r="L352" s="40">
        <f t="shared" si="27"/>
        <v>4.9497627443030856</v>
      </c>
      <c r="M352" s="40">
        <f t="shared" si="28"/>
        <v>3.9497627443030856</v>
      </c>
      <c r="N352" s="40">
        <f t="shared" si="29"/>
        <v>19.257082985074629</v>
      </c>
      <c r="O352" s="1" t="str">
        <f t="shared" si="25"/>
        <v>Normal</v>
      </c>
      <c r="P352" s="51" t="str">
        <f>IF(Table4[[#This Row],[Sales]]&lt;=$B$3,"Normal","High Revenue")</f>
        <v>Normal</v>
      </c>
      <c r="Q352" s="51" t="str">
        <f>IF(Table4[[#This Row],[CTR]]&lt;=$B$4,"Normal","High CTR")</f>
        <v>Normal</v>
      </c>
      <c r="R352" s="51" t="str">
        <f>IF(Table4[[#This Row],[ROAS]]&lt;1,"Poor",IF(Table4[[#This Row],[ROAS]]&lt;3,"Average",IF(Table4[[#This Row],[ROAS]]&lt;5,"Good",
"Excellent")))</f>
        <v>Good</v>
      </c>
      <c r="S352" s="51" t="str">
        <f>IF(AND(Table4[[#This Row],[USD_Spend]]&gt;=$B$5,Table4[[#This Row],[Sales]]&lt;=$B$6),"Wasted Budget","Spend Justified")</f>
        <v>Spend Justified</v>
      </c>
      <c r="T352" s="51" t="str">
        <f>IF(AND(Table4[[#This Row],[Clicks]]&gt;=$B$7,Table4[[#This Row],[Sales]]&lt;=$B$6),"Poor Monetization","Normal Monitization")</f>
        <v>Normal Monitization</v>
      </c>
    </row>
    <row r="353" spans="1:20" x14ac:dyDescent="0.35">
      <c r="A353" s="41" t="s">
        <v>85</v>
      </c>
      <c r="B353" s="41" t="s">
        <v>19</v>
      </c>
      <c r="C353" s="41" t="s">
        <v>36</v>
      </c>
      <c r="D353" s="41" t="s">
        <v>43</v>
      </c>
      <c r="E353" s="41" t="s">
        <v>30</v>
      </c>
      <c r="F353" s="41">
        <v>8899.85</v>
      </c>
      <c r="G353" s="41">
        <v>133365</v>
      </c>
      <c r="H353" s="41">
        <v>17968</v>
      </c>
      <c r="I353" s="41">
        <v>41583.58</v>
      </c>
      <c r="J353" s="41">
        <v>40</v>
      </c>
      <c r="K353" s="42">
        <f t="shared" si="26"/>
        <v>0.13472800209950136</v>
      </c>
      <c r="L353" s="43">
        <f t="shared" si="27"/>
        <v>4.6723911077152982</v>
      </c>
      <c r="M353" s="43">
        <f t="shared" si="28"/>
        <v>3.6723911077152986</v>
      </c>
      <c r="N353" s="43">
        <f t="shared" si="29"/>
        <v>2.3143132235084596</v>
      </c>
      <c r="O353" s="1" t="str">
        <f t="shared" si="25"/>
        <v>Normal</v>
      </c>
      <c r="P353" s="51" t="str">
        <f>IF(Table4[[#This Row],[Sales]]&lt;=$B$3,"Normal","High Revenue")</f>
        <v>Normal</v>
      </c>
      <c r="Q353" s="51" t="str">
        <f>IF(Table4[[#This Row],[CTR]]&lt;=$B$4,"Normal","High CTR")</f>
        <v>Normal</v>
      </c>
      <c r="R353" s="51" t="str">
        <f>IF(Table4[[#This Row],[ROAS]]&lt;1,"Poor",IF(Table4[[#This Row],[ROAS]]&lt;3,"Average",IF(Table4[[#This Row],[ROAS]]&lt;5,"Good",
"Excellent")))</f>
        <v>Good</v>
      </c>
      <c r="S353" s="51" t="str">
        <f>IF(AND(Table4[[#This Row],[USD_Spend]]&gt;=$B$5,Table4[[#This Row],[Sales]]&lt;=$B$6),"Wasted Budget","Spend Justified")</f>
        <v>Wasted Budget</v>
      </c>
      <c r="T353" s="51" t="str">
        <f>IF(AND(Table4[[#This Row],[Clicks]]&gt;=$B$7,Table4[[#This Row],[Sales]]&lt;=$B$6),"Poor Monetization","Normal Monitization")</f>
        <v>Normal Monitization</v>
      </c>
    </row>
    <row r="354" spans="1:20" x14ac:dyDescent="0.35">
      <c r="A354" s="38" t="s">
        <v>93</v>
      </c>
      <c r="B354" s="38" t="s">
        <v>28</v>
      </c>
      <c r="C354" s="38" t="s">
        <v>20</v>
      </c>
      <c r="D354" s="38" t="s">
        <v>51</v>
      </c>
      <c r="E354" s="38" t="s">
        <v>30</v>
      </c>
      <c r="F354" s="38">
        <v>1727.42</v>
      </c>
      <c r="G354" s="38">
        <v>519845</v>
      </c>
      <c r="H354" s="38">
        <v>32963</v>
      </c>
      <c r="I354" s="38">
        <v>134037.24</v>
      </c>
      <c r="J354" s="38">
        <v>9</v>
      </c>
      <c r="K354" s="39">
        <f t="shared" si="26"/>
        <v>6.340928546008906E-2</v>
      </c>
      <c r="L354" s="40">
        <f t="shared" si="27"/>
        <v>77.593891468201122</v>
      </c>
      <c r="M354" s="40">
        <f t="shared" si="28"/>
        <v>76.593891468201122</v>
      </c>
      <c r="N354" s="40">
        <f t="shared" si="29"/>
        <v>4.0662937232654794</v>
      </c>
      <c r="O354" s="1" t="str">
        <f t="shared" si="25"/>
        <v>Normal</v>
      </c>
      <c r="P354" s="51" t="str">
        <f>IF(Table4[[#This Row],[Sales]]&lt;=$B$3,"Normal","High Revenue")</f>
        <v>Normal</v>
      </c>
      <c r="Q354" s="51" t="str">
        <f>IF(Table4[[#This Row],[CTR]]&lt;=$B$4,"Normal","High CTR")</f>
        <v>Normal</v>
      </c>
      <c r="R354" s="51" t="str">
        <f>IF(Table4[[#This Row],[ROAS]]&lt;1,"Poor",IF(Table4[[#This Row],[ROAS]]&lt;3,"Average",IF(Table4[[#This Row],[ROAS]]&lt;5,"Good",
"Excellent")))</f>
        <v>Excellent</v>
      </c>
      <c r="S354" s="51" t="str">
        <f>IF(AND(Table4[[#This Row],[USD_Spend]]&gt;=$B$5,Table4[[#This Row],[Sales]]&lt;=$B$6),"Wasted Budget","Spend Justified")</f>
        <v>Spend Justified</v>
      </c>
      <c r="T354" s="51" t="str">
        <f>IF(AND(Table4[[#This Row],[Clicks]]&gt;=$B$7,Table4[[#This Row],[Sales]]&lt;=$B$6),"Poor Monetization","Normal Monitization")</f>
        <v>Normal Monitization</v>
      </c>
    </row>
    <row r="355" spans="1:20" x14ac:dyDescent="0.35">
      <c r="A355" s="41" t="s">
        <v>108</v>
      </c>
      <c r="B355" s="41" t="s">
        <v>28</v>
      </c>
      <c r="C355" s="41" t="s">
        <v>20</v>
      </c>
      <c r="D355" s="41" t="s">
        <v>37</v>
      </c>
      <c r="E355" s="41" t="s">
        <v>22</v>
      </c>
      <c r="F355" s="41">
        <v>21395.45</v>
      </c>
      <c r="G355" s="41">
        <v>907412</v>
      </c>
      <c r="H355" s="41">
        <v>33078</v>
      </c>
      <c r="I355" s="41">
        <v>56641.13</v>
      </c>
      <c r="J355" s="41">
        <v>6</v>
      </c>
      <c r="K355" s="42">
        <f t="shared" si="26"/>
        <v>3.6453121625017085E-2</v>
      </c>
      <c r="L355" s="43">
        <f t="shared" si="27"/>
        <v>2.6473446457073817</v>
      </c>
      <c r="M355" s="43">
        <f t="shared" si="28"/>
        <v>1.6473446457073813</v>
      </c>
      <c r="N355" s="43">
        <f t="shared" si="29"/>
        <v>1.7123505048672834</v>
      </c>
      <c r="O355" s="1" t="str">
        <f t="shared" si="25"/>
        <v>Normal</v>
      </c>
      <c r="P355" s="51" t="str">
        <f>IF(Table4[[#This Row],[Sales]]&lt;=$B$3,"Normal","High Revenue")</f>
        <v>Normal</v>
      </c>
      <c r="Q355" s="51" t="str">
        <f>IF(Table4[[#This Row],[CTR]]&lt;=$B$4,"Normal","High CTR")</f>
        <v>Normal</v>
      </c>
      <c r="R355" s="51" t="str">
        <f>IF(Table4[[#This Row],[ROAS]]&lt;1,"Poor",IF(Table4[[#This Row],[ROAS]]&lt;3,"Average",IF(Table4[[#This Row],[ROAS]]&lt;5,"Good",
"Excellent")))</f>
        <v>Average</v>
      </c>
      <c r="S355" s="51" t="str">
        <f>IF(AND(Table4[[#This Row],[USD_Spend]]&gt;=$B$5,Table4[[#This Row],[Sales]]&lt;=$B$6),"Wasted Budget","Spend Justified")</f>
        <v>Wasted Budget</v>
      </c>
      <c r="T355" s="51" t="str">
        <f>IF(AND(Table4[[#This Row],[Clicks]]&gt;=$B$7,Table4[[#This Row],[Sales]]&lt;=$B$6),"Poor Monetization","Normal Monitization")</f>
        <v>Normal Monitization</v>
      </c>
    </row>
    <row r="356" spans="1:20" x14ac:dyDescent="0.35">
      <c r="A356" s="38" t="s">
        <v>75</v>
      </c>
      <c r="B356" s="38" t="s">
        <v>19</v>
      </c>
      <c r="C356" s="38" t="s">
        <v>69</v>
      </c>
      <c r="D356" s="38" t="s">
        <v>51</v>
      </c>
      <c r="E356" s="38" t="s">
        <v>38</v>
      </c>
      <c r="F356" s="38">
        <v>10010.69</v>
      </c>
      <c r="G356" s="38">
        <v>223068</v>
      </c>
      <c r="H356" s="38">
        <v>10282</v>
      </c>
      <c r="I356" s="38">
        <v>136415.59</v>
      </c>
      <c r="J356" s="38">
        <v>11</v>
      </c>
      <c r="K356" s="39">
        <f t="shared" si="26"/>
        <v>4.6093567880646259E-2</v>
      </c>
      <c r="L356" s="40">
        <f t="shared" si="27"/>
        <v>13.626991745823714</v>
      </c>
      <c r="M356" s="40">
        <f t="shared" si="28"/>
        <v>12.626991745823712</v>
      </c>
      <c r="N356" s="40">
        <f t="shared" si="29"/>
        <v>13.267417817545224</v>
      </c>
      <c r="O356" s="1" t="str">
        <f t="shared" si="25"/>
        <v>Normal</v>
      </c>
      <c r="P356" s="51" t="str">
        <f>IF(Table4[[#This Row],[Sales]]&lt;=$B$3,"Normal","High Revenue")</f>
        <v>Normal</v>
      </c>
      <c r="Q356" s="51" t="str">
        <f>IF(Table4[[#This Row],[CTR]]&lt;=$B$4,"Normal","High CTR")</f>
        <v>Normal</v>
      </c>
      <c r="R356" s="51" t="str">
        <f>IF(Table4[[#This Row],[ROAS]]&lt;1,"Poor",IF(Table4[[#This Row],[ROAS]]&lt;3,"Average",IF(Table4[[#This Row],[ROAS]]&lt;5,"Good",
"Excellent")))</f>
        <v>Excellent</v>
      </c>
      <c r="S356" s="51" t="str">
        <f>IF(AND(Table4[[#This Row],[USD_Spend]]&gt;=$B$5,Table4[[#This Row],[Sales]]&lt;=$B$6),"Wasted Budget","Spend Justified")</f>
        <v>Spend Justified</v>
      </c>
      <c r="T356" s="51" t="str">
        <f>IF(AND(Table4[[#This Row],[Clicks]]&gt;=$B$7,Table4[[#This Row],[Sales]]&lt;=$B$6),"Poor Monetization","Normal Monitization")</f>
        <v>Normal Monitization</v>
      </c>
    </row>
    <row r="357" spans="1:20" x14ac:dyDescent="0.35">
      <c r="A357" s="41" t="s">
        <v>84</v>
      </c>
      <c r="B357" s="41" t="s">
        <v>48</v>
      </c>
      <c r="C357" s="41" t="s">
        <v>36</v>
      </c>
      <c r="D357" s="41" t="s">
        <v>63</v>
      </c>
      <c r="E357" s="41" t="s">
        <v>30</v>
      </c>
      <c r="F357" s="41">
        <v>1900.73</v>
      </c>
      <c r="G357" s="41">
        <v>556302</v>
      </c>
      <c r="H357" s="41">
        <v>15208</v>
      </c>
      <c r="I357" s="41">
        <v>79710.100000000006</v>
      </c>
      <c r="J357" s="41">
        <v>11</v>
      </c>
      <c r="K357" s="42">
        <f t="shared" si="26"/>
        <v>2.7337669107786778E-2</v>
      </c>
      <c r="L357" s="43">
        <f t="shared" si="27"/>
        <v>41.936571738226895</v>
      </c>
      <c r="M357" s="43">
        <f t="shared" si="28"/>
        <v>40.936571738226895</v>
      </c>
      <c r="N357" s="43">
        <f t="shared" si="29"/>
        <v>5.241326933193057</v>
      </c>
      <c r="O357" s="1" t="str">
        <f t="shared" si="25"/>
        <v>Normal</v>
      </c>
      <c r="P357" s="51" t="str">
        <f>IF(Table4[[#This Row],[Sales]]&lt;=$B$3,"Normal","High Revenue")</f>
        <v>Normal</v>
      </c>
      <c r="Q357" s="51" t="str">
        <f>IF(Table4[[#This Row],[CTR]]&lt;=$B$4,"Normal","High CTR")</f>
        <v>Normal</v>
      </c>
      <c r="R357" s="51" t="str">
        <f>IF(Table4[[#This Row],[ROAS]]&lt;1,"Poor",IF(Table4[[#This Row],[ROAS]]&lt;3,"Average",IF(Table4[[#This Row],[ROAS]]&lt;5,"Good",
"Excellent")))</f>
        <v>Excellent</v>
      </c>
      <c r="S357" s="51" t="str">
        <f>IF(AND(Table4[[#This Row],[USD_Spend]]&gt;=$B$5,Table4[[#This Row],[Sales]]&lt;=$B$6),"Wasted Budget","Spend Justified")</f>
        <v>Spend Justified</v>
      </c>
      <c r="T357" s="51" t="str">
        <f>IF(AND(Table4[[#This Row],[Clicks]]&gt;=$B$7,Table4[[#This Row],[Sales]]&lt;=$B$6),"Poor Monetization","Normal Monitization")</f>
        <v>Normal Monitization</v>
      </c>
    </row>
    <row r="358" spans="1:20" x14ac:dyDescent="0.35">
      <c r="A358" s="38" t="s">
        <v>100</v>
      </c>
      <c r="B358" s="38" t="s">
        <v>28</v>
      </c>
      <c r="C358" s="38" t="s">
        <v>36</v>
      </c>
      <c r="D358" s="38" t="s">
        <v>63</v>
      </c>
      <c r="E358" s="38" t="s">
        <v>30</v>
      </c>
      <c r="F358" s="38">
        <v>38581.660000000003</v>
      </c>
      <c r="G358" s="38">
        <v>229242</v>
      </c>
      <c r="H358" s="38">
        <v>567</v>
      </c>
      <c r="I358" s="38">
        <v>53041.26</v>
      </c>
      <c r="J358" s="38">
        <v>37</v>
      </c>
      <c r="K358" s="39">
        <f t="shared" si="26"/>
        <v>2.4733687544167297E-3</v>
      </c>
      <c r="L358" s="40">
        <f t="shared" si="27"/>
        <v>1.3747791048907694</v>
      </c>
      <c r="M358" s="40">
        <f t="shared" si="28"/>
        <v>0.37477910489076927</v>
      </c>
      <c r="N358" s="40">
        <f t="shared" si="29"/>
        <v>93.547195767195774</v>
      </c>
      <c r="O358" s="1" t="str">
        <f t="shared" si="25"/>
        <v>Normal</v>
      </c>
      <c r="P358" s="51" t="str">
        <f>IF(Table4[[#This Row],[Sales]]&lt;=$B$3,"Normal","High Revenue")</f>
        <v>Normal</v>
      </c>
      <c r="Q358" s="51" t="str">
        <f>IF(Table4[[#This Row],[CTR]]&lt;=$B$4,"Normal","High CTR")</f>
        <v>Normal</v>
      </c>
      <c r="R358" s="51" t="str">
        <f>IF(Table4[[#This Row],[ROAS]]&lt;1,"Poor",IF(Table4[[#This Row],[ROAS]]&lt;3,"Average",IF(Table4[[#This Row],[ROAS]]&lt;5,"Good",
"Excellent")))</f>
        <v>Average</v>
      </c>
      <c r="S358" s="51" t="str">
        <f>IF(AND(Table4[[#This Row],[USD_Spend]]&gt;=$B$5,Table4[[#This Row],[Sales]]&lt;=$B$6),"Wasted Budget","Spend Justified")</f>
        <v>Wasted Budget</v>
      </c>
      <c r="T358" s="51" t="str">
        <f>IF(AND(Table4[[#This Row],[Clicks]]&gt;=$B$7,Table4[[#This Row],[Sales]]&lt;=$B$6),"Poor Monetization","Normal Monitization")</f>
        <v>Normal Monitization</v>
      </c>
    </row>
    <row r="359" spans="1:20" x14ac:dyDescent="0.35">
      <c r="A359" s="41" t="s">
        <v>62</v>
      </c>
      <c r="B359" s="41" t="s">
        <v>35</v>
      </c>
      <c r="C359" s="41" t="s">
        <v>20</v>
      </c>
      <c r="D359" s="41" t="s">
        <v>59</v>
      </c>
      <c r="E359" s="41" t="s">
        <v>30</v>
      </c>
      <c r="F359" s="41">
        <v>3634.61</v>
      </c>
      <c r="G359" s="41">
        <v>448539</v>
      </c>
      <c r="H359" s="41">
        <v>11319</v>
      </c>
      <c r="I359" s="41">
        <v>191283.20000000001</v>
      </c>
      <c r="J359" s="41">
        <v>14</v>
      </c>
      <c r="K359" s="42">
        <f t="shared" si="26"/>
        <v>2.5235263823212697E-2</v>
      </c>
      <c r="L359" s="43">
        <f t="shared" si="27"/>
        <v>52.628259978374572</v>
      </c>
      <c r="M359" s="43">
        <f t="shared" si="28"/>
        <v>51.628259978374579</v>
      </c>
      <c r="N359" s="43">
        <f t="shared" si="29"/>
        <v>16.899302058485734</v>
      </c>
      <c r="O359" s="1" t="str">
        <f t="shared" si="25"/>
        <v>Normal</v>
      </c>
      <c r="P359" s="51" t="str">
        <f>IF(Table4[[#This Row],[Sales]]&lt;=$B$3,"Normal","High Revenue")</f>
        <v>Normal</v>
      </c>
      <c r="Q359" s="51" t="str">
        <f>IF(Table4[[#This Row],[CTR]]&lt;=$B$4,"Normal","High CTR")</f>
        <v>Normal</v>
      </c>
      <c r="R359" s="51" t="str">
        <f>IF(Table4[[#This Row],[ROAS]]&lt;1,"Poor",IF(Table4[[#This Row],[ROAS]]&lt;3,"Average",IF(Table4[[#This Row],[ROAS]]&lt;5,"Good",
"Excellent")))</f>
        <v>Excellent</v>
      </c>
      <c r="S359" s="51" t="str">
        <f>IF(AND(Table4[[#This Row],[USD_Spend]]&gt;=$B$5,Table4[[#This Row],[Sales]]&lt;=$B$6),"Wasted Budget","Spend Justified")</f>
        <v>Spend Justified</v>
      </c>
      <c r="T359" s="51" t="str">
        <f>IF(AND(Table4[[#This Row],[Clicks]]&gt;=$B$7,Table4[[#This Row],[Sales]]&lt;=$B$6),"Poor Monetization","Normal Monitization")</f>
        <v>Normal Monitization</v>
      </c>
    </row>
    <row r="360" spans="1:20" x14ac:dyDescent="0.35">
      <c r="A360" s="38" t="s">
        <v>109</v>
      </c>
      <c r="B360" s="38" t="s">
        <v>19</v>
      </c>
      <c r="C360" s="38" t="s">
        <v>69</v>
      </c>
      <c r="D360" s="38" t="s">
        <v>43</v>
      </c>
      <c r="E360" s="38" t="s">
        <v>30</v>
      </c>
      <c r="F360" s="38">
        <v>12547.21</v>
      </c>
      <c r="G360" s="38">
        <v>542623</v>
      </c>
      <c r="H360" s="38">
        <v>6845</v>
      </c>
      <c r="I360" s="38">
        <v>104393.07</v>
      </c>
      <c r="J360" s="38">
        <v>55</v>
      </c>
      <c r="K360" s="39">
        <f t="shared" si="26"/>
        <v>1.261465142465395E-2</v>
      </c>
      <c r="L360" s="40">
        <f t="shared" si="27"/>
        <v>8.3200225388751772</v>
      </c>
      <c r="M360" s="40">
        <f t="shared" si="28"/>
        <v>7.3200225388751781</v>
      </c>
      <c r="N360" s="40">
        <f t="shared" si="29"/>
        <v>15.250996347699051</v>
      </c>
      <c r="O360" s="1" t="str">
        <f t="shared" si="25"/>
        <v>Normal</v>
      </c>
      <c r="P360" s="51" t="str">
        <f>IF(Table4[[#This Row],[Sales]]&lt;=$B$3,"Normal","High Revenue")</f>
        <v>Normal</v>
      </c>
      <c r="Q360" s="51" t="str">
        <f>IF(Table4[[#This Row],[CTR]]&lt;=$B$4,"Normal","High CTR")</f>
        <v>Normal</v>
      </c>
      <c r="R360" s="51" t="str">
        <f>IF(Table4[[#This Row],[ROAS]]&lt;1,"Poor",IF(Table4[[#This Row],[ROAS]]&lt;3,"Average",IF(Table4[[#This Row],[ROAS]]&lt;5,"Good",
"Excellent")))</f>
        <v>Excellent</v>
      </c>
      <c r="S360" s="51" t="str">
        <f>IF(AND(Table4[[#This Row],[USD_Spend]]&gt;=$B$5,Table4[[#This Row],[Sales]]&lt;=$B$6),"Wasted Budget","Spend Justified")</f>
        <v>Spend Justified</v>
      </c>
      <c r="T360" s="51" t="str">
        <f>IF(AND(Table4[[#This Row],[Clicks]]&gt;=$B$7,Table4[[#This Row],[Sales]]&lt;=$B$6),"Poor Monetization","Normal Monitization")</f>
        <v>Normal Monitization</v>
      </c>
    </row>
    <row r="361" spans="1:20" x14ac:dyDescent="0.35">
      <c r="A361" s="41" t="s">
        <v>108</v>
      </c>
      <c r="B361" s="41" t="s">
        <v>48</v>
      </c>
      <c r="C361" s="41" t="s">
        <v>69</v>
      </c>
      <c r="D361" s="41" t="s">
        <v>51</v>
      </c>
      <c r="E361" s="41" t="s">
        <v>38</v>
      </c>
      <c r="F361" s="41">
        <v>28436.13</v>
      </c>
      <c r="G361" s="41">
        <v>286570</v>
      </c>
      <c r="H361" s="41">
        <v>33980</v>
      </c>
      <c r="I361" s="41">
        <v>81687.53</v>
      </c>
      <c r="J361" s="41">
        <v>22</v>
      </c>
      <c r="K361" s="42">
        <f t="shared" si="26"/>
        <v>0.11857486826953274</v>
      </c>
      <c r="L361" s="43">
        <f t="shared" si="27"/>
        <v>2.8726669205690083</v>
      </c>
      <c r="M361" s="43">
        <f t="shared" si="28"/>
        <v>1.8726669205690083</v>
      </c>
      <c r="N361" s="43">
        <f t="shared" si="29"/>
        <v>2.4039885226603883</v>
      </c>
      <c r="O361" s="1" t="str">
        <f t="shared" si="25"/>
        <v>Normal</v>
      </c>
      <c r="P361" s="51" t="str">
        <f>IF(Table4[[#This Row],[Sales]]&lt;=$B$3,"Normal","High Revenue")</f>
        <v>Normal</v>
      </c>
      <c r="Q361" s="51" t="str">
        <f>IF(Table4[[#This Row],[CTR]]&lt;=$B$4,"Normal","High CTR")</f>
        <v>Normal</v>
      </c>
      <c r="R361" s="51" t="str">
        <f>IF(Table4[[#This Row],[ROAS]]&lt;1,"Poor",IF(Table4[[#This Row],[ROAS]]&lt;3,"Average",IF(Table4[[#This Row],[ROAS]]&lt;5,"Good",
"Excellent")))</f>
        <v>Average</v>
      </c>
      <c r="S361" s="51" t="str">
        <f>IF(AND(Table4[[#This Row],[USD_Spend]]&gt;=$B$5,Table4[[#This Row],[Sales]]&lt;=$B$6),"Wasted Budget","Spend Justified")</f>
        <v>Spend Justified</v>
      </c>
      <c r="T361" s="51" t="str">
        <f>IF(AND(Table4[[#This Row],[Clicks]]&gt;=$B$7,Table4[[#This Row],[Sales]]&lt;=$B$6),"Poor Monetization","Normal Monitization")</f>
        <v>Normal Monitization</v>
      </c>
    </row>
    <row r="362" spans="1:20" x14ac:dyDescent="0.35">
      <c r="A362" s="38" t="s">
        <v>82</v>
      </c>
      <c r="B362" s="38" t="s">
        <v>35</v>
      </c>
      <c r="C362" s="38" t="s">
        <v>20</v>
      </c>
      <c r="D362" s="38" t="s">
        <v>59</v>
      </c>
      <c r="E362" s="38" t="s">
        <v>30</v>
      </c>
      <c r="F362" s="38">
        <v>1062.28</v>
      </c>
      <c r="G362" s="38">
        <v>519462</v>
      </c>
      <c r="H362" s="38">
        <v>29633</v>
      </c>
      <c r="I362" s="38">
        <v>85444.79</v>
      </c>
      <c r="J362" s="38">
        <v>45</v>
      </c>
      <c r="K362" s="39">
        <f t="shared" si="26"/>
        <v>5.7045558674166733E-2</v>
      </c>
      <c r="L362" s="40">
        <f t="shared" si="27"/>
        <v>80.435280716948441</v>
      </c>
      <c r="M362" s="40">
        <f t="shared" si="28"/>
        <v>79.435280716948441</v>
      </c>
      <c r="N362" s="40">
        <f t="shared" si="29"/>
        <v>2.883433671919819</v>
      </c>
      <c r="O362" s="1" t="str">
        <f t="shared" si="25"/>
        <v>Normal</v>
      </c>
      <c r="P362" s="51" t="str">
        <f>IF(Table4[[#This Row],[Sales]]&lt;=$B$3,"Normal","High Revenue")</f>
        <v>Normal</v>
      </c>
      <c r="Q362" s="51" t="str">
        <f>IF(Table4[[#This Row],[CTR]]&lt;=$B$4,"Normal","High CTR")</f>
        <v>Normal</v>
      </c>
      <c r="R362" s="51" t="str">
        <f>IF(Table4[[#This Row],[ROAS]]&lt;1,"Poor",IF(Table4[[#This Row],[ROAS]]&lt;3,"Average",IF(Table4[[#This Row],[ROAS]]&lt;5,"Good",
"Excellent")))</f>
        <v>Excellent</v>
      </c>
      <c r="S362" s="51" t="str">
        <f>IF(AND(Table4[[#This Row],[USD_Spend]]&gt;=$B$5,Table4[[#This Row],[Sales]]&lt;=$B$6),"Wasted Budget","Spend Justified")</f>
        <v>Spend Justified</v>
      </c>
      <c r="T362" s="51" t="str">
        <f>IF(AND(Table4[[#This Row],[Clicks]]&gt;=$B$7,Table4[[#This Row],[Sales]]&lt;=$B$6),"Poor Monetization","Normal Monitization")</f>
        <v>Normal Monitization</v>
      </c>
    </row>
    <row r="363" spans="1:20" x14ac:dyDescent="0.35">
      <c r="A363" s="41" t="s">
        <v>62</v>
      </c>
      <c r="B363" s="41" t="s">
        <v>48</v>
      </c>
      <c r="C363" s="41" t="s">
        <v>69</v>
      </c>
      <c r="D363" s="41" t="s">
        <v>37</v>
      </c>
      <c r="E363" s="41" t="s">
        <v>30</v>
      </c>
      <c r="F363" s="41">
        <v>307.24</v>
      </c>
      <c r="G363" s="41">
        <v>943572</v>
      </c>
      <c r="H363" s="41">
        <v>19881</v>
      </c>
      <c r="I363" s="41">
        <v>6609.36</v>
      </c>
      <c r="J363" s="41">
        <v>44</v>
      </c>
      <c r="K363" s="42">
        <f t="shared" si="26"/>
        <v>2.1069934249850569E-2</v>
      </c>
      <c r="L363" s="43">
        <f t="shared" si="27"/>
        <v>21.512042702773076</v>
      </c>
      <c r="M363" s="43">
        <f t="shared" si="28"/>
        <v>20.512042702773076</v>
      </c>
      <c r="N363" s="43">
        <f t="shared" si="29"/>
        <v>0.33244605402142746</v>
      </c>
      <c r="O363" s="1" t="str">
        <f t="shared" si="25"/>
        <v>Normal</v>
      </c>
      <c r="P363" s="51" t="str">
        <f>IF(Table4[[#This Row],[Sales]]&lt;=$B$3,"Normal","High Revenue")</f>
        <v>Normal</v>
      </c>
      <c r="Q363" s="51" t="str">
        <f>IF(Table4[[#This Row],[CTR]]&lt;=$B$4,"Normal","High CTR")</f>
        <v>Normal</v>
      </c>
      <c r="R363" s="51" t="str">
        <f>IF(Table4[[#This Row],[ROAS]]&lt;1,"Poor",IF(Table4[[#This Row],[ROAS]]&lt;3,"Average",IF(Table4[[#This Row],[ROAS]]&lt;5,"Good",
"Excellent")))</f>
        <v>Excellent</v>
      </c>
      <c r="S363" s="51" t="str">
        <f>IF(AND(Table4[[#This Row],[USD_Spend]]&gt;=$B$5,Table4[[#This Row],[Sales]]&lt;=$B$6),"Wasted Budget","Spend Justified")</f>
        <v>Spend Justified</v>
      </c>
      <c r="T363" s="51" t="str">
        <f>IF(AND(Table4[[#This Row],[Clicks]]&gt;=$B$7,Table4[[#This Row],[Sales]]&lt;=$B$6),"Poor Monetization","Normal Monitization")</f>
        <v>Normal Monitization</v>
      </c>
    </row>
    <row r="364" spans="1:20" x14ac:dyDescent="0.35">
      <c r="A364" s="38" t="s">
        <v>87</v>
      </c>
      <c r="B364" s="38" t="s">
        <v>48</v>
      </c>
      <c r="C364" s="38" t="s">
        <v>58</v>
      </c>
      <c r="D364" s="38" t="s">
        <v>43</v>
      </c>
      <c r="E364" s="38" t="s">
        <v>38</v>
      </c>
      <c r="F364" s="38">
        <v>18059.36</v>
      </c>
      <c r="G364" s="38">
        <v>160152</v>
      </c>
      <c r="H364" s="38">
        <v>2848</v>
      </c>
      <c r="I364" s="38">
        <v>204426.86</v>
      </c>
      <c r="J364" s="38">
        <v>26</v>
      </c>
      <c r="K364" s="39">
        <f t="shared" si="26"/>
        <v>1.7783106049253209E-2</v>
      </c>
      <c r="L364" s="40">
        <f t="shared" si="27"/>
        <v>11.319717863755969</v>
      </c>
      <c r="M364" s="40">
        <f t="shared" si="28"/>
        <v>10.319717863755969</v>
      </c>
      <c r="N364" s="40">
        <f t="shared" si="29"/>
        <v>71.77909410112359</v>
      </c>
      <c r="O364" s="1" t="str">
        <f t="shared" si="25"/>
        <v>Normal</v>
      </c>
      <c r="P364" s="51" t="str">
        <f>IF(Table4[[#This Row],[Sales]]&lt;=$B$3,"Normal","High Revenue")</f>
        <v>Normal</v>
      </c>
      <c r="Q364" s="51" t="str">
        <f>IF(Table4[[#This Row],[CTR]]&lt;=$B$4,"Normal","High CTR")</f>
        <v>Normal</v>
      </c>
      <c r="R364" s="51" t="str">
        <f>IF(Table4[[#This Row],[ROAS]]&lt;1,"Poor",IF(Table4[[#This Row],[ROAS]]&lt;3,"Average",IF(Table4[[#This Row],[ROAS]]&lt;5,"Good",
"Excellent")))</f>
        <v>Excellent</v>
      </c>
      <c r="S364" s="51" t="str">
        <f>IF(AND(Table4[[#This Row],[USD_Spend]]&gt;=$B$5,Table4[[#This Row],[Sales]]&lt;=$B$6),"Wasted Budget","Spend Justified")</f>
        <v>Spend Justified</v>
      </c>
      <c r="T364" s="51" t="str">
        <f>IF(AND(Table4[[#This Row],[Clicks]]&gt;=$B$7,Table4[[#This Row],[Sales]]&lt;=$B$6),"Poor Monetization","Normal Monitization")</f>
        <v>Normal Monitization</v>
      </c>
    </row>
    <row r="365" spans="1:20" x14ac:dyDescent="0.35">
      <c r="A365" s="41" t="s">
        <v>67</v>
      </c>
      <c r="B365" s="41" t="s">
        <v>48</v>
      </c>
      <c r="C365" s="41" t="s">
        <v>69</v>
      </c>
      <c r="D365" s="41" t="s">
        <v>43</v>
      </c>
      <c r="E365" s="41" t="s">
        <v>22</v>
      </c>
      <c r="F365" s="41">
        <v>25913.96</v>
      </c>
      <c r="G365" s="41">
        <v>40271</v>
      </c>
      <c r="H365" s="41">
        <v>41389</v>
      </c>
      <c r="I365" s="41">
        <v>154173.56</v>
      </c>
      <c r="J365" s="41">
        <v>34</v>
      </c>
      <c r="K365" s="42">
        <f t="shared" si="26"/>
        <v>1.0277619130391598</v>
      </c>
      <c r="L365" s="43">
        <f t="shared" si="27"/>
        <v>5.9494403788537147</v>
      </c>
      <c r="M365" s="43">
        <f t="shared" si="28"/>
        <v>4.9494403788537147</v>
      </c>
      <c r="N365" s="43">
        <f t="shared" si="29"/>
        <v>3.7249887651308318</v>
      </c>
      <c r="O365" s="1" t="str">
        <f t="shared" si="25"/>
        <v>Normal</v>
      </c>
      <c r="P365" s="51" t="str">
        <f>IF(Table4[[#This Row],[Sales]]&lt;=$B$3,"Normal","High Revenue")</f>
        <v>Normal</v>
      </c>
      <c r="Q365" s="51" t="str">
        <f>IF(Table4[[#This Row],[CTR]]&lt;=$B$4,"Normal","High CTR")</f>
        <v>High CTR</v>
      </c>
      <c r="R365" s="51" t="str">
        <f>IF(Table4[[#This Row],[ROAS]]&lt;1,"Poor",IF(Table4[[#This Row],[ROAS]]&lt;3,"Average",IF(Table4[[#This Row],[ROAS]]&lt;5,"Good",
"Excellent")))</f>
        <v>Excellent</v>
      </c>
      <c r="S365" s="51" t="str">
        <f>IF(AND(Table4[[#This Row],[USD_Spend]]&gt;=$B$5,Table4[[#This Row],[Sales]]&lt;=$B$6),"Wasted Budget","Spend Justified")</f>
        <v>Spend Justified</v>
      </c>
      <c r="T365" s="51" t="str">
        <f>IF(AND(Table4[[#This Row],[Clicks]]&gt;=$B$7,Table4[[#This Row],[Sales]]&lt;=$B$6),"Poor Monetization","Normal Monitization")</f>
        <v>Normal Monitization</v>
      </c>
    </row>
    <row r="366" spans="1:20" x14ac:dyDescent="0.35">
      <c r="A366" s="38" t="s">
        <v>95</v>
      </c>
      <c r="B366" s="38" t="s">
        <v>48</v>
      </c>
      <c r="C366" s="38" t="s">
        <v>69</v>
      </c>
      <c r="D366" s="38" t="s">
        <v>37</v>
      </c>
      <c r="E366" s="38" t="s">
        <v>38</v>
      </c>
      <c r="F366" s="38">
        <v>19101.48</v>
      </c>
      <c r="G366" s="38">
        <v>949272</v>
      </c>
      <c r="H366" s="38">
        <v>25956</v>
      </c>
      <c r="I366" s="38">
        <v>205502.48</v>
      </c>
      <c r="J366" s="38">
        <v>13</v>
      </c>
      <c r="K366" s="39">
        <f t="shared" si="26"/>
        <v>2.7343058680757464E-2</v>
      </c>
      <c r="L366" s="40">
        <f t="shared" si="27"/>
        <v>10.758458506880096</v>
      </c>
      <c r="M366" s="40">
        <f t="shared" si="28"/>
        <v>9.7584585068800962</v>
      </c>
      <c r="N366" s="40">
        <f t="shared" si="29"/>
        <v>7.9173401140391437</v>
      </c>
      <c r="O366" s="1" t="str">
        <f t="shared" si="25"/>
        <v>Normal</v>
      </c>
      <c r="P366" s="51" t="str">
        <f>IF(Table4[[#This Row],[Sales]]&lt;=$B$3,"Normal","High Revenue")</f>
        <v>Normal</v>
      </c>
      <c r="Q366" s="51" t="str">
        <f>IF(Table4[[#This Row],[CTR]]&lt;=$B$4,"Normal","High CTR")</f>
        <v>Normal</v>
      </c>
      <c r="R366" s="51" t="str">
        <f>IF(Table4[[#This Row],[ROAS]]&lt;1,"Poor",IF(Table4[[#This Row],[ROAS]]&lt;3,"Average",IF(Table4[[#This Row],[ROAS]]&lt;5,"Good",
"Excellent")))</f>
        <v>Excellent</v>
      </c>
      <c r="S366" s="51" t="str">
        <f>IF(AND(Table4[[#This Row],[USD_Spend]]&gt;=$B$5,Table4[[#This Row],[Sales]]&lt;=$B$6),"Wasted Budget","Spend Justified")</f>
        <v>Spend Justified</v>
      </c>
      <c r="T366" s="51" t="str">
        <f>IF(AND(Table4[[#This Row],[Clicks]]&gt;=$B$7,Table4[[#This Row],[Sales]]&lt;=$B$6),"Poor Monetization","Normal Monitization")</f>
        <v>Normal Monitization</v>
      </c>
    </row>
    <row r="367" spans="1:20" x14ac:dyDescent="0.35">
      <c r="A367" s="41" t="s">
        <v>88</v>
      </c>
      <c r="B367" s="41" t="s">
        <v>35</v>
      </c>
      <c r="C367" s="41" t="s">
        <v>69</v>
      </c>
      <c r="D367" s="41" t="s">
        <v>37</v>
      </c>
      <c r="E367" s="41" t="s">
        <v>38</v>
      </c>
      <c r="F367" s="41">
        <v>46278.29</v>
      </c>
      <c r="G367" s="41">
        <v>586818</v>
      </c>
      <c r="H367" s="41">
        <v>2504</v>
      </c>
      <c r="I367" s="41">
        <v>116432.35</v>
      </c>
      <c r="J367" s="41">
        <v>48</v>
      </c>
      <c r="K367" s="42">
        <f t="shared" si="26"/>
        <v>4.2670811052149052E-3</v>
      </c>
      <c r="L367" s="43">
        <f t="shared" si="27"/>
        <v>2.5159172908074177</v>
      </c>
      <c r="M367" s="43">
        <f t="shared" si="28"/>
        <v>1.5159172908074174</v>
      </c>
      <c r="N367" s="43">
        <f t="shared" si="29"/>
        <v>46.498542332268372</v>
      </c>
      <c r="O367" s="1" t="str">
        <f t="shared" si="25"/>
        <v>High Spend</v>
      </c>
      <c r="P367" s="51" t="str">
        <f>IF(Table4[[#This Row],[Sales]]&lt;=$B$3,"Normal","High Revenue")</f>
        <v>Normal</v>
      </c>
      <c r="Q367" s="51" t="str">
        <f>IF(Table4[[#This Row],[CTR]]&lt;=$B$4,"Normal","High CTR")</f>
        <v>Normal</v>
      </c>
      <c r="R367" s="51" t="str">
        <f>IF(Table4[[#This Row],[ROAS]]&lt;1,"Poor",IF(Table4[[#This Row],[ROAS]]&lt;3,"Average",IF(Table4[[#This Row],[ROAS]]&lt;5,"Good",
"Excellent")))</f>
        <v>Average</v>
      </c>
      <c r="S367" s="51" t="str">
        <f>IF(AND(Table4[[#This Row],[USD_Spend]]&gt;=$B$5,Table4[[#This Row],[Sales]]&lt;=$B$6),"Wasted Budget","Spend Justified")</f>
        <v>Spend Justified</v>
      </c>
      <c r="T367" s="51" t="str">
        <f>IF(AND(Table4[[#This Row],[Clicks]]&gt;=$B$7,Table4[[#This Row],[Sales]]&lt;=$B$6),"Poor Monetization","Normal Monitization")</f>
        <v>Normal Monitization</v>
      </c>
    </row>
    <row r="368" spans="1:20" x14ac:dyDescent="0.35">
      <c r="A368" s="38" t="s">
        <v>66</v>
      </c>
      <c r="B368" s="38" t="s">
        <v>35</v>
      </c>
      <c r="C368" s="38" t="s">
        <v>20</v>
      </c>
      <c r="D368" s="38" t="s">
        <v>43</v>
      </c>
      <c r="E368" s="38" t="s">
        <v>30</v>
      </c>
      <c r="F368" s="38">
        <v>29281.88</v>
      </c>
      <c r="G368" s="38">
        <v>728826</v>
      </c>
      <c r="H368" s="38">
        <v>9742</v>
      </c>
      <c r="I368" s="38">
        <v>119247.78</v>
      </c>
      <c r="J368" s="38">
        <v>13</v>
      </c>
      <c r="K368" s="39">
        <f t="shared" si="26"/>
        <v>1.3366702066062407E-2</v>
      </c>
      <c r="L368" s="40">
        <f t="shared" si="27"/>
        <v>4.0724086021799142</v>
      </c>
      <c r="M368" s="40">
        <f t="shared" si="28"/>
        <v>3.0724086021799142</v>
      </c>
      <c r="N368" s="40">
        <f t="shared" si="29"/>
        <v>12.240585095462944</v>
      </c>
      <c r="O368" s="1" t="str">
        <f t="shared" si="25"/>
        <v>Normal</v>
      </c>
      <c r="P368" s="51" t="str">
        <f>IF(Table4[[#This Row],[Sales]]&lt;=$B$3,"Normal","High Revenue")</f>
        <v>Normal</v>
      </c>
      <c r="Q368" s="51" t="str">
        <f>IF(Table4[[#This Row],[CTR]]&lt;=$B$4,"Normal","High CTR")</f>
        <v>Normal</v>
      </c>
      <c r="R368" s="51" t="str">
        <f>IF(Table4[[#This Row],[ROAS]]&lt;1,"Poor",IF(Table4[[#This Row],[ROAS]]&lt;3,"Average",IF(Table4[[#This Row],[ROAS]]&lt;5,"Good",
"Excellent")))</f>
        <v>Good</v>
      </c>
      <c r="S368" s="51" t="str">
        <f>IF(AND(Table4[[#This Row],[USD_Spend]]&gt;=$B$5,Table4[[#This Row],[Sales]]&lt;=$B$6),"Wasted Budget","Spend Justified")</f>
        <v>Spend Justified</v>
      </c>
      <c r="T368" s="51" t="str">
        <f>IF(AND(Table4[[#This Row],[Clicks]]&gt;=$B$7,Table4[[#This Row],[Sales]]&lt;=$B$6),"Poor Monetization","Normal Monitization")</f>
        <v>Normal Monitization</v>
      </c>
    </row>
    <row r="369" spans="1:20" x14ac:dyDescent="0.35">
      <c r="A369" s="41" t="s">
        <v>42</v>
      </c>
      <c r="B369" s="41" t="s">
        <v>28</v>
      </c>
      <c r="C369" s="41" t="s">
        <v>69</v>
      </c>
      <c r="D369" s="41" t="s">
        <v>51</v>
      </c>
      <c r="E369" s="41" t="s">
        <v>22</v>
      </c>
      <c r="F369" s="41">
        <v>33979.57</v>
      </c>
      <c r="G369" s="41">
        <v>164228</v>
      </c>
      <c r="H369" s="41">
        <v>37143</v>
      </c>
      <c r="I369" s="41">
        <v>183493.23</v>
      </c>
      <c r="J369" s="41">
        <v>54</v>
      </c>
      <c r="K369" s="42">
        <f t="shared" si="26"/>
        <v>0.22616727963562852</v>
      </c>
      <c r="L369" s="43">
        <f t="shared" si="27"/>
        <v>5.4001045334005111</v>
      </c>
      <c r="M369" s="43">
        <f t="shared" si="28"/>
        <v>4.4001045334005111</v>
      </c>
      <c r="N369" s="43">
        <f t="shared" si="29"/>
        <v>4.9401833454486717</v>
      </c>
      <c r="O369" s="1" t="str">
        <f t="shared" si="25"/>
        <v>Normal</v>
      </c>
      <c r="P369" s="51" t="str">
        <f>IF(Table4[[#This Row],[Sales]]&lt;=$B$3,"Normal","High Revenue")</f>
        <v>Normal</v>
      </c>
      <c r="Q369" s="51" t="str">
        <f>IF(Table4[[#This Row],[CTR]]&lt;=$B$4,"Normal","High CTR")</f>
        <v>Normal</v>
      </c>
      <c r="R369" s="51" t="str">
        <f>IF(Table4[[#This Row],[ROAS]]&lt;1,"Poor",IF(Table4[[#This Row],[ROAS]]&lt;3,"Average",IF(Table4[[#This Row],[ROAS]]&lt;5,"Good",
"Excellent")))</f>
        <v>Excellent</v>
      </c>
      <c r="S369" s="51" t="str">
        <f>IF(AND(Table4[[#This Row],[USD_Spend]]&gt;=$B$5,Table4[[#This Row],[Sales]]&lt;=$B$6),"Wasted Budget","Spend Justified")</f>
        <v>Spend Justified</v>
      </c>
      <c r="T369" s="51" t="str">
        <f>IF(AND(Table4[[#This Row],[Clicks]]&gt;=$B$7,Table4[[#This Row],[Sales]]&lt;=$B$6),"Poor Monetization","Normal Monitization")</f>
        <v>Normal Monitization</v>
      </c>
    </row>
    <row r="370" spans="1:20" x14ac:dyDescent="0.35">
      <c r="A370" s="38" t="s">
        <v>106</v>
      </c>
      <c r="B370" s="38" t="s">
        <v>28</v>
      </c>
      <c r="C370" s="38" t="s">
        <v>36</v>
      </c>
      <c r="D370" s="38" t="s">
        <v>63</v>
      </c>
      <c r="E370" s="38" t="s">
        <v>30</v>
      </c>
      <c r="F370" s="38">
        <v>14536.9</v>
      </c>
      <c r="G370" s="38">
        <v>953881</v>
      </c>
      <c r="H370" s="38">
        <v>44618</v>
      </c>
      <c r="I370" s="38">
        <v>204719.32</v>
      </c>
      <c r="J370" s="38">
        <v>42</v>
      </c>
      <c r="K370" s="39">
        <f t="shared" si="26"/>
        <v>4.6775226679218899E-2</v>
      </c>
      <c r="L370" s="40">
        <f t="shared" si="27"/>
        <v>14.082735658909398</v>
      </c>
      <c r="M370" s="40">
        <f t="shared" si="28"/>
        <v>13.082735658909398</v>
      </c>
      <c r="N370" s="40">
        <f t="shared" si="29"/>
        <v>4.5882675153525483</v>
      </c>
      <c r="O370" s="1" t="str">
        <f t="shared" si="25"/>
        <v>Normal</v>
      </c>
      <c r="P370" s="51" t="str">
        <f>IF(Table4[[#This Row],[Sales]]&lt;=$B$3,"Normal","High Revenue")</f>
        <v>Normal</v>
      </c>
      <c r="Q370" s="51" t="str">
        <f>IF(Table4[[#This Row],[CTR]]&lt;=$B$4,"Normal","High CTR")</f>
        <v>Normal</v>
      </c>
      <c r="R370" s="51" t="str">
        <f>IF(Table4[[#This Row],[ROAS]]&lt;1,"Poor",IF(Table4[[#This Row],[ROAS]]&lt;3,"Average",IF(Table4[[#This Row],[ROAS]]&lt;5,"Good",
"Excellent")))</f>
        <v>Excellent</v>
      </c>
      <c r="S370" s="51" t="str">
        <f>IF(AND(Table4[[#This Row],[USD_Spend]]&gt;=$B$5,Table4[[#This Row],[Sales]]&lt;=$B$6),"Wasted Budget","Spend Justified")</f>
        <v>Spend Justified</v>
      </c>
      <c r="T370" s="51" t="str">
        <f>IF(AND(Table4[[#This Row],[Clicks]]&gt;=$B$7,Table4[[#This Row],[Sales]]&lt;=$B$6),"Poor Monetization","Normal Monitization")</f>
        <v>Normal Monitization</v>
      </c>
    </row>
    <row r="371" spans="1:20" x14ac:dyDescent="0.35">
      <c r="A371" s="41" t="s">
        <v>102</v>
      </c>
      <c r="B371" s="41" t="s">
        <v>35</v>
      </c>
      <c r="C371" s="41" t="s">
        <v>29</v>
      </c>
      <c r="D371" s="41" t="s">
        <v>51</v>
      </c>
      <c r="E371" s="41" t="s">
        <v>30</v>
      </c>
      <c r="F371" s="41">
        <v>545.77</v>
      </c>
      <c r="G371" s="41">
        <v>770835</v>
      </c>
      <c r="H371" s="41">
        <v>38149</v>
      </c>
      <c r="I371" s="41">
        <v>124361.65</v>
      </c>
      <c r="J371" s="41">
        <v>48</v>
      </c>
      <c r="K371" s="42">
        <f t="shared" si="26"/>
        <v>4.9490487588134943E-2</v>
      </c>
      <c r="L371" s="43">
        <f t="shared" si="27"/>
        <v>227.86457665316891</v>
      </c>
      <c r="M371" s="43">
        <f t="shared" si="28"/>
        <v>226.86457665316891</v>
      </c>
      <c r="N371" s="43">
        <f t="shared" si="29"/>
        <v>3.2598927888018032</v>
      </c>
      <c r="O371" s="1" t="str">
        <f t="shared" si="25"/>
        <v>Normal</v>
      </c>
      <c r="P371" s="51" t="str">
        <f>IF(Table4[[#This Row],[Sales]]&lt;=$B$3,"Normal","High Revenue")</f>
        <v>Normal</v>
      </c>
      <c r="Q371" s="51" t="str">
        <f>IF(Table4[[#This Row],[CTR]]&lt;=$B$4,"Normal","High CTR")</f>
        <v>Normal</v>
      </c>
      <c r="R371" s="51" t="str">
        <f>IF(Table4[[#This Row],[ROAS]]&lt;1,"Poor",IF(Table4[[#This Row],[ROAS]]&lt;3,"Average",IF(Table4[[#This Row],[ROAS]]&lt;5,"Good",
"Excellent")))</f>
        <v>Excellent</v>
      </c>
      <c r="S371" s="51" t="str">
        <f>IF(AND(Table4[[#This Row],[USD_Spend]]&gt;=$B$5,Table4[[#This Row],[Sales]]&lt;=$B$6),"Wasted Budget","Spend Justified")</f>
        <v>Spend Justified</v>
      </c>
      <c r="T371" s="51" t="str">
        <f>IF(AND(Table4[[#This Row],[Clicks]]&gt;=$B$7,Table4[[#This Row],[Sales]]&lt;=$B$6),"Poor Monetization","Normal Monitization")</f>
        <v>Normal Monitization</v>
      </c>
    </row>
    <row r="372" spans="1:20" x14ac:dyDescent="0.35">
      <c r="A372" s="38" t="s">
        <v>106</v>
      </c>
      <c r="B372" s="38" t="s">
        <v>35</v>
      </c>
      <c r="C372" s="38" t="s">
        <v>29</v>
      </c>
      <c r="D372" s="38" t="s">
        <v>43</v>
      </c>
      <c r="E372" s="38" t="s">
        <v>38</v>
      </c>
      <c r="F372" s="38">
        <v>24440.19</v>
      </c>
      <c r="G372" s="38">
        <v>510811</v>
      </c>
      <c r="H372" s="38">
        <v>19786</v>
      </c>
      <c r="I372" s="38">
        <v>41408.6</v>
      </c>
      <c r="J372" s="38">
        <v>35</v>
      </c>
      <c r="K372" s="39">
        <f t="shared" si="26"/>
        <v>3.8734483008392537E-2</v>
      </c>
      <c r="L372" s="40">
        <f t="shared" si="27"/>
        <v>1.694283064084199</v>
      </c>
      <c r="M372" s="40">
        <f t="shared" si="28"/>
        <v>0.69428306408419904</v>
      </c>
      <c r="N372" s="40">
        <f t="shared" si="29"/>
        <v>2.0928232083291216</v>
      </c>
      <c r="O372" s="1" t="str">
        <f t="shared" si="25"/>
        <v>Normal</v>
      </c>
      <c r="P372" s="51" t="str">
        <f>IF(Table4[[#This Row],[Sales]]&lt;=$B$3,"Normal","High Revenue")</f>
        <v>Normal</v>
      </c>
      <c r="Q372" s="51" t="str">
        <f>IF(Table4[[#This Row],[CTR]]&lt;=$B$4,"Normal","High CTR")</f>
        <v>Normal</v>
      </c>
      <c r="R372" s="51" t="str">
        <f>IF(Table4[[#This Row],[ROAS]]&lt;1,"Poor",IF(Table4[[#This Row],[ROAS]]&lt;3,"Average",IF(Table4[[#This Row],[ROAS]]&lt;5,"Good",
"Excellent")))</f>
        <v>Average</v>
      </c>
      <c r="S372" s="51" t="str">
        <f>IF(AND(Table4[[#This Row],[USD_Spend]]&gt;=$B$5,Table4[[#This Row],[Sales]]&lt;=$B$6),"Wasted Budget","Spend Justified")</f>
        <v>Wasted Budget</v>
      </c>
      <c r="T372" s="51" t="str">
        <f>IF(AND(Table4[[#This Row],[Clicks]]&gt;=$B$7,Table4[[#This Row],[Sales]]&lt;=$B$6),"Poor Monetization","Normal Monitization")</f>
        <v>Normal Monitization</v>
      </c>
    </row>
    <row r="373" spans="1:20" x14ac:dyDescent="0.35">
      <c r="A373" s="41" t="s">
        <v>95</v>
      </c>
      <c r="B373" s="41" t="s">
        <v>35</v>
      </c>
      <c r="C373" s="41" t="s">
        <v>69</v>
      </c>
      <c r="D373" s="41" t="s">
        <v>51</v>
      </c>
      <c r="E373" s="41" t="s">
        <v>38</v>
      </c>
      <c r="F373" s="41">
        <v>27649.11</v>
      </c>
      <c r="G373" s="41">
        <v>830854</v>
      </c>
      <c r="H373" s="41">
        <v>26904</v>
      </c>
      <c r="I373" s="41">
        <v>19896.8</v>
      </c>
      <c r="J373" s="41">
        <v>23</v>
      </c>
      <c r="K373" s="42">
        <f t="shared" si="26"/>
        <v>3.2381140368825327E-2</v>
      </c>
      <c r="L373" s="43">
        <f t="shared" si="27"/>
        <v>0.71961809982310454</v>
      </c>
      <c r="M373" s="43">
        <f t="shared" si="28"/>
        <v>-0.2803819001768954</v>
      </c>
      <c r="N373" s="43">
        <f t="shared" si="29"/>
        <v>0.73954802259886998</v>
      </c>
      <c r="O373" s="1" t="str">
        <f t="shared" si="25"/>
        <v>Normal</v>
      </c>
      <c r="P373" s="51" t="str">
        <f>IF(Table4[[#This Row],[Sales]]&lt;=$B$3,"Normal","High Revenue")</f>
        <v>Normal</v>
      </c>
      <c r="Q373" s="51" t="str">
        <f>IF(Table4[[#This Row],[CTR]]&lt;=$B$4,"Normal","High CTR")</f>
        <v>Normal</v>
      </c>
      <c r="R373" s="51" t="str">
        <f>IF(Table4[[#This Row],[ROAS]]&lt;1,"Poor",IF(Table4[[#This Row],[ROAS]]&lt;3,"Average",IF(Table4[[#This Row],[ROAS]]&lt;5,"Good",
"Excellent")))</f>
        <v>Poor</v>
      </c>
      <c r="S373" s="51" t="str">
        <f>IF(AND(Table4[[#This Row],[USD_Spend]]&gt;=$B$5,Table4[[#This Row],[Sales]]&lt;=$B$6),"Wasted Budget","Spend Justified")</f>
        <v>Wasted Budget</v>
      </c>
      <c r="T373" s="51" t="str">
        <f>IF(AND(Table4[[#This Row],[Clicks]]&gt;=$B$7,Table4[[#This Row],[Sales]]&lt;=$B$6),"Poor Monetization","Normal Monitization")</f>
        <v>Normal Monitization</v>
      </c>
    </row>
    <row r="374" spans="1:20" x14ac:dyDescent="0.35">
      <c r="A374" s="38" t="s">
        <v>68</v>
      </c>
      <c r="B374" s="38" t="s">
        <v>35</v>
      </c>
      <c r="C374" s="38" t="s">
        <v>20</v>
      </c>
      <c r="D374" s="38" t="s">
        <v>37</v>
      </c>
      <c r="E374" s="38" t="s">
        <v>30</v>
      </c>
      <c r="F374" s="38">
        <v>7635.67</v>
      </c>
      <c r="G374" s="38">
        <v>877823</v>
      </c>
      <c r="H374" s="38">
        <v>18837</v>
      </c>
      <c r="I374" s="38">
        <v>118030.06</v>
      </c>
      <c r="J374" s="38">
        <v>34</v>
      </c>
      <c r="K374" s="39">
        <f t="shared" si="26"/>
        <v>2.1458767883730547E-2</v>
      </c>
      <c r="L374" s="40">
        <f t="shared" si="27"/>
        <v>15.457721457318087</v>
      </c>
      <c r="M374" s="40">
        <f t="shared" si="28"/>
        <v>14.457721457318087</v>
      </c>
      <c r="N374" s="40">
        <f t="shared" si="29"/>
        <v>6.26586292934119</v>
      </c>
      <c r="O374" s="1" t="str">
        <f t="shared" si="25"/>
        <v>Normal</v>
      </c>
      <c r="P374" s="51" t="str">
        <f>IF(Table4[[#This Row],[Sales]]&lt;=$B$3,"Normal","High Revenue")</f>
        <v>Normal</v>
      </c>
      <c r="Q374" s="51" t="str">
        <f>IF(Table4[[#This Row],[CTR]]&lt;=$B$4,"Normal","High CTR")</f>
        <v>Normal</v>
      </c>
      <c r="R374" s="51" t="str">
        <f>IF(Table4[[#This Row],[ROAS]]&lt;1,"Poor",IF(Table4[[#This Row],[ROAS]]&lt;3,"Average",IF(Table4[[#This Row],[ROAS]]&lt;5,"Good",
"Excellent")))</f>
        <v>Excellent</v>
      </c>
      <c r="S374" s="51" t="str">
        <f>IF(AND(Table4[[#This Row],[USD_Spend]]&gt;=$B$5,Table4[[#This Row],[Sales]]&lt;=$B$6),"Wasted Budget","Spend Justified")</f>
        <v>Spend Justified</v>
      </c>
      <c r="T374" s="51" t="str">
        <f>IF(AND(Table4[[#This Row],[Clicks]]&gt;=$B$7,Table4[[#This Row],[Sales]]&lt;=$B$6),"Poor Monetization","Normal Monitization")</f>
        <v>Normal Monitization</v>
      </c>
    </row>
    <row r="375" spans="1:20" x14ac:dyDescent="0.35">
      <c r="A375" s="41" t="s">
        <v>95</v>
      </c>
      <c r="B375" s="41" t="s">
        <v>28</v>
      </c>
      <c r="C375" s="41" t="s">
        <v>20</v>
      </c>
      <c r="D375" s="41" t="s">
        <v>43</v>
      </c>
      <c r="E375" s="41" t="s">
        <v>22</v>
      </c>
      <c r="F375" s="41">
        <v>9401.17</v>
      </c>
      <c r="G375" s="41">
        <v>186379</v>
      </c>
      <c r="H375" s="41">
        <v>30071</v>
      </c>
      <c r="I375" s="41">
        <v>143584.35999999999</v>
      </c>
      <c r="J375" s="41">
        <v>8</v>
      </c>
      <c r="K375" s="42">
        <f t="shared" si="26"/>
        <v>0.16134328438289722</v>
      </c>
      <c r="L375" s="43">
        <f t="shared" si="27"/>
        <v>15.273030909982479</v>
      </c>
      <c r="M375" s="43">
        <f t="shared" si="28"/>
        <v>14.273030909982477</v>
      </c>
      <c r="N375" s="43">
        <f t="shared" si="29"/>
        <v>4.7748448671477499</v>
      </c>
      <c r="O375" s="1" t="str">
        <f t="shared" si="25"/>
        <v>Normal</v>
      </c>
      <c r="P375" s="51" t="str">
        <f>IF(Table4[[#This Row],[Sales]]&lt;=$B$3,"Normal","High Revenue")</f>
        <v>Normal</v>
      </c>
      <c r="Q375" s="51" t="str">
        <f>IF(Table4[[#This Row],[CTR]]&lt;=$B$4,"Normal","High CTR")</f>
        <v>Normal</v>
      </c>
      <c r="R375" s="51" t="str">
        <f>IF(Table4[[#This Row],[ROAS]]&lt;1,"Poor",IF(Table4[[#This Row],[ROAS]]&lt;3,"Average",IF(Table4[[#This Row],[ROAS]]&lt;5,"Good",
"Excellent")))</f>
        <v>Excellent</v>
      </c>
      <c r="S375" s="51" t="str">
        <f>IF(AND(Table4[[#This Row],[USD_Spend]]&gt;=$B$5,Table4[[#This Row],[Sales]]&lt;=$B$6),"Wasted Budget","Spend Justified")</f>
        <v>Spend Justified</v>
      </c>
      <c r="T375" s="51" t="str">
        <f>IF(AND(Table4[[#This Row],[Clicks]]&gt;=$B$7,Table4[[#This Row],[Sales]]&lt;=$B$6),"Poor Monetization","Normal Monitization")</f>
        <v>Normal Monitization</v>
      </c>
    </row>
    <row r="376" spans="1:20" x14ac:dyDescent="0.35">
      <c r="A376" s="38" t="s">
        <v>93</v>
      </c>
      <c r="B376" s="38" t="s">
        <v>48</v>
      </c>
      <c r="C376" s="38" t="s">
        <v>29</v>
      </c>
      <c r="D376" s="38" t="s">
        <v>51</v>
      </c>
      <c r="E376" s="38" t="s">
        <v>30</v>
      </c>
      <c r="F376" s="38">
        <v>27241.64</v>
      </c>
      <c r="G376" s="38">
        <v>375509</v>
      </c>
      <c r="H376" s="38">
        <v>5800</v>
      </c>
      <c r="I376" s="38">
        <v>112572.13</v>
      </c>
      <c r="J376" s="38">
        <v>61</v>
      </c>
      <c r="K376" s="39">
        <f t="shared" si="26"/>
        <v>1.5445701700891323E-2</v>
      </c>
      <c r="L376" s="40">
        <f t="shared" si="27"/>
        <v>4.1323551005005577</v>
      </c>
      <c r="M376" s="40">
        <f t="shared" si="28"/>
        <v>3.1323551005005577</v>
      </c>
      <c r="N376" s="40">
        <f t="shared" si="29"/>
        <v>19.408987931034485</v>
      </c>
      <c r="O376" s="1" t="str">
        <f t="shared" si="25"/>
        <v>Normal</v>
      </c>
      <c r="P376" s="51" t="str">
        <f>IF(Table4[[#This Row],[Sales]]&lt;=$B$3,"Normal","High Revenue")</f>
        <v>Normal</v>
      </c>
      <c r="Q376" s="51" t="str">
        <f>IF(Table4[[#This Row],[CTR]]&lt;=$B$4,"Normal","High CTR")</f>
        <v>Normal</v>
      </c>
      <c r="R376" s="51" t="str">
        <f>IF(Table4[[#This Row],[ROAS]]&lt;1,"Poor",IF(Table4[[#This Row],[ROAS]]&lt;3,"Average",IF(Table4[[#This Row],[ROAS]]&lt;5,"Good",
"Excellent")))</f>
        <v>Good</v>
      </c>
      <c r="S376" s="51" t="str">
        <f>IF(AND(Table4[[#This Row],[USD_Spend]]&gt;=$B$5,Table4[[#This Row],[Sales]]&lt;=$B$6),"Wasted Budget","Spend Justified")</f>
        <v>Spend Justified</v>
      </c>
      <c r="T376" s="51" t="str">
        <f>IF(AND(Table4[[#This Row],[Clicks]]&gt;=$B$7,Table4[[#This Row],[Sales]]&lt;=$B$6),"Poor Monetization","Normal Monitization")</f>
        <v>Normal Monitization</v>
      </c>
    </row>
    <row r="377" spans="1:20" x14ac:dyDescent="0.35">
      <c r="A377" s="41" t="s">
        <v>87</v>
      </c>
      <c r="B377" s="41" t="s">
        <v>48</v>
      </c>
      <c r="C377" s="41" t="s">
        <v>58</v>
      </c>
      <c r="D377" s="41" t="s">
        <v>59</v>
      </c>
      <c r="E377" s="41" t="s">
        <v>38</v>
      </c>
      <c r="F377" s="41">
        <v>21539.119999999999</v>
      </c>
      <c r="G377" s="41">
        <v>886325</v>
      </c>
      <c r="H377" s="41">
        <v>27560</v>
      </c>
      <c r="I377" s="41">
        <v>136864.04</v>
      </c>
      <c r="J377" s="41">
        <v>54</v>
      </c>
      <c r="K377" s="42">
        <f t="shared" si="26"/>
        <v>3.1094688742842637E-2</v>
      </c>
      <c r="L377" s="43">
        <f t="shared" si="27"/>
        <v>6.3542075999390883</v>
      </c>
      <c r="M377" s="43">
        <f t="shared" si="28"/>
        <v>5.3542075999390883</v>
      </c>
      <c r="N377" s="43">
        <f t="shared" si="29"/>
        <v>4.9660391872278664</v>
      </c>
      <c r="O377" s="1" t="str">
        <f t="shared" si="25"/>
        <v>Normal</v>
      </c>
      <c r="P377" s="51" t="str">
        <f>IF(Table4[[#This Row],[Sales]]&lt;=$B$3,"Normal","High Revenue")</f>
        <v>Normal</v>
      </c>
      <c r="Q377" s="51" t="str">
        <f>IF(Table4[[#This Row],[CTR]]&lt;=$B$4,"Normal","High CTR")</f>
        <v>Normal</v>
      </c>
      <c r="R377" s="51" t="str">
        <f>IF(Table4[[#This Row],[ROAS]]&lt;1,"Poor",IF(Table4[[#This Row],[ROAS]]&lt;3,"Average",IF(Table4[[#This Row],[ROAS]]&lt;5,"Good",
"Excellent")))</f>
        <v>Excellent</v>
      </c>
      <c r="S377" s="51" t="str">
        <f>IF(AND(Table4[[#This Row],[USD_Spend]]&gt;=$B$5,Table4[[#This Row],[Sales]]&lt;=$B$6),"Wasted Budget","Spend Justified")</f>
        <v>Spend Justified</v>
      </c>
      <c r="T377" s="51" t="str">
        <f>IF(AND(Table4[[#This Row],[Clicks]]&gt;=$B$7,Table4[[#This Row],[Sales]]&lt;=$B$6),"Poor Monetization","Normal Monitization")</f>
        <v>Normal Monitization</v>
      </c>
    </row>
    <row r="378" spans="1:20" x14ac:dyDescent="0.35">
      <c r="A378" s="38" t="s">
        <v>111</v>
      </c>
      <c r="B378" s="38" t="s">
        <v>48</v>
      </c>
      <c r="C378" s="38" t="s">
        <v>36</v>
      </c>
      <c r="D378" s="38" t="s">
        <v>59</v>
      </c>
      <c r="E378" s="38" t="s">
        <v>22</v>
      </c>
      <c r="F378" s="38">
        <v>7448.45</v>
      </c>
      <c r="G378" s="38">
        <v>744233</v>
      </c>
      <c r="H378" s="38">
        <v>41892</v>
      </c>
      <c r="I378" s="38">
        <v>47652.3</v>
      </c>
      <c r="J378" s="38">
        <v>60</v>
      </c>
      <c r="K378" s="39">
        <f t="shared" si="26"/>
        <v>5.6288823527040593E-2</v>
      </c>
      <c r="L378" s="40">
        <f t="shared" si="27"/>
        <v>6.3976129261792725</v>
      </c>
      <c r="M378" s="40">
        <f t="shared" si="28"/>
        <v>5.3976129261792734</v>
      </c>
      <c r="N378" s="40">
        <f t="shared" si="29"/>
        <v>1.1375035806359211</v>
      </c>
      <c r="O378" s="1" t="str">
        <f t="shared" si="25"/>
        <v>Normal</v>
      </c>
      <c r="P378" s="51" t="str">
        <f>IF(Table4[[#This Row],[Sales]]&lt;=$B$3,"Normal","High Revenue")</f>
        <v>Normal</v>
      </c>
      <c r="Q378" s="51" t="str">
        <f>IF(Table4[[#This Row],[CTR]]&lt;=$B$4,"Normal","High CTR")</f>
        <v>Normal</v>
      </c>
      <c r="R378" s="51" t="str">
        <f>IF(Table4[[#This Row],[ROAS]]&lt;1,"Poor",IF(Table4[[#This Row],[ROAS]]&lt;3,"Average",IF(Table4[[#This Row],[ROAS]]&lt;5,"Good",
"Excellent")))</f>
        <v>Excellent</v>
      </c>
      <c r="S378" s="51" t="str">
        <f>IF(AND(Table4[[#This Row],[USD_Spend]]&gt;=$B$5,Table4[[#This Row],[Sales]]&lt;=$B$6),"Wasted Budget","Spend Justified")</f>
        <v>Wasted Budget</v>
      </c>
      <c r="T378" s="51" t="str">
        <f>IF(AND(Table4[[#This Row],[Clicks]]&gt;=$B$7,Table4[[#This Row],[Sales]]&lt;=$B$6),"Poor Monetization","Normal Monitization")</f>
        <v>Poor Monetization</v>
      </c>
    </row>
    <row r="379" spans="1:20" x14ac:dyDescent="0.35">
      <c r="A379" s="41" t="s">
        <v>92</v>
      </c>
      <c r="B379" s="41" t="s">
        <v>48</v>
      </c>
      <c r="C379" s="41" t="s">
        <v>69</v>
      </c>
      <c r="D379" s="41" t="s">
        <v>21</v>
      </c>
      <c r="E379" s="41" t="s">
        <v>30</v>
      </c>
      <c r="F379" s="41">
        <v>19573.16</v>
      </c>
      <c r="G379" s="41">
        <v>427754</v>
      </c>
      <c r="H379" s="41">
        <v>6586</v>
      </c>
      <c r="I379" s="41">
        <v>174183.08</v>
      </c>
      <c r="J379" s="41">
        <v>22</v>
      </c>
      <c r="K379" s="42">
        <f t="shared" si="26"/>
        <v>1.5396699972414052E-2</v>
      </c>
      <c r="L379" s="43">
        <f t="shared" si="27"/>
        <v>8.8990781253512452</v>
      </c>
      <c r="M379" s="43">
        <f t="shared" si="28"/>
        <v>7.8990781253512452</v>
      </c>
      <c r="N379" s="43">
        <f t="shared" si="29"/>
        <v>26.447476465229272</v>
      </c>
      <c r="O379" s="1" t="str">
        <f t="shared" si="25"/>
        <v>Normal</v>
      </c>
      <c r="P379" s="51" t="str">
        <f>IF(Table4[[#This Row],[Sales]]&lt;=$B$3,"Normal","High Revenue")</f>
        <v>Normal</v>
      </c>
      <c r="Q379" s="51" t="str">
        <f>IF(Table4[[#This Row],[CTR]]&lt;=$B$4,"Normal","High CTR")</f>
        <v>Normal</v>
      </c>
      <c r="R379" s="51" t="str">
        <f>IF(Table4[[#This Row],[ROAS]]&lt;1,"Poor",IF(Table4[[#This Row],[ROAS]]&lt;3,"Average",IF(Table4[[#This Row],[ROAS]]&lt;5,"Good",
"Excellent")))</f>
        <v>Excellent</v>
      </c>
      <c r="S379" s="51" t="str">
        <f>IF(AND(Table4[[#This Row],[USD_Spend]]&gt;=$B$5,Table4[[#This Row],[Sales]]&lt;=$B$6),"Wasted Budget","Spend Justified")</f>
        <v>Spend Justified</v>
      </c>
      <c r="T379" s="51" t="str">
        <f>IF(AND(Table4[[#This Row],[Clicks]]&gt;=$B$7,Table4[[#This Row],[Sales]]&lt;=$B$6),"Poor Monetization","Normal Monitization")</f>
        <v>Normal Monitization</v>
      </c>
    </row>
    <row r="380" spans="1:20" x14ac:dyDescent="0.35">
      <c r="A380" s="38" t="s">
        <v>108</v>
      </c>
      <c r="B380" s="38" t="s">
        <v>48</v>
      </c>
      <c r="C380" s="38" t="s">
        <v>29</v>
      </c>
      <c r="D380" s="38" t="s">
        <v>51</v>
      </c>
      <c r="E380" s="38" t="s">
        <v>38</v>
      </c>
      <c r="F380" s="38">
        <v>187.62</v>
      </c>
      <c r="G380" s="38">
        <v>139806</v>
      </c>
      <c r="H380" s="38">
        <v>39539</v>
      </c>
      <c r="I380" s="38">
        <v>55323.29</v>
      </c>
      <c r="J380" s="38">
        <v>48</v>
      </c>
      <c r="K380" s="39">
        <f t="shared" si="26"/>
        <v>0.28281332703889678</v>
      </c>
      <c r="L380" s="40">
        <f t="shared" si="27"/>
        <v>294.86883061507302</v>
      </c>
      <c r="M380" s="40">
        <f t="shared" si="28"/>
        <v>293.86883061507302</v>
      </c>
      <c r="N380" s="40">
        <f t="shared" si="29"/>
        <v>1.3992081236247755</v>
      </c>
      <c r="O380" s="1" t="str">
        <f t="shared" si="25"/>
        <v>Normal</v>
      </c>
      <c r="P380" s="51" t="str">
        <f>IF(Table4[[#This Row],[Sales]]&lt;=$B$3,"Normal","High Revenue")</f>
        <v>Normal</v>
      </c>
      <c r="Q380" s="51" t="str">
        <f>IF(Table4[[#This Row],[CTR]]&lt;=$B$4,"Normal","High CTR")</f>
        <v>Normal</v>
      </c>
      <c r="R380" s="51" t="str">
        <f>IF(Table4[[#This Row],[ROAS]]&lt;1,"Poor",IF(Table4[[#This Row],[ROAS]]&lt;3,"Average",IF(Table4[[#This Row],[ROAS]]&lt;5,"Good",
"Excellent")))</f>
        <v>Excellent</v>
      </c>
      <c r="S380" s="51" t="str">
        <f>IF(AND(Table4[[#This Row],[USD_Spend]]&gt;=$B$5,Table4[[#This Row],[Sales]]&lt;=$B$6),"Wasted Budget","Spend Justified")</f>
        <v>Spend Justified</v>
      </c>
      <c r="T380" s="51" t="str">
        <f>IF(AND(Table4[[#This Row],[Clicks]]&gt;=$B$7,Table4[[#This Row],[Sales]]&lt;=$B$6),"Poor Monetization","Normal Monitization")</f>
        <v>Poor Monetization</v>
      </c>
    </row>
    <row r="381" spans="1:20" x14ac:dyDescent="0.35">
      <c r="A381" s="41" t="s">
        <v>109</v>
      </c>
      <c r="B381" s="41" t="s">
        <v>28</v>
      </c>
      <c r="C381" s="41" t="s">
        <v>58</v>
      </c>
      <c r="D381" s="41" t="s">
        <v>63</v>
      </c>
      <c r="E381" s="41" t="s">
        <v>22</v>
      </c>
      <c r="F381" s="41">
        <v>34008.07</v>
      </c>
      <c r="G381" s="41">
        <v>568388</v>
      </c>
      <c r="H381" s="41">
        <v>15413</v>
      </c>
      <c r="I381" s="41">
        <v>98051.19</v>
      </c>
      <c r="J381" s="41">
        <v>36</v>
      </c>
      <c r="K381" s="42">
        <f t="shared" si="26"/>
        <v>2.7117039768608766E-2</v>
      </c>
      <c r="L381" s="43">
        <f t="shared" si="27"/>
        <v>2.8831741995355809</v>
      </c>
      <c r="M381" s="43">
        <f t="shared" si="28"/>
        <v>1.8831741995355809</v>
      </c>
      <c r="N381" s="43">
        <f t="shared" si="29"/>
        <v>6.3615902160513853</v>
      </c>
      <c r="O381" s="1" t="str">
        <f t="shared" si="25"/>
        <v>Normal</v>
      </c>
      <c r="P381" s="51" t="str">
        <f>IF(Table4[[#This Row],[Sales]]&lt;=$B$3,"Normal","High Revenue")</f>
        <v>Normal</v>
      </c>
      <c r="Q381" s="51" t="str">
        <f>IF(Table4[[#This Row],[CTR]]&lt;=$B$4,"Normal","High CTR")</f>
        <v>Normal</v>
      </c>
      <c r="R381" s="51" t="str">
        <f>IF(Table4[[#This Row],[ROAS]]&lt;1,"Poor",IF(Table4[[#This Row],[ROAS]]&lt;3,"Average",IF(Table4[[#This Row],[ROAS]]&lt;5,"Good",
"Excellent")))</f>
        <v>Average</v>
      </c>
      <c r="S381" s="51" t="str">
        <f>IF(AND(Table4[[#This Row],[USD_Spend]]&gt;=$B$5,Table4[[#This Row],[Sales]]&lt;=$B$6),"Wasted Budget","Spend Justified")</f>
        <v>Spend Justified</v>
      </c>
      <c r="T381" s="51" t="str">
        <f>IF(AND(Table4[[#This Row],[Clicks]]&gt;=$B$7,Table4[[#This Row],[Sales]]&lt;=$B$6),"Poor Monetization","Normal Monitization")</f>
        <v>Normal Monitization</v>
      </c>
    </row>
    <row r="382" spans="1:20" x14ac:dyDescent="0.35">
      <c r="A382" s="38" t="s">
        <v>105</v>
      </c>
      <c r="B382" s="38" t="s">
        <v>28</v>
      </c>
      <c r="C382" s="38" t="s">
        <v>36</v>
      </c>
      <c r="D382" s="38" t="s">
        <v>59</v>
      </c>
      <c r="E382" s="38" t="s">
        <v>30</v>
      </c>
      <c r="F382" s="38">
        <v>3554.46</v>
      </c>
      <c r="G382" s="38">
        <v>668840</v>
      </c>
      <c r="H382" s="38">
        <v>30322</v>
      </c>
      <c r="I382" s="38">
        <v>138728.51999999999</v>
      </c>
      <c r="J382" s="38">
        <v>25</v>
      </c>
      <c r="K382" s="39">
        <f t="shared" si="26"/>
        <v>4.5335207224448296E-2</v>
      </c>
      <c r="L382" s="40">
        <f t="shared" si="27"/>
        <v>39.029422190712509</v>
      </c>
      <c r="M382" s="40">
        <f t="shared" si="28"/>
        <v>38.029422190712509</v>
      </c>
      <c r="N382" s="40">
        <f t="shared" si="29"/>
        <v>4.5751770991359404</v>
      </c>
      <c r="O382" s="1" t="str">
        <f t="shared" si="25"/>
        <v>Normal</v>
      </c>
      <c r="P382" s="51" t="str">
        <f>IF(Table4[[#This Row],[Sales]]&lt;=$B$3,"Normal","High Revenue")</f>
        <v>Normal</v>
      </c>
      <c r="Q382" s="51" t="str">
        <f>IF(Table4[[#This Row],[CTR]]&lt;=$B$4,"Normal","High CTR")</f>
        <v>Normal</v>
      </c>
      <c r="R382" s="51" t="str">
        <f>IF(Table4[[#This Row],[ROAS]]&lt;1,"Poor",IF(Table4[[#This Row],[ROAS]]&lt;3,"Average",IF(Table4[[#This Row],[ROAS]]&lt;5,"Good",
"Excellent")))</f>
        <v>Excellent</v>
      </c>
      <c r="S382" s="51" t="str">
        <f>IF(AND(Table4[[#This Row],[USD_Spend]]&gt;=$B$5,Table4[[#This Row],[Sales]]&lt;=$B$6),"Wasted Budget","Spend Justified")</f>
        <v>Spend Justified</v>
      </c>
      <c r="T382" s="51" t="str">
        <f>IF(AND(Table4[[#This Row],[Clicks]]&gt;=$B$7,Table4[[#This Row],[Sales]]&lt;=$B$6),"Poor Monetization","Normal Monitization")</f>
        <v>Normal Monitization</v>
      </c>
    </row>
    <row r="383" spans="1:20" x14ac:dyDescent="0.35">
      <c r="A383" s="41" t="s">
        <v>110</v>
      </c>
      <c r="B383" s="41" t="s">
        <v>35</v>
      </c>
      <c r="C383" s="41" t="s">
        <v>29</v>
      </c>
      <c r="D383" s="41" t="s">
        <v>43</v>
      </c>
      <c r="E383" s="41" t="s">
        <v>38</v>
      </c>
      <c r="F383" s="41">
        <v>5673.49</v>
      </c>
      <c r="G383" s="41">
        <v>945566</v>
      </c>
      <c r="H383" s="41">
        <v>36771</v>
      </c>
      <c r="I383" s="41">
        <v>15075.62</v>
      </c>
      <c r="J383" s="41">
        <v>31</v>
      </c>
      <c r="K383" s="42">
        <f t="shared" si="26"/>
        <v>3.888781957050063E-2</v>
      </c>
      <c r="L383" s="43">
        <f t="shared" si="27"/>
        <v>2.657203943251861</v>
      </c>
      <c r="M383" s="43">
        <f t="shared" si="28"/>
        <v>1.657203943251861</v>
      </c>
      <c r="N383" s="43">
        <f t="shared" si="29"/>
        <v>0.40998667428136304</v>
      </c>
      <c r="O383" s="1" t="str">
        <f t="shared" si="25"/>
        <v>Normal</v>
      </c>
      <c r="P383" s="51" t="str">
        <f>IF(Table4[[#This Row],[Sales]]&lt;=$B$3,"Normal","High Revenue")</f>
        <v>Normal</v>
      </c>
      <c r="Q383" s="51" t="str">
        <f>IF(Table4[[#This Row],[CTR]]&lt;=$B$4,"Normal","High CTR")</f>
        <v>Normal</v>
      </c>
      <c r="R383" s="51" t="str">
        <f>IF(Table4[[#This Row],[ROAS]]&lt;1,"Poor",IF(Table4[[#This Row],[ROAS]]&lt;3,"Average",IF(Table4[[#This Row],[ROAS]]&lt;5,"Good",
"Excellent")))</f>
        <v>Average</v>
      </c>
      <c r="S383" s="51" t="str">
        <f>IF(AND(Table4[[#This Row],[USD_Spend]]&gt;=$B$5,Table4[[#This Row],[Sales]]&lt;=$B$6),"Wasted Budget","Spend Justified")</f>
        <v>Wasted Budget</v>
      </c>
      <c r="T383" s="51" t="str">
        <f>IF(AND(Table4[[#This Row],[Clicks]]&gt;=$B$7,Table4[[#This Row],[Sales]]&lt;=$B$6),"Poor Monetization","Normal Monitization")</f>
        <v>Normal Monitization</v>
      </c>
    </row>
    <row r="384" spans="1:20" x14ac:dyDescent="0.35">
      <c r="A384" s="38" t="s">
        <v>70</v>
      </c>
      <c r="B384" s="38" t="s">
        <v>48</v>
      </c>
      <c r="C384" s="38" t="s">
        <v>69</v>
      </c>
      <c r="D384" s="38" t="s">
        <v>37</v>
      </c>
      <c r="E384" s="38" t="s">
        <v>30</v>
      </c>
      <c r="F384" s="38">
        <v>10060.040000000001</v>
      </c>
      <c r="G384" s="38">
        <v>588972</v>
      </c>
      <c r="H384" s="38">
        <v>7905</v>
      </c>
      <c r="I384" s="38">
        <v>46921.73</v>
      </c>
      <c r="J384" s="38">
        <v>60</v>
      </c>
      <c r="K384" s="39">
        <f t="shared" si="26"/>
        <v>1.3421690674599132E-2</v>
      </c>
      <c r="L384" s="40">
        <f t="shared" si="27"/>
        <v>4.6641693273585396</v>
      </c>
      <c r="M384" s="40">
        <f t="shared" si="28"/>
        <v>3.6641693273585392</v>
      </c>
      <c r="N384" s="40">
        <f t="shared" si="29"/>
        <v>5.9357027197975967</v>
      </c>
      <c r="O384" s="1" t="str">
        <f t="shared" si="25"/>
        <v>Normal</v>
      </c>
      <c r="P384" s="51" t="str">
        <f>IF(Table4[[#This Row],[Sales]]&lt;=$B$3,"Normal","High Revenue")</f>
        <v>Normal</v>
      </c>
      <c r="Q384" s="51" t="str">
        <f>IF(Table4[[#This Row],[CTR]]&lt;=$B$4,"Normal","High CTR")</f>
        <v>Normal</v>
      </c>
      <c r="R384" s="51" t="str">
        <f>IF(Table4[[#This Row],[ROAS]]&lt;1,"Poor",IF(Table4[[#This Row],[ROAS]]&lt;3,"Average",IF(Table4[[#This Row],[ROAS]]&lt;5,"Good",
"Excellent")))</f>
        <v>Good</v>
      </c>
      <c r="S384" s="51" t="str">
        <f>IF(AND(Table4[[#This Row],[USD_Spend]]&gt;=$B$5,Table4[[#This Row],[Sales]]&lt;=$B$6),"Wasted Budget","Spend Justified")</f>
        <v>Wasted Budget</v>
      </c>
      <c r="T384" s="51" t="str">
        <f>IF(AND(Table4[[#This Row],[Clicks]]&gt;=$B$7,Table4[[#This Row],[Sales]]&lt;=$B$6),"Poor Monetization","Normal Monitization")</f>
        <v>Normal Monitization</v>
      </c>
    </row>
    <row r="385" spans="1:20" x14ac:dyDescent="0.35">
      <c r="A385" s="41" t="s">
        <v>67</v>
      </c>
      <c r="B385" s="41" t="s">
        <v>19</v>
      </c>
      <c r="C385" s="41" t="s">
        <v>29</v>
      </c>
      <c r="D385" s="41" t="s">
        <v>43</v>
      </c>
      <c r="E385" s="41" t="s">
        <v>22</v>
      </c>
      <c r="F385" s="41">
        <v>39370.720000000001</v>
      </c>
      <c r="G385" s="41">
        <v>675506</v>
      </c>
      <c r="H385" s="41">
        <v>5308</v>
      </c>
      <c r="I385" s="41">
        <v>23789.84</v>
      </c>
      <c r="J385" s="41">
        <v>32</v>
      </c>
      <c r="K385" s="42">
        <f t="shared" si="26"/>
        <v>7.8578132540643598E-3</v>
      </c>
      <c r="L385" s="43">
        <f t="shared" si="27"/>
        <v>0.60425209394189383</v>
      </c>
      <c r="M385" s="43">
        <f t="shared" si="28"/>
        <v>-0.39574790605810611</v>
      </c>
      <c r="N385" s="43">
        <f t="shared" si="29"/>
        <v>4.481883948756594</v>
      </c>
      <c r="O385" s="1" t="str">
        <f t="shared" si="25"/>
        <v>Normal</v>
      </c>
      <c r="P385" s="51" t="str">
        <f>IF(Table4[[#This Row],[Sales]]&lt;=$B$3,"Normal","High Revenue")</f>
        <v>Normal</v>
      </c>
      <c r="Q385" s="51" t="str">
        <f>IF(Table4[[#This Row],[CTR]]&lt;=$B$4,"Normal","High CTR")</f>
        <v>Normal</v>
      </c>
      <c r="R385" s="51" t="str">
        <f>IF(Table4[[#This Row],[ROAS]]&lt;1,"Poor",IF(Table4[[#This Row],[ROAS]]&lt;3,"Average",IF(Table4[[#This Row],[ROAS]]&lt;5,"Good",
"Excellent")))</f>
        <v>Poor</v>
      </c>
      <c r="S385" s="51" t="str">
        <f>IF(AND(Table4[[#This Row],[USD_Spend]]&gt;=$B$5,Table4[[#This Row],[Sales]]&lt;=$B$6),"Wasted Budget","Spend Justified")</f>
        <v>Wasted Budget</v>
      </c>
      <c r="T385" s="51" t="str">
        <f>IF(AND(Table4[[#This Row],[Clicks]]&gt;=$B$7,Table4[[#This Row],[Sales]]&lt;=$B$6),"Poor Monetization","Normal Monitization")</f>
        <v>Normal Monitization</v>
      </c>
    </row>
    <row r="386" spans="1:20" x14ac:dyDescent="0.35">
      <c r="A386" s="38" t="s">
        <v>87</v>
      </c>
      <c r="B386" s="38" t="s">
        <v>35</v>
      </c>
      <c r="C386" s="38" t="s">
        <v>69</v>
      </c>
      <c r="D386" s="38" t="s">
        <v>51</v>
      </c>
      <c r="E386" s="38" t="s">
        <v>38</v>
      </c>
      <c r="F386" s="38">
        <v>16907.23</v>
      </c>
      <c r="G386" s="38">
        <v>566711</v>
      </c>
      <c r="H386" s="38">
        <v>22628</v>
      </c>
      <c r="I386" s="38">
        <v>109248.43</v>
      </c>
      <c r="J386" s="38">
        <v>48</v>
      </c>
      <c r="K386" s="39">
        <f t="shared" si="26"/>
        <v>3.9928640876919629E-2</v>
      </c>
      <c r="L386" s="40">
        <f t="shared" si="27"/>
        <v>6.4616397836901722</v>
      </c>
      <c r="M386" s="40">
        <f t="shared" si="28"/>
        <v>5.4616397836901731</v>
      </c>
      <c r="N386" s="40">
        <f t="shared" si="29"/>
        <v>4.828019710093689</v>
      </c>
      <c r="O386" s="1" t="str">
        <f t="shared" si="25"/>
        <v>Normal</v>
      </c>
      <c r="P386" s="51" t="str">
        <f>IF(Table4[[#This Row],[Sales]]&lt;=$B$3,"Normal","High Revenue")</f>
        <v>Normal</v>
      </c>
      <c r="Q386" s="51" t="str">
        <f>IF(Table4[[#This Row],[CTR]]&lt;=$B$4,"Normal","High CTR")</f>
        <v>Normal</v>
      </c>
      <c r="R386" s="51" t="str">
        <f>IF(Table4[[#This Row],[ROAS]]&lt;1,"Poor",IF(Table4[[#This Row],[ROAS]]&lt;3,"Average",IF(Table4[[#This Row],[ROAS]]&lt;5,"Good",
"Excellent")))</f>
        <v>Excellent</v>
      </c>
      <c r="S386" s="51" t="str">
        <f>IF(AND(Table4[[#This Row],[USD_Spend]]&gt;=$B$5,Table4[[#This Row],[Sales]]&lt;=$B$6),"Wasted Budget","Spend Justified")</f>
        <v>Spend Justified</v>
      </c>
      <c r="T386" s="51" t="str">
        <f>IF(AND(Table4[[#This Row],[Clicks]]&gt;=$B$7,Table4[[#This Row],[Sales]]&lt;=$B$6),"Poor Monetization","Normal Monitization")</f>
        <v>Normal Monitization</v>
      </c>
    </row>
    <row r="387" spans="1:20" x14ac:dyDescent="0.35">
      <c r="A387" s="41" t="s">
        <v>101</v>
      </c>
      <c r="B387" s="41" t="s">
        <v>28</v>
      </c>
      <c r="C387" s="41" t="s">
        <v>20</v>
      </c>
      <c r="D387" s="41" t="s">
        <v>37</v>
      </c>
      <c r="E387" s="41" t="s">
        <v>22</v>
      </c>
      <c r="F387" s="41">
        <v>5609.93</v>
      </c>
      <c r="G387" s="41">
        <v>774234</v>
      </c>
      <c r="H387" s="41">
        <v>217</v>
      </c>
      <c r="I387" s="41">
        <v>237453.09</v>
      </c>
      <c r="J387" s="41">
        <v>52</v>
      </c>
      <c r="K387" s="42">
        <f t="shared" si="26"/>
        <v>2.8027702219225715E-4</v>
      </c>
      <c r="L387" s="43">
        <f t="shared" si="27"/>
        <v>42.327282158600909</v>
      </c>
      <c r="M387" s="43">
        <f t="shared" si="28"/>
        <v>41.327282158600909</v>
      </c>
      <c r="N387" s="43">
        <f t="shared" si="29"/>
        <v>1094.2538709677419</v>
      </c>
      <c r="O387" s="1" t="str">
        <f t="shared" si="25"/>
        <v>Normal</v>
      </c>
      <c r="P387" s="51" t="str">
        <f>IF(Table4[[#This Row],[Sales]]&lt;=$B$3,"Normal","High Revenue")</f>
        <v>High Revenue</v>
      </c>
      <c r="Q387" s="51" t="str">
        <f>IF(Table4[[#This Row],[CTR]]&lt;=$B$4,"Normal","High CTR")</f>
        <v>Normal</v>
      </c>
      <c r="R387" s="51" t="str">
        <f>IF(Table4[[#This Row],[ROAS]]&lt;1,"Poor",IF(Table4[[#This Row],[ROAS]]&lt;3,"Average",IF(Table4[[#This Row],[ROAS]]&lt;5,"Good",
"Excellent")))</f>
        <v>Excellent</v>
      </c>
      <c r="S387" s="51" t="str">
        <f>IF(AND(Table4[[#This Row],[USD_Spend]]&gt;=$B$5,Table4[[#This Row],[Sales]]&lt;=$B$6),"Wasted Budget","Spend Justified")</f>
        <v>Spend Justified</v>
      </c>
      <c r="T387" s="51" t="str">
        <f>IF(AND(Table4[[#This Row],[Clicks]]&gt;=$B$7,Table4[[#This Row],[Sales]]&lt;=$B$6),"Poor Monetization","Normal Monitization")</f>
        <v>Normal Monitization</v>
      </c>
    </row>
    <row r="388" spans="1:20" x14ac:dyDescent="0.35">
      <c r="A388" s="38" t="s">
        <v>86</v>
      </c>
      <c r="B388" s="38" t="s">
        <v>28</v>
      </c>
      <c r="C388" s="38" t="s">
        <v>36</v>
      </c>
      <c r="D388" s="38" t="s">
        <v>21</v>
      </c>
      <c r="E388" s="38" t="s">
        <v>22</v>
      </c>
      <c r="F388" s="38">
        <v>33538.26</v>
      </c>
      <c r="G388" s="38">
        <v>898765</v>
      </c>
      <c r="H388" s="38">
        <v>11816</v>
      </c>
      <c r="I388" s="38">
        <v>113733.13</v>
      </c>
      <c r="J388" s="38">
        <v>42</v>
      </c>
      <c r="K388" s="39">
        <f t="shared" si="26"/>
        <v>1.314692939756221E-2</v>
      </c>
      <c r="L388" s="40">
        <f t="shared" si="27"/>
        <v>3.3911458137661286</v>
      </c>
      <c r="M388" s="40">
        <f t="shared" si="28"/>
        <v>2.3911458137661281</v>
      </c>
      <c r="N388" s="40">
        <f t="shared" si="29"/>
        <v>9.6253495260663513</v>
      </c>
      <c r="O388" s="1" t="str">
        <f t="shared" si="25"/>
        <v>Normal</v>
      </c>
      <c r="P388" s="51" t="str">
        <f>IF(Table4[[#This Row],[Sales]]&lt;=$B$3,"Normal","High Revenue")</f>
        <v>Normal</v>
      </c>
      <c r="Q388" s="51" t="str">
        <f>IF(Table4[[#This Row],[CTR]]&lt;=$B$4,"Normal","High CTR")</f>
        <v>Normal</v>
      </c>
      <c r="R388" s="51" t="str">
        <f>IF(Table4[[#This Row],[ROAS]]&lt;1,"Poor",IF(Table4[[#This Row],[ROAS]]&lt;3,"Average",IF(Table4[[#This Row],[ROAS]]&lt;5,"Good",
"Excellent")))</f>
        <v>Good</v>
      </c>
      <c r="S388" s="51" t="str">
        <f>IF(AND(Table4[[#This Row],[USD_Spend]]&gt;=$B$5,Table4[[#This Row],[Sales]]&lt;=$B$6),"Wasted Budget","Spend Justified")</f>
        <v>Spend Justified</v>
      </c>
      <c r="T388" s="51" t="str">
        <f>IF(AND(Table4[[#This Row],[Clicks]]&gt;=$B$7,Table4[[#This Row],[Sales]]&lt;=$B$6),"Poor Monetization","Normal Monitization")</f>
        <v>Normal Monitization</v>
      </c>
    </row>
    <row r="389" spans="1:20" x14ac:dyDescent="0.35">
      <c r="A389" s="41" t="s">
        <v>93</v>
      </c>
      <c r="B389" s="41" t="s">
        <v>28</v>
      </c>
      <c r="C389" s="41" t="s">
        <v>20</v>
      </c>
      <c r="D389" s="41" t="s">
        <v>59</v>
      </c>
      <c r="E389" s="41" t="s">
        <v>22</v>
      </c>
      <c r="F389" s="41">
        <v>4682.04</v>
      </c>
      <c r="G389" s="41">
        <v>937989</v>
      </c>
      <c r="H389" s="41">
        <v>2644</v>
      </c>
      <c r="I389" s="41">
        <v>248155.75</v>
      </c>
      <c r="J389" s="41">
        <v>47</v>
      </c>
      <c r="K389" s="42">
        <f t="shared" si="26"/>
        <v>2.8187963824735686E-3</v>
      </c>
      <c r="L389" s="43">
        <f t="shared" si="27"/>
        <v>53.001629631528139</v>
      </c>
      <c r="M389" s="43">
        <f t="shared" si="28"/>
        <v>52.001629631528139</v>
      </c>
      <c r="N389" s="43">
        <f t="shared" si="29"/>
        <v>93.856183812405447</v>
      </c>
      <c r="O389" s="1" t="str">
        <f t="shared" si="25"/>
        <v>Normal</v>
      </c>
      <c r="P389" s="51" t="str">
        <f>IF(Table4[[#This Row],[Sales]]&lt;=$B$3,"Normal","High Revenue")</f>
        <v>High Revenue</v>
      </c>
      <c r="Q389" s="51" t="str">
        <f>IF(Table4[[#This Row],[CTR]]&lt;=$B$4,"Normal","High CTR")</f>
        <v>Normal</v>
      </c>
      <c r="R389" s="51" t="str">
        <f>IF(Table4[[#This Row],[ROAS]]&lt;1,"Poor",IF(Table4[[#This Row],[ROAS]]&lt;3,"Average",IF(Table4[[#This Row],[ROAS]]&lt;5,"Good",
"Excellent")))</f>
        <v>Excellent</v>
      </c>
      <c r="S389" s="51" t="str">
        <f>IF(AND(Table4[[#This Row],[USD_Spend]]&gt;=$B$5,Table4[[#This Row],[Sales]]&lt;=$B$6),"Wasted Budget","Spend Justified")</f>
        <v>Spend Justified</v>
      </c>
      <c r="T389" s="51" t="str">
        <f>IF(AND(Table4[[#This Row],[Clicks]]&gt;=$B$7,Table4[[#This Row],[Sales]]&lt;=$B$6),"Poor Monetization","Normal Monitization")</f>
        <v>Normal Monitization</v>
      </c>
    </row>
    <row r="390" spans="1:20" x14ac:dyDescent="0.35">
      <c r="A390" s="38" t="s">
        <v>55</v>
      </c>
      <c r="B390" s="38" t="s">
        <v>48</v>
      </c>
      <c r="C390" s="38" t="s">
        <v>36</v>
      </c>
      <c r="D390" s="38" t="s">
        <v>37</v>
      </c>
      <c r="E390" s="38" t="s">
        <v>30</v>
      </c>
      <c r="F390" s="38">
        <v>4569.2299999999996</v>
      </c>
      <c r="G390" s="38">
        <v>666912</v>
      </c>
      <c r="H390" s="38">
        <v>8384</v>
      </c>
      <c r="I390" s="38">
        <v>37162.89</v>
      </c>
      <c r="J390" s="38">
        <v>20</v>
      </c>
      <c r="K390" s="39">
        <f t="shared" si="26"/>
        <v>1.2571373734465716E-2</v>
      </c>
      <c r="L390" s="40">
        <f t="shared" si="27"/>
        <v>8.133293793483805</v>
      </c>
      <c r="M390" s="40">
        <f t="shared" si="28"/>
        <v>7.1332937934838041</v>
      </c>
      <c r="N390" s="40">
        <f t="shared" si="29"/>
        <v>4.4325966125954199</v>
      </c>
      <c r="O390" s="1" t="str">
        <f t="shared" si="25"/>
        <v>Normal</v>
      </c>
      <c r="P390" s="51" t="str">
        <f>IF(Table4[[#This Row],[Sales]]&lt;=$B$3,"Normal","High Revenue")</f>
        <v>Normal</v>
      </c>
      <c r="Q390" s="51" t="str">
        <f>IF(Table4[[#This Row],[CTR]]&lt;=$B$4,"Normal","High CTR")</f>
        <v>Normal</v>
      </c>
      <c r="R390" s="51" t="str">
        <f>IF(Table4[[#This Row],[ROAS]]&lt;1,"Poor",IF(Table4[[#This Row],[ROAS]]&lt;3,"Average",IF(Table4[[#This Row],[ROAS]]&lt;5,"Good",
"Excellent")))</f>
        <v>Excellent</v>
      </c>
      <c r="S390" s="51" t="str">
        <f>IF(AND(Table4[[#This Row],[USD_Spend]]&gt;=$B$5,Table4[[#This Row],[Sales]]&lt;=$B$6),"Wasted Budget","Spend Justified")</f>
        <v>Spend Justified</v>
      </c>
      <c r="T390" s="51" t="str">
        <f>IF(AND(Table4[[#This Row],[Clicks]]&gt;=$B$7,Table4[[#This Row],[Sales]]&lt;=$B$6),"Poor Monetization","Normal Monitization")</f>
        <v>Normal Monitization</v>
      </c>
    </row>
    <row r="391" spans="1:20" x14ac:dyDescent="0.35">
      <c r="A391" s="41" t="s">
        <v>79</v>
      </c>
      <c r="B391" s="41" t="s">
        <v>48</v>
      </c>
      <c r="C391" s="41" t="s">
        <v>20</v>
      </c>
      <c r="D391" s="41" t="s">
        <v>51</v>
      </c>
      <c r="E391" s="41" t="s">
        <v>30</v>
      </c>
      <c r="F391" s="41">
        <v>32906.71</v>
      </c>
      <c r="G391" s="41">
        <v>176494</v>
      </c>
      <c r="H391" s="41">
        <v>39664</v>
      </c>
      <c r="I391" s="41">
        <v>145897.39000000001</v>
      </c>
      <c r="J391" s="41">
        <v>33</v>
      </c>
      <c r="K391" s="42">
        <f t="shared" si="26"/>
        <v>0.22473285210828697</v>
      </c>
      <c r="L391" s="43">
        <f t="shared" si="27"/>
        <v>4.4336668721971906</v>
      </c>
      <c r="M391" s="43">
        <f t="shared" si="28"/>
        <v>3.433666872197191</v>
      </c>
      <c r="N391" s="43">
        <f t="shared" si="29"/>
        <v>3.6783327450584915</v>
      </c>
      <c r="O391" s="1" t="str">
        <f t="shared" si="25"/>
        <v>Normal</v>
      </c>
      <c r="P391" s="51" t="str">
        <f>IF(Table4[[#This Row],[Sales]]&lt;=$B$3,"Normal","High Revenue")</f>
        <v>Normal</v>
      </c>
      <c r="Q391" s="51" t="str">
        <f>IF(Table4[[#This Row],[CTR]]&lt;=$B$4,"Normal","High CTR")</f>
        <v>Normal</v>
      </c>
      <c r="R391" s="51" t="str">
        <f>IF(Table4[[#This Row],[ROAS]]&lt;1,"Poor",IF(Table4[[#This Row],[ROAS]]&lt;3,"Average",IF(Table4[[#This Row],[ROAS]]&lt;5,"Good",
"Excellent")))</f>
        <v>Good</v>
      </c>
      <c r="S391" s="51" t="str">
        <f>IF(AND(Table4[[#This Row],[USD_Spend]]&gt;=$B$5,Table4[[#This Row],[Sales]]&lt;=$B$6),"Wasted Budget","Spend Justified")</f>
        <v>Spend Justified</v>
      </c>
      <c r="T391" s="51" t="str">
        <f>IF(AND(Table4[[#This Row],[Clicks]]&gt;=$B$7,Table4[[#This Row],[Sales]]&lt;=$B$6),"Poor Monetization","Normal Monitization")</f>
        <v>Normal Monitization</v>
      </c>
    </row>
    <row r="392" spans="1:20" x14ac:dyDescent="0.35">
      <c r="A392" s="38" t="s">
        <v>111</v>
      </c>
      <c r="B392" s="38" t="s">
        <v>48</v>
      </c>
      <c r="C392" s="38" t="s">
        <v>20</v>
      </c>
      <c r="D392" s="38" t="s">
        <v>51</v>
      </c>
      <c r="E392" s="38" t="s">
        <v>30</v>
      </c>
      <c r="F392" s="38">
        <v>7056.46</v>
      </c>
      <c r="G392" s="38">
        <v>417000</v>
      </c>
      <c r="H392" s="38">
        <v>27867</v>
      </c>
      <c r="I392" s="38">
        <v>83312.53</v>
      </c>
      <c r="J392" s="38">
        <v>9</v>
      </c>
      <c r="K392" s="39">
        <f t="shared" si="26"/>
        <v>6.68273381294964E-2</v>
      </c>
      <c r="L392" s="40">
        <f t="shared" si="27"/>
        <v>11.806561647058157</v>
      </c>
      <c r="M392" s="40">
        <f t="shared" si="28"/>
        <v>10.806561647058155</v>
      </c>
      <c r="N392" s="40">
        <f t="shared" si="29"/>
        <v>2.9896483295654357</v>
      </c>
      <c r="O392" s="1" t="str">
        <f t="shared" si="25"/>
        <v>Normal</v>
      </c>
      <c r="P392" s="51" t="str">
        <f>IF(Table4[[#This Row],[Sales]]&lt;=$B$3,"Normal","High Revenue")</f>
        <v>Normal</v>
      </c>
      <c r="Q392" s="51" t="str">
        <f>IF(Table4[[#This Row],[CTR]]&lt;=$B$4,"Normal","High CTR")</f>
        <v>Normal</v>
      </c>
      <c r="R392" s="51" t="str">
        <f>IF(Table4[[#This Row],[ROAS]]&lt;1,"Poor",IF(Table4[[#This Row],[ROAS]]&lt;3,"Average",IF(Table4[[#This Row],[ROAS]]&lt;5,"Good",
"Excellent")))</f>
        <v>Excellent</v>
      </c>
      <c r="S392" s="51" t="str">
        <f>IF(AND(Table4[[#This Row],[USD_Spend]]&gt;=$B$5,Table4[[#This Row],[Sales]]&lt;=$B$6),"Wasted Budget","Spend Justified")</f>
        <v>Spend Justified</v>
      </c>
      <c r="T392" s="51" t="str">
        <f>IF(AND(Table4[[#This Row],[Clicks]]&gt;=$B$7,Table4[[#This Row],[Sales]]&lt;=$B$6),"Poor Monetization","Normal Monitization")</f>
        <v>Normal Monitization</v>
      </c>
    </row>
    <row r="393" spans="1:20" x14ac:dyDescent="0.35">
      <c r="A393" s="41" t="s">
        <v>57</v>
      </c>
      <c r="B393" s="41" t="s">
        <v>48</v>
      </c>
      <c r="C393" s="41" t="s">
        <v>69</v>
      </c>
      <c r="D393" s="41" t="s">
        <v>21</v>
      </c>
      <c r="E393" s="41" t="s">
        <v>38</v>
      </c>
      <c r="F393" s="41">
        <v>56121.57</v>
      </c>
      <c r="G393" s="41">
        <v>315605</v>
      </c>
      <c r="H393" s="41">
        <v>48260</v>
      </c>
      <c r="I393" s="41">
        <v>175264.65</v>
      </c>
      <c r="J393" s="41">
        <v>17</v>
      </c>
      <c r="K393" s="42">
        <f t="shared" si="26"/>
        <v>0.15291265981210692</v>
      </c>
      <c r="L393" s="43">
        <f t="shared" si="27"/>
        <v>3.1229463110173148</v>
      </c>
      <c r="M393" s="43">
        <f t="shared" si="28"/>
        <v>2.1229463110173143</v>
      </c>
      <c r="N393" s="43">
        <f t="shared" si="29"/>
        <v>3.6316753004558637</v>
      </c>
      <c r="O393" s="1" t="str">
        <f t="shared" si="25"/>
        <v>High Spend</v>
      </c>
      <c r="P393" s="51" t="str">
        <f>IF(Table4[[#This Row],[Sales]]&lt;=$B$3,"Normal","High Revenue")</f>
        <v>Normal</v>
      </c>
      <c r="Q393" s="51" t="str">
        <f>IF(Table4[[#This Row],[CTR]]&lt;=$B$4,"Normal","High CTR")</f>
        <v>Normal</v>
      </c>
      <c r="R393" s="51" t="str">
        <f>IF(Table4[[#This Row],[ROAS]]&lt;1,"Poor",IF(Table4[[#This Row],[ROAS]]&lt;3,"Average",IF(Table4[[#This Row],[ROAS]]&lt;5,"Good",
"Excellent")))</f>
        <v>Good</v>
      </c>
      <c r="S393" s="51" t="str">
        <f>IF(AND(Table4[[#This Row],[USD_Spend]]&gt;=$B$5,Table4[[#This Row],[Sales]]&lt;=$B$6),"Wasted Budget","Spend Justified")</f>
        <v>Spend Justified</v>
      </c>
      <c r="T393" s="51" t="str">
        <f>IF(AND(Table4[[#This Row],[Clicks]]&gt;=$B$7,Table4[[#This Row],[Sales]]&lt;=$B$6),"Poor Monetization","Normal Monitization")</f>
        <v>Normal Monitization</v>
      </c>
    </row>
    <row r="394" spans="1:20" x14ac:dyDescent="0.35">
      <c r="A394" s="38" t="s">
        <v>113</v>
      </c>
      <c r="B394" s="38" t="s">
        <v>35</v>
      </c>
      <c r="C394" s="38" t="s">
        <v>29</v>
      </c>
      <c r="D394" s="38" t="s">
        <v>21</v>
      </c>
      <c r="E394" s="38" t="s">
        <v>38</v>
      </c>
      <c r="F394" s="38">
        <v>10828.35</v>
      </c>
      <c r="G394" s="38">
        <v>44455</v>
      </c>
      <c r="H394" s="38">
        <v>11691</v>
      </c>
      <c r="I394" s="38">
        <v>141383.29999999999</v>
      </c>
      <c r="J394" s="38">
        <v>60</v>
      </c>
      <c r="K394" s="39">
        <f t="shared" si="26"/>
        <v>0.26298504105274995</v>
      </c>
      <c r="L394" s="40">
        <f t="shared" si="27"/>
        <v>13.056772269089933</v>
      </c>
      <c r="M394" s="40">
        <f t="shared" si="28"/>
        <v>12.056772269089933</v>
      </c>
      <c r="N394" s="40">
        <f t="shared" si="29"/>
        <v>12.093345308356854</v>
      </c>
      <c r="O394" s="1" t="str">
        <f t="shared" ref="O394:O457" si="30">IF(F394&lt;=$B$2,"Normal","High Spend")</f>
        <v>Normal</v>
      </c>
      <c r="P394" s="51" t="str">
        <f>IF(Table4[[#This Row],[Sales]]&lt;=$B$3,"Normal","High Revenue")</f>
        <v>Normal</v>
      </c>
      <c r="Q394" s="51" t="str">
        <f>IF(Table4[[#This Row],[CTR]]&lt;=$B$4,"Normal","High CTR")</f>
        <v>Normal</v>
      </c>
      <c r="R394" s="51" t="str">
        <f>IF(Table4[[#This Row],[ROAS]]&lt;1,"Poor",IF(Table4[[#This Row],[ROAS]]&lt;3,"Average",IF(Table4[[#This Row],[ROAS]]&lt;5,"Good",
"Excellent")))</f>
        <v>Excellent</v>
      </c>
      <c r="S394" s="51" t="str">
        <f>IF(AND(Table4[[#This Row],[USD_Spend]]&gt;=$B$5,Table4[[#This Row],[Sales]]&lt;=$B$6),"Wasted Budget","Spend Justified")</f>
        <v>Spend Justified</v>
      </c>
      <c r="T394" s="51" t="str">
        <f>IF(AND(Table4[[#This Row],[Clicks]]&gt;=$B$7,Table4[[#This Row],[Sales]]&lt;=$B$6),"Poor Monetization","Normal Monitization")</f>
        <v>Normal Monitization</v>
      </c>
    </row>
    <row r="395" spans="1:20" x14ac:dyDescent="0.35">
      <c r="A395" s="41" t="s">
        <v>91</v>
      </c>
      <c r="B395" s="41" t="s">
        <v>19</v>
      </c>
      <c r="C395" s="41" t="s">
        <v>36</v>
      </c>
      <c r="D395" s="41" t="s">
        <v>59</v>
      </c>
      <c r="E395" s="41" t="s">
        <v>30</v>
      </c>
      <c r="F395" s="41">
        <v>27935.02</v>
      </c>
      <c r="G395" s="41">
        <v>205472</v>
      </c>
      <c r="H395" s="41">
        <v>13133</v>
      </c>
      <c r="I395" s="41">
        <v>127659.45</v>
      </c>
      <c r="J395" s="41">
        <v>37</v>
      </c>
      <c r="K395" s="42">
        <f t="shared" ref="K395:K458" si="31">H395/G395</f>
        <v>6.3916251362716087E-2</v>
      </c>
      <c r="L395" s="43">
        <f t="shared" ref="L395:L458" si="32">I395/F395</f>
        <v>4.5698714373571239</v>
      </c>
      <c r="M395" s="43">
        <f t="shared" ref="M395:M458" si="33">(I395-F395)/F395</f>
        <v>3.5698714373571234</v>
      </c>
      <c r="N395" s="43">
        <f t="shared" ref="N395:N458" si="34">I395/H395</f>
        <v>9.7205094037919739</v>
      </c>
      <c r="O395" s="1" t="str">
        <f t="shared" si="30"/>
        <v>Normal</v>
      </c>
      <c r="P395" s="51" t="str">
        <f>IF(Table4[[#This Row],[Sales]]&lt;=$B$3,"Normal","High Revenue")</f>
        <v>Normal</v>
      </c>
      <c r="Q395" s="51" t="str">
        <f>IF(Table4[[#This Row],[CTR]]&lt;=$B$4,"Normal","High CTR")</f>
        <v>Normal</v>
      </c>
      <c r="R395" s="51" t="str">
        <f>IF(Table4[[#This Row],[ROAS]]&lt;1,"Poor",IF(Table4[[#This Row],[ROAS]]&lt;3,"Average",IF(Table4[[#This Row],[ROAS]]&lt;5,"Good",
"Excellent")))</f>
        <v>Good</v>
      </c>
      <c r="S395" s="51" t="str">
        <f>IF(AND(Table4[[#This Row],[USD_Spend]]&gt;=$B$5,Table4[[#This Row],[Sales]]&lt;=$B$6),"Wasted Budget","Spend Justified")</f>
        <v>Spend Justified</v>
      </c>
      <c r="T395" s="51" t="str">
        <f>IF(AND(Table4[[#This Row],[Clicks]]&gt;=$B$7,Table4[[#This Row],[Sales]]&lt;=$B$6),"Poor Monetization","Normal Monitization")</f>
        <v>Normal Monitization</v>
      </c>
    </row>
    <row r="396" spans="1:20" x14ac:dyDescent="0.35">
      <c r="A396" s="38" t="s">
        <v>119</v>
      </c>
      <c r="B396" s="38" t="s">
        <v>35</v>
      </c>
      <c r="C396" s="38" t="s">
        <v>20</v>
      </c>
      <c r="D396" s="38" t="s">
        <v>43</v>
      </c>
      <c r="E396" s="38" t="s">
        <v>38</v>
      </c>
      <c r="F396" s="38">
        <v>5015.26</v>
      </c>
      <c r="G396" s="38">
        <v>685958</v>
      </c>
      <c r="H396" s="38">
        <v>26016</v>
      </c>
      <c r="I396" s="38">
        <v>71455.78</v>
      </c>
      <c r="J396" s="38">
        <v>47</v>
      </c>
      <c r="K396" s="39">
        <f t="shared" si="31"/>
        <v>3.79265202825829E-2</v>
      </c>
      <c r="L396" s="40">
        <f t="shared" si="32"/>
        <v>14.247672104736344</v>
      </c>
      <c r="M396" s="40">
        <f t="shared" si="33"/>
        <v>13.247672104736345</v>
      </c>
      <c r="N396" s="40">
        <f t="shared" si="34"/>
        <v>2.7466090098400984</v>
      </c>
      <c r="O396" s="1" t="str">
        <f t="shared" si="30"/>
        <v>Normal</v>
      </c>
      <c r="P396" s="51" t="str">
        <f>IF(Table4[[#This Row],[Sales]]&lt;=$B$3,"Normal","High Revenue")</f>
        <v>Normal</v>
      </c>
      <c r="Q396" s="51" t="str">
        <f>IF(Table4[[#This Row],[CTR]]&lt;=$B$4,"Normal","High CTR")</f>
        <v>Normal</v>
      </c>
      <c r="R396" s="51" t="str">
        <f>IF(Table4[[#This Row],[ROAS]]&lt;1,"Poor",IF(Table4[[#This Row],[ROAS]]&lt;3,"Average",IF(Table4[[#This Row],[ROAS]]&lt;5,"Good",
"Excellent")))</f>
        <v>Excellent</v>
      </c>
      <c r="S396" s="51" t="str">
        <f>IF(AND(Table4[[#This Row],[USD_Spend]]&gt;=$B$5,Table4[[#This Row],[Sales]]&lt;=$B$6),"Wasted Budget","Spend Justified")</f>
        <v>Spend Justified</v>
      </c>
      <c r="T396" s="51" t="str">
        <f>IF(AND(Table4[[#This Row],[Clicks]]&gt;=$B$7,Table4[[#This Row],[Sales]]&lt;=$B$6),"Poor Monetization","Normal Monitization")</f>
        <v>Normal Monitization</v>
      </c>
    </row>
    <row r="397" spans="1:20" x14ac:dyDescent="0.35">
      <c r="A397" s="41" t="s">
        <v>86</v>
      </c>
      <c r="B397" s="41" t="s">
        <v>28</v>
      </c>
      <c r="C397" s="41" t="s">
        <v>69</v>
      </c>
      <c r="D397" s="41" t="s">
        <v>51</v>
      </c>
      <c r="E397" s="41" t="s">
        <v>22</v>
      </c>
      <c r="F397" s="41">
        <v>36091.79</v>
      </c>
      <c r="G397" s="41">
        <v>854654</v>
      </c>
      <c r="H397" s="41">
        <v>28851</v>
      </c>
      <c r="I397" s="41">
        <v>184631.26</v>
      </c>
      <c r="J397" s="41">
        <v>41</v>
      </c>
      <c r="K397" s="42">
        <f t="shared" si="31"/>
        <v>3.3757520587278593E-2</v>
      </c>
      <c r="L397" s="43">
        <f t="shared" si="32"/>
        <v>5.1156027451118389</v>
      </c>
      <c r="M397" s="43">
        <f t="shared" si="33"/>
        <v>4.115602745111838</v>
      </c>
      <c r="N397" s="43">
        <f t="shared" si="34"/>
        <v>6.3994752348272161</v>
      </c>
      <c r="O397" s="1" t="str">
        <f t="shared" si="30"/>
        <v>Normal</v>
      </c>
      <c r="P397" s="51" t="str">
        <f>IF(Table4[[#This Row],[Sales]]&lt;=$B$3,"Normal","High Revenue")</f>
        <v>Normal</v>
      </c>
      <c r="Q397" s="51" t="str">
        <f>IF(Table4[[#This Row],[CTR]]&lt;=$B$4,"Normal","High CTR")</f>
        <v>Normal</v>
      </c>
      <c r="R397" s="51" t="str">
        <f>IF(Table4[[#This Row],[ROAS]]&lt;1,"Poor",IF(Table4[[#This Row],[ROAS]]&lt;3,"Average",IF(Table4[[#This Row],[ROAS]]&lt;5,"Good",
"Excellent")))</f>
        <v>Excellent</v>
      </c>
      <c r="S397" s="51" t="str">
        <f>IF(AND(Table4[[#This Row],[USD_Spend]]&gt;=$B$5,Table4[[#This Row],[Sales]]&lt;=$B$6),"Wasted Budget","Spend Justified")</f>
        <v>Spend Justified</v>
      </c>
      <c r="T397" s="51" t="str">
        <f>IF(AND(Table4[[#This Row],[Clicks]]&gt;=$B$7,Table4[[#This Row],[Sales]]&lt;=$B$6),"Poor Monetization","Normal Monitization")</f>
        <v>Normal Monitization</v>
      </c>
    </row>
    <row r="398" spans="1:20" x14ac:dyDescent="0.35">
      <c r="A398" s="38" t="s">
        <v>66</v>
      </c>
      <c r="B398" s="38" t="s">
        <v>28</v>
      </c>
      <c r="C398" s="38" t="s">
        <v>69</v>
      </c>
      <c r="D398" s="38" t="s">
        <v>21</v>
      </c>
      <c r="E398" s="38" t="s">
        <v>38</v>
      </c>
      <c r="F398" s="38">
        <v>34712.839999999997</v>
      </c>
      <c r="G398" s="38">
        <v>962575</v>
      </c>
      <c r="H398" s="38">
        <v>43797</v>
      </c>
      <c r="I398" s="38">
        <v>93460.89</v>
      </c>
      <c r="J398" s="38">
        <v>44</v>
      </c>
      <c r="K398" s="39">
        <f t="shared" si="31"/>
        <v>4.549983118198582E-2</v>
      </c>
      <c r="L398" s="40">
        <f t="shared" si="32"/>
        <v>2.692401140327326</v>
      </c>
      <c r="M398" s="40">
        <f t="shared" si="33"/>
        <v>1.6924011403273258</v>
      </c>
      <c r="N398" s="40">
        <f t="shared" si="34"/>
        <v>2.1339564353722857</v>
      </c>
      <c r="O398" s="1" t="str">
        <f t="shared" si="30"/>
        <v>Normal</v>
      </c>
      <c r="P398" s="51" t="str">
        <f>IF(Table4[[#This Row],[Sales]]&lt;=$B$3,"Normal","High Revenue")</f>
        <v>Normal</v>
      </c>
      <c r="Q398" s="51" t="str">
        <f>IF(Table4[[#This Row],[CTR]]&lt;=$B$4,"Normal","High CTR")</f>
        <v>Normal</v>
      </c>
      <c r="R398" s="51" t="str">
        <f>IF(Table4[[#This Row],[ROAS]]&lt;1,"Poor",IF(Table4[[#This Row],[ROAS]]&lt;3,"Average",IF(Table4[[#This Row],[ROAS]]&lt;5,"Good",
"Excellent")))</f>
        <v>Average</v>
      </c>
      <c r="S398" s="51" t="str">
        <f>IF(AND(Table4[[#This Row],[USD_Spend]]&gt;=$B$5,Table4[[#This Row],[Sales]]&lt;=$B$6),"Wasted Budget","Spend Justified")</f>
        <v>Spend Justified</v>
      </c>
      <c r="T398" s="51" t="str">
        <f>IF(AND(Table4[[#This Row],[Clicks]]&gt;=$B$7,Table4[[#This Row],[Sales]]&lt;=$B$6),"Poor Monetization","Normal Monitization")</f>
        <v>Normal Monitization</v>
      </c>
    </row>
    <row r="399" spans="1:20" x14ac:dyDescent="0.35">
      <c r="A399" s="41" t="s">
        <v>18</v>
      </c>
      <c r="B399" s="41" t="s">
        <v>28</v>
      </c>
      <c r="C399" s="41" t="s">
        <v>20</v>
      </c>
      <c r="D399" s="41" t="s">
        <v>59</v>
      </c>
      <c r="E399" s="41" t="s">
        <v>30</v>
      </c>
      <c r="F399" s="41">
        <v>4764.04</v>
      </c>
      <c r="G399" s="41">
        <v>868835</v>
      </c>
      <c r="H399" s="41">
        <v>25494</v>
      </c>
      <c r="I399" s="41">
        <v>51518.02</v>
      </c>
      <c r="J399" s="41">
        <v>52</v>
      </c>
      <c r="K399" s="42">
        <f t="shared" si="31"/>
        <v>2.9342740566390628E-2</v>
      </c>
      <c r="L399" s="43">
        <f t="shared" si="32"/>
        <v>10.813935231442221</v>
      </c>
      <c r="M399" s="43">
        <f t="shared" si="33"/>
        <v>9.8139352314422208</v>
      </c>
      <c r="N399" s="43">
        <f t="shared" si="34"/>
        <v>2.0207899898015218</v>
      </c>
      <c r="O399" s="1" t="str">
        <f t="shared" si="30"/>
        <v>Normal</v>
      </c>
      <c r="P399" s="51" t="str">
        <f>IF(Table4[[#This Row],[Sales]]&lt;=$B$3,"Normal","High Revenue")</f>
        <v>Normal</v>
      </c>
      <c r="Q399" s="51" t="str">
        <f>IF(Table4[[#This Row],[CTR]]&lt;=$B$4,"Normal","High CTR")</f>
        <v>Normal</v>
      </c>
      <c r="R399" s="51" t="str">
        <f>IF(Table4[[#This Row],[ROAS]]&lt;1,"Poor",IF(Table4[[#This Row],[ROAS]]&lt;3,"Average",IF(Table4[[#This Row],[ROAS]]&lt;5,"Good",
"Excellent")))</f>
        <v>Excellent</v>
      </c>
      <c r="S399" s="51" t="str">
        <f>IF(AND(Table4[[#This Row],[USD_Spend]]&gt;=$B$5,Table4[[#This Row],[Sales]]&lt;=$B$6),"Wasted Budget","Spend Justified")</f>
        <v>Wasted Budget</v>
      </c>
      <c r="T399" s="51" t="str">
        <f>IF(AND(Table4[[#This Row],[Clicks]]&gt;=$B$7,Table4[[#This Row],[Sales]]&lt;=$B$6),"Poor Monetization","Normal Monitization")</f>
        <v>Normal Monitization</v>
      </c>
    </row>
    <row r="400" spans="1:20" x14ac:dyDescent="0.35">
      <c r="A400" s="38" t="s">
        <v>68</v>
      </c>
      <c r="B400" s="38" t="s">
        <v>48</v>
      </c>
      <c r="C400" s="38" t="s">
        <v>58</v>
      </c>
      <c r="D400" s="38" t="s">
        <v>63</v>
      </c>
      <c r="E400" s="38" t="s">
        <v>38</v>
      </c>
      <c r="F400" s="38">
        <v>3921.47</v>
      </c>
      <c r="G400" s="38">
        <v>331384</v>
      </c>
      <c r="H400" s="38">
        <v>29323</v>
      </c>
      <c r="I400" s="38">
        <v>152642.29999999999</v>
      </c>
      <c r="J400" s="38">
        <v>12</v>
      </c>
      <c r="K400" s="39">
        <f t="shared" si="31"/>
        <v>8.8486468869951471E-2</v>
      </c>
      <c r="L400" s="40">
        <f t="shared" si="32"/>
        <v>38.924765457851265</v>
      </c>
      <c r="M400" s="40">
        <f t="shared" si="33"/>
        <v>37.924765457851265</v>
      </c>
      <c r="N400" s="40">
        <f t="shared" si="34"/>
        <v>5.2055485455103501</v>
      </c>
      <c r="O400" s="1" t="str">
        <f t="shared" si="30"/>
        <v>Normal</v>
      </c>
      <c r="P400" s="51" t="str">
        <f>IF(Table4[[#This Row],[Sales]]&lt;=$B$3,"Normal","High Revenue")</f>
        <v>Normal</v>
      </c>
      <c r="Q400" s="51" t="str">
        <f>IF(Table4[[#This Row],[CTR]]&lt;=$B$4,"Normal","High CTR")</f>
        <v>Normal</v>
      </c>
      <c r="R400" s="51" t="str">
        <f>IF(Table4[[#This Row],[ROAS]]&lt;1,"Poor",IF(Table4[[#This Row],[ROAS]]&lt;3,"Average",IF(Table4[[#This Row],[ROAS]]&lt;5,"Good",
"Excellent")))</f>
        <v>Excellent</v>
      </c>
      <c r="S400" s="51" t="str">
        <f>IF(AND(Table4[[#This Row],[USD_Spend]]&gt;=$B$5,Table4[[#This Row],[Sales]]&lt;=$B$6),"Wasted Budget","Spend Justified")</f>
        <v>Spend Justified</v>
      </c>
      <c r="T400" s="51" t="str">
        <f>IF(AND(Table4[[#This Row],[Clicks]]&gt;=$B$7,Table4[[#This Row],[Sales]]&lt;=$B$6),"Poor Monetization","Normal Monitization")</f>
        <v>Normal Monitization</v>
      </c>
    </row>
    <row r="401" spans="1:20" x14ac:dyDescent="0.35">
      <c r="A401" s="41" t="s">
        <v>97</v>
      </c>
      <c r="B401" s="41" t="s">
        <v>35</v>
      </c>
      <c r="C401" s="41" t="s">
        <v>29</v>
      </c>
      <c r="D401" s="41" t="s">
        <v>51</v>
      </c>
      <c r="E401" s="41" t="s">
        <v>38</v>
      </c>
      <c r="F401" s="41">
        <v>9841.99</v>
      </c>
      <c r="G401" s="41">
        <v>33205</v>
      </c>
      <c r="H401" s="41">
        <v>12285</v>
      </c>
      <c r="I401" s="41">
        <v>243221.49</v>
      </c>
      <c r="J401" s="41">
        <v>7</v>
      </c>
      <c r="K401" s="42">
        <f t="shared" si="31"/>
        <v>0.36997440144556543</v>
      </c>
      <c r="L401" s="43">
        <f t="shared" si="32"/>
        <v>24.712633319074698</v>
      </c>
      <c r="M401" s="43">
        <f t="shared" si="33"/>
        <v>23.712633319074701</v>
      </c>
      <c r="N401" s="43">
        <f t="shared" si="34"/>
        <v>19.798249084249083</v>
      </c>
      <c r="O401" s="1" t="str">
        <f t="shared" si="30"/>
        <v>Normal</v>
      </c>
      <c r="P401" s="51" t="str">
        <f>IF(Table4[[#This Row],[Sales]]&lt;=$B$3,"Normal","High Revenue")</f>
        <v>High Revenue</v>
      </c>
      <c r="Q401" s="51" t="str">
        <f>IF(Table4[[#This Row],[CTR]]&lt;=$B$4,"Normal","High CTR")</f>
        <v>Normal</v>
      </c>
      <c r="R401" s="51" t="str">
        <f>IF(Table4[[#This Row],[ROAS]]&lt;1,"Poor",IF(Table4[[#This Row],[ROAS]]&lt;3,"Average",IF(Table4[[#This Row],[ROAS]]&lt;5,"Good",
"Excellent")))</f>
        <v>Excellent</v>
      </c>
      <c r="S401" s="51" t="str">
        <f>IF(AND(Table4[[#This Row],[USD_Spend]]&gt;=$B$5,Table4[[#This Row],[Sales]]&lt;=$B$6),"Wasted Budget","Spend Justified")</f>
        <v>Spend Justified</v>
      </c>
      <c r="T401" s="51" t="str">
        <f>IF(AND(Table4[[#This Row],[Clicks]]&gt;=$B$7,Table4[[#This Row],[Sales]]&lt;=$B$6),"Poor Monetization","Normal Monitization")</f>
        <v>Normal Monitization</v>
      </c>
    </row>
    <row r="402" spans="1:20" x14ac:dyDescent="0.35">
      <c r="A402" s="38" t="s">
        <v>91</v>
      </c>
      <c r="B402" s="38" t="s">
        <v>28</v>
      </c>
      <c r="C402" s="38" t="s">
        <v>69</v>
      </c>
      <c r="D402" s="38" t="s">
        <v>37</v>
      </c>
      <c r="E402" s="38" t="s">
        <v>38</v>
      </c>
      <c r="F402" s="38">
        <v>14621.44</v>
      </c>
      <c r="G402" s="38">
        <v>302477</v>
      </c>
      <c r="H402" s="38">
        <v>29643</v>
      </c>
      <c r="I402" s="38">
        <v>64746.54</v>
      </c>
      <c r="J402" s="38">
        <v>60</v>
      </c>
      <c r="K402" s="39">
        <f t="shared" si="31"/>
        <v>9.800083973326898E-2</v>
      </c>
      <c r="L402" s="40">
        <f t="shared" si="32"/>
        <v>4.4281917512912541</v>
      </c>
      <c r="M402" s="40">
        <f t="shared" si="33"/>
        <v>3.4281917512912541</v>
      </c>
      <c r="N402" s="40">
        <f t="shared" si="34"/>
        <v>2.1842101001922885</v>
      </c>
      <c r="O402" s="1" t="str">
        <f t="shared" si="30"/>
        <v>Normal</v>
      </c>
      <c r="P402" s="51" t="str">
        <f>IF(Table4[[#This Row],[Sales]]&lt;=$B$3,"Normal","High Revenue")</f>
        <v>Normal</v>
      </c>
      <c r="Q402" s="51" t="str">
        <f>IF(Table4[[#This Row],[CTR]]&lt;=$B$4,"Normal","High CTR")</f>
        <v>Normal</v>
      </c>
      <c r="R402" s="51" t="str">
        <f>IF(Table4[[#This Row],[ROAS]]&lt;1,"Poor",IF(Table4[[#This Row],[ROAS]]&lt;3,"Average",IF(Table4[[#This Row],[ROAS]]&lt;5,"Good",
"Excellent")))</f>
        <v>Good</v>
      </c>
      <c r="S402" s="51" t="str">
        <f>IF(AND(Table4[[#This Row],[USD_Spend]]&gt;=$B$5,Table4[[#This Row],[Sales]]&lt;=$B$6),"Wasted Budget","Spend Justified")</f>
        <v>Wasted Budget</v>
      </c>
      <c r="T402" s="51" t="str">
        <f>IF(AND(Table4[[#This Row],[Clicks]]&gt;=$B$7,Table4[[#This Row],[Sales]]&lt;=$B$6),"Poor Monetization","Normal Monitization")</f>
        <v>Normal Monitization</v>
      </c>
    </row>
    <row r="403" spans="1:20" x14ac:dyDescent="0.35">
      <c r="A403" s="41" t="s">
        <v>57</v>
      </c>
      <c r="B403" s="41" t="s">
        <v>35</v>
      </c>
      <c r="C403" s="41" t="s">
        <v>29</v>
      </c>
      <c r="D403" s="41" t="s">
        <v>43</v>
      </c>
      <c r="E403" s="41" t="s">
        <v>38</v>
      </c>
      <c r="F403" s="41">
        <v>3421.62</v>
      </c>
      <c r="G403" s="41">
        <v>734423</v>
      </c>
      <c r="H403" s="41">
        <v>44344</v>
      </c>
      <c r="I403" s="41">
        <v>55447.54</v>
      </c>
      <c r="J403" s="41">
        <v>42</v>
      </c>
      <c r="K403" s="42">
        <f t="shared" si="31"/>
        <v>6.0379372650366345E-2</v>
      </c>
      <c r="L403" s="43">
        <f t="shared" si="32"/>
        <v>16.205054915507858</v>
      </c>
      <c r="M403" s="43">
        <f t="shared" si="33"/>
        <v>15.205054915507858</v>
      </c>
      <c r="N403" s="43">
        <f t="shared" si="34"/>
        <v>1.2503955439292802</v>
      </c>
      <c r="O403" s="1" t="str">
        <f t="shared" si="30"/>
        <v>Normal</v>
      </c>
      <c r="P403" s="51" t="str">
        <f>IF(Table4[[#This Row],[Sales]]&lt;=$B$3,"Normal","High Revenue")</f>
        <v>Normal</v>
      </c>
      <c r="Q403" s="51" t="str">
        <f>IF(Table4[[#This Row],[CTR]]&lt;=$B$4,"Normal","High CTR")</f>
        <v>Normal</v>
      </c>
      <c r="R403" s="51" t="str">
        <f>IF(Table4[[#This Row],[ROAS]]&lt;1,"Poor",IF(Table4[[#This Row],[ROAS]]&lt;3,"Average",IF(Table4[[#This Row],[ROAS]]&lt;5,"Good",
"Excellent")))</f>
        <v>Excellent</v>
      </c>
      <c r="S403" s="51" t="str">
        <f>IF(AND(Table4[[#This Row],[USD_Spend]]&gt;=$B$5,Table4[[#This Row],[Sales]]&lt;=$B$6),"Wasted Budget","Spend Justified")</f>
        <v>Spend Justified</v>
      </c>
      <c r="T403" s="51" t="str">
        <f>IF(AND(Table4[[#This Row],[Clicks]]&gt;=$B$7,Table4[[#This Row],[Sales]]&lt;=$B$6),"Poor Monetization","Normal Monitization")</f>
        <v>Poor Monetization</v>
      </c>
    </row>
    <row r="404" spans="1:20" x14ac:dyDescent="0.35">
      <c r="A404" s="38" t="s">
        <v>98</v>
      </c>
      <c r="B404" s="38" t="s">
        <v>35</v>
      </c>
      <c r="C404" s="38" t="s">
        <v>58</v>
      </c>
      <c r="D404" s="38" t="s">
        <v>59</v>
      </c>
      <c r="E404" s="38" t="s">
        <v>22</v>
      </c>
      <c r="F404" s="38">
        <v>44353.75</v>
      </c>
      <c r="G404" s="38">
        <v>805284</v>
      </c>
      <c r="H404" s="38">
        <v>28105</v>
      </c>
      <c r="I404" s="38">
        <v>211610.86</v>
      </c>
      <c r="J404" s="38">
        <v>29</v>
      </c>
      <c r="K404" s="39">
        <f t="shared" si="31"/>
        <v>3.49007306738989E-2</v>
      </c>
      <c r="L404" s="40">
        <f t="shared" si="32"/>
        <v>4.7709801313304956</v>
      </c>
      <c r="M404" s="40">
        <f t="shared" si="33"/>
        <v>3.770980131330496</v>
      </c>
      <c r="N404" s="40">
        <f t="shared" si="34"/>
        <v>7.5292958548301012</v>
      </c>
      <c r="O404" s="1" t="str">
        <f t="shared" si="30"/>
        <v>High Spend</v>
      </c>
      <c r="P404" s="51" t="str">
        <f>IF(Table4[[#This Row],[Sales]]&lt;=$B$3,"Normal","High Revenue")</f>
        <v>Normal</v>
      </c>
      <c r="Q404" s="51" t="str">
        <f>IF(Table4[[#This Row],[CTR]]&lt;=$B$4,"Normal","High CTR")</f>
        <v>Normal</v>
      </c>
      <c r="R404" s="51" t="str">
        <f>IF(Table4[[#This Row],[ROAS]]&lt;1,"Poor",IF(Table4[[#This Row],[ROAS]]&lt;3,"Average",IF(Table4[[#This Row],[ROAS]]&lt;5,"Good",
"Excellent")))</f>
        <v>Good</v>
      </c>
      <c r="S404" s="51" t="str">
        <f>IF(AND(Table4[[#This Row],[USD_Spend]]&gt;=$B$5,Table4[[#This Row],[Sales]]&lt;=$B$6),"Wasted Budget","Spend Justified")</f>
        <v>Spend Justified</v>
      </c>
      <c r="T404" s="51" t="str">
        <f>IF(AND(Table4[[#This Row],[Clicks]]&gt;=$B$7,Table4[[#This Row],[Sales]]&lt;=$B$6),"Poor Monetization","Normal Monitization")</f>
        <v>Normal Monitization</v>
      </c>
    </row>
    <row r="405" spans="1:20" x14ac:dyDescent="0.35">
      <c r="A405" s="41" t="s">
        <v>94</v>
      </c>
      <c r="B405" s="41" t="s">
        <v>28</v>
      </c>
      <c r="C405" s="41" t="s">
        <v>69</v>
      </c>
      <c r="D405" s="41" t="s">
        <v>21</v>
      </c>
      <c r="E405" s="41" t="s">
        <v>30</v>
      </c>
      <c r="F405" s="41">
        <v>3122.76</v>
      </c>
      <c r="G405" s="41">
        <v>332998</v>
      </c>
      <c r="H405" s="41">
        <v>26694</v>
      </c>
      <c r="I405" s="41">
        <v>22053.87</v>
      </c>
      <c r="J405" s="41">
        <v>41</v>
      </c>
      <c r="K405" s="42">
        <f t="shared" si="31"/>
        <v>8.0162643619481194E-2</v>
      </c>
      <c r="L405" s="43">
        <f t="shared" si="32"/>
        <v>7.0623006571110167</v>
      </c>
      <c r="M405" s="43">
        <f t="shared" si="33"/>
        <v>6.0623006571110167</v>
      </c>
      <c r="N405" s="43">
        <f t="shared" si="34"/>
        <v>0.82617329737019551</v>
      </c>
      <c r="O405" s="1" t="str">
        <f t="shared" si="30"/>
        <v>Normal</v>
      </c>
      <c r="P405" s="51" t="str">
        <f>IF(Table4[[#This Row],[Sales]]&lt;=$B$3,"Normal","High Revenue")</f>
        <v>Normal</v>
      </c>
      <c r="Q405" s="51" t="str">
        <f>IF(Table4[[#This Row],[CTR]]&lt;=$B$4,"Normal","High CTR")</f>
        <v>Normal</v>
      </c>
      <c r="R405" s="51" t="str">
        <f>IF(Table4[[#This Row],[ROAS]]&lt;1,"Poor",IF(Table4[[#This Row],[ROAS]]&lt;3,"Average",IF(Table4[[#This Row],[ROAS]]&lt;5,"Good",
"Excellent")))</f>
        <v>Excellent</v>
      </c>
      <c r="S405" s="51" t="str">
        <f>IF(AND(Table4[[#This Row],[USD_Spend]]&gt;=$B$5,Table4[[#This Row],[Sales]]&lt;=$B$6),"Wasted Budget","Spend Justified")</f>
        <v>Spend Justified</v>
      </c>
      <c r="T405" s="51" t="str">
        <f>IF(AND(Table4[[#This Row],[Clicks]]&gt;=$B$7,Table4[[#This Row],[Sales]]&lt;=$B$6),"Poor Monetization","Normal Monitization")</f>
        <v>Normal Monitization</v>
      </c>
    </row>
    <row r="406" spans="1:20" x14ac:dyDescent="0.35">
      <c r="A406" s="38" t="s">
        <v>67</v>
      </c>
      <c r="B406" s="38" t="s">
        <v>28</v>
      </c>
      <c r="C406" s="38" t="s">
        <v>29</v>
      </c>
      <c r="D406" s="38" t="s">
        <v>21</v>
      </c>
      <c r="E406" s="38" t="s">
        <v>38</v>
      </c>
      <c r="F406" s="38">
        <v>22117.4</v>
      </c>
      <c r="G406" s="38">
        <v>81551</v>
      </c>
      <c r="H406" s="38">
        <v>5509</v>
      </c>
      <c r="I406" s="38">
        <v>139364.99</v>
      </c>
      <c r="J406" s="38">
        <v>48</v>
      </c>
      <c r="K406" s="39">
        <f t="shared" si="31"/>
        <v>6.755281970791284E-2</v>
      </c>
      <c r="L406" s="40">
        <f t="shared" si="32"/>
        <v>6.3011470606852518</v>
      </c>
      <c r="M406" s="40">
        <f t="shared" si="33"/>
        <v>5.3011470606852518</v>
      </c>
      <c r="N406" s="40">
        <f t="shared" si="34"/>
        <v>25.297692866218913</v>
      </c>
      <c r="O406" s="1" t="str">
        <f t="shared" si="30"/>
        <v>Normal</v>
      </c>
      <c r="P406" s="51" t="str">
        <f>IF(Table4[[#This Row],[Sales]]&lt;=$B$3,"Normal","High Revenue")</f>
        <v>Normal</v>
      </c>
      <c r="Q406" s="51" t="str">
        <f>IF(Table4[[#This Row],[CTR]]&lt;=$B$4,"Normal","High CTR")</f>
        <v>Normal</v>
      </c>
      <c r="R406" s="51" t="str">
        <f>IF(Table4[[#This Row],[ROAS]]&lt;1,"Poor",IF(Table4[[#This Row],[ROAS]]&lt;3,"Average",IF(Table4[[#This Row],[ROAS]]&lt;5,"Good",
"Excellent")))</f>
        <v>Excellent</v>
      </c>
      <c r="S406" s="51" t="str">
        <f>IF(AND(Table4[[#This Row],[USD_Spend]]&gt;=$B$5,Table4[[#This Row],[Sales]]&lt;=$B$6),"Wasted Budget","Spend Justified")</f>
        <v>Spend Justified</v>
      </c>
      <c r="T406" s="51" t="str">
        <f>IF(AND(Table4[[#This Row],[Clicks]]&gt;=$B$7,Table4[[#This Row],[Sales]]&lt;=$B$6),"Poor Monetization","Normal Monitization")</f>
        <v>Normal Monitization</v>
      </c>
    </row>
    <row r="407" spans="1:20" x14ac:dyDescent="0.35">
      <c r="A407" s="41" t="s">
        <v>105</v>
      </c>
      <c r="B407" s="41" t="s">
        <v>28</v>
      </c>
      <c r="C407" s="41" t="s">
        <v>69</v>
      </c>
      <c r="D407" s="41" t="s">
        <v>63</v>
      </c>
      <c r="E407" s="41" t="s">
        <v>30</v>
      </c>
      <c r="F407" s="41">
        <v>3817.55</v>
      </c>
      <c r="G407" s="41">
        <v>597354</v>
      </c>
      <c r="H407" s="41">
        <v>25871</v>
      </c>
      <c r="I407" s="41">
        <v>97440.84</v>
      </c>
      <c r="J407" s="41">
        <v>25</v>
      </c>
      <c r="K407" s="42">
        <f t="shared" si="31"/>
        <v>4.3309327467464853E-2</v>
      </c>
      <c r="L407" s="43">
        <f t="shared" si="32"/>
        <v>25.524443687705464</v>
      </c>
      <c r="M407" s="43">
        <f t="shared" si="33"/>
        <v>24.524443687705464</v>
      </c>
      <c r="N407" s="43">
        <f t="shared" si="34"/>
        <v>3.7664118124540988</v>
      </c>
      <c r="O407" s="1" t="str">
        <f t="shared" si="30"/>
        <v>Normal</v>
      </c>
      <c r="P407" s="51" t="str">
        <f>IF(Table4[[#This Row],[Sales]]&lt;=$B$3,"Normal","High Revenue")</f>
        <v>Normal</v>
      </c>
      <c r="Q407" s="51" t="str">
        <f>IF(Table4[[#This Row],[CTR]]&lt;=$B$4,"Normal","High CTR")</f>
        <v>Normal</v>
      </c>
      <c r="R407" s="51" t="str">
        <f>IF(Table4[[#This Row],[ROAS]]&lt;1,"Poor",IF(Table4[[#This Row],[ROAS]]&lt;3,"Average",IF(Table4[[#This Row],[ROAS]]&lt;5,"Good",
"Excellent")))</f>
        <v>Excellent</v>
      </c>
      <c r="S407" s="51" t="str">
        <f>IF(AND(Table4[[#This Row],[USD_Spend]]&gt;=$B$5,Table4[[#This Row],[Sales]]&lt;=$B$6),"Wasted Budget","Spend Justified")</f>
        <v>Spend Justified</v>
      </c>
      <c r="T407" s="51" t="str">
        <f>IF(AND(Table4[[#This Row],[Clicks]]&gt;=$B$7,Table4[[#This Row],[Sales]]&lt;=$B$6),"Poor Monetization","Normal Monitization")</f>
        <v>Normal Monitization</v>
      </c>
    </row>
    <row r="408" spans="1:20" x14ac:dyDescent="0.35">
      <c r="A408" s="38" t="s">
        <v>42</v>
      </c>
      <c r="B408" s="38" t="s">
        <v>19</v>
      </c>
      <c r="C408" s="38" t="s">
        <v>69</v>
      </c>
      <c r="D408" s="38" t="s">
        <v>59</v>
      </c>
      <c r="E408" s="38" t="s">
        <v>22</v>
      </c>
      <c r="F408" s="38">
        <v>17584.29</v>
      </c>
      <c r="G408" s="38">
        <v>137916</v>
      </c>
      <c r="H408" s="38">
        <v>25932</v>
      </c>
      <c r="I408" s="38">
        <v>96521.79</v>
      </c>
      <c r="J408" s="38">
        <v>7</v>
      </c>
      <c r="K408" s="39">
        <f t="shared" si="31"/>
        <v>0.18802749499695467</v>
      </c>
      <c r="L408" s="40">
        <f t="shared" si="32"/>
        <v>5.4890922522319636</v>
      </c>
      <c r="M408" s="40">
        <f t="shared" si="33"/>
        <v>4.4890922522319636</v>
      </c>
      <c r="N408" s="40">
        <f t="shared" si="34"/>
        <v>3.7221112910689493</v>
      </c>
      <c r="O408" s="1" t="str">
        <f t="shared" si="30"/>
        <v>Normal</v>
      </c>
      <c r="P408" s="51" t="str">
        <f>IF(Table4[[#This Row],[Sales]]&lt;=$B$3,"Normal","High Revenue")</f>
        <v>Normal</v>
      </c>
      <c r="Q408" s="51" t="str">
        <f>IF(Table4[[#This Row],[CTR]]&lt;=$B$4,"Normal","High CTR")</f>
        <v>Normal</v>
      </c>
      <c r="R408" s="51" t="str">
        <f>IF(Table4[[#This Row],[ROAS]]&lt;1,"Poor",IF(Table4[[#This Row],[ROAS]]&lt;3,"Average",IF(Table4[[#This Row],[ROAS]]&lt;5,"Good",
"Excellent")))</f>
        <v>Excellent</v>
      </c>
      <c r="S408" s="51" t="str">
        <f>IF(AND(Table4[[#This Row],[USD_Spend]]&gt;=$B$5,Table4[[#This Row],[Sales]]&lt;=$B$6),"Wasted Budget","Spend Justified")</f>
        <v>Spend Justified</v>
      </c>
      <c r="T408" s="51" t="str">
        <f>IF(AND(Table4[[#This Row],[Clicks]]&gt;=$B$7,Table4[[#This Row],[Sales]]&lt;=$B$6),"Poor Monetization","Normal Monitization")</f>
        <v>Normal Monitization</v>
      </c>
    </row>
    <row r="409" spans="1:20" x14ac:dyDescent="0.35">
      <c r="A409" s="41" t="s">
        <v>27</v>
      </c>
      <c r="B409" s="41" t="s">
        <v>35</v>
      </c>
      <c r="C409" s="41" t="s">
        <v>69</v>
      </c>
      <c r="D409" s="41" t="s">
        <v>63</v>
      </c>
      <c r="E409" s="41" t="s">
        <v>22</v>
      </c>
      <c r="F409" s="41">
        <v>24226.52</v>
      </c>
      <c r="G409" s="41">
        <v>591028</v>
      </c>
      <c r="H409" s="41">
        <v>47419</v>
      </c>
      <c r="I409" s="41">
        <v>231765.53</v>
      </c>
      <c r="J409" s="41">
        <v>19</v>
      </c>
      <c r="K409" s="42">
        <f t="shared" si="31"/>
        <v>8.0231393436520776E-2</v>
      </c>
      <c r="L409" s="43">
        <f t="shared" si="32"/>
        <v>9.5666042832400198</v>
      </c>
      <c r="M409" s="43">
        <f t="shared" si="33"/>
        <v>8.5666042832400198</v>
      </c>
      <c r="N409" s="43">
        <f t="shared" si="34"/>
        <v>4.8876089753052572</v>
      </c>
      <c r="O409" s="1" t="str">
        <f t="shared" si="30"/>
        <v>Normal</v>
      </c>
      <c r="P409" s="51" t="str">
        <f>IF(Table4[[#This Row],[Sales]]&lt;=$B$3,"Normal","High Revenue")</f>
        <v>Normal</v>
      </c>
      <c r="Q409" s="51" t="str">
        <f>IF(Table4[[#This Row],[CTR]]&lt;=$B$4,"Normal","High CTR")</f>
        <v>Normal</v>
      </c>
      <c r="R409" s="51" t="str">
        <f>IF(Table4[[#This Row],[ROAS]]&lt;1,"Poor",IF(Table4[[#This Row],[ROAS]]&lt;3,"Average",IF(Table4[[#This Row],[ROAS]]&lt;5,"Good",
"Excellent")))</f>
        <v>Excellent</v>
      </c>
      <c r="S409" s="51" t="str">
        <f>IF(AND(Table4[[#This Row],[USD_Spend]]&gt;=$B$5,Table4[[#This Row],[Sales]]&lt;=$B$6),"Wasted Budget","Spend Justified")</f>
        <v>Spend Justified</v>
      </c>
      <c r="T409" s="51" t="str">
        <f>IF(AND(Table4[[#This Row],[Clicks]]&gt;=$B$7,Table4[[#This Row],[Sales]]&lt;=$B$6),"Poor Monetization","Normal Monitization")</f>
        <v>Normal Monitization</v>
      </c>
    </row>
    <row r="410" spans="1:20" x14ac:dyDescent="0.35">
      <c r="A410" s="38" t="s">
        <v>86</v>
      </c>
      <c r="B410" s="38" t="s">
        <v>35</v>
      </c>
      <c r="C410" s="38" t="s">
        <v>29</v>
      </c>
      <c r="D410" s="38" t="s">
        <v>63</v>
      </c>
      <c r="E410" s="38" t="s">
        <v>22</v>
      </c>
      <c r="F410" s="38">
        <v>5914.45</v>
      </c>
      <c r="G410" s="38">
        <v>813398</v>
      </c>
      <c r="H410" s="38">
        <v>43287</v>
      </c>
      <c r="I410" s="38">
        <v>187660.91</v>
      </c>
      <c r="J410" s="38">
        <v>35</v>
      </c>
      <c r="K410" s="39">
        <f t="shared" si="31"/>
        <v>5.3217490084804732E-2</v>
      </c>
      <c r="L410" s="40">
        <f t="shared" si="32"/>
        <v>31.729224188216996</v>
      </c>
      <c r="M410" s="40">
        <f t="shared" si="33"/>
        <v>30.729224188216993</v>
      </c>
      <c r="N410" s="40">
        <f t="shared" si="34"/>
        <v>4.3352717906068801</v>
      </c>
      <c r="O410" s="1" t="str">
        <f t="shared" si="30"/>
        <v>Normal</v>
      </c>
      <c r="P410" s="51" t="str">
        <f>IF(Table4[[#This Row],[Sales]]&lt;=$B$3,"Normal","High Revenue")</f>
        <v>Normal</v>
      </c>
      <c r="Q410" s="51" t="str">
        <f>IF(Table4[[#This Row],[CTR]]&lt;=$B$4,"Normal","High CTR")</f>
        <v>Normal</v>
      </c>
      <c r="R410" s="51" t="str">
        <f>IF(Table4[[#This Row],[ROAS]]&lt;1,"Poor",IF(Table4[[#This Row],[ROAS]]&lt;3,"Average",IF(Table4[[#This Row],[ROAS]]&lt;5,"Good",
"Excellent")))</f>
        <v>Excellent</v>
      </c>
      <c r="S410" s="51" t="str">
        <f>IF(AND(Table4[[#This Row],[USD_Spend]]&gt;=$B$5,Table4[[#This Row],[Sales]]&lt;=$B$6),"Wasted Budget","Spend Justified")</f>
        <v>Spend Justified</v>
      </c>
      <c r="T410" s="51" t="str">
        <f>IF(AND(Table4[[#This Row],[Clicks]]&gt;=$B$7,Table4[[#This Row],[Sales]]&lt;=$B$6),"Poor Monetization","Normal Monitization")</f>
        <v>Normal Monitization</v>
      </c>
    </row>
    <row r="411" spans="1:20" x14ac:dyDescent="0.35">
      <c r="A411" s="41" t="s">
        <v>87</v>
      </c>
      <c r="B411" s="41" t="s">
        <v>35</v>
      </c>
      <c r="C411" s="41" t="s">
        <v>36</v>
      </c>
      <c r="D411" s="41" t="s">
        <v>21</v>
      </c>
      <c r="E411" s="41" t="s">
        <v>38</v>
      </c>
      <c r="F411" s="41">
        <v>6143.28</v>
      </c>
      <c r="G411" s="41">
        <v>462762</v>
      </c>
      <c r="H411" s="41">
        <v>27342</v>
      </c>
      <c r="I411" s="41">
        <v>212910.98</v>
      </c>
      <c r="J411" s="41">
        <v>6</v>
      </c>
      <c r="K411" s="42">
        <f t="shared" si="31"/>
        <v>5.9084367342175891E-2</v>
      </c>
      <c r="L411" s="43">
        <f t="shared" si="32"/>
        <v>34.657541248323376</v>
      </c>
      <c r="M411" s="43">
        <f t="shared" si="33"/>
        <v>33.657541248323376</v>
      </c>
      <c r="N411" s="43">
        <f t="shared" si="34"/>
        <v>7.7869570623948512</v>
      </c>
      <c r="O411" s="1" t="str">
        <f t="shared" si="30"/>
        <v>Normal</v>
      </c>
      <c r="P411" s="51" t="str">
        <f>IF(Table4[[#This Row],[Sales]]&lt;=$B$3,"Normal","High Revenue")</f>
        <v>Normal</v>
      </c>
      <c r="Q411" s="51" t="str">
        <f>IF(Table4[[#This Row],[CTR]]&lt;=$B$4,"Normal","High CTR")</f>
        <v>Normal</v>
      </c>
      <c r="R411" s="51" t="str">
        <f>IF(Table4[[#This Row],[ROAS]]&lt;1,"Poor",IF(Table4[[#This Row],[ROAS]]&lt;3,"Average",IF(Table4[[#This Row],[ROAS]]&lt;5,"Good",
"Excellent")))</f>
        <v>Excellent</v>
      </c>
      <c r="S411" s="51" t="str">
        <f>IF(AND(Table4[[#This Row],[USD_Spend]]&gt;=$B$5,Table4[[#This Row],[Sales]]&lt;=$B$6),"Wasted Budget","Spend Justified")</f>
        <v>Spend Justified</v>
      </c>
      <c r="T411" s="51" t="str">
        <f>IF(AND(Table4[[#This Row],[Clicks]]&gt;=$B$7,Table4[[#This Row],[Sales]]&lt;=$B$6),"Poor Monetization","Normal Monitization")</f>
        <v>Normal Monitization</v>
      </c>
    </row>
    <row r="412" spans="1:20" x14ac:dyDescent="0.35">
      <c r="A412" s="38" t="s">
        <v>85</v>
      </c>
      <c r="B412" s="38" t="s">
        <v>35</v>
      </c>
      <c r="C412" s="38" t="s">
        <v>69</v>
      </c>
      <c r="D412" s="38" t="s">
        <v>21</v>
      </c>
      <c r="E412" s="38" t="s">
        <v>22</v>
      </c>
      <c r="F412" s="38">
        <v>1023.05</v>
      </c>
      <c r="G412" s="38">
        <v>880161</v>
      </c>
      <c r="H412" s="38">
        <v>27302</v>
      </c>
      <c r="I412" s="38">
        <v>182197.15</v>
      </c>
      <c r="J412" s="38">
        <v>47</v>
      </c>
      <c r="K412" s="39">
        <f t="shared" si="31"/>
        <v>3.1019324873517457E-2</v>
      </c>
      <c r="L412" s="40">
        <f t="shared" si="32"/>
        <v>178.09212648453155</v>
      </c>
      <c r="M412" s="40">
        <f t="shared" si="33"/>
        <v>177.09212648453155</v>
      </c>
      <c r="N412" s="40">
        <f t="shared" si="34"/>
        <v>6.6733993846604642</v>
      </c>
      <c r="O412" s="1" t="str">
        <f t="shared" si="30"/>
        <v>Normal</v>
      </c>
      <c r="P412" s="51" t="str">
        <f>IF(Table4[[#This Row],[Sales]]&lt;=$B$3,"Normal","High Revenue")</f>
        <v>Normal</v>
      </c>
      <c r="Q412" s="51" t="str">
        <f>IF(Table4[[#This Row],[CTR]]&lt;=$B$4,"Normal","High CTR")</f>
        <v>Normal</v>
      </c>
      <c r="R412" s="51" t="str">
        <f>IF(Table4[[#This Row],[ROAS]]&lt;1,"Poor",IF(Table4[[#This Row],[ROAS]]&lt;3,"Average",IF(Table4[[#This Row],[ROAS]]&lt;5,"Good",
"Excellent")))</f>
        <v>Excellent</v>
      </c>
      <c r="S412" s="51" t="str">
        <f>IF(AND(Table4[[#This Row],[USD_Spend]]&gt;=$B$5,Table4[[#This Row],[Sales]]&lt;=$B$6),"Wasted Budget","Spend Justified")</f>
        <v>Spend Justified</v>
      </c>
      <c r="T412" s="51" t="str">
        <f>IF(AND(Table4[[#This Row],[Clicks]]&gt;=$B$7,Table4[[#This Row],[Sales]]&lt;=$B$6),"Poor Monetization","Normal Monitization")</f>
        <v>Normal Monitization</v>
      </c>
    </row>
    <row r="413" spans="1:20" x14ac:dyDescent="0.35">
      <c r="A413" s="41" t="s">
        <v>95</v>
      </c>
      <c r="B413" s="41" t="s">
        <v>28</v>
      </c>
      <c r="C413" s="41" t="s">
        <v>36</v>
      </c>
      <c r="D413" s="41" t="s">
        <v>51</v>
      </c>
      <c r="E413" s="41" t="s">
        <v>38</v>
      </c>
      <c r="F413" s="41">
        <v>1492.55</v>
      </c>
      <c r="G413" s="41">
        <v>842685</v>
      </c>
      <c r="H413" s="41">
        <v>15615</v>
      </c>
      <c r="I413" s="41">
        <v>236169.16</v>
      </c>
      <c r="J413" s="41">
        <v>59</v>
      </c>
      <c r="K413" s="42">
        <f t="shared" si="31"/>
        <v>1.8530055714768862E-2</v>
      </c>
      <c r="L413" s="43">
        <f t="shared" si="32"/>
        <v>158.23199222806608</v>
      </c>
      <c r="M413" s="43">
        <f t="shared" si="33"/>
        <v>157.23199222806608</v>
      </c>
      <c r="N413" s="43">
        <f t="shared" si="34"/>
        <v>15.124505923791226</v>
      </c>
      <c r="O413" s="1" t="str">
        <f t="shared" si="30"/>
        <v>Normal</v>
      </c>
      <c r="P413" s="51" t="str">
        <f>IF(Table4[[#This Row],[Sales]]&lt;=$B$3,"Normal","High Revenue")</f>
        <v>High Revenue</v>
      </c>
      <c r="Q413" s="51" t="str">
        <f>IF(Table4[[#This Row],[CTR]]&lt;=$B$4,"Normal","High CTR")</f>
        <v>Normal</v>
      </c>
      <c r="R413" s="51" t="str">
        <f>IF(Table4[[#This Row],[ROAS]]&lt;1,"Poor",IF(Table4[[#This Row],[ROAS]]&lt;3,"Average",IF(Table4[[#This Row],[ROAS]]&lt;5,"Good",
"Excellent")))</f>
        <v>Excellent</v>
      </c>
      <c r="S413" s="51" t="str">
        <f>IF(AND(Table4[[#This Row],[USD_Spend]]&gt;=$B$5,Table4[[#This Row],[Sales]]&lt;=$B$6),"Wasted Budget","Spend Justified")</f>
        <v>Spend Justified</v>
      </c>
      <c r="T413" s="51" t="str">
        <f>IF(AND(Table4[[#This Row],[Clicks]]&gt;=$B$7,Table4[[#This Row],[Sales]]&lt;=$B$6),"Poor Monetization","Normal Monitization")</f>
        <v>Normal Monitization</v>
      </c>
    </row>
    <row r="414" spans="1:20" x14ac:dyDescent="0.35">
      <c r="A414" s="38" t="s">
        <v>114</v>
      </c>
      <c r="B414" s="38" t="s">
        <v>48</v>
      </c>
      <c r="C414" s="38" t="s">
        <v>20</v>
      </c>
      <c r="D414" s="38" t="s">
        <v>21</v>
      </c>
      <c r="E414" s="38" t="s">
        <v>30</v>
      </c>
      <c r="F414" s="38">
        <v>39590.720000000001</v>
      </c>
      <c r="G414" s="38">
        <v>773660</v>
      </c>
      <c r="H414" s="38">
        <v>42189</v>
      </c>
      <c r="I414" s="38">
        <v>134397.85</v>
      </c>
      <c r="J414" s="38">
        <v>17</v>
      </c>
      <c r="K414" s="39">
        <f t="shared" si="31"/>
        <v>5.4531706434351006E-2</v>
      </c>
      <c r="L414" s="40">
        <f t="shared" si="32"/>
        <v>3.394680622125589</v>
      </c>
      <c r="M414" s="40">
        <f t="shared" si="33"/>
        <v>2.394680622125589</v>
      </c>
      <c r="N414" s="40">
        <f t="shared" si="34"/>
        <v>3.185613548555311</v>
      </c>
      <c r="O414" s="1" t="str">
        <f t="shared" si="30"/>
        <v>Normal</v>
      </c>
      <c r="P414" s="51" t="str">
        <f>IF(Table4[[#This Row],[Sales]]&lt;=$B$3,"Normal","High Revenue")</f>
        <v>Normal</v>
      </c>
      <c r="Q414" s="51" t="str">
        <f>IF(Table4[[#This Row],[CTR]]&lt;=$B$4,"Normal","High CTR")</f>
        <v>Normal</v>
      </c>
      <c r="R414" s="51" t="str">
        <f>IF(Table4[[#This Row],[ROAS]]&lt;1,"Poor",IF(Table4[[#This Row],[ROAS]]&lt;3,"Average",IF(Table4[[#This Row],[ROAS]]&lt;5,"Good",
"Excellent")))</f>
        <v>Good</v>
      </c>
      <c r="S414" s="51" t="str">
        <f>IF(AND(Table4[[#This Row],[USD_Spend]]&gt;=$B$5,Table4[[#This Row],[Sales]]&lt;=$B$6),"Wasted Budget","Spend Justified")</f>
        <v>Spend Justified</v>
      </c>
      <c r="T414" s="51" t="str">
        <f>IF(AND(Table4[[#This Row],[Clicks]]&gt;=$B$7,Table4[[#This Row],[Sales]]&lt;=$B$6),"Poor Monetization","Normal Monitization")</f>
        <v>Normal Monitization</v>
      </c>
    </row>
    <row r="415" spans="1:20" x14ac:dyDescent="0.35">
      <c r="A415" s="41" t="s">
        <v>27</v>
      </c>
      <c r="B415" s="41" t="s">
        <v>48</v>
      </c>
      <c r="C415" s="41" t="s">
        <v>58</v>
      </c>
      <c r="D415" s="41" t="s">
        <v>63</v>
      </c>
      <c r="E415" s="41" t="s">
        <v>30</v>
      </c>
      <c r="F415" s="41">
        <v>3829.56</v>
      </c>
      <c r="G415" s="41">
        <v>997697</v>
      </c>
      <c r="H415" s="41">
        <v>27566</v>
      </c>
      <c r="I415" s="41">
        <v>122998.19</v>
      </c>
      <c r="J415" s="41">
        <v>54</v>
      </c>
      <c r="K415" s="42">
        <f t="shared" si="31"/>
        <v>2.7629631040285776E-2</v>
      </c>
      <c r="L415" s="43">
        <f t="shared" si="32"/>
        <v>32.118099729472839</v>
      </c>
      <c r="M415" s="43">
        <f t="shared" si="33"/>
        <v>31.118099729472839</v>
      </c>
      <c r="N415" s="43">
        <f t="shared" si="34"/>
        <v>4.4619527679024884</v>
      </c>
      <c r="O415" s="1" t="str">
        <f t="shared" si="30"/>
        <v>Normal</v>
      </c>
      <c r="P415" s="51" t="str">
        <f>IF(Table4[[#This Row],[Sales]]&lt;=$B$3,"Normal","High Revenue")</f>
        <v>Normal</v>
      </c>
      <c r="Q415" s="51" t="str">
        <f>IF(Table4[[#This Row],[CTR]]&lt;=$B$4,"Normal","High CTR")</f>
        <v>Normal</v>
      </c>
      <c r="R415" s="51" t="str">
        <f>IF(Table4[[#This Row],[ROAS]]&lt;1,"Poor",IF(Table4[[#This Row],[ROAS]]&lt;3,"Average",IF(Table4[[#This Row],[ROAS]]&lt;5,"Good",
"Excellent")))</f>
        <v>Excellent</v>
      </c>
      <c r="S415" s="51" t="str">
        <f>IF(AND(Table4[[#This Row],[USD_Spend]]&gt;=$B$5,Table4[[#This Row],[Sales]]&lt;=$B$6),"Wasted Budget","Spend Justified")</f>
        <v>Spend Justified</v>
      </c>
      <c r="T415" s="51" t="str">
        <f>IF(AND(Table4[[#This Row],[Clicks]]&gt;=$B$7,Table4[[#This Row],[Sales]]&lt;=$B$6),"Poor Monetization","Normal Monitization")</f>
        <v>Normal Monitization</v>
      </c>
    </row>
    <row r="416" spans="1:20" x14ac:dyDescent="0.35">
      <c r="A416" s="38" t="s">
        <v>62</v>
      </c>
      <c r="B416" s="38" t="s">
        <v>19</v>
      </c>
      <c r="C416" s="38" t="s">
        <v>69</v>
      </c>
      <c r="D416" s="38" t="s">
        <v>37</v>
      </c>
      <c r="E416" s="38" t="s">
        <v>38</v>
      </c>
      <c r="F416" s="38">
        <v>12096.47</v>
      </c>
      <c r="G416" s="38">
        <v>198550</v>
      </c>
      <c r="H416" s="38">
        <v>1808</v>
      </c>
      <c r="I416" s="38">
        <v>83125</v>
      </c>
      <c r="J416" s="38">
        <v>42</v>
      </c>
      <c r="K416" s="39">
        <f t="shared" si="31"/>
        <v>9.1060186351045076E-3</v>
      </c>
      <c r="L416" s="40">
        <f t="shared" si="32"/>
        <v>6.8718394705232191</v>
      </c>
      <c r="M416" s="40">
        <f t="shared" si="33"/>
        <v>5.8718394705232191</v>
      </c>
      <c r="N416" s="40">
        <f t="shared" si="34"/>
        <v>45.976216814159294</v>
      </c>
      <c r="O416" s="1" t="str">
        <f t="shared" si="30"/>
        <v>Normal</v>
      </c>
      <c r="P416" s="51" t="str">
        <f>IF(Table4[[#This Row],[Sales]]&lt;=$B$3,"Normal","High Revenue")</f>
        <v>Normal</v>
      </c>
      <c r="Q416" s="51" t="str">
        <f>IF(Table4[[#This Row],[CTR]]&lt;=$B$4,"Normal","High CTR")</f>
        <v>Normal</v>
      </c>
      <c r="R416" s="51" t="str">
        <f>IF(Table4[[#This Row],[ROAS]]&lt;1,"Poor",IF(Table4[[#This Row],[ROAS]]&lt;3,"Average",IF(Table4[[#This Row],[ROAS]]&lt;5,"Good",
"Excellent")))</f>
        <v>Excellent</v>
      </c>
      <c r="S416" s="51" t="str">
        <f>IF(AND(Table4[[#This Row],[USD_Spend]]&gt;=$B$5,Table4[[#This Row],[Sales]]&lt;=$B$6),"Wasted Budget","Spend Justified")</f>
        <v>Spend Justified</v>
      </c>
      <c r="T416" s="51" t="str">
        <f>IF(AND(Table4[[#This Row],[Clicks]]&gt;=$B$7,Table4[[#This Row],[Sales]]&lt;=$B$6),"Poor Monetization","Normal Monitization")</f>
        <v>Normal Monitization</v>
      </c>
    </row>
    <row r="417" spans="1:20" x14ac:dyDescent="0.35">
      <c r="A417" s="41" t="s">
        <v>81</v>
      </c>
      <c r="B417" s="41" t="s">
        <v>28</v>
      </c>
      <c r="C417" s="41" t="s">
        <v>58</v>
      </c>
      <c r="D417" s="41" t="s">
        <v>21</v>
      </c>
      <c r="E417" s="41" t="s">
        <v>38</v>
      </c>
      <c r="F417" s="41">
        <v>8695.16</v>
      </c>
      <c r="G417" s="41">
        <v>598285</v>
      </c>
      <c r="H417" s="41">
        <v>5840</v>
      </c>
      <c r="I417" s="41">
        <v>57845.31</v>
      </c>
      <c r="J417" s="41">
        <v>28</v>
      </c>
      <c r="K417" s="42">
        <f t="shared" si="31"/>
        <v>9.7612341944056762E-3</v>
      </c>
      <c r="L417" s="43">
        <f t="shared" si="32"/>
        <v>6.6525871864347517</v>
      </c>
      <c r="M417" s="43">
        <f t="shared" si="33"/>
        <v>5.6525871864347517</v>
      </c>
      <c r="N417" s="43">
        <f t="shared" si="34"/>
        <v>9.9050188356164384</v>
      </c>
      <c r="O417" s="1" t="str">
        <f t="shared" si="30"/>
        <v>Normal</v>
      </c>
      <c r="P417" s="51" t="str">
        <f>IF(Table4[[#This Row],[Sales]]&lt;=$B$3,"Normal","High Revenue")</f>
        <v>Normal</v>
      </c>
      <c r="Q417" s="51" t="str">
        <f>IF(Table4[[#This Row],[CTR]]&lt;=$B$4,"Normal","High CTR")</f>
        <v>Normal</v>
      </c>
      <c r="R417" s="51" t="str">
        <f>IF(Table4[[#This Row],[ROAS]]&lt;1,"Poor",IF(Table4[[#This Row],[ROAS]]&lt;3,"Average",IF(Table4[[#This Row],[ROAS]]&lt;5,"Good",
"Excellent")))</f>
        <v>Excellent</v>
      </c>
      <c r="S417" s="51" t="str">
        <f>IF(AND(Table4[[#This Row],[USD_Spend]]&gt;=$B$5,Table4[[#This Row],[Sales]]&lt;=$B$6),"Wasted Budget","Spend Justified")</f>
        <v>Wasted Budget</v>
      </c>
      <c r="T417" s="51" t="str">
        <f>IF(AND(Table4[[#This Row],[Clicks]]&gt;=$B$7,Table4[[#This Row],[Sales]]&lt;=$B$6),"Poor Monetization","Normal Monitization")</f>
        <v>Normal Monitization</v>
      </c>
    </row>
    <row r="418" spans="1:20" x14ac:dyDescent="0.35">
      <c r="A418" s="38" t="s">
        <v>115</v>
      </c>
      <c r="B418" s="38" t="s">
        <v>48</v>
      </c>
      <c r="C418" s="38" t="s">
        <v>69</v>
      </c>
      <c r="D418" s="38" t="s">
        <v>63</v>
      </c>
      <c r="E418" s="38" t="s">
        <v>38</v>
      </c>
      <c r="F418" s="38">
        <v>8915.5300000000007</v>
      </c>
      <c r="G418" s="38">
        <v>975264</v>
      </c>
      <c r="H418" s="38">
        <v>5726</v>
      </c>
      <c r="I418" s="38">
        <v>33436.99</v>
      </c>
      <c r="J418" s="38">
        <v>7</v>
      </c>
      <c r="K418" s="39">
        <f t="shared" si="31"/>
        <v>5.8712307641828262E-3</v>
      </c>
      <c r="L418" s="40">
        <f t="shared" si="32"/>
        <v>3.7504208947757447</v>
      </c>
      <c r="M418" s="40">
        <f t="shared" si="33"/>
        <v>2.7504208947757451</v>
      </c>
      <c r="N418" s="40">
        <f t="shared" si="34"/>
        <v>5.8395022703457906</v>
      </c>
      <c r="O418" s="1" t="str">
        <f t="shared" si="30"/>
        <v>Normal</v>
      </c>
      <c r="P418" s="51" t="str">
        <f>IF(Table4[[#This Row],[Sales]]&lt;=$B$3,"Normal","High Revenue")</f>
        <v>Normal</v>
      </c>
      <c r="Q418" s="51" t="str">
        <f>IF(Table4[[#This Row],[CTR]]&lt;=$B$4,"Normal","High CTR")</f>
        <v>Normal</v>
      </c>
      <c r="R418" s="51" t="str">
        <f>IF(Table4[[#This Row],[ROAS]]&lt;1,"Poor",IF(Table4[[#This Row],[ROAS]]&lt;3,"Average",IF(Table4[[#This Row],[ROAS]]&lt;5,"Good",
"Excellent")))</f>
        <v>Good</v>
      </c>
      <c r="S418" s="51" t="str">
        <f>IF(AND(Table4[[#This Row],[USD_Spend]]&gt;=$B$5,Table4[[#This Row],[Sales]]&lt;=$B$6),"Wasted Budget","Spend Justified")</f>
        <v>Wasted Budget</v>
      </c>
      <c r="T418" s="51" t="str">
        <f>IF(AND(Table4[[#This Row],[Clicks]]&gt;=$B$7,Table4[[#This Row],[Sales]]&lt;=$B$6),"Poor Monetization","Normal Monitization")</f>
        <v>Normal Monitization</v>
      </c>
    </row>
    <row r="419" spans="1:20" x14ac:dyDescent="0.35">
      <c r="A419" s="41" t="s">
        <v>101</v>
      </c>
      <c r="B419" s="41" t="s">
        <v>19</v>
      </c>
      <c r="C419" s="41" t="s">
        <v>69</v>
      </c>
      <c r="D419" s="41" t="s">
        <v>59</v>
      </c>
      <c r="E419" s="41" t="s">
        <v>38</v>
      </c>
      <c r="F419" s="41">
        <v>10643.96</v>
      </c>
      <c r="G419" s="41">
        <v>213974</v>
      </c>
      <c r="H419" s="41">
        <v>29903</v>
      </c>
      <c r="I419" s="41">
        <v>232779.89</v>
      </c>
      <c r="J419" s="41">
        <v>58</v>
      </c>
      <c r="K419" s="42">
        <f t="shared" si="31"/>
        <v>0.13975062390757756</v>
      </c>
      <c r="L419" s="43">
        <f t="shared" si="32"/>
        <v>21.869669746973873</v>
      </c>
      <c r="M419" s="43">
        <f t="shared" si="33"/>
        <v>20.869669746973873</v>
      </c>
      <c r="N419" s="43">
        <f t="shared" si="34"/>
        <v>7.784499548540281</v>
      </c>
      <c r="O419" s="1" t="str">
        <f t="shared" si="30"/>
        <v>Normal</v>
      </c>
      <c r="P419" s="51" t="str">
        <f>IF(Table4[[#This Row],[Sales]]&lt;=$B$3,"Normal","High Revenue")</f>
        <v>Normal</v>
      </c>
      <c r="Q419" s="51" t="str">
        <f>IF(Table4[[#This Row],[CTR]]&lt;=$B$4,"Normal","High CTR")</f>
        <v>Normal</v>
      </c>
      <c r="R419" s="51" t="str">
        <f>IF(Table4[[#This Row],[ROAS]]&lt;1,"Poor",IF(Table4[[#This Row],[ROAS]]&lt;3,"Average",IF(Table4[[#This Row],[ROAS]]&lt;5,"Good",
"Excellent")))</f>
        <v>Excellent</v>
      </c>
      <c r="S419" s="51" t="str">
        <f>IF(AND(Table4[[#This Row],[USD_Spend]]&gt;=$B$5,Table4[[#This Row],[Sales]]&lt;=$B$6),"Wasted Budget","Spend Justified")</f>
        <v>Spend Justified</v>
      </c>
      <c r="T419" s="51" t="str">
        <f>IF(AND(Table4[[#This Row],[Clicks]]&gt;=$B$7,Table4[[#This Row],[Sales]]&lt;=$B$6),"Poor Monetization","Normal Monitization")</f>
        <v>Normal Monitization</v>
      </c>
    </row>
    <row r="420" spans="1:20" x14ac:dyDescent="0.35">
      <c r="A420" s="38" t="s">
        <v>42</v>
      </c>
      <c r="B420" s="38" t="s">
        <v>48</v>
      </c>
      <c r="C420" s="38" t="s">
        <v>20</v>
      </c>
      <c r="D420" s="38" t="s">
        <v>21</v>
      </c>
      <c r="E420" s="38" t="s">
        <v>22</v>
      </c>
      <c r="F420" s="38">
        <v>1926.88</v>
      </c>
      <c r="G420" s="38">
        <v>772057</v>
      </c>
      <c r="H420" s="38">
        <v>18649</v>
      </c>
      <c r="I420" s="38">
        <v>74179.199999999997</v>
      </c>
      <c r="J420" s="38">
        <v>54</v>
      </c>
      <c r="K420" s="39">
        <f t="shared" si="31"/>
        <v>2.4154952289792076E-2</v>
      </c>
      <c r="L420" s="40">
        <f t="shared" si="32"/>
        <v>38.497052229510913</v>
      </c>
      <c r="M420" s="40">
        <f t="shared" si="33"/>
        <v>37.497052229510913</v>
      </c>
      <c r="N420" s="40">
        <f t="shared" si="34"/>
        <v>3.9776502761542174</v>
      </c>
      <c r="O420" s="1" t="str">
        <f t="shared" si="30"/>
        <v>Normal</v>
      </c>
      <c r="P420" s="51" t="str">
        <f>IF(Table4[[#This Row],[Sales]]&lt;=$B$3,"Normal","High Revenue")</f>
        <v>Normal</v>
      </c>
      <c r="Q420" s="51" t="str">
        <f>IF(Table4[[#This Row],[CTR]]&lt;=$B$4,"Normal","High CTR")</f>
        <v>Normal</v>
      </c>
      <c r="R420" s="51" t="str">
        <f>IF(Table4[[#This Row],[ROAS]]&lt;1,"Poor",IF(Table4[[#This Row],[ROAS]]&lt;3,"Average",IF(Table4[[#This Row],[ROAS]]&lt;5,"Good",
"Excellent")))</f>
        <v>Excellent</v>
      </c>
      <c r="S420" s="51" t="str">
        <f>IF(AND(Table4[[#This Row],[USD_Spend]]&gt;=$B$5,Table4[[#This Row],[Sales]]&lt;=$B$6),"Wasted Budget","Spend Justified")</f>
        <v>Spend Justified</v>
      </c>
      <c r="T420" s="51" t="str">
        <f>IF(AND(Table4[[#This Row],[Clicks]]&gt;=$B$7,Table4[[#This Row],[Sales]]&lt;=$B$6),"Poor Monetization","Normal Monitization")</f>
        <v>Normal Monitization</v>
      </c>
    </row>
    <row r="421" spans="1:20" x14ac:dyDescent="0.35">
      <c r="A421" s="41" t="s">
        <v>34</v>
      </c>
      <c r="B421" s="41" t="s">
        <v>28</v>
      </c>
      <c r="C421" s="41" t="s">
        <v>20</v>
      </c>
      <c r="D421" s="41" t="s">
        <v>51</v>
      </c>
      <c r="E421" s="41" t="s">
        <v>22</v>
      </c>
      <c r="F421" s="41">
        <v>35402.58</v>
      </c>
      <c r="G421" s="41">
        <v>357148</v>
      </c>
      <c r="H421" s="41">
        <v>23745</v>
      </c>
      <c r="I421" s="41">
        <v>76925.72</v>
      </c>
      <c r="J421" s="41">
        <v>20</v>
      </c>
      <c r="K421" s="42">
        <f t="shared" si="31"/>
        <v>6.6485042615386333E-2</v>
      </c>
      <c r="L421" s="43">
        <f t="shared" si="32"/>
        <v>2.1728845750789914</v>
      </c>
      <c r="M421" s="43">
        <f t="shared" si="33"/>
        <v>1.1728845750789914</v>
      </c>
      <c r="N421" s="43">
        <f t="shared" si="34"/>
        <v>3.2396597178353339</v>
      </c>
      <c r="O421" s="1" t="str">
        <f t="shared" si="30"/>
        <v>Normal</v>
      </c>
      <c r="P421" s="51" t="str">
        <f>IF(Table4[[#This Row],[Sales]]&lt;=$B$3,"Normal","High Revenue")</f>
        <v>Normal</v>
      </c>
      <c r="Q421" s="51" t="str">
        <f>IF(Table4[[#This Row],[CTR]]&lt;=$B$4,"Normal","High CTR")</f>
        <v>Normal</v>
      </c>
      <c r="R421" s="51" t="str">
        <f>IF(Table4[[#This Row],[ROAS]]&lt;1,"Poor",IF(Table4[[#This Row],[ROAS]]&lt;3,"Average",IF(Table4[[#This Row],[ROAS]]&lt;5,"Good",
"Excellent")))</f>
        <v>Average</v>
      </c>
      <c r="S421" s="51" t="str">
        <f>IF(AND(Table4[[#This Row],[USD_Spend]]&gt;=$B$5,Table4[[#This Row],[Sales]]&lt;=$B$6),"Wasted Budget","Spend Justified")</f>
        <v>Spend Justified</v>
      </c>
      <c r="T421" s="51" t="str">
        <f>IF(AND(Table4[[#This Row],[Clicks]]&gt;=$B$7,Table4[[#This Row],[Sales]]&lt;=$B$6),"Poor Monetization","Normal Monitization")</f>
        <v>Normal Monitization</v>
      </c>
    </row>
    <row r="422" spans="1:20" x14ac:dyDescent="0.35">
      <c r="A422" s="38" t="s">
        <v>42</v>
      </c>
      <c r="B422" s="38" t="s">
        <v>48</v>
      </c>
      <c r="C422" s="38" t="s">
        <v>29</v>
      </c>
      <c r="D422" s="38" t="s">
        <v>51</v>
      </c>
      <c r="E422" s="38" t="s">
        <v>38</v>
      </c>
      <c r="F422" s="38">
        <v>39825.980000000003</v>
      </c>
      <c r="G422" s="38">
        <v>663453</v>
      </c>
      <c r="H422" s="38">
        <v>9656</v>
      </c>
      <c r="I422" s="38">
        <v>112913.54</v>
      </c>
      <c r="J422" s="38">
        <v>45</v>
      </c>
      <c r="K422" s="39">
        <f t="shared" si="31"/>
        <v>1.4554158320182439E-2</v>
      </c>
      <c r="L422" s="40">
        <f t="shared" si="32"/>
        <v>2.8351729197875355</v>
      </c>
      <c r="M422" s="40">
        <f t="shared" si="33"/>
        <v>1.8351729197875355</v>
      </c>
      <c r="N422" s="40">
        <f t="shared" si="34"/>
        <v>11.693614333057166</v>
      </c>
      <c r="O422" s="1" t="str">
        <f t="shared" si="30"/>
        <v>Normal</v>
      </c>
      <c r="P422" s="51" t="str">
        <f>IF(Table4[[#This Row],[Sales]]&lt;=$B$3,"Normal","High Revenue")</f>
        <v>Normal</v>
      </c>
      <c r="Q422" s="51" t="str">
        <f>IF(Table4[[#This Row],[CTR]]&lt;=$B$4,"Normal","High CTR")</f>
        <v>Normal</v>
      </c>
      <c r="R422" s="51" t="str">
        <f>IF(Table4[[#This Row],[ROAS]]&lt;1,"Poor",IF(Table4[[#This Row],[ROAS]]&lt;3,"Average",IF(Table4[[#This Row],[ROAS]]&lt;5,"Good",
"Excellent")))</f>
        <v>Average</v>
      </c>
      <c r="S422" s="51" t="str">
        <f>IF(AND(Table4[[#This Row],[USD_Spend]]&gt;=$B$5,Table4[[#This Row],[Sales]]&lt;=$B$6),"Wasted Budget","Spend Justified")</f>
        <v>Spend Justified</v>
      </c>
      <c r="T422" s="51" t="str">
        <f>IF(AND(Table4[[#This Row],[Clicks]]&gt;=$B$7,Table4[[#This Row],[Sales]]&lt;=$B$6),"Poor Monetization","Normal Monitization")</f>
        <v>Normal Monitization</v>
      </c>
    </row>
    <row r="423" spans="1:20" x14ac:dyDescent="0.35">
      <c r="A423" s="41" t="s">
        <v>78</v>
      </c>
      <c r="B423" s="41" t="s">
        <v>35</v>
      </c>
      <c r="C423" s="41" t="s">
        <v>20</v>
      </c>
      <c r="D423" s="41" t="s">
        <v>21</v>
      </c>
      <c r="E423" s="41" t="s">
        <v>30</v>
      </c>
      <c r="F423" s="41">
        <v>40728.49</v>
      </c>
      <c r="G423" s="41">
        <v>420997</v>
      </c>
      <c r="H423" s="41">
        <v>8550</v>
      </c>
      <c r="I423" s="41">
        <v>150785.1</v>
      </c>
      <c r="J423" s="41">
        <v>25</v>
      </c>
      <c r="K423" s="42">
        <f t="shared" si="31"/>
        <v>2.0308933317814616E-2</v>
      </c>
      <c r="L423" s="43">
        <f t="shared" si="32"/>
        <v>3.702202070344371</v>
      </c>
      <c r="M423" s="43">
        <f t="shared" si="33"/>
        <v>2.7022020703443714</v>
      </c>
      <c r="N423" s="43">
        <f t="shared" si="34"/>
        <v>17.635684210526318</v>
      </c>
      <c r="O423" s="1" t="str">
        <f t="shared" si="30"/>
        <v>Normal</v>
      </c>
      <c r="P423" s="51" t="str">
        <f>IF(Table4[[#This Row],[Sales]]&lt;=$B$3,"Normal","High Revenue")</f>
        <v>Normal</v>
      </c>
      <c r="Q423" s="51" t="str">
        <f>IF(Table4[[#This Row],[CTR]]&lt;=$B$4,"Normal","High CTR")</f>
        <v>Normal</v>
      </c>
      <c r="R423" s="51" t="str">
        <f>IF(Table4[[#This Row],[ROAS]]&lt;1,"Poor",IF(Table4[[#This Row],[ROAS]]&lt;3,"Average",IF(Table4[[#This Row],[ROAS]]&lt;5,"Good",
"Excellent")))</f>
        <v>Good</v>
      </c>
      <c r="S423" s="51" t="str">
        <f>IF(AND(Table4[[#This Row],[USD_Spend]]&gt;=$B$5,Table4[[#This Row],[Sales]]&lt;=$B$6),"Wasted Budget","Spend Justified")</f>
        <v>Spend Justified</v>
      </c>
      <c r="T423" s="51" t="str">
        <f>IF(AND(Table4[[#This Row],[Clicks]]&gt;=$B$7,Table4[[#This Row],[Sales]]&lt;=$B$6),"Poor Monetization","Normal Monitization")</f>
        <v>Normal Monitization</v>
      </c>
    </row>
    <row r="424" spans="1:20" x14ac:dyDescent="0.35">
      <c r="A424" s="38" t="s">
        <v>87</v>
      </c>
      <c r="B424" s="38" t="s">
        <v>19</v>
      </c>
      <c r="C424" s="38" t="s">
        <v>69</v>
      </c>
      <c r="D424" s="38" t="s">
        <v>37</v>
      </c>
      <c r="E424" s="38" t="s">
        <v>38</v>
      </c>
      <c r="F424" s="38">
        <v>22586.16</v>
      </c>
      <c r="G424" s="38">
        <v>545118</v>
      </c>
      <c r="H424" s="38">
        <v>18536</v>
      </c>
      <c r="I424" s="38">
        <v>16143.76</v>
      </c>
      <c r="J424" s="38">
        <v>59</v>
      </c>
      <c r="K424" s="39">
        <f t="shared" si="31"/>
        <v>3.4003646916814338E-2</v>
      </c>
      <c r="L424" s="40">
        <f t="shared" si="32"/>
        <v>0.71476337721861527</v>
      </c>
      <c r="M424" s="40">
        <f t="shared" si="33"/>
        <v>-0.28523662278138467</v>
      </c>
      <c r="N424" s="40">
        <f t="shared" si="34"/>
        <v>0.87094087181700475</v>
      </c>
      <c r="O424" s="1" t="str">
        <f t="shared" si="30"/>
        <v>Normal</v>
      </c>
      <c r="P424" s="51" t="str">
        <f>IF(Table4[[#This Row],[Sales]]&lt;=$B$3,"Normal","High Revenue")</f>
        <v>Normal</v>
      </c>
      <c r="Q424" s="51" t="str">
        <f>IF(Table4[[#This Row],[CTR]]&lt;=$B$4,"Normal","High CTR")</f>
        <v>Normal</v>
      </c>
      <c r="R424" s="51" t="str">
        <f>IF(Table4[[#This Row],[ROAS]]&lt;1,"Poor",IF(Table4[[#This Row],[ROAS]]&lt;3,"Average",IF(Table4[[#This Row],[ROAS]]&lt;5,"Good",
"Excellent")))</f>
        <v>Poor</v>
      </c>
      <c r="S424" s="51" t="str">
        <f>IF(AND(Table4[[#This Row],[USD_Spend]]&gt;=$B$5,Table4[[#This Row],[Sales]]&lt;=$B$6),"Wasted Budget","Spend Justified")</f>
        <v>Wasted Budget</v>
      </c>
      <c r="T424" s="51" t="str">
        <f>IF(AND(Table4[[#This Row],[Clicks]]&gt;=$B$7,Table4[[#This Row],[Sales]]&lt;=$B$6),"Poor Monetization","Normal Monitization")</f>
        <v>Normal Monitization</v>
      </c>
    </row>
    <row r="425" spans="1:20" x14ac:dyDescent="0.35">
      <c r="A425" s="41" t="s">
        <v>92</v>
      </c>
      <c r="B425" s="41" t="s">
        <v>35</v>
      </c>
      <c r="C425" s="41" t="s">
        <v>29</v>
      </c>
      <c r="D425" s="41" t="s">
        <v>63</v>
      </c>
      <c r="E425" s="41" t="s">
        <v>38</v>
      </c>
      <c r="F425" s="41">
        <v>8392.2900000000009</v>
      </c>
      <c r="G425" s="41">
        <v>59866</v>
      </c>
      <c r="H425" s="41">
        <v>12011</v>
      </c>
      <c r="I425" s="41">
        <v>15017.84</v>
      </c>
      <c r="J425" s="41">
        <v>51</v>
      </c>
      <c r="K425" s="42">
        <f t="shared" si="31"/>
        <v>0.2006314101493335</v>
      </c>
      <c r="L425" s="43">
        <f t="shared" si="32"/>
        <v>1.7894805827729974</v>
      </c>
      <c r="M425" s="43">
        <f t="shared" si="33"/>
        <v>0.78948058277299737</v>
      </c>
      <c r="N425" s="43">
        <f t="shared" si="34"/>
        <v>1.2503405211889103</v>
      </c>
      <c r="O425" s="1" t="str">
        <f t="shared" si="30"/>
        <v>Normal</v>
      </c>
      <c r="P425" s="51" t="str">
        <f>IF(Table4[[#This Row],[Sales]]&lt;=$B$3,"Normal","High Revenue")</f>
        <v>Normal</v>
      </c>
      <c r="Q425" s="51" t="str">
        <f>IF(Table4[[#This Row],[CTR]]&lt;=$B$4,"Normal","High CTR")</f>
        <v>Normal</v>
      </c>
      <c r="R425" s="51" t="str">
        <f>IF(Table4[[#This Row],[ROAS]]&lt;1,"Poor",IF(Table4[[#This Row],[ROAS]]&lt;3,"Average",IF(Table4[[#This Row],[ROAS]]&lt;5,"Good",
"Excellent")))</f>
        <v>Average</v>
      </c>
      <c r="S425" s="51" t="str">
        <f>IF(AND(Table4[[#This Row],[USD_Spend]]&gt;=$B$5,Table4[[#This Row],[Sales]]&lt;=$B$6),"Wasted Budget","Spend Justified")</f>
        <v>Wasted Budget</v>
      </c>
      <c r="T425" s="51" t="str">
        <f>IF(AND(Table4[[#This Row],[Clicks]]&gt;=$B$7,Table4[[#This Row],[Sales]]&lt;=$B$6),"Poor Monetization","Normal Monitization")</f>
        <v>Normal Monitization</v>
      </c>
    </row>
    <row r="426" spans="1:20" x14ac:dyDescent="0.35">
      <c r="A426" s="38" t="s">
        <v>86</v>
      </c>
      <c r="B426" s="38" t="s">
        <v>19</v>
      </c>
      <c r="C426" s="38" t="s">
        <v>69</v>
      </c>
      <c r="D426" s="38" t="s">
        <v>59</v>
      </c>
      <c r="E426" s="38" t="s">
        <v>30</v>
      </c>
      <c r="F426" s="38">
        <v>21251.58</v>
      </c>
      <c r="G426" s="38">
        <v>894642</v>
      </c>
      <c r="H426" s="38">
        <v>35241</v>
      </c>
      <c r="I426" s="38">
        <v>86131.72</v>
      </c>
      <c r="J426" s="38">
        <v>47</v>
      </c>
      <c r="K426" s="39">
        <f t="shared" si="31"/>
        <v>3.9391175464599248E-2</v>
      </c>
      <c r="L426" s="40">
        <f t="shared" si="32"/>
        <v>4.0529560625609955</v>
      </c>
      <c r="M426" s="40">
        <f t="shared" si="33"/>
        <v>3.0529560625609951</v>
      </c>
      <c r="N426" s="40">
        <f t="shared" si="34"/>
        <v>2.4440770693226641</v>
      </c>
      <c r="O426" s="1" t="str">
        <f t="shared" si="30"/>
        <v>Normal</v>
      </c>
      <c r="P426" s="51" t="str">
        <f>IF(Table4[[#This Row],[Sales]]&lt;=$B$3,"Normal","High Revenue")</f>
        <v>Normal</v>
      </c>
      <c r="Q426" s="51" t="str">
        <f>IF(Table4[[#This Row],[CTR]]&lt;=$B$4,"Normal","High CTR")</f>
        <v>Normal</v>
      </c>
      <c r="R426" s="51" t="str">
        <f>IF(Table4[[#This Row],[ROAS]]&lt;1,"Poor",IF(Table4[[#This Row],[ROAS]]&lt;3,"Average",IF(Table4[[#This Row],[ROAS]]&lt;5,"Good",
"Excellent")))</f>
        <v>Good</v>
      </c>
      <c r="S426" s="51" t="str">
        <f>IF(AND(Table4[[#This Row],[USD_Spend]]&gt;=$B$5,Table4[[#This Row],[Sales]]&lt;=$B$6),"Wasted Budget","Spend Justified")</f>
        <v>Spend Justified</v>
      </c>
      <c r="T426" s="51" t="str">
        <f>IF(AND(Table4[[#This Row],[Clicks]]&gt;=$B$7,Table4[[#This Row],[Sales]]&lt;=$B$6),"Poor Monetization","Normal Monitization")</f>
        <v>Normal Monitization</v>
      </c>
    </row>
    <row r="427" spans="1:20" x14ac:dyDescent="0.35">
      <c r="A427" s="41" t="s">
        <v>71</v>
      </c>
      <c r="B427" s="41" t="s">
        <v>48</v>
      </c>
      <c r="C427" s="41" t="s">
        <v>36</v>
      </c>
      <c r="D427" s="41" t="s">
        <v>51</v>
      </c>
      <c r="E427" s="41" t="s">
        <v>38</v>
      </c>
      <c r="F427" s="41">
        <v>2905.87</v>
      </c>
      <c r="G427" s="41">
        <v>154408</v>
      </c>
      <c r="H427" s="41">
        <v>23051</v>
      </c>
      <c r="I427" s="41">
        <v>220286.91</v>
      </c>
      <c r="J427" s="41">
        <v>48</v>
      </c>
      <c r="K427" s="42">
        <f t="shared" si="31"/>
        <v>0.14928630640899435</v>
      </c>
      <c r="L427" s="43">
        <f t="shared" si="32"/>
        <v>75.807558493669717</v>
      </c>
      <c r="M427" s="43">
        <f t="shared" si="33"/>
        <v>74.807558493669717</v>
      </c>
      <c r="N427" s="43">
        <f t="shared" si="34"/>
        <v>9.5565012363888773</v>
      </c>
      <c r="O427" s="1" t="str">
        <f t="shared" si="30"/>
        <v>Normal</v>
      </c>
      <c r="P427" s="51" t="str">
        <f>IF(Table4[[#This Row],[Sales]]&lt;=$B$3,"Normal","High Revenue")</f>
        <v>Normal</v>
      </c>
      <c r="Q427" s="51" t="str">
        <f>IF(Table4[[#This Row],[CTR]]&lt;=$B$4,"Normal","High CTR")</f>
        <v>Normal</v>
      </c>
      <c r="R427" s="51" t="str">
        <f>IF(Table4[[#This Row],[ROAS]]&lt;1,"Poor",IF(Table4[[#This Row],[ROAS]]&lt;3,"Average",IF(Table4[[#This Row],[ROAS]]&lt;5,"Good",
"Excellent")))</f>
        <v>Excellent</v>
      </c>
      <c r="S427" s="51" t="str">
        <f>IF(AND(Table4[[#This Row],[USD_Spend]]&gt;=$B$5,Table4[[#This Row],[Sales]]&lt;=$B$6),"Wasted Budget","Spend Justified")</f>
        <v>Spend Justified</v>
      </c>
      <c r="T427" s="51" t="str">
        <f>IF(AND(Table4[[#This Row],[Clicks]]&gt;=$B$7,Table4[[#This Row],[Sales]]&lt;=$B$6),"Poor Monetization","Normal Monitization")</f>
        <v>Normal Monitization</v>
      </c>
    </row>
    <row r="428" spans="1:20" x14ac:dyDescent="0.35">
      <c r="A428" s="38" t="s">
        <v>118</v>
      </c>
      <c r="B428" s="38" t="s">
        <v>19</v>
      </c>
      <c r="C428" s="38" t="s">
        <v>36</v>
      </c>
      <c r="D428" s="38" t="s">
        <v>21</v>
      </c>
      <c r="E428" s="38" t="s">
        <v>38</v>
      </c>
      <c r="F428" s="38">
        <v>14107.44</v>
      </c>
      <c r="G428" s="38">
        <v>415537</v>
      </c>
      <c r="H428" s="38">
        <v>11712</v>
      </c>
      <c r="I428" s="38">
        <v>210590.72</v>
      </c>
      <c r="J428" s="38">
        <v>58</v>
      </c>
      <c r="K428" s="39">
        <f t="shared" si="31"/>
        <v>2.8185215756960272E-2</v>
      </c>
      <c r="L428" s="40">
        <f t="shared" si="32"/>
        <v>14.927635347022564</v>
      </c>
      <c r="M428" s="40">
        <f t="shared" si="33"/>
        <v>13.927635347022564</v>
      </c>
      <c r="N428" s="40">
        <f t="shared" si="34"/>
        <v>17.980765027322406</v>
      </c>
      <c r="O428" s="1" t="str">
        <f t="shared" si="30"/>
        <v>Normal</v>
      </c>
      <c r="P428" s="51" t="str">
        <f>IF(Table4[[#This Row],[Sales]]&lt;=$B$3,"Normal","High Revenue")</f>
        <v>Normal</v>
      </c>
      <c r="Q428" s="51" t="str">
        <f>IF(Table4[[#This Row],[CTR]]&lt;=$B$4,"Normal","High CTR")</f>
        <v>Normal</v>
      </c>
      <c r="R428" s="51" t="str">
        <f>IF(Table4[[#This Row],[ROAS]]&lt;1,"Poor",IF(Table4[[#This Row],[ROAS]]&lt;3,"Average",IF(Table4[[#This Row],[ROAS]]&lt;5,"Good",
"Excellent")))</f>
        <v>Excellent</v>
      </c>
      <c r="S428" s="51" t="str">
        <f>IF(AND(Table4[[#This Row],[USD_Spend]]&gt;=$B$5,Table4[[#This Row],[Sales]]&lt;=$B$6),"Wasted Budget","Spend Justified")</f>
        <v>Spend Justified</v>
      </c>
      <c r="T428" s="51" t="str">
        <f>IF(AND(Table4[[#This Row],[Clicks]]&gt;=$B$7,Table4[[#This Row],[Sales]]&lt;=$B$6),"Poor Monetization","Normal Monitization")</f>
        <v>Normal Monitization</v>
      </c>
    </row>
    <row r="429" spans="1:20" x14ac:dyDescent="0.35">
      <c r="A429" s="41" t="s">
        <v>89</v>
      </c>
      <c r="B429" s="41" t="s">
        <v>19</v>
      </c>
      <c r="C429" s="41" t="s">
        <v>36</v>
      </c>
      <c r="D429" s="41" t="s">
        <v>21</v>
      </c>
      <c r="E429" s="41" t="s">
        <v>22</v>
      </c>
      <c r="F429" s="41">
        <v>12515.36</v>
      </c>
      <c r="G429" s="41">
        <v>688569</v>
      </c>
      <c r="H429" s="41">
        <v>48286</v>
      </c>
      <c r="I429" s="41">
        <v>214686.55</v>
      </c>
      <c r="J429" s="41">
        <v>41</v>
      </c>
      <c r="K429" s="42">
        <f t="shared" si="31"/>
        <v>7.0125143594904793E-2</v>
      </c>
      <c r="L429" s="43">
        <f t="shared" si="32"/>
        <v>17.153845354827986</v>
      </c>
      <c r="M429" s="43">
        <f t="shared" si="33"/>
        <v>16.153845354827986</v>
      </c>
      <c r="N429" s="43">
        <f t="shared" si="34"/>
        <v>4.4461448452967733</v>
      </c>
      <c r="O429" s="1" t="str">
        <f t="shared" si="30"/>
        <v>Normal</v>
      </c>
      <c r="P429" s="51" t="str">
        <f>IF(Table4[[#This Row],[Sales]]&lt;=$B$3,"Normal","High Revenue")</f>
        <v>Normal</v>
      </c>
      <c r="Q429" s="51" t="str">
        <f>IF(Table4[[#This Row],[CTR]]&lt;=$B$4,"Normal","High CTR")</f>
        <v>Normal</v>
      </c>
      <c r="R429" s="51" t="str">
        <f>IF(Table4[[#This Row],[ROAS]]&lt;1,"Poor",IF(Table4[[#This Row],[ROAS]]&lt;3,"Average",IF(Table4[[#This Row],[ROAS]]&lt;5,"Good",
"Excellent")))</f>
        <v>Excellent</v>
      </c>
      <c r="S429" s="51" t="str">
        <f>IF(AND(Table4[[#This Row],[USD_Spend]]&gt;=$B$5,Table4[[#This Row],[Sales]]&lt;=$B$6),"Wasted Budget","Spend Justified")</f>
        <v>Spend Justified</v>
      </c>
      <c r="T429" s="51" t="str">
        <f>IF(AND(Table4[[#This Row],[Clicks]]&gt;=$B$7,Table4[[#This Row],[Sales]]&lt;=$B$6),"Poor Monetization","Normal Monitization")</f>
        <v>Normal Monitization</v>
      </c>
    </row>
    <row r="430" spans="1:20" x14ac:dyDescent="0.35">
      <c r="A430" s="38" t="s">
        <v>42</v>
      </c>
      <c r="B430" s="38" t="s">
        <v>48</v>
      </c>
      <c r="C430" s="38" t="s">
        <v>29</v>
      </c>
      <c r="D430" s="38" t="s">
        <v>59</v>
      </c>
      <c r="E430" s="38" t="s">
        <v>38</v>
      </c>
      <c r="F430" s="38">
        <v>29881.599999999999</v>
      </c>
      <c r="G430" s="38">
        <v>660810</v>
      </c>
      <c r="H430" s="38">
        <v>49217</v>
      </c>
      <c r="I430" s="38">
        <v>42865.57</v>
      </c>
      <c r="J430" s="38">
        <v>55</v>
      </c>
      <c r="K430" s="39">
        <f t="shared" si="31"/>
        <v>7.4479805087695403E-2</v>
      </c>
      <c r="L430" s="40">
        <f t="shared" si="32"/>
        <v>1.4345138814521312</v>
      </c>
      <c r="M430" s="40">
        <f t="shared" si="33"/>
        <v>0.43451388145213116</v>
      </c>
      <c r="N430" s="40">
        <f t="shared" si="34"/>
        <v>0.87095048458865842</v>
      </c>
      <c r="O430" s="1" t="str">
        <f t="shared" si="30"/>
        <v>Normal</v>
      </c>
      <c r="P430" s="51" t="str">
        <f>IF(Table4[[#This Row],[Sales]]&lt;=$B$3,"Normal","High Revenue")</f>
        <v>Normal</v>
      </c>
      <c r="Q430" s="51" t="str">
        <f>IF(Table4[[#This Row],[CTR]]&lt;=$B$4,"Normal","High CTR")</f>
        <v>Normal</v>
      </c>
      <c r="R430" s="51" t="str">
        <f>IF(Table4[[#This Row],[ROAS]]&lt;1,"Poor",IF(Table4[[#This Row],[ROAS]]&lt;3,"Average",IF(Table4[[#This Row],[ROAS]]&lt;5,"Good",
"Excellent")))</f>
        <v>Average</v>
      </c>
      <c r="S430" s="51" t="str">
        <f>IF(AND(Table4[[#This Row],[USD_Spend]]&gt;=$B$5,Table4[[#This Row],[Sales]]&lt;=$B$6),"Wasted Budget","Spend Justified")</f>
        <v>Wasted Budget</v>
      </c>
      <c r="T430" s="51" t="str">
        <f>IF(AND(Table4[[#This Row],[Clicks]]&gt;=$B$7,Table4[[#This Row],[Sales]]&lt;=$B$6),"Poor Monetization","Normal Monitization")</f>
        <v>Poor Monetization</v>
      </c>
    </row>
    <row r="431" spans="1:20" x14ac:dyDescent="0.35">
      <c r="A431" s="41" t="s">
        <v>72</v>
      </c>
      <c r="B431" s="41" t="s">
        <v>19</v>
      </c>
      <c r="C431" s="41" t="s">
        <v>36</v>
      </c>
      <c r="D431" s="41" t="s">
        <v>21</v>
      </c>
      <c r="E431" s="41" t="s">
        <v>30</v>
      </c>
      <c r="F431" s="41">
        <v>21947.48</v>
      </c>
      <c r="G431" s="41">
        <v>66802</v>
      </c>
      <c r="H431" s="41">
        <v>44229</v>
      </c>
      <c r="I431" s="41">
        <v>165096.59</v>
      </c>
      <c r="J431" s="41">
        <v>33</v>
      </c>
      <c r="K431" s="42">
        <f t="shared" si="31"/>
        <v>0.66209095536061791</v>
      </c>
      <c r="L431" s="43">
        <f t="shared" si="32"/>
        <v>7.5223483516102991</v>
      </c>
      <c r="M431" s="43">
        <f t="shared" si="33"/>
        <v>6.5223483516102982</v>
      </c>
      <c r="N431" s="43">
        <f t="shared" si="34"/>
        <v>3.7327678672364284</v>
      </c>
      <c r="O431" s="1" t="str">
        <f t="shared" si="30"/>
        <v>Normal</v>
      </c>
      <c r="P431" s="51" t="str">
        <f>IF(Table4[[#This Row],[Sales]]&lt;=$B$3,"Normal","High Revenue")</f>
        <v>Normal</v>
      </c>
      <c r="Q431" s="51" t="str">
        <f>IF(Table4[[#This Row],[CTR]]&lt;=$B$4,"Normal","High CTR")</f>
        <v>High CTR</v>
      </c>
      <c r="R431" s="51" t="str">
        <f>IF(Table4[[#This Row],[ROAS]]&lt;1,"Poor",IF(Table4[[#This Row],[ROAS]]&lt;3,"Average",IF(Table4[[#This Row],[ROAS]]&lt;5,"Good",
"Excellent")))</f>
        <v>Excellent</v>
      </c>
      <c r="S431" s="51" t="str">
        <f>IF(AND(Table4[[#This Row],[USD_Spend]]&gt;=$B$5,Table4[[#This Row],[Sales]]&lt;=$B$6),"Wasted Budget","Spend Justified")</f>
        <v>Spend Justified</v>
      </c>
      <c r="T431" s="51" t="str">
        <f>IF(AND(Table4[[#This Row],[Clicks]]&gt;=$B$7,Table4[[#This Row],[Sales]]&lt;=$B$6),"Poor Monetization","Normal Monitization")</f>
        <v>Normal Monitization</v>
      </c>
    </row>
    <row r="432" spans="1:20" x14ac:dyDescent="0.35">
      <c r="A432" s="38" t="s">
        <v>111</v>
      </c>
      <c r="B432" s="38" t="s">
        <v>28</v>
      </c>
      <c r="C432" s="38" t="s">
        <v>58</v>
      </c>
      <c r="D432" s="38" t="s">
        <v>51</v>
      </c>
      <c r="E432" s="38" t="s">
        <v>38</v>
      </c>
      <c r="F432" s="38">
        <v>40843.47</v>
      </c>
      <c r="G432" s="38">
        <v>358048</v>
      </c>
      <c r="H432" s="38">
        <v>18005</v>
      </c>
      <c r="I432" s="38">
        <v>35496.379999999997</v>
      </c>
      <c r="J432" s="38">
        <v>61</v>
      </c>
      <c r="K432" s="39">
        <f t="shared" si="31"/>
        <v>5.0286553758155328E-2</v>
      </c>
      <c r="L432" s="40">
        <f t="shared" si="32"/>
        <v>0.86908335653165603</v>
      </c>
      <c r="M432" s="40">
        <f t="shared" si="33"/>
        <v>-0.130916643468344</v>
      </c>
      <c r="N432" s="40">
        <f t="shared" si="34"/>
        <v>1.971473479589003</v>
      </c>
      <c r="O432" s="1" t="str">
        <f t="shared" si="30"/>
        <v>Normal</v>
      </c>
      <c r="P432" s="51" t="str">
        <f>IF(Table4[[#This Row],[Sales]]&lt;=$B$3,"Normal","High Revenue")</f>
        <v>Normal</v>
      </c>
      <c r="Q432" s="51" t="str">
        <f>IF(Table4[[#This Row],[CTR]]&lt;=$B$4,"Normal","High CTR")</f>
        <v>Normal</v>
      </c>
      <c r="R432" s="51" t="str">
        <f>IF(Table4[[#This Row],[ROAS]]&lt;1,"Poor",IF(Table4[[#This Row],[ROAS]]&lt;3,"Average",IF(Table4[[#This Row],[ROAS]]&lt;5,"Good",
"Excellent")))</f>
        <v>Poor</v>
      </c>
      <c r="S432" s="51" t="str">
        <f>IF(AND(Table4[[#This Row],[USD_Spend]]&gt;=$B$5,Table4[[#This Row],[Sales]]&lt;=$B$6),"Wasted Budget","Spend Justified")</f>
        <v>Wasted Budget</v>
      </c>
      <c r="T432" s="51" t="str">
        <f>IF(AND(Table4[[#This Row],[Clicks]]&gt;=$B$7,Table4[[#This Row],[Sales]]&lt;=$B$6),"Poor Monetization","Normal Monitization")</f>
        <v>Normal Monitization</v>
      </c>
    </row>
    <row r="433" spans="1:20" x14ac:dyDescent="0.35">
      <c r="A433" s="41" t="s">
        <v>93</v>
      </c>
      <c r="B433" s="41" t="s">
        <v>35</v>
      </c>
      <c r="C433" s="41" t="s">
        <v>36</v>
      </c>
      <c r="D433" s="41" t="s">
        <v>59</v>
      </c>
      <c r="E433" s="41" t="s">
        <v>38</v>
      </c>
      <c r="F433" s="41">
        <v>15798.89</v>
      </c>
      <c r="G433" s="41">
        <v>127955</v>
      </c>
      <c r="H433" s="41">
        <v>47270</v>
      </c>
      <c r="I433" s="41">
        <v>217385.43</v>
      </c>
      <c r="J433" s="41">
        <v>51</v>
      </c>
      <c r="K433" s="42">
        <f t="shared" si="31"/>
        <v>0.36942675159235666</v>
      </c>
      <c r="L433" s="43">
        <f t="shared" si="32"/>
        <v>13.759538170086632</v>
      </c>
      <c r="M433" s="43">
        <f t="shared" si="33"/>
        <v>12.759538170086632</v>
      </c>
      <c r="N433" s="43">
        <f t="shared" si="34"/>
        <v>4.5988032578802622</v>
      </c>
      <c r="O433" s="1" t="str">
        <f t="shared" si="30"/>
        <v>Normal</v>
      </c>
      <c r="P433" s="51" t="str">
        <f>IF(Table4[[#This Row],[Sales]]&lt;=$B$3,"Normal","High Revenue")</f>
        <v>Normal</v>
      </c>
      <c r="Q433" s="51" t="str">
        <f>IF(Table4[[#This Row],[CTR]]&lt;=$B$4,"Normal","High CTR")</f>
        <v>Normal</v>
      </c>
      <c r="R433" s="51" t="str">
        <f>IF(Table4[[#This Row],[ROAS]]&lt;1,"Poor",IF(Table4[[#This Row],[ROAS]]&lt;3,"Average",IF(Table4[[#This Row],[ROAS]]&lt;5,"Good",
"Excellent")))</f>
        <v>Excellent</v>
      </c>
      <c r="S433" s="51" t="str">
        <f>IF(AND(Table4[[#This Row],[USD_Spend]]&gt;=$B$5,Table4[[#This Row],[Sales]]&lt;=$B$6),"Wasted Budget","Spend Justified")</f>
        <v>Spend Justified</v>
      </c>
      <c r="T433" s="51" t="str">
        <f>IF(AND(Table4[[#This Row],[Clicks]]&gt;=$B$7,Table4[[#This Row],[Sales]]&lt;=$B$6),"Poor Monetization","Normal Monitization")</f>
        <v>Normal Monitization</v>
      </c>
    </row>
    <row r="434" spans="1:20" x14ac:dyDescent="0.35">
      <c r="A434" s="38" t="s">
        <v>91</v>
      </c>
      <c r="B434" s="38" t="s">
        <v>48</v>
      </c>
      <c r="C434" s="38" t="s">
        <v>36</v>
      </c>
      <c r="D434" s="38" t="s">
        <v>51</v>
      </c>
      <c r="E434" s="38" t="s">
        <v>38</v>
      </c>
      <c r="F434" s="38">
        <v>4644.3900000000003</v>
      </c>
      <c r="G434" s="38">
        <v>341601</v>
      </c>
      <c r="H434" s="38">
        <v>885</v>
      </c>
      <c r="I434" s="38">
        <v>100350.73</v>
      </c>
      <c r="J434" s="38">
        <v>26</v>
      </c>
      <c r="K434" s="39">
        <f t="shared" si="31"/>
        <v>2.5907418303810588E-3</v>
      </c>
      <c r="L434" s="40">
        <f t="shared" si="32"/>
        <v>21.606869793449729</v>
      </c>
      <c r="M434" s="40">
        <f t="shared" si="33"/>
        <v>20.606869793449729</v>
      </c>
      <c r="N434" s="40">
        <f t="shared" si="34"/>
        <v>113.39065536723163</v>
      </c>
      <c r="O434" s="1" t="str">
        <f t="shared" si="30"/>
        <v>Normal</v>
      </c>
      <c r="P434" s="51" t="str">
        <f>IF(Table4[[#This Row],[Sales]]&lt;=$B$3,"Normal","High Revenue")</f>
        <v>Normal</v>
      </c>
      <c r="Q434" s="51" t="str">
        <f>IF(Table4[[#This Row],[CTR]]&lt;=$B$4,"Normal","High CTR")</f>
        <v>Normal</v>
      </c>
      <c r="R434" s="51" t="str">
        <f>IF(Table4[[#This Row],[ROAS]]&lt;1,"Poor",IF(Table4[[#This Row],[ROAS]]&lt;3,"Average",IF(Table4[[#This Row],[ROAS]]&lt;5,"Good",
"Excellent")))</f>
        <v>Excellent</v>
      </c>
      <c r="S434" s="51" t="str">
        <f>IF(AND(Table4[[#This Row],[USD_Spend]]&gt;=$B$5,Table4[[#This Row],[Sales]]&lt;=$B$6),"Wasted Budget","Spend Justified")</f>
        <v>Spend Justified</v>
      </c>
      <c r="T434" s="51" t="str">
        <f>IF(AND(Table4[[#This Row],[Clicks]]&gt;=$B$7,Table4[[#This Row],[Sales]]&lt;=$B$6),"Poor Monetization","Normal Monitization")</f>
        <v>Normal Monitization</v>
      </c>
    </row>
    <row r="435" spans="1:20" x14ac:dyDescent="0.35">
      <c r="A435" s="41" t="s">
        <v>89</v>
      </c>
      <c r="B435" s="41" t="s">
        <v>28</v>
      </c>
      <c r="C435" s="41" t="s">
        <v>69</v>
      </c>
      <c r="D435" s="41" t="s">
        <v>59</v>
      </c>
      <c r="E435" s="41" t="s">
        <v>22</v>
      </c>
      <c r="F435" s="41">
        <v>4232.47</v>
      </c>
      <c r="G435" s="41">
        <v>584765</v>
      </c>
      <c r="H435" s="41">
        <v>32629</v>
      </c>
      <c r="I435" s="41">
        <v>228037.37</v>
      </c>
      <c r="J435" s="41">
        <v>51</v>
      </c>
      <c r="K435" s="42">
        <f t="shared" si="31"/>
        <v>5.57984831513514E-2</v>
      </c>
      <c r="L435" s="43">
        <f t="shared" si="32"/>
        <v>53.878083010629723</v>
      </c>
      <c r="M435" s="43">
        <f t="shared" si="33"/>
        <v>52.878083010629723</v>
      </c>
      <c r="N435" s="43">
        <f t="shared" si="34"/>
        <v>6.9887943240675474</v>
      </c>
      <c r="O435" s="1" t="str">
        <f t="shared" si="30"/>
        <v>Normal</v>
      </c>
      <c r="P435" s="51" t="str">
        <f>IF(Table4[[#This Row],[Sales]]&lt;=$B$3,"Normal","High Revenue")</f>
        <v>Normal</v>
      </c>
      <c r="Q435" s="51" t="str">
        <f>IF(Table4[[#This Row],[CTR]]&lt;=$B$4,"Normal","High CTR")</f>
        <v>Normal</v>
      </c>
      <c r="R435" s="51" t="str">
        <f>IF(Table4[[#This Row],[ROAS]]&lt;1,"Poor",IF(Table4[[#This Row],[ROAS]]&lt;3,"Average",IF(Table4[[#This Row],[ROAS]]&lt;5,"Good",
"Excellent")))</f>
        <v>Excellent</v>
      </c>
      <c r="S435" s="51" t="str">
        <f>IF(AND(Table4[[#This Row],[USD_Spend]]&gt;=$B$5,Table4[[#This Row],[Sales]]&lt;=$B$6),"Wasted Budget","Spend Justified")</f>
        <v>Spend Justified</v>
      </c>
      <c r="T435" s="51" t="str">
        <f>IF(AND(Table4[[#This Row],[Clicks]]&gt;=$B$7,Table4[[#This Row],[Sales]]&lt;=$B$6),"Poor Monetization","Normal Monitization")</f>
        <v>Normal Monitization</v>
      </c>
    </row>
    <row r="436" spans="1:20" x14ac:dyDescent="0.35">
      <c r="A436" s="38" t="s">
        <v>89</v>
      </c>
      <c r="B436" s="38" t="s">
        <v>19</v>
      </c>
      <c r="C436" s="38" t="s">
        <v>20</v>
      </c>
      <c r="D436" s="38" t="s">
        <v>51</v>
      </c>
      <c r="E436" s="38" t="s">
        <v>30</v>
      </c>
      <c r="F436" s="38">
        <v>592.46</v>
      </c>
      <c r="G436" s="38">
        <v>717835</v>
      </c>
      <c r="H436" s="38">
        <v>34984</v>
      </c>
      <c r="I436" s="38">
        <v>57960.79</v>
      </c>
      <c r="J436" s="38">
        <v>17</v>
      </c>
      <c r="K436" s="39">
        <f t="shared" si="31"/>
        <v>4.8735433630291085E-2</v>
      </c>
      <c r="L436" s="40">
        <f t="shared" si="32"/>
        <v>97.830722749215127</v>
      </c>
      <c r="M436" s="40">
        <f t="shared" si="33"/>
        <v>96.830722749215127</v>
      </c>
      <c r="N436" s="40">
        <f t="shared" si="34"/>
        <v>1.6567799565515664</v>
      </c>
      <c r="O436" s="1" t="str">
        <f t="shared" si="30"/>
        <v>Normal</v>
      </c>
      <c r="P436" s="51" t="str">
        <f>IF(Table4[[#This Row],[Sales]]&lt;=$B$3,"Normal","High Revenue")</f>
        <v>Normal</v>
      </c>
      <c r="Q436" s="51" t="str">
        <f>IF(Table4[[#This Row],[CTR]]&lt;=$B$4,"Normal","High CTR")</f>
        <v>Normal</v>
      </c>
      <c r="R436" s="51" t="str">
        <f>IF(Table4[[#This Row],[ROAS]]&lt;1,"Poor",IF(Table4[[#This Row],[ROAS]]&lt;3,"Average",IF(Table4[[#This Row],[ROAS]]&lt;5,"Good",
"Excellent")))</f>
        <v>Excellent</v>
      </c>
      <c r="S436" s="51" t="str">
        <f>IF(AND(Table4[[#This Row],[USD_Spend]]&gt;=$B$5,Table4[[#This Row],[Sales]]&lt;=$B$6),"Wasted Budget","Spend Justified")</f>
        <v>Spend Justified</v>
      </c>
      <c r="T436" s="51" t="str">
        <f>IF(AND(Table4[[#This Row],[Clicks]]&gt;=$B$7,Table4[[#This Row],[Sales]]&lt;=$B$6),"Poor Monetization","Normal Monitization")</f>
        <v>Normal Monitization</v>
      </c>
    </row>
    <row r="437" spans="1:20" x14ac:dyDescent="0.35">
      <c r="A437" s="41" t="s">
        <v>18</v>
      </c>
      <c r="B437" s="41" t="s">
        <v>48</v>
      </c>
      <c r="C437" s="41" t="s">
        <v>58</v>
      </c>
      <c r="D437" s="41" t="s">
        <v>37</v>
      </c>
      <c r="E437" s="41" t="s">
        <v>22</v>
      </c>
      <c r="F437" s="41">
        <v>7724.03</v>
      </c>
      <c r="G437" s="41">
        <v>605990</v>
      </c>
      <c r="H437" s="41">
        <v>27681</v>
      </c>
      <c r="I437" s="41">
        <v>94526.05</v>
      </c>
      <c r="J437" s="41">
        <v>26</v>
      </c>
      <c r="K437" s="42">
        <f t="shared" si="31"/>
        <v>4.5678971600191423E-2</v>
      </c>
      <c r="L437" s="43">
        <f t="shared" si="32"/>
        <v>12.237918547701137</v>
      </c>
      <c r="M437" s="43">
        <f t="shared" si="33"/>
        <v>11.237918547701137</v>
      </c>
      <c r="N437" s="43">
        <f t="shared" si="34"/>
        <v>3.414835085437665</v>
      </c>
      <c r="O437" s="1" t="str">
        <f t="shared" si="30"/>
        <v>Normal</v>
      </c>
      <c r="P437" s="51" t="str">
        <f>IF(Table4[[#This Row],[Sales]]&lt;=$B$3,"Normal","High Revenue")</f>
        <v>Normal</v>
      </c>
      <c r="Q437" s="51" t="str">
        <f>IF(Table4[[#This Row],[CTR]]&lt;=$B$4,"Normal","High CTR")</f>
        <v>Normal</v>
      </c>
      <c r="R437" s="51" t="str">
        <f>IF(Table4[[#This Row],[ROAS]]&lt;1,"Poor",IF(Table4[[#This Row],[ROAS]]&lt;3,"Average",IF(Table4[[#This Row],[ROAS]]&lt;5,"Good",
"Excellent")))</f>
        <v>Excellent</v>
      </c>
      <c r="S437" s="51" t="str">
        <f>IF(AND(Table4[[#This Row],[USD_Spend]]&gt;=$B$5,Table4[[#This Row],[Sales]]&lt;=$B$6),"Wasted Budget","Spend Justified")</f>
        <v>Spend Justified</v>
      </c>
      <c r="T437" s="51" t="str">
        <f>IF(AND(Table4[[#This Row],[Clicks]]&gt;=$B$7,Table4[[#This Row],[Sales]]&lt;=$B$6),"Poor Monetization","Normal Monitization")</f>
        <v>Normal Monitization</v>
      </c>
    </row>
    <row r="438" spans="1:20" x14ac:dyDescent="0.35">
      <c r="A438" s="38" t="s">
        <v>91</v>
      </c>
      <c r="B438" s="38" t="s">
        <v>19</v>
      </c>
      <c r="C438" s="38" t="s">
        <v>29</v>
      </c>
      <c r="D438" s="38" t="s">
        <v>63</v>
      </c>
      <c r="E438" s="38" t="s">
        <v>22</v>
      </c>
      <c r="F438" s="38">
        <v>41022.93</v>
      </c>
      <c r="G438" s="38">
        <v>529886</v>
      </c>
      <c r="H438" s="38">
        <v>39015</v>
      </c>
      <c r="I438" s="38">
        <v>156083.85</v>
      </c>
      <c r="J438" s="38">
        <v>22</v>
      </c>
      <c r="K438" s="39">
        <f t="shared" si="31"/>
        <v>7.3629044737924768E-2</v>
      </c>
      <c r="L438" s="40">
        <f t="shared" si="32"/>
        <v>3.8047952693773945</v>
      </c>
      <c r="M438" s="40">
        <f t="shared" si="33"/>
        <v>2.804795269377395</v>
      </c>
      <c r="N438" s="40">
        <f t="shared" si="34"/>
        <v>4.0006113033448676</v>
      </c>
      <c r="O438" s="1" t="str">
        <f t="shared" si="30"/>
        <v>Normal</v>
      </c>
      <c r="P438" s="51" t="str">
        <f>IF(Table4[[#This Row],[Sales]]&lt;=$B$3,"Normal","High Revenue")</f>
        <v>Normal</v>
      </c>
      <c r="Q438" s="51" t="str">
        <f>IF(Table4[[#This Row],[CTR]]&lt;=$B$4,"Normal","High CTR")</f>
        <v>Normal</v>
      </c>
      <c r="R438" s="51" t="str">
        <f>IF(Table4[[#This Row],[ROAS]]&lt;1,"Poor",IF(Table4[[#This Row],[ROAS]]&lt;3,"Average",IF(Table4[[#This Row],[ROAS]]&lt;5,"Good",
"Excellent")))</f>
        <v>Good</v>
      </c>
      <c r="S438" s="51" t="str">
        <f>IF(AND(Table4[[#This Row],[USD_Spend]]&gt;=$B$5,Table4[[#This Row],[Sales]]&lt;=$B$6),"Wasted Budget","Spend Justified")</f>
        <v>Spend Justified</v>
      </c>
      <c r="T438" s="51" t="str">
        <f>IF(AND(Table4[[#This Row],[Clicks]]&gt;=$B$7,Table4[[#This Row],[Sales]]&lt;=$B$6),"Poor Monetization","Normal Monitization")</f>
        <v>Normal Monitization</v>
      </c>
    </row>
    <row r="439" spans="1:20" x14ac:dyDescent="0.35">
      <c r="A439" s="41" t="s">
        <v>88</v>
      </c>
      <c r="B439" s="41" t="s">
        <v>19</v>
      </c>
      <c r="C439" s="41" t="s">
        <v>29</v>
      </c>
      <c r="D439" s="41" t="s">
        <v>63</v>
      </c>
      <c r="E439" s="41" t="s">
        <v>30</v>
      </c>
      <c r="F439" s="41">
        <v>11661.54</v>
      </c>
      <c r="G439" s="41">
        <v>128414</v>
      </c>
      <c r="H439" s="41">
        <v>15564</v>
      </c>
      <c r="I439" s="41">
        <v>160062.70000000001</v>
      </c>
      <c r="J439" s="41">
        <v>9</v>
      </c>
      <c r="K439" s="42">
        <f t="shared" si="31"/>
        <v>0.12120173812824146</v>
      </c>
      <c r="L439" s="43">
        <f t="shared" si="32"/>
        <v>13.725691460990573</v>
      </c>
      <c r="M439" s="43">
        <f t="shared" si="33"/>
        <v>12.725691460990571</v>
      </c>
      <c r="N439" s="43">
        <f t="shared" si="34"/>
        <v>10.2841621691082</v>
      </c>
      <c r="O439" s="1" t="str">
        <f t="shared" si="30"/>
        <v>Normal</v>
      </c>
      <c r="P439" s="51" t="str">
        <f>IF(Table4[[#This Row],[Sales]]&lt;=$B$3,"Normal","High Revenue")</f>
        <v>Normal</v>
      </c>
      <c r="Q439" s="51" t="str">
        <f>IF(Table4[[#This Row],[CTR]]&lt;=$B$4,"Normal","High CTR")</f>
        <v>Normal</v>
      </c>
      <c r="R439" s="51" t="str">
        <f>IF(Table4[[#This Row],[ROAS]]&lt;1,"Poor",IF(Table4[[#This Row],[ROAS]]&lt;3,"Average",IF(Table4[[#This Row],[ROAS]]&lt;5,"Good",
"Excellent")))</f>
        <v>Excellent</v>
      </c>
      <c r="S439" s="51" t="str">
        <f>IF(AND(Table4[[#This Row],[USD_Spend]]&gt;=$B$5,Table4[[#This Row],[Sales]]&lt;=$B$6),"Wasted Budget","Spend Justified")</f>
        <v>Spend Justified</v>
      </c>
      <c r="T439" s="51" t="str">
        <f>IF(AND(Table4[[#This Row],[Clicks]]&gt;=$B$7,Table4[[#This Row],[Sales]]&lt;=$B$6),"Poor Monetization","Normal Monitization")</f>
        <v>Normal Monitization</v>
      </c>
    </row>
    <row r="440" spans="1:20" x14ac:dyDescent="0.35">
      <c r="A440" s="38" t="s">
        <v>96</v>
      </c>
      <c r="B440" s="38" t="s">
        <v>28</v>
      </c>
      <c r="C440" s="38" t="s">
        <v>69</v>
      </c>
      <c r="D440" s="38" t="s">
        <v>37</v>
      </c>
      <c r="E440" s="38" t="s">
        <v>38</v>
      </c>
      <c r="F440" s="38">
        <v>40548.51</v>
      </c>
      <c r="G440" s="38">
        <v>245455</v>
      </c>
      <c r="H440" s="38">
        <v>3177</v>
      </c>
      <c r="I440" s="38">
        <v>73093.59</v>
      </c>
      <c r="J440" s="38">
        <v>39</v>
      </c>
      <c r="K440" s="39">
        <f t="shared" si="31"/>
        <v>1.2943309364241918E-2</v>
      </c>
      <c r="L440" s="40">
        <f t="shared" si="32"/>
        <v>1.8026208607911856</v>
      </c>
      <c r="M440" s="40">
        <f t="shared" si="33"/>
        <v>0.80262086079118544</v>
      </c>
      <c r="N440" s="40">
        <f t="shared" si="34"/>
        <v>23.007110481586402</v>
      </c>
      <c r="O440" s="1" t="str">
        <f t="shared" si="30"/>
        <v>Normal</v>
      </c>
      <c r="P440" s="51" t="str">
        <f>IF(Table4[[#This Row],[Sales]]&lt;=$B$3,"Normal","High Revenue")</f>
        <v>Normal</v>
      </c>
      <c r="Q440" s="51" t="str">
        <f>IF(Table4[[#This Row],[CTR]]&lt;=$B$4,"Normal","High CTR")</f>
        <v>Normal</v>
      </c>
      <c r="R440" s="51" t="str">
        <f>IF(Table4[[#This Row],[ROAS]]&lt;1,"Poor",IF(Table4[[#This Row],[ROAS]]&lt;3,"Average",IF(Table4[[#This Row],[ROAS]]&lt;5,"Good",
"Excellent")))</f>
        <v>Average</v>
      </c>
      <c r="S440" s="51" t="str">
        <f>IF(AND(Table4[[#This Row],[USD_Spend]]&gt;=$B$5,Table4[[#This Row],[Sales]]&lt;=$B$6),"Wasted Budget","Spend Justified")</f>
        <v>Spend Justified</v>
      </c>
      <c r="T440" s="51" t="str">
        <f>IF(AND(Table4[[#This Row],[Clicks]]&gt;=$B$7,Table4[[#This Row],[Sales]]&lt;=$B$6),"Poor Monetization","Normal Monitization")</f>
        <v>Normal Monitization</v>
      </c>
    </row>
    <row r="441" spans="1:20" x14ac:dyDescent="0.35">
      <c r="A441" s="41" t="s">
        <v>114</v>
      </c>
      <c r="B441" s="41" t="s">
        <v>35</v>
      </c>
      <c r="C441" s="41" t="s">
        <v>36</v>
      </c>
      <c r="D441" s="41" t="s">
        <v>37</v>
      </c>
      <c r="E441" s="41" t="s">
        <v>22</v>
      </c>
      <c r="F441" s="41">
        <v>210.81</v>
      </c>
      <c r="G441" s="41">
        <v>130784</v>
      </c>
      <c r="H441" s="41">
        <v>9432</v>
      </c>
      <c r="I441" s="41">
        <v>76191.17</v>
      </c>
      <c r="J441" s="41">
        <v>6</v>
      </c>
      <c r="K441" s="42">
        <f t="shared" si="31"/>
        <v>7.2118913628578418E-2</v>
      </c>
      <c r="L441" s="43">
        <f t="shared" si="32"/>
        <v>361.42104264503581</v>
      </c>
      <c r="M441" s="43">
        <f t="shared" si="33"/>
        <v>360.42104264503581</v>
      </c>
      <c r="N441" s="43">
        <f t="shared" si="34"/>
        <v>8.0779442324003394</v>
      </c>
      <c r="O441" s="1" t="str">
        <f t="shared" si="30"/>
        <v>Normal</v>
      </c>
      <c r="P441" s="51" t="str">
        <f>IF(Table4[[#This Row],[Sales]]&lt;=$B$3,"Normal","High Revenue")</f>
        <v>Normal</v>
      </c>
      <c r="Q441" s="51" t="str">
        <f>IF(Table4[[#This Row],[CTR]]&lt;=$B$4,"Normal","High CTR")</f>
        <v>Normal</v>
      </c>
      <c r="R441" s="51" t="str">
        <f>IF(Table4[[#This Row],[ROAS]]&lt;1,"Poor",IF(Table4[[#This Row],[ROAS]]&lt;3,"Average",IF(Table4[[#This Row],[ROAS]]&lt;5,"Good",
"Excellent")))</f>
        <v>Excellent</v>
      </c>
      <c r="S441" s="51" t="str">
        <f>IF(AND(Table4[[#This Row],[USD_Spend]]&gt;=$B$5,Table4[[#This Row],[Sales]]&lt;=$B$6),"Wasted Budget","Spend Justified")</f>
        <v>Spend Justified</v>
      </c>
      <c r="T441" s="51" t="str">
        <f>IF(AND(Table4[[#This Row],[Clicks]]&gt;=$B$7,Table4[[#This Row],[Sales]]&lt;=$B$6),"Poor Monetization","Normal Monitization")</f>
        <v>Normal Monitization</v>
      </c>
    </row>
    <row r="442" spans="1:20" x14ac:dyDescent="0.35">
      <c r="A442" s="38" t="s">
        <v>107</v>
      </c>
      <c r="B442" s="38" t="s">
        <v>28</v>
      </c>
      <c r="C442" s="38" t="s">
        <v>69</v>
      </c>
      <c r="D442" s="38" t="s">
        <v>51</v>
      </c>
      <c r="E442" s="38" t="s">
        <v>38</v>
      </c>
      <c r="F442" s="38">
        <v>1007.46</v>
      </c>
      <c r="G442" s="38">
        <v>486535</v>
      </c>
      <c r="H442" s="38">
        <v>21856</v>
      </c>
      <c r="I442" s="38">
        <v>142236.96</v>
      </c>
      <c r="J442" s="38">
        <v>58</v>
      </c>
      <c r="K442" s="39">
        <f t="shared" si="31"/>
        <v>4.4921742526231413E-2</v>
      </c>
      <c r="L442" s="40">
        <f t="shared" si="32"/>
        <v>141.18372937883387</v>
      </c>
      <c r="M442" s="40">
        <f t="shared" si="33"/>
        <v>140.1837293788339</v>
      </c>
      <c r="N442" s="40">
        <f t="shared" si="34"/>
        <v>6.507913616398243</v>
      </c>
      <c r="O442" s="1" t="str">
        <f t="shared" si="30"/>
        <v>Normal</v>
      </c>
      <c r="P442" s="51" t="str">
        <f>IF(Table4[[#This Row],[Sales]]&lt;=$B$3,"Normal","High Revenue")</f>
        <v>Normal</v>
      </c>
      <c r="Q442" s="51" t="str">
        <f>IF(Table4[[#This Row],[CTR]]&lt;=$B$4,"Normal","High CTR")</f>
        <v>Normal</v>
      </c>
      <c r="R442" s="51" t="str">
        <f>IF(Table4[[#This Row],[ROAS]]&lt;1,"Poor",IF(Table4[[#This Row],[ROAS]]&lt;3,"Average",IF(Table4[[#This Row],[ROAS]]&lt;5,"Good",
"Excellent")))</f>
        <v>Excellent</v>
      </c>
      <c r="S442" s="51" t="str">
        <f>IF(AND(Table4[[#This Row],[USD_Spend]]&gt;=$B$5,Table4[[#This Row],[Sales]]&lt;=$B$6),"Wasted Budget","Spend Justified")</f>
        <v>Spend Justified</v>
      </c>
      <c r="T442" s="51" t="str">
        <f>IF(AND(Table4[[#This Row],[Clicks]]&gt;=$B$7,Table4[[#This Row],[Sales]]&lt;=$B$6),"Poor Monetization","Normal Monitization")</f>
        <v>Normal Monitization</v>
      </c>
    </row>
    <row r="443" spans="1:20" x14ac:dyDescent="0.35">
      <c r="A443" s="41" t="s">
        <v>67</v>
      </c>
      <c r="B443" s="41" t="s">
        <v>19</v>
      </c>
      <c r="C443" s="41" t="s">
        <v>20</v>
      </c>
      <c r="D443" s="41" t="s">
        <v>51</v>
      </c>
      <c r="E443" s="41" t="s">
        <v>30</v>
      </c>
      <c r="F443" s="41">
        <v>3902.66</v>
      </c>
      <c r="G443" s="41">
        <v>998977</v>
      </c>
      <c r="H443" s="41">
        <v>47563</v>
      </c>
      <c r="I443" s="41">
        <v>211473.82</v>
      </c>
      <c r="J443" s="41">
        <v>48</v>
      </c>
      <c r="K443" s="42">
        <f t="shared" si="31"/>
        <v>4.7611706776031881E-2</v>
      </c>
      <c r="L443" s="43">
        <f t="shared" si="32"/>
        <v>54.18709803057402</v>
      </c>
      <c r="M443" s="43">
        <f t="shared" si="33"/>
        <v>53.18709803057402</v>
      </c>
      <c r="N443" s="43">
        <f t="shared" si="34"/>
        <v>4.4461833778357125</v>
      </c>
      <c r="O443" s="1" t="str">
        <f t="shared" si="30"/>
        <v>Normal</v>
      </c>
      <c r="P443" s="51" t="str">
        <f>IF(Table4[[#This Row],[Sales]]&lt;=$B$3,"Normal","High Revenue")</f>
        <v>Normal</v>
      </c>
      <c r="Q443" s="51" t="str">
        <f>IF(Table4[[#This Row],[CTR]]&lt;=$B$4,"Normal","High CTR")</f>
        <v>Normal</v>
      </c>
      <c r="R443" s="51" t="str">
        <f>IF(Table4[[#This Row],[ROAS]]&lt;1,"Poor",IF(Table4[[#This Row],[ROAS]]&lt;3,"Average",IF(Table4[[#This Row],[ROAS]]&lt;5,"Good",
"Excellent")))</f>
        <v>Excellent</v>
      </c>
      <c r="S443" s="51" t="str">
        <f>IF(AND(Table4[[#This Row],[USD_Spend]]&gt;=$B$5,Table4[[#This Row],[Sales]]&lt;=$B$6),"Wasted Budget","Spend Justified")</f>
        <v>Spend Justified</v>
      </c>
      <c r="T443" s="51" t="str">
        <f>IF(AND(Table4[[#This Row],[Clicks]]&gt;=$B$7,Table4[[#This Row],[Sales]]&lt;=$B$6),"Poor Monetization","Normal Monitization")</f>
        <v>Normal Monitization</v>
      </c>
    </row>
    <row r="444" spans="1:20" x14ac:dyDescent="0.35">
      <c r="A444" s="38" t="s">
        <v>103</v>
      </c>
      <c r="B444" s="38" t="s">
        <v>28</v>
      </c>
      <c r="C444" s="38" t="s">
        <v>29</v>
      </c>
      <c r="D444" s="38" t="s">
        <v>63</v>
      </c>
      <c r="E444" s="38" t="s">
        <v>22</v>
      </c>
      <c r="F444" s="38">
        <v>10278.32</v>
      </c>
      <c r="G444" s="38">
        <v>909138</v>
      </c>
      <c r="H444" s="38">
        <v>2417</v>
      </c>
      <c r="I444" s="38">
        <v>140451.87</v>
      </c>
      <c r="J444" s="38">
        <v>30</v>
      </c>
      <c r="K444" s="39">
        <f t="shared" si="31"/>
        <v>2.6585622864735607E-3</v>
      </c>
      <c r="L444" s="40">
        <f t="shared" si="32"/>
        <v>13.664866437316604</v>
      </c>
      <c r="M444" s="40">
        <f t="shared" si="33"/>
        <v>12.664866437316604</v>
      </c>
      <c r="N444" s="40">
        <f t="shared" si="34"/>
        <v>58.11</v>
      </c>
      <c r="O444" s="1" t="str">
        <f t="shared" si="30"/>
        <v>Normal</v>
      </c>
      <c r="P444" s="51" t="str">
        <f>IF(Table4[[#This Row],[Sales]]&lt;=$B$3,"Normal","High Revenue")</f>
        <v>Normal</v>
      </c>
      <c r="Q444" s="51" t="str">
        <f>IF(Table4[[#This Row],[CTR]]&lt;=$B$4,"Normal","High CTR")</f>
        <v>Normal</v>
      </c>
      <c r="R444" s="51" t="str">
        <f>IF(Table4[[#This Row],[ROAS]]&lt;1,"Poor",IF(Table4[[#This Row],[ROAS]]&lt;3,"Average",IF(Table4[[#This Row],[ROAS]]&lt;5,"Good",
"Excellent")))</f>
        <v>Excellent</v>
      </c>
      <c r="S444" s="51" t="str">
        <f>IF(AND(Table4[[#This Row],[USD_Spend]]&gt;=$B$5,Table4[[#This Row],[Sales]]&lt;=$B$6),"Wasted Budget","Spend Justified")</f>
        <v>Spend Justified</v>
      </c>
      <c r="T444" s="51" t="str">
        <f>IF(AND(Table4[[#This Row],[Clicks]]&gt;=$B$7,Table4[[#This Row],[Sales]]&lt;=$B$6),"Poor Monetization","Normal Monitization")</f>
        <v>Normal Monitization</v>
      </c>
    </row>
    <row r="445" spans="1:20" x14ac:dyDescent="0.35">
      <c r="A445" s="41" t="s">
        <v>96</v>
      </c>
      <c r="B445" s="41" t="s">
        <v>35</v>
      </c>
      <c r="C445" s="41" t="s">
        <v>36</v>
      </c>
      <c r="D445" s="41" t="s">
        <v>51</v>
      </c>
      <c r="E445" s="41" t="s">
        <v>22</v>
      </c>
      <c r="F445" s="41">
        <v>1558.08</v>
      </c>
      <c r="G445" s="41">
        <v>728596</v>
      </c>
      <c r="H445" s="41">
        <v>19778</v>
      </c>
      <c r="I445" s="41">
        <v>211809.89</v>
      </c>
      <c r="J445" s="41">
        <v>35</v>
      </c>
      <c r="K445" s="42">
        <f t="shared" si="31"/>
        <v>2.7145359019264449E-2</v>
      </c>
      <c r="L445" s="43">
        <f t="shared" si="32"/>
        <v>135.94288483261451</v>
      </c>
      <c r="M445" s="43">
        <f t="shared" si="33"/>
        <v>134.94288483261451</v>
      </c>
      <c r="N445" s="43">
        <f t="shared" si="34"/>
        <v>10.709368490241683</v>
      </c>
      <c r="O445" s="1" t="str">
        <f t="shared" si="30"/>
        <v>Normal</v>
      </c>
      <c r="P445" s="51" t="str">
        <f>IF(Table4[[#This Row],[Sales]]&lt;=$B$3,"Normal","High Revenue")</f>
        <v>Normal</v>
      </c>
      <c r="Q445" s="51" t="str">
        <f>IF(Table4[[#This Row],[CTR]]&lt;=$B$4,"Normal","High CTR")</f>
        <v>Normal</v>
      </c>
      <c r="R445" s="51" t="str">
        <f>IF(Table4[[#This Row],[ROAS]]&lt;1,"Poor",IF(Table4[[#This Row],[ROAS]]&lt;3,"Average",IF(Table4[[#This Row],[ROAS]]&lt;5,"Good",
"Excellent")))</f>
        <v>Excellent</v>
      </c>
      <c r="S445" s="51" t="str">
        <f>IF(AND(Table4[[#This Row],[USD_Spend]]&gt;=$B$5,Table4[[#This Row],[Sales]]&lt;=$B$6),"Wasted Budget","Spend Justified")</f>
        <v>Spend Justified</v>
      </c>
      <c r="T445" s="51" t="str">
        <f>IF(AND(Table4[[#This Row],[Clicks]]&gt;=$B$7,Table4[[#This Row],[Sales]]&lt;=$B$6),"Poor Monetization","Normal Monitization")</f>
        <v>Normal Monitization</v>
      </c>
    </row>
    <row r="446" spans="1:20" x14ac:dyDescent="0.35">
      <c r="A446" s="38" t="s">
        <v>104</v>
      </c>
      <c r="B446" s="38" t="s">
        <v>19</v>
      </c>
      <c r="C446" s="38" t="s">
        <v>29</v>
      </c>
      <c r="D446" s="38" t="s">
        <v>43</v>
      </c>
      <c r="E446" s="38" t="s">
        <v>38</v>
      </c>
      <c r="F446" s="38">
        <v>4769.95</v>
      </c>
      <c r="G446" s="38">
        <v>467311</v>
      </c>
      <c r="H446" s="38">
        <v>4537</v>
      </c>
      <c r="I446" s="38">
        <v>123291.05</v>
      </c>
      <c r="J446" s="38">
        <v>34</v>
      </c>
      <c r="K446" s="39">
        <f t="shared" si="31"/>
        <v>9.7087378640776691E-3</v>
      </c>
      <c r="L446" s="40">
        <f t="shared" si="32"/>
        <v>25.847451231144984</v>
      </c>
      <c r="M446" s="40">
        <f t="shared" si="33"/>
        <v>24.847451231144984</v>
      </c>
      <c r="N446" s="40">
        <f t="shared" si="34"/>
        <v>27.174575710822129</v>
      </c>
      <c r="O446" s="1" t="str">
        <f t="shared" si="30"/>
        <v>Normal</v>
      </c>
      <c r="P446" s="51" t="str">
        <f>IF(Table4[[#This Row],[Sales]]&lt;=$B$3,"Normal","High Revenue")</f>
        <v>Normal</v>
      </c>
      <c r="Q446" s="51" t="str">
        <f>IF(Table4[[#This Row],[CTR]]&lt;=$B$4,"Normal","High CTR")</f>
        <v>Normal</v>
      </c>
      <c r="R446" s="51" t="str">
        <f>IF(Table4[[#This Row],[ROAS]]&lt;1,"Poor",IF(Table4[[#This Row],[ROAS]]&lt;3,"Average",IF(Table4[[#This Row],[ROAS]]&lt;5,"Good",
"Excellent")))</f>
        <v>Excellent</v>
      </c>
      <c r="S446" s="51" t="str">
        <f>IF(AND(Table4[[#This Row],[USD_Spend]]&gt;=$B$5,Table4[[#This Row],[Sales]]&lt;=$B$6),"Wasted Budget","Spend Justified")</f>
        <v>Spend Justified</v>
      </c>
      <c r="T446" s="51" t="str">
        <f>IF(AND(Table4[[#This Row],[Clicks]]&gt;=$B$7,Table4[[#This Row],[Sales]]&lt;=$B$6),"Poor Monetization","Normal Monitization")</f>
        <v>Normal Monitization</v>
      </c>
    </row>
    <row r="447" spans="1:20" x14ac:dyDescent="0.35">
      <c r="A447" s="41" t="s">
        <v>98</v>
      </c>
      <c r="B447" s="41" t="s">
        <v>28</v>
      </c>
      <c r="C447" s="41" t="s">
        <v>20</v>
      </c>
      <c r="D447" s="41" t="s">
        <v>21</v>
      </c>
      <c r="E447" s="41" t="s">
        <v>30</v>
      </c>
      <c r="F447" s="41">
        <v>14204.79</v>
      </c>
      <c r="G447" s="41">
        <v>214110</v>
      </c>
      <c r="H447" s="41">
        <v>23858</v>
      </c>
      <c r="I447" s="41">
        <v>140539.62</v>
      </c>
      <c r="J447" s="41">
        <v>8</v>
      </c>
      <c r="K447" s="42">
        <f t="shared" si="31"/>
        <v>0.11142870487132782</v>
      </c>
      <c r="L447" s="43">
        <f t="shared" si="32"/>
        <v>9.8938189160135401</v>
      </c>
      <c r="M447" s="43">
        <f t="shared" si="33"/>
        <v>8.8938189160135401</v>
      </c>
      <c r="N447" s="43">
        <f t="shared" si="34"/>
        <v>5.8906706345879787</v>
      </c>
      <c r="O447" s="1" t="str">
        <f t="shared" si="30"/>
        <v>Normal</v>
      </c>
      <c r="P447" s="51" t="str">
        <f>IF(Table4[[#This Row],[Sales]]&lt;=$B$3,"Normal","High Revenue")</f>
        <v>Normal</v>
      </c>
      <c r="Q447" s="51" t="str">
        <f>IF(Table4[[#This Row],[CTR]]&lt;=$B$4,"Normal","High CTR")</f>
        <v>Normal</v>
      </c>
      <c r="R447" s="51" t="str">
        <f>IF(Table4[[#This Row],[ROAS]]&lt;1,"Poor",IF(Table4[[#This Row],[ROAS]]&lt;3,"Average",IF(Table4[[#This Row],[ROAS]]&lt;5,"Good",
"Excellent")))</f>
        <v>Excellent</v>
      </c>
      <c r="S447" s="51" t="str">
        <f>IF(AND(Table4[[#This Row],[USD_Spend]]&gt;=$B$5,Table4[[#This Row],[Sales]]&lt;=$B$6),"Wasted Budget","Spend Justified")</f>
        <v>Spend Justified</v>
      </c>
      <c r="T447" s="51" t="str">
        <f>IF(AND(Table4[[#This Row],[Clicks]]&gt;=$B$7,Table4[[#This Row],[Sales]]&lt;=$B$6),"Poor Monetization","Normal Monitization")</f>
        <v>Normal Monitization</v>
      </c>
    </row>
    <row r="448" spans="1:20" x14ac:dyDescent="0.35">
      <c r="A448" s="38" t="s">
        <v>83</v>
      </c>
      <c r="B448" s="38" t="s">
        <v>19</v>
      </c>
      <c r="C448" s="38" t="s">
        <v>69</v>
      </c>
      <c r="D448" s="38" t="s">
        <v>37</v>
      </c>
      <c r="E448" s="38" t="s">
        <v>38</v>
      </c>
      <c r="F448" s="38">
        <v>8499.6299999999992</v>
      </c>
      <c r="G448" s="38">
        <v>35918</v>
      </c>
      <c r="H448" s="38">
        <v>11868</v>
      </c>
      <c r="I448" s="38">
        <v>113213.68</v>
      </c>
      <c r="J448" s="38">
        <v>57</v>
      </c>
      <c r="K448" s="39">
        <f t="shared" si="31"/>
        <v>0.33041928837908568</v>
      </c>
      <c r="L448" s="40">
        <f t="shared" si="32"/>
        <v>13.319836275226098</v>
      </c>
      <c r="M448" s="40">
        <f t="shared" si="33"/>
        <v>12.319836275226098</v>
      </c>
      <c r="N448" s="40">
        <f t="shared" si="34"/>
        <v>9.5394068082237951</v>
      </c>
      <c r="O448" s="1" t="str">
        <f t="shared" si="30"/>
        <v>Normal</v>
      </c>
      <c r="P448" s="51" t="str">
        <f>IF(Table4[[#This Row],[Sales]]&lt;=$B$3,"Normal","High Revenue")</f>
        <v>Normal</v>
      </c>
      <c r="Q448" s="51" t="str">
        <f>IF(Table4[[#This Row],[CTR]]&lt;=$B$4,"Normal","High CTR")</f>
        <v>Normal</v>
      </c>
      <c r="R448" s="51" t="str">
        <f>IF(Table4[[#This Row],[ROAS]]&lt;1,"Poor",IF(Table4[[#This Row],[ROAS]]&lt;3,"Average",IF(Table4[[#This Row],[ROAS]]&lt;5,"Good",
"Excellent")))</f>
        <v>Excellent</v>
      </c>
      <c r="S448" s="51" t="str">
        <f>IF(AND(Table4[[#This Row],[USD_Spend]]&gt;=$B$5,Table4[[#This Row],[Sales]]&lt;=$B$6),"Wasted Budget","Spend Justified")</f>
        <v>Spend Justified</v>
      </c>
      <c r="T448" s="51" t="str">
        <f>IF(AND(Table4[[#This Row],[Clicks]]&gt;=$B$7,Table4[[#This Row],[Sales]]&lt;=$B$6),"Poor Monetization","Normal Monitization")</f>
        <v>Normal Monitization</v>
      </c>
    </row>
    <row r="449" spans="1:20" x14ac:dyDescent="0.35">
      <c r="A449" s="41" t="s">
        <v>50</v>
      </c>
      <c r="B449" s="41" t="s">
        <v>35</v>
      </c>
      <c r="C449" s="41" t="s">
        <v>58</v>
      </c>
      <c r="D449" s="41" t="s">
        <v>51</v>
      </c>
      <c r="E449" s="41" t="s">
        <v>30</v>
      </c>
      <c r="F449" s="41">
        <v>13586.58</v>
      </c>
      <c r="G449" s="41">
        <v>511410</v>
      </c>
      <c r="H449" s="41">
        <v>10139</v>
      </c>
      <c r="I449" s="41">
        <v>116469.77</v>
      </c>
      <c r="J449" s="41">
        <v>45</v>
      </c>
      <c r="K449" s="42">
        <f t="shared" si="31"/>
        <v>1.9825580258501008E-2</v>
      </c>
      <c r="L449" s="43">
        <f t="shared" si="32"/>
        <v>8.5724126306988229</v>
      </c>
      <c r="M449" s="43">
        <f t="shared" si="33"/>
        <v>7.572412630698822</v>
      </c>
      <c r="N449" s="43">
        <f t="shared" si="34"/>
        <v>11.487303481605682</v>
      </c>
      <c r="O449" s="1" t="str">
        <f t="shared" si="30"/>
        <v>Normal</v>
      </c>
      <c r="P449" s="51" t="str">
        <f>IF(Table4[[#This Row],[Sales]]&lt;=$B$3,"Normal","High Revenue")</f>
        <v>Normal</v>
      </c>
      <c r="Q449" s="51" t="str">
        <f>IF(Table4[[#This Row],[CTR]]&lt;=$B$4,"Normal","High CTR")</f>
        <v>Normal</v>
      </c>
      <c r="R449" s="51" t="str">
        <f>IF(Table4[[#This Row],[ROAS]]&lt;1,"Poor",IF(Table4[[#This Row],[ROAS]]&lt;3,"Average",IF(Table4[[#This Row],[ROAS]]&lt;5,"Good",
"Excellent")))</f>
        <v>Excellent</v>
      </c>
      <c r="S449" s="51" t="str">
        <f>IF(AND(Table4[[#This Row],[USD_Spend]]&gt;=$B$5,Table4[[#This Row],[Sales]]&lt;=$B$6),"Wasted Budget","Spend Justified")</f>
        <v>Spend Justified</v>
      </c>
      <c r="T449" s="51" t="str">
        <f>IF(AND(Table4[[#This Row],[Clicks]]&gt;=$B$7,Table4[[#This Row],[Sales]]&lt;=$B$6),"Poor Monetization","Normal Monitization")</f>
        <v>Normal Monitization</v>
      </c>
    </row>
    <row r="450" spans="1:20" x14ac:dyDescent="0.35">
      <c r="A450" s="38" t="s">
        <v>62</v>
      </c>
      <c r="B450" s="38" t="s">
        <v>19</v>
      </c>
      <c r="C450" s="38" t="s">
        <v>36</v>
      </c>
      <c r="D450" s="38" t="s">
        <v>37</v>
      </c>
      <c r="E450" s="38" t="s">
        <v>22</v>
      </c>
      <c r="F450" s="38">
        <v>1788.84</v>
      </c>
      <c r="G450" s="38">
        <v>611790</v>
      </c>
      <c r="H450" s="38">
        <v>44279</v>
      </c>
      <c r="I450" s="38">
        <v>182080.7</v>
      </c>
      <c r="J450" s="38">
        <v>16</v>
      </c>
      <c r="K450" s="39">
        <f t="shared" si="31"/>
        <v>7.2376142140276892E-2</v>
      </c>
      <c r="L450" s="40">
        <f t="shared" si="32"/>
        <v>101.78702399320231</v>
      </c>
      <c r="M450" s="40">
        <f t="shared" si="33"/>
        <v>100.78702399320231</v>
      </c>
      <c r="N450" s="40">
        <f t="shared" si="34"/>
        <v>4.1121231283452655</v>
      </c>
      <c r="O450" s="1" t="str">
        <f t="shared" si="30"/>
        <v>Normal</v>
      </c>
      <c r="P450" s="51" t="str">
        <f>IF(Table4[[#This Row],[Sales]]&lt;=$B$3,"Normal","High Revenue")</f>
        <v>Normal</v>
      </c>
      <c r="Q450" s="51" t="str">
        <f>IF(Table4[[#This Row],[CTR]]&lt;=$B$4,"Normal","High CTR")</f>
        <v>Normal</v>
      </c>
      <c r="R450" s="51" t="str">
        <f>IF(Table4[[#This Row],[ROAS]]&lt;1,"Poor",IF(Table4[[#This Row],[ROAS]]&lt;3,"Average",IF(Table4[[#This Row],[ROAS]]&lt;5,"Good",
"Excellent")))</f>
        <v>Excellent</v>
      </c>
      <c r="S450" s="51" t="str">
        <f>IF(AND(Table4[[#This Row],[USD_Spend]]&gt;=$B$5,Table4[[#This Row],[Sales]]&lt;=$B$6),"Wasted Budget","Spend Justified")</f>
        <v>Spend Justified</v>
      </c>
      <c r="T450" s="51" t="str">
        <f>IF(AND(Table4[[#This Row],[Clicks]]&gt;=$B$7,Table4[[#This Row],[Sales]]&lt;=$B$6),"Poor Monetization","Normal Monitization")</f>
        <v>Normal Monitization</v>
      </c>
    </row>
    <row r="451" spans="1:20" x14ac:dyDescent="0.35">
      <c r="A451" s="41" t="s">
        <v>72</v>
      </c>
      <c r="B451" s="41" t="s">
        <v>28</v>
      </c>
      <c r="C451" s="41" t="s">
        <v>58</v>
      </c>
      <c r="D451" s="41" t="s">
        <v>37</v>
      </c>
      <c r="E451" s="41" t="s">
        <v>30</v>
      </c>
      <c r="F451" s="41">
        <v>653.74</v>
      </c>
      <c r="G451" s="41">
        <v>296290</v>
      </c>
      <c r="H451" s="41">
        <v>2297</v>
      </c>
      <c r="I451" s="41">
        <v>163568.44</v>
      </c>
      <c r="J451" s="41">
        <v>22</v>
      </c>
      <c r="K451" s="42">
        <f t="shared" si="31"/>
        <v>7.7525397414695066E-3</v>
      </c>
      <c r="L451" s="43">
        <f t="shared" si="32"/>
        <v>250.20411784501485</v>
      </c>
      <c r="M451" s="43">
        <f t="shared" si="33"/>
        <v>249.20411784501485</v>
      </c>
      <c r="N451" s="43">
        <f t="shared" si="34"/>
        <v>71.20959512407488</v>
      </c>
      <c r="O451" s="1" t="str">
        <f t="shared" si="30"/>
        <v>Normal</v>
      </c>
      <c r="P451" s="51" t="str">
        <f>IF(Table4[[#This Row],[Sales]]&lt;=$B$3,"Normal","High Revenue")</f>
        <v>Normal</v>
      </c>
      <c r="Q451" s="51" t="str">
        <f>IF(Table4[[#This Row],[CTR]]&lt;=$B$4,"Normal","High CTR")</f>
        <v>Normal</v>
      </c>
      <c r="R451" s="51" t="str">
        <f>IF(Table4[[#This Row],[ROAS]]&lt;1,"Poor",IF(Table4[[#This Row],[ROAS]]&lt;3,"Average",IF(Table4[[#This Row],[ROAS]]&lt;5,"Good",
"Excellent")))</f>
        <v>Excellent</v>
      </c>
      <c r="S451" s="51" t="str">
        <f>IF(AND(Table4[[#This Row],[USD_Spend]]&gt;=$B$5,Table4[[#This Row],[Sales]]&lt;=$B$6),"Wasted Budget","Spend Justified")</f>
        <v>Spend Justified</v>
      </c>
      <c r="T451" s="51" t="str">
        <f>IF(AND(Table4[[#This Row],[Clicks]]&gt;=$B$7,Table4[[#This Row],[Sales]]&lt;=$B$6),"Poor Monetization","Normal Monitization")</f>
        <v>Normal Monitization</v>
      </c>
    </row>
    <row r="452" spans="1:20" x14ac:dyDescent="0.35">
      <c r="A452" s="38" t="s">
        <v>88</v>
      </c>
      <c r="B452" s="38" t="s">
        <v>28</v>
      </c>
      <c r="C452" s="38" t="s">
        <v>29</v>
      </c>
      <c r="D452" s="38" t="s">
        <v>51</v>
      </c>
      <c r="E452" s="38" t="s">
        <v>38</v>
      </c>
      <c r="F452" s="38">
        <v>19170.55</v>
      </c>
      <c r="G452" s="38">
        <v>20821</v>
      </c>
      <c r="H452" s="38">
        <v>30828</v>
      </c>
      <c r="I452" s="38">
        <v>37635.21</v>
      </c>
      <c r="J452" s="38">
        <v>43</v>
      </c>
      <c r="K452" s="39">
        <f t="shared" si="31"/>
        <v>1.4806205273521924</v>
      </c>
      <c r="L452" s="40">
        <f t="shared" si="32"/>
        <v>1.963178416894664</v>
      </c>
      <c r="M452" s="40">
        <f t="shared" si="33"/>
        <v>0.96317841689466399</v>
      </c>
      <c r="N452" s="40">
        <f t="shared" si="34"/>
        <v>1.2208125729855974</v>
      </c>
      <c r="O452" s="1" t="str">
        <f t="shared" si="30"/>
        <v>Normal</v>
      </c>
      <c r="P452" s="51" t="str">
        <f>IF(Table4[[#This Row],[Sales]]&lt;=$B$3,"Normal","High Revenue")</f>
        <v>Normal</v>
      </c>
      <c r="Q452" s="51" t="str">
        <f>IF(Table4[[#This Row],[CTR]]&lt;=$B$4,"Normal","High CTR")</f>
        <v>High CTR</v>
      </c>
      <c r="R452" s="51" t="str">
        <f>IF(Table4[[#This Row],[ROAS]]&lt;1,"Poor",IF(Table4[[#This Row],[ROAS]]&lt;3,"Average",IF(Table4[[#This Row],[ROAS]]&lt;5,"Good",
"Excellent")))</f>
        <v>Average</v>
      </c>
      <c r="S452" s="51" t="str">
        <f>IF(AND(Table4[[#This Row],[USD_Spend]]&gt;=$B$5,Table4[[#This Row],[Sales]]&lt;=$B$6),"Wasted Budget","Spend Justified")</f>
        <v>Wasted Budget</v>
      </c>
      <c r="T452" s="51" t="str">
        <f>IF(AND(Table4[[#This Row],[Clicks]]&gt;=$B$7,Table4[[#This Row],[Sales]]&lt;=$B$6),"Poor Monetization","Normal Monitization")</f>
        <v>Normal Monitization</v>
      </c>
    </row>
    <row r="453" spans="1:20" x14ac:dyDescent="0.35">
      <c r="A453" s="41" t="s">
        <v>66</v>
      </c>
      <c r="B453" s="41" t="s">
        <v>35</v>
      </c>
      <c r="C453" s="41" t="s">
        <v>58</v>
      </c>
      <c r="D453" s="41" t="s">
        <v>43</v>
      </c>
      <c r="E453" s="41" t="s">
        <v>22</v>
      </c>
      <c r="F453" s="41">
        <v>9411.2999999999993</v>
      </c>
      <c r="G453" s="41">
        <v>707883</v>
      </c>
      <c r="H453" s="41">
        <v>20871</v>
      </c>
      <c r="I453" s="41">
        <v>244615.53</v>
      </c>
      <c r="J453" s="41">
        <v>17</v>
      </c>
      <c r="K453" s="42">
        <f t="shared" si="31"/>
        <v>2.9483685863341824E-2</v>
      </c>
      <c r="L453" s="43">
        <f t="shared" si="32"/>
        <v>25.99168340186797</v>
      </c>
      <c r="M453" s="43">
        <f t="shared" si="33"/>
        <v>24.99168340186797</v>
      </c>
      <c r="N453" s="43">
        <f t="shared" si="34"/>
        <v>11.720355038091132</v>
      </c>
      <c r="O453" s="1" t="str">
        <f t="shared" si="30"/>
        <v>Normal</v>
      </c>
      <c r="P453" s="51" t="str">
        <f>IF(Table4[[#This Row],[Sales]]&lt;=$B$3,"Normal","High Revenue")</f>
        <v>High Revenue</v>
      </c>
      <c r="Q453" s="51" t="str">
        <f>IF(Table4[[#This Row],[CTR]]&lt;=$B$4,"Normal","High CTR")</f>
        <v>Normal</v>
      </c>
      <c r="R453" s="51" t="str">
        <f>IF(Table4[[#This Row],[ROAS]]&lt;1,"Poor",IF(Table4[[#This Row],[ROAS]]&lt;3,"Average",IF(Table4[[#This Row],[ROAS]]&lt;5,"Good",
"Excellent")))</f>
        <v>Excellent</v>
      </c>
      <c r="S453" s="51" t="str">
        <f>IF(AND(Table4[[#This Row],[USD_Spend]]&gt;=$B$5,Table4[[#This Row],[Sales]]&lt;=$B$6),"Wasted Budget","Spend Justified")</f>
        <v>Spend Justified</v>
      </c>
      <c r="T453" s="51" t="str">
        <f>IF(AND(Table4[[#This Row],[Clicks]]&gt;=$B$7,Table4[[#This Row],[Sales]]&lt;=$B$6),"Poor Monetization","Normal Monitization")</f>
        <v>Normal Monitization</v>
      </c>
    </row>
    <row r="454" spans="1:20" x14ac:dyDescent="0.35">
      <c r="A454" s="38" t="s">
        <v>82</v>
      </c>
      <c r="B454" s="38" t="s">
        <v>48</v>
      </c>
      <c r="C454" s="38" t="s">
        <v>69</v>
      </c>
      <c r="D454" s="38" t="s">
        <v>37</v>
      </c>
      <c r="E454" s="38" t="s">
        <v>22</v>
      </c>
      <c r="F454" s="38">
        <v>25308.32</v>
      </c>
      <c r="G454" s="38">
        <v>405833</v>
      </c>
      <c r="H454" s="38">
        <v>24718</v>
      </c>
      <c r="I454" s="38">
        <v>24661.25</v>
      </c>
      <c r="J454" s="38">
        <v>30</v>
      </c>
      <c r="K454" s="39">
        <f t="shared" si="31"/>
        <v>6.0906826206838773E-2</v>
      </c>
      <c r="L454" s="40">
        <f t="shared" si="32"/>
        <v>0.97443251863418834</v>
      </c>
      <c r="M454" s="40">
        <f t="shared" si="33"/>
        <v>-2.5567481365811707E-2</v>
      </c>
      <c r="N454" s="40">
        <f t="shared" si="34"/>
        <v>0.9977041022736467</v>
      </c>
      <c r="O454" s="1" t="str">
        <f t="shared" si="30"/>
        <v>Normal</v>
      </c>
      <c r="P454" s="51" t="str">
        <f>IF(Table4[[#This Row],[Sales]]&lt;=$B$3,"Normal","High Revenue")</f>
        <v>Normal</v>
      </c>
      <c r="Q454" s="51" t="str">
        <f>IF(Table4[[#This Row],[CTR]]&lt;=$B$4,"Normal","High CTR")</f>
        <v>Normal</v>
      </c>
      <c r="R454" s="51" t="str">
        <f>IF(Table4[[#This Row],[ROAS]]&lt;1,"Poor",IF(Table4[[#This Row],[ROAS]]&lt;3,"Average",IF(Table4[[#This Row],[ROAS]]&lt;5,"Good",
"Excellent")))</f>
        <v>Poor</v>
      </c>
      <c r="S454" s="51" t="str">
        <f>IF(AND(Table4[[#This Row],[USD_Spend]]&gt;=$B$5,Table4[[#This Row],[Sales]]&lt;=$B$6),"Wasted Budget","Spend Justified")</f>
        <v>Wasted Budget</v>
      </c>
      <c r="T454" s="51" t="str">
        <f>IF(AND(Table4[[#This Row],[Clicks]]&gt;=$B$7,Table4[[#This Row],[Sales]]&lt;=$B$6),"Poor Monetization","Normal Monitization")</f>
        <v>Normal Monitization</v>
      </c>
    </row>
    <row r="455" spans="1:20" x14ac:dyDescent="0.35">
      <c r="A455" s="41" t="s">
        <v>93</v>
      </c>
      <c r="B455" s="41" t="s">
        <v>35</v>
      </c>
      <c r="C455" s="41" t="s">
        <v>69</v>
      </c>
      <c r="D455" s="41" t="s">
        <v>51</v>
      </c>
      <c r="E455" s="41" t="s">
        <v>22</v>
      </c>
      <c r="F455" s="41">
        <v>5639.72</v>
      </c>
      <c r="G455" s="41">
        <v>645111</v>
      </c>
      <c r="H455" s="41">
        <v>25630</v>
      </c>
      <c r="I455" s="41">
        <v>50907.83</v>
      </c>
      <c r="J455" s="41">
        <v>46</v>
      </c>
      <c r="K455" s="42">
        <f t="shared" si="31"/>
        <v>3.9729596922080078E-2</v>
      </c>
      <c r="L455" s="43">
        <f t="shared" si="32"/>
        <v>9.0266591249210961</v>
      </c>
      <c r="M455" s="43">
        <f t="shared" si="33"/>
        <v>8.0266591249210943</v>
      </c>
      <c r="N455" s="43">
        <f t="shared" si="34"/>
        <v>1.9862594615684745</v>
      </c>
      <c r="O455" s="1" t="str">
        <f t="shared" si="30"/>
        <v>Normal</v>
      </c>
      <c r="P455" s="51" t="str">
        <f>IF(Table4[[#This Row],[Sales]]&lt;=$B$3,"Normal","High Revenue")</f>
        <v>Normal</v>
      </c>
      <c r="Q455" s="51" t="str">
        <f>IF(Table4[[#This Row],[CTR]]&lt;=$B$4,"Normal","High CTR")</f>
        <v>Normal</v>
      </c>
      <c r="R455" s="51" t="str">
        <f>IF(Table4[[#This Row],[ROAS]]&lt;1,"Poor",IF(Table4[[#This Row],[ROAS]]&lt;3,"Average",IF(Table4[[#This Row],[ROAS]]&lt;5,"Good",
"Excellent")))</f>
        <v>Excellent</v>
      </c>
      <c r="S455" s="51" t="str">
        <f>IF(AND(Table4[[#This Row],[USD_Spend]]&gt;=$B$5,Table4[[#This Row],[Sales]]&lt;=$B$6),"Wasted Budget","Spend Justified")</f>
        <v>Wasted Budget</v>
      </c>
      <c r="T455" s="51" t="str">
        <f>IF(AND(Table4[[#This Row],[Clicks]]&gt;=$B$7,Table4[[#This Row],[Sales]]&lt;=$B$6),"Poor Monetization","Normal Monitization")</f>
        <v>Normal Monitization</v>
      </c>
    </row>
    <row r="456" spans="1:20" x14ac:dyDescent="0.35">
      <c r="A456" s="38" t="s">
        <v>105</v>
      </c>
      <c r="B456" s="38" t="s">
        <v>48</v>
      </c>
      <c r="C456" s="38" t="s">
        <v>20</v>
      </c>
      <c r="D456" s="38" t="s">
        <v>21</v>
      </c>
      <c r="E456" s="38" t="s">
        <v>38</v>
      </c>
      <c r="F456" s="38">
        <v>13864.98</v>
      </c>
      <c r="G456" s="38">
        <v>951858</v>
      </c>
      <c r="H456" s="38">
        <v>5201</v>
      </c>
      <c r="I456" s="38">
        <v>131582.41</v>
      </c>
      <c r="J456" s="38">
        <v>47</v>
      </c>
      <c r="K456" s="39">
        <f t="shared" si="31"/>
        <v>5.4640503100252345E-3</v>
      </c>
      <c r="L456" s="40">
        <f t="shared" si="32"/>
        <v>9.4902704511654541</v>
      </c>
      <c r="M456" s="40">
        <f t="shared" si="33"/>
        <v>8.4902704511654559</v>
      </c>
      <c r="N456" s="40">
        <f t="shared" si="34"/>
        <v>25.299444337627381</v>
      </c>
      <c r="O456" s="1" t="str">
        <f t="shared" si="30"/>
        <v>Normal</v>
      </c>
      <c r="P456" s="51" t="str">
        <f>IF(Table4[[#This Row],[Sales]]&lt;=$B$3,"Normal","High Revenue")</f>
        <v>Normal</v>
      </c>
      <c r="Q456" s="51" t="str">
        <f>IF(Table4[[#This Row],[CTR]]&lt;=$B$4,"Normal","High CTR")</f>
        <v>Normal</v>
      </c>
      <c r="R456" s="51" t="str">
        <f>IF(Table4[[#This Row],[ROAS]]&lt;1,"Poor",IF(Table4[[#This Row],[ROAS]]&lt;3,"Average",IF(Table4[[#This Row],[ROAS]]&lt;5,"Good",
"Excellent")))</f>
        <v>Excellent</v>
      </c>
      <c r="S456" s="51" t="str">
        <f>IF(AND(Table4[[#This Row],[USD_Spend]]&gt;=$B$5,Table4[[#This Row],[Sales]]&lt;=$B$6),"Wasted Budget","Spend Justified")</f>
        <v>Spend Justified</v>
      </c>
      <c r="T456" s="51" t="str">
        <f>IF(AND(Table4[[#This Row],[Clicks]]&gt;=$B$7,Table4[[#This Row],[Sales]]&lt;=$B$6),"Poor Monetization","Normal Monitization")</f>
        <v>Normal Monitization</v>
      </c>
    </row>
    <row r="457" spans="1:20" x14ac:dyDescent="0.35">
      <c r="A457" s="41" t="s">
        <v>114</v>
      </c>
      <c r="B457" s="41" t="s">
        <v>35</v>
      </c>
      <c r="C457" s="41" t="s">
        <v>36</v>
      </c>
      <c r="D457" s="41" t="s">
        <v>21</v>
      </c>
      <c r="E457" s="41" t="s">
        <v>30</v>
      </c>
      <c r="F457" s="41">
        <v>28912.69</v>
      </c>
      <c r="G457" s="41">
        <v>277865</v>
      </c>
      <c r="H457" s="41">
        <v>11262</v>
      </c>
      <c r="I457" s="41">
        <v>19726.96</v>
      </c>
      <c r="J457" s="41">
        <v>43</v>
      </c>
      <c r="K457" s="42">
        <f t="shared" si="31"/>
        <v>4.0530473431342556E-2</v>
      </c>
      <c r="L457" s="43">
        <f t="shared" si="32"/>
        <v>0.68229417601752029</v>
      </c>
      <c r="M457" s="43">
        <f t="shared" si="33"/>
        <v>-0.31770582398247965</v>
      </c>
      <c r="N457" s="43">
        <f t="shared" si="34"/>
        <v>1.751639140472385</v>
      </c>
      <c r="O457" s="1" t="str">
        <f t="shared" si="30"/>
        <v>Normal</v>
      </c>
      <c r="P457" s="51" t="str">
        <f>IF(Table4[[#This Row],[Sales]]&lt;=$B$3,"Normal","High Revenue")</f>
        <v>Normal</v>
      </c>
      <c r="Q457" s="51" t="str">
        <f>IF(Table4[[#This Row],[CTR]]&lt;=$B$4,"Normal","High CTR")</f>
        <v>Normal</v>
      </c>
      <c r="R457" s="51" t="str">
        <f>IF(Table4[[#This Row],[ROAS]]&lt;1,"Poor",IF(Table4[[#This Row],[ROAS]]&lt;3,"Average",IF(Table4[[#This Row],[ROAS]]&lt;5,"Good",
"Excellent")))</f>
        <v>Poor</v>
      </c>
      <c r="S457" s="51" t="str">
        <f>IF(AND(Table4[[#This Row],[USD_Spend]]&gt;=$B$5,Table4[[#This Row],[Sales]]&lt;=$B$6),"Wasted Budget","Spend Justified")</f>
        <v>Wasted Budget</v>
      </c>
      <c r="T457" s="51" t="str">
        <f>IF(AND(Table4[[#This Row],[Clicks]]&gt;=$B$7,Table4[[#This Row],[Sales]]&lt;=$B$6),"Poor Monetization","Normal Monitization")</f>
        <v>Normal Monitization</v>
      </c>
    </row>
    <row r="458" spans="1:20" x14ac:dyDescent="0.35">
      <c r="A458" s="38" t="s">
        <v>103</v>
      </c>
      <c r="B458" s="38" t="s">
        <v>28</v>
      </c>
      <c r="C458" s="38" t="s">
        <v>20</v>
      </c>
      <c r="D458" s="38" t="s">
        <v>59</v>
      </c>
      <c r="E458" s="38" t="s">
        <v>38</v>
      </c>
      <c r="F458" s="38">
        <v>2112.9899999999998</v>
      </c>
      <c r="G458" s="38">
        <v>667343</v>
      </c>
      <c r="H458" s="38">
        <v>44585</v>
      </c>
      <c r="I458" s="38">
        <v>138504.51999999999</v>
      </c>
      <c r="J458" s="38">
        <v>46</v>
      </c>
      <c r="K458" s="39">
        <f t="shared" si="31"/>
        <v>6.68097215375002E-2</v>
      </c>
      <c r="L458" s="40">
        <f t="shared" si="32"/>
        <v>65.549065542193759</v>
      </c>
      <c r="M458" s="40">
        <f t="shared" si="33"/>
        <v>64.549065542193773</v>
      </c>
      <c r="N458" s="40">
        <f t="shared" si="34"/>
        <v>3.1065273073903779</v>
      </c>
      <c r="O458" s="1" t="str">
        <f t="shared" ref="O458:O521" si="35">IF(F458&lt;=$B$2,"Normal","High Spend")</f>
        <v>Normal</v>
      </c>
      <c r="P458" s="51" t="str">
        <f>IF(Table4[[#This Row],[Sales]]&lt;=$B$3,"Normal","High Revenue")</f>
        <v>Normal</v>
      </c>
      <c r="Q458" s="51" t="str">
        <f>IF(Table4[[#This Row],[CTR]]&lt;=$B$4,"Normal","High CTR")</f>
        <v>Normal</v>
      </c>
      <c r="R458" s="51" t="str">
        <f>IF(Table4[[#This Row],[ROAS]]&lt;1,"Poor",IF(Table4[[#This Row],[ROAS]]&lt;3,"Average",IF(Table4[[#This Row],[ROAS]]&lt;5,"Good",
"Excellent")))</f>
        <v>Excellent</v>
      </c>
      <c r="S458" s="51" t="str">
        <f>IF(AND(Table4[[#This Row],[USD_Spend]]&gt;=$B$5,Table4[[#This Row],[Sales]]&lt;=$B$6),"Wasted Budget","Spend Justified")</f>
        <v>Spend Justified</v>
      </c>
      <c r="T458" s="51" t="str">
        <f>IF(AND(Table4[[#This Row],[Clicks]]&gt;=$B$7,Table4[[#This Row],[Sales]]&lt;=$B$6),"Poor Monetization","Normal Monitization")</f>
        <v>Normal Monitization</v>
      </c>
    </row>
    <row r="459" spans="1:20" x14ac:dyDescent="0.35">
      <c r="A459" s="41" t="s">
        <v>67</v>
      </c>
      <c r="B459" s="41" t="s">
        <v>35</v>
      </c>
      <c r="C459" s="41" t="s">
        <v>69</v>
      </c>
      <c r="D459" s="41" t="s">
        <v>51</v>
      </c>
      <c r="E459" s="41" t="s">
        <v>22</v>
      </c>
      <c r="F459" s="41">
        <v>5624.79</v>
      </c>
      <c r="G459" s="41">
        <v>991586</v>
      </c>
      <c r="H459" s="41">
        <v>13878</v>
      </c>
      <c r="I459" s="41">
        <v>79742.73</v>
      </c>
      <c r="J459" s="41">
        <v>47</v>
      </c>
      <c r="K459" s="42">
        <f t="shared" ref="K459:K522" si="36">H459/G459</f>
        <v>1.3995760327394699E-2</v>
      </c>
      <c r="L459" s="43">
        <f t="shared" ref="L459:L522" si="37">I459/F459</f>
        <v>14.177014608545385</v>
      </c>
      <c r="M459" s="43">
        <f t="shared" ref="M459:M522" si="38">(I459-F459)/F459</f>
        <v>13.177014608545386</v>
      </c>
      <c r="N459" s="43">
        <f t="shared" ref="N459:N522" si="39">I459/H459</f>
        <v>5.7459814094249886</v>
      </c>
      <c r="O459" s="1" t="str">
        <f t="shared" si="35"/>
        <v>Normal</v>
      </c>
      <c r="P459" s="51" t="str">
        <f>IF(Table4[[#This Row],[Sales]]&lt;=$B$3,"Normal","High Revenue")</f>
        <v>Normal</v>
      </c>
      <c r="Q459" s="51" t="str">
        <f>IF(Table4[[#This Row],[CTR]]&lt;=$B$4,"Normal","High CTR")</f>
        <v>Normal</v>
      </c>
      <c r="R459" s="51" t="str">
        <f>IF(Table4[[#This Row],[ROAS]]&lt;1,"Poor",IF(Table4[[#This Row],[ROAS]]&lt;3,"Average",IF(Table4[[#This Row],[ROAS]]&lt;5,"Good",
"Excellent")))</f>
        <v>Excellent</v>
      </c>
      <c r="S459" s="51" t="str">
        <f>IF(AND(Table4[[#This Row],[USD_Spend]]&gt;=$B$5,Table4[[#This Row],[Sales]]&lt;=$B$6),"Wasted Budget","Spend Justified")</f>
        <v>Spend Justified</v>
      </c>
      <c r="T459" s="51" t="str">
        <f>IF(AND(Table4[[#This Row],[Clicks]]&gt;=$B$7,Table4[[#This Row],[Sales]]&lt;=$B$6),"Poor Monetization","Normal Monitization")</f>
        <v>Normal Monitization</v>
      </c>
    </row>
    <row r="460" spans="1:20" x14ac:dyDescent="0.35">
      <c r="A460" s="38" t="s">
        <v>55</v>
      </c>
      <c r="B460" s="38" t="s">
        <v>19</v>
      </c>
      <c r="C460" s="38" t="s">
        <v>29</v>
      </c>
      <c r="D460" s="38" t="s">
        <v>37</v>
      </c>
      <c r="E460" s="38" t="s">
        <v>38</v>
      </c>
      <c r="F460" s="38">
        <v>38183.89</v>
      </c>
      <c r="G460" s="38">
        <v>594004</v>
      </c>
      <c r="H460" s="38">
        <v>14492</v>
      </c>
      <c r="I460" s="38">
        <v>172730.49</v>
      </c>
      <c r="J460" s="38">
        <v>23</v>
      </c>
      <c r="K460" s="39">
        <f t="shared" si="36"/>
        <v>2.4397142106787159E-2</v>
      </c>
      <c r="L460" s="40">
        <f t="shared" si="37"/>
        <v>4.5236483239397556</v>
      </c>
      <c r="M460" s="40">
        <f t="shared" si="38"/>
        <v>3.5236483239397551</v>
      </c>
      <c r="N460" s="40">
        <f t="shared" si="39"/>
        <v>11.91902359922716</v>
      </c>
      <c r="O460" s="1" t="str">
        <f t="shared" si="35"/>
        <v>Normal</v>
      </c>
      <c r="P460" s="51" t="str">
        <f>IF(Table4[[#This Row],[Sales]]&lt;=$B$3,"Normal","High Revenue")</f>
        <v>Normal</v>
      </c>
      <c r="Q460" s="51" t="str">
        <f>IF(Table4[[#This Row],[CTR]]&lt;=$B$4,"Normal","High CTR")</f>
        <v>Normal</v>
      </c>
      <c r="R460" s="51" t="str">
        <f>IF(Table4[[#This Row],[ROAS]]&lt;1,"Poor",IF(Table4[[#This Row],[ROAS]]&lt;3,"Average",IF(Table4[[#This Row],[ROAS]]&lt;5,"Good",
"Excellent")))</f>
        <v>Good</v>
      </c>
      <c r="S460" s="51" t="str">
        <f>IF(AND(Table4[[#This Row],[USD_Spend]]&gt;=$B$5,Table4[[#This Row],[Sales]]&lt;=$B$6),"Wasted Budget","Spend Justified")</f>
        <v>Spend Justified</v>
      </c>
      <c r="T460" s="51" t="str">
        <f>IF(AND(Table4[[#This Row],[Clicks]]&gt;=$B$7,Table4[[#This Row],[Sales]]&lt;=$B$6),"Poor Monetization","Normal Monitization")</f>
        <v>Normal Monitization</v>
      </c>
    </row>
    <row r="461" spans="1:20" x14ac:dyDescent="0.35">
      <c r="A461" s="41" t="s">
        <v>89</v>
      </c>
      <c r="B461" s="41" t="s">
        <v>19</v>
      </c>
      <c r="C461" s="41" t="s">
        <v>20</v>
      </c>
      <c r="D461" s="41" t="s">
        <v>51</v>
      </c>
      <c r="E461" s="41" t="s">
        <v>22</v>
      </c>
      <c r="F461" s="41">
        <v>14845.81</v>
      </c>
      <c r="G461" s="41">
        <v>644836</v>
      </c>
      <c r="H461" s="41">
        <v>28293</v>
      </c>
      <c r="I461" s="41">
        <v>29298.720000000001</v>
      </c>
      <c r="J461" s="41">
        <v>44</v>
      </c>
      <c r="K461" s="42">
        <f t="shared" si="36"/>
        <v>4.3876272416552425E-2</v>
      </c>
      <c r="L461" s="43">
        <f t="shared" si="37"/>
        <v>1.9735346202059707</v>
      </c>
      <c r="M461" s="43">
        <f t="shared" si="38"/>
        <v>0.9735346202059707</v>
      </c>
      <c r="N461" s="43">
        <f t="shared" si="39"/>
        <v>1.0355466016329127</v>
      </c>
      <c r="O461" s="1" t="str">
        <f t="shared" si="35"/>
        <v>Normal</v>
      </c>
      <c r="P461" s="51" t="str">
        <f>IF(Table4[[#This Row],[Sales]]&lt;=$B$3,"Normal","High Revenue")</f>
        <v>Normal</v>
      </c>
      <c r="Q461" s="51" t="str">
        <f>IF(Table4[[#This Row],[CTR]]&lt;=$B$4,"Normal","High CTR")</f>
        <v>Normal</v>
      </c>
      <c r="R461" s="51" t="str">
        <f>IF(Table4[[#This Row],[ROAS]]&lt;1,"Poor",IF(Table4[[#This Row],[ROAS]]&lt;3,"Average",IF(Table4[[#This Row],[ROAS]]&lt;5,"Good",
"Excellent")))</f>
        <v>Average</v>
      </c>
      <c r="S461" s="51" t="str">
        <f>IF(AND(Table4[[#This Row],[USD_Spend]]&gt;=$B$5,Table4[[#This Row],[Sales]]&lt;=$B$6),"Wasted Budget","Spend Justified")</f>
        <v>Wasted Budget</v>
      </c>
      <c r="T461" s="51" t="str">
        <f>IF(AND(Table4[[#This Row],[Clicks]]&gt;=$B$7,Table4[[#This Row],[Sales]]&lt;=$B$6),"Poor Monetization","Normal Monitization")</f>
        <v>Normal Monitization</v>
      </c>
    </row>
    <row r="462" spans="1:20" x14ac:dyDescent="0.35">
      <c r="A462" s="38" t="s">
        <v>97</v>
      </c>
      <c r="B462" s="38" t="s">
        <v>35</v>
      </c>
      <c r="C462" s="38" t="s">
        <v>29</v>
      </c>
      <c r="D462" s="38" t="s">
        <v>37</v>
      </c>
      <c r="E462" s="38" t="s">
        <v>30</v>
      </c>
      <c r="F462" s="38">
        <v>278.64999999999998</v>
      </c>
      <c r="G462" s="38">
        <v>289947</v>
      </c>
      <c r="H462" s="38">
        <v>49264</v>
      </c>
      <c r="I462" s="38">
        <v>197455.39</v>
      </c>
      <c r="J462" s="38">
        <v>15</v>
      </c>
      <c r="K462" s="39">
        <f t="shared" si="36"/>
        <v>0.16990691402221786</v>
      </c>
      <c r="L462" s="40">
        <f t="shared" si="37"/>
        <v>708.61435492553392</v>
      </c>
      <c r="M462" s="40">
        <f t="shared" si="38"/>
        <v>707.61435492553392</v>
      </c>
      <c r="N462" s="40">
        <f t="shared" si="39"/>
        <v>4.0081071370574861</v>
      </c>
      <c r="O462" s="1" t="str">
        <f t="shared" si="35"/>
        <v>Normal</v>
      </c>
      <c r="P462" s="51" t="str">
        <f>IF(Table4[[#This Row],[Sales]]&lt;=$B$3,"Normal","High Revenue")</f>
        <v>Normal</v>
      </c>
      <c r="Q462" s="51" t="str">
        <f>IF(Table4[[#This Row],[CTR]]&lt;=$B$4,"Normal","High CTR")</f>
        <v>Normal</v>
      </c>
      <c r="R462" s="51" t="str">
        <f>IF(Table4[[#This Row],[ROAS]]&lt;1,"Poor",IF(Table4[[#This Row],[ROAS]]&lt;3,"Average",IF(Table4[[#This Row],[ROAS]]&lt;5,"Good",
"Excellent")))</f>
        <v>Excellent</v>
      </c>
      <c r="S462" s="51" t="str">
        <f>IF(AND(Table4[[#This Row],[USD_Spend]]&gt;=$B$5,Table4[[#This Row],[Sales]]&lt;=$B$6),"Wasted Budget","Spend Justified")</f>
        <v>Spend Justified</v>
      </c>
      <c r="T462" s="51" t="str">
        <f>IF(AND(Table4[[#This Row],[Clicks]]&gt;=$B$7,Table4[[#This Row],[Sales]]&lt;=$B$6),"Poor Monetization","Normal Monitization")</f>
        <v>Normal Monitization</v>
      </c>
    </row>
    <row r="463" spans="1:20" x14ac:dyDescent="0.35">
      <c r="A463" s="41" t="s">
        <v>62</v>
      </c>
      <c r="B463" s="41" t="s">
        <v>19</v>
      </c>
      <c r="C463" s="41" t="s">
        <v>20</v>
      </c>
      <c r="D463" s="41" t="s">
        <v>37</v>
      </c>
      <c r="E463" s="41" t="s">
        <v>38</v>
      </c>
      <c r="F463" s="41">
        <v>9282.69</v>
      </c>
      <c r="G463" s="41">
        <v>626005</v>
      </c>
      <c r="H463" s="41">
        <v>46278</v>
      </c>
      <c r="I463" s="41">
        <v>247153.31</v>
      </c>
      <c r="J463" s="41">
        <v>38</v>
      </c>
      <c r="K463" s="42">
        <f t="shared" si="36"/>
        <v>7.3925927109208395E-2</v>
      </c>
      <c r="L463" s="43">
        <f t="shared" si="37"/>
        <v>26.625181924636067</v>
      </c>
      <c r="M463" s="43">
        <f t="shared" si="38"/>
        <v>25.625181924636067</v>
      </c>
      <c r="N463" s="43">
        <f t="shared" si="39"/>
        <v>5.3406221098578159</v>
      </c>
      <c r="O463" s="1" t="str">
        <f t="shared" si="35"/>
        <v>Normal</v>
      </c>
      <c r="P463" s="51" t="str">
        <f>IF(Table4[[#This Row],[Sales]]&lt;=$B$3,"Normal","High Revenue")</f>
        <v>High Revenue</v>
      </c>
      <c r="Q463" s="51" t="str">
        <f>IF(Table4[[#This Row],[CTR]]&lt;=$B$4,"Normal","High CTR")</f>
        <v>Normal</v>
      </c>
      <c r="R463" s="51" t="str">
        <f>IF(Table4[[#This Row],[ROAS]]&lt;1,"Poor",IF(Table4[[#This Row],[ROAS]]&lt;3,"Average",IF(Table4[[#This Row],[ROAS]]&lt;5,"Good",
"Excellent")))</f>
        <v>Excellent</v>
      </c>
      <c r="S463" s="51" t="str">
        <f>IF(AND(Table4[[#This Row],[USD_Spend]]&gt;=$B$5,Table4[[#This Row],[Sales]]&lt;=$B$6),"Wasted Budget","Spend Justified")</f>
        <v>Spend Justified</v>
      </c>
      <c r="T463" s="51" t="str">
        <f>IF(AND(Table4[[#This Row],[Clicks]]&gt;=$B$7,Table4[[#This Row],[Sales]]&lt;=$B$6),"Poor Monetization","Normal Monitization")</f>
        <v>Normal Monitization</v>
      </c>
    </row>
    <row r="464" spans="1:20" x14ac:dyDescent="0.35">
      <c r="A464" s="38" t="s">
        <v>98</v>
      </c>
      <c r="B464" s="38" t="s">
        <v>28</v>
      </c>
      <c r="C464" s="38" t="s">
        <v>29</v>
      </c>
      <c r="D464" s="38" t="s">
        <v>43</v>
      </c>
      <c r="E464" s="38" t="s">
        <v>38</v>
      </c>
      <c r="F464" s="38">
        <v>1409.96</v>
      </c>
      <c r="G464" s="38">
        <v>862283</v>
      </c>
      <c r="H464" s="38">
        <v>17445</v>
      </c>
      <c r="I464" s="38">
        <v>48592.72</v>
      </c>
      <c r="J464" s="38">
        <v>30</v>
      </c>
      <c r="K464" s="39">
        <f t="shared" si="36"/>
        <v>2.0231177003373603E-2</v>
      </c>
      <c r="L464" s="40">
        <f t="shared" si="37"/>
        <v>34.463899685097452</v>
      </c>
      <c r="M464" s="40">
        <f t="shared" si="38"/>
        <v>33.463899685097452</v>
      </c>
      <c r="N464" s="40">
        <f t="shared" si="39"/>
        <v>2.7854812267125251</v>
      </c>
      <c r="O464" s="1" t="str">
        <f t="shared" si="35"/>
        <v>Normal</v>
      </c>
      <c r="P464" s="51" t="str">
        <f>IF(Table4[[#This Row],[Sales]]&lt;=$B$3,"Normal","High Revenue")</f>
        <v>Normal</v>
      </c>
      <c r="Q464" s="51" t="str">
        <f>IF(Table4[[#This Row],[CTR]]&lt;=$B$4,"Normal","High CTR")</f>
        <v>Normal</v>
      </c>
      <c r="R464" s="51" t="str">
        <f>IF(Table4[[#This Row],[ROAS]]&lt;1,"Poor",IF(Table4[[#This Row],[ROAS]]&lt;3,"Average",IF(Table4[[#This Row],[ROAS]]&lt;5,"Good",
"Excellent")))</f>
        <v>Excellent</v>
      </c>
      <c r="S464" s="51" t="str">
        <f>IF(AND(Table4[[#This Row],[USD_Spend]]&gt;=$B$5,Table4[[#This Row],[Sales]]&lt;=$B$6),"Wasted Budget","Spend Justified")</f>
        <v>Spend Justified</v>
      </c>
      <c r="T464" s="51" t="str">
        <f>IF(AND(Table4[[#This Row],[Clicks]]&gt;=$B$7,Table4[[#This Row],[Sales]]&lt;=$B$6),"Poor Monetization","Normal Monitization")</f>
        <v>Normal Monitization</v>
      </c>
    </row>
    <row r="465" spans="1:20" x14ac:dyDescent="0.35">
      <c r="A465" s="41" t="s">
        <v>104</v>
      </c>
      <c r="B465" s="41" t="s">
        <v>48</v>
      </c>
      <c r="C465" s="41" t="s">
        <v>36</v>
      </c>
      <c r="D465" s="41" t="s">
        <v>43</v>
      </c>
      <c r="E465" s="41" t="s">
        <v>38</v>
      </c>
      <c r="F465" s="41">
        <v>8791.2099999999991</v>
      </c>
      <c r="G465" s="41">
        <v>21190</v>
      </c>
      <c r="H465" s="41">
        <v>12934</v>
      </c>
      <c r="I465" s="41">
        <v>113309.74</v>
      </c>
      <c r="J465" s="41">
        <v>29</v>
      </c>
      <c r="K465" s="42">
        <f t="shared" si="36"/>
        <v>0.61038225578102878</v>
      </c>
      <c r="L465" s="43">
        <f t="shared" si="37"/>
        <v>12.888981152765094</v>
      </c>
      <c r="M465" s="43">
        <f t="shared" si="38"/>
        <v>11.888981152765092</v>
      </c>
      <c r="N465" s="43">
        <f t="shared" si="39"/>
        <v>8.7606107932580795</v>
      </c>
      <c r="O465" s="1" t="str">
        <f t="shared" si="35"/>
        <v>Normal</v>
      </c>
      <c r="P465" s="51" t="str">
        <f>IF(Table4[[#This Row],[Sales]]&lt;=$B$3,"Normal","High Revenue")</f>
        <v>Normal</v>
      </c>
      <c r="Q465" s="51" t="str">
        <f>IF(Table4[[#This Row],[CTR]]&lt;=$B$4,"Normal","High CTR")</f>
        <v>High CTR</v>
      </c>
      <c r="R465" s="51" t="str">
        <f>IF(Table4[[#This Row],[ROAS]]&lt;1,"Poor",IF(Table4[[#This Row],[ROAS]]&lt;3,"Average",IF(Table4[[#This Row],[ROAS]]&lt;5,"Good",
"Excellent")))</f>
        <v>Excellent</v>
      </c>
      <c r="S465" s="51" t="str">
        <f>IF(AND(Table4[[#This Row],[USD_Spend]]&gt;=$B$5,Table4[[#This Row],[Sales]]&lt;=$B$6),"Wasted Budget","Spend Justified")</f>
        <v>Spend Justified</v>
      </c>
      <c r="T465" s="51" t="str">
        <f>IF(AND(Table4[[#This Row],[Clicks]]&gt;=$B$7,Table4[[#This Row],[Sales]]&lt;=$B$6),"Poor Monetization","Normal Monitization")</f>
        <v>Normal Monitization</v>
      </c>
    </row>
    <row r="466" spans="1:20" x14ac:dyDescent="0.35">
      <c r="A466" s="38" t="s">
        <v>42</v>
      </c>
      <c r="B466" s="38" t="s">
        <v>35</v>
      </c>
      <c r="C466" s="38" t="s">
        <v>29</v>
      </c>
      <c r="D466" s="38" t="s">
        <v>59</v>
      </c>
      <c r="E466" s="38" t="s">
        <v>38</v>
      </c>
      <c r="F466" s="38">
        <v>9514.2800000000007</v>
      </c>
      <c r="G466" s="38">
        <v>917340</v>
      </c>
      <c r="H466" s="38">
        <v>10566</v>
      </c>
      <c r="I466" s="38">
        <v>204302.07</v>
      </c>
      <c r="J466" s="38">
        <v>61</v>
      </c>
      <c r="K466" s="39">
        <f t="shared" si="36"/>
        <v>1.1518084897638826E-2</v>
      </c>
      <c r="L466" s="40">
        <f t="shared" si="37"/>
        <v>21.47320343735942</v>
      </c>
      <c r="M466" s="40">
        <f t="shared" si="38"/>
        <v>20.47320343735942</v>
      </c>
      <c r="N466" s="40">
        <f t="shared" si="39"/>
        <v>19.335800681431007</v>
      </c>
      <c r="O466" s="1" t="str">
        <f t="shared" si="35"/>
        <v>Normal</v>
      </c>
      <c r="P466" s="51" t="str">
        <f>IF(Table4[[#This Row],[Sales]]&lt;=$B$3,"Normal","High Revenue")</f>
        <v>Normal</v>
      </c>
      <c r="Q466" s="51" t="str">
        <f>IF(Table4[[#This Row],[CTR]]&lt;=$B$4,"Normal","High CTR")</f>
        <v>Normal</v>
      </c>
      <c r="R466" s="51" t="str">
        <f>IF(Table4[[#This Row],[ROAS]]&lt;1,"Poor",IF(Table4[[#This Row],[ROAS]]&lt;3,"Average",IF(Table4[[#This Row],[ROAS]]&lt;5,"Good",
"Excellent")))</f>
        <v>Excellent</v>
      </c>
      <c r="S466" s="51" t="str">
        <f>IF(AND(Table4[[#This Row],[USD_Spend]]&gt;=$B$5,Table4[[#This Row],[Sales]]&lt;=$B$6),"Wasted Budget","Spend Justified")</f>
        <v>Spend Justified</v>
      </c>
      <c r="T466" s="51" t="str">
        <f>IF(AND(Table4[[#This Row],[Clicks]]&gt;=$B$7,Table4[[#This Row],[Sales]]&lt;=$B$6),"Poor Monetization","Normal Monitization")</f>
        <v>Normal Monitization</v>
      </c>
    </row>
    <row r="467" spans="1:20" x14ac:dyDescent="0.35">
      <c r="A467" s="41" t="s">
        <v>50</v>
      </c>
      <c r="B467" s="41" t="s">
        <v>48</v>
      </c>
      <c r="C467" s="41" t="s">
        <v>69</v>
      </c>
      <c r="D467" s="41" t="s">
        <v>21</v>
      </c>
      <c r="E467" s="41" t="s">
        <v>38</v>
      </c>
      <c r="F467" s="41">
        <v>32264.54</v>
      </c>
      <c r="G467" s="41">
        <v>538597</v>
      </c>
      <c r="H467" s="41">
        <v>25309</v>
      </c>
      <c r="I467" s="41">
        <v>107572.86</v>
      </c>
      <c r="J467" s="41">
        <v>48</v>
      </c>
      <c r="K467" s="42">
        <f t="shared" si="36"/>
        <v>4.6990607077276703E-2</v>
      </c>
      <c r="L467" s="43">
        <f t="shared" si="37"/>
        <v>3.3340893748988827</v>
      </c>
      <c r="M467" s="43">
        <f t="shared" si="38"/>
        <v>2.3340893748988831</v>
      </c>
      <c r="N467" s="43">
        <f t="shared" si="39"/>
        <v>4.2503797068236597</v>
      </c>
      <c r="O467" s="1" t="str">
        <f t="shared" si="35"/>
        <v>Normal</v>
      </c>
      <c r="P467" s="51" t="str">
        <f>IF(Table4[[#This Row],[Sales]]&lt;=$B$3,"Normal","High Revenue")</f>
        <v>Normal</v>
      </c>
      <c r="Q467" s="51" t="str">
        <f>IF(Table4[[#This Row],[CTR]]&lt;=$B$4,"Normal","High CTR")</f>
        <v>Normal</v>
      </c>
      <c r="R467" s="51" t="str">
        <f>IF(Table4[[#This Row],[ROAS]]&lt;1,"Poor",IF(Table4[[#This Row],[ROAS]]&lt;3,"Average",IF(Table4[[#This Row],[ROAS]]&lt;5,"Good",
"Excellent")))</f>
        <v>Good</v>
      </c>
      <c r="S467" s="51" t="str">
        <f>IF(AND(Table4[[#This Row],[USD_Spend]]&gt;=$B$5,Table4[[#This Row],[Sales]]&lt;=$B$6),"Wasted Budget","Spend Justified")</f>
        <v>Spend Justified</v>
      </c>
      <c r="T467" s="51" t="str">
        <f>IF(AND(Table4[[#This Row],[Clicks]]&gt;=$B$7,Table4[[#This Row],[Sales]]&lt;=$B$6),"Poor Monetization","Normal Monitization")</f>
        <v>Normal Monitization</v>
      </c>
    </row>
    <row r="468" spans="1:20" x14ac:dyDescent="0.35">
      <c r="A468" s="38" t="s">
        <v>86</v>
      </c>
      <c r="B468" s="38" t="s">
        <v>35</v>
      </c>
      <c r="C468" s="38" t="s">
        <v>58</v>
      </c>
      <c r="D468" s="38" t="s">
        <v>59</v>
      </c>
      <c r="E468" s="38" t="s">
        <v>38</v>
      </c>
      <c r="F468" s="38">
        <v>14637.27</v>
      </c>
      <c r="G468" s="38">
        <v>702165</v>
      </c>
      <c r="H468" s="38">
        <v>23707</v>
      </c>
      <c r="I468" s="38">
        <v>216749.16</v>
      </c>
      <c r="J468" s="38">
        <v>48</v>
      </c>
      <c r="K468" s="39">
        <f t="shared" si="36"/>
        <v>3.3762719588700661E-2</v>
      </c>
      <c r="L468" s="40">
        <f t="shared" si="37"/>
        <v>14.808031825606824</v>
      </c>
      <c r="M468" s="40">
        <f t="shared" si="38"/>
        <v>13.808031825606825</v>
      </c>
      <c r="N468" s="40">
        <f t="shared" si="39"/>
        <v>9.1428337621799471</v>
      </c>
      <c r="O468" s="1" t="str">
        <f t="shared" si="35"/>
        <v>Normal</v>
      </c>
      <c r="P468" s="51" t="str">
        <f>IF(Table4[[#This Row],[Sales]]&lt;=$B$3,"Normal","High Revenue")</f>
        <v>Normal</v>
      </c>
      <c r="Q468" s="51" t="str">
        <f>IF(Table4[[#This Row],[CTR]]&lt;=$B$4,"Normal","High CTR")</f>
        <v>Normal</v>
      </c>
      <c r="R468" s="51" t="str">
        <f>IF(Table4[[#This Row],[ROAS]]&lt;1,"Poor",IF(Table4[[#This Row],[ROAS]]&lt;3,"Average",IF(Table4[[#This Row],[ROAS]]&lt;5,"Good",
"Excellent")))</f>
        <v>Excellent</v>
      </c>
      <c r="S468" s="51" t="str">
        <f>IF(AND(Table4[[#This Row],[USD_Spend]]&gt;=$B$5,Table4[[#This Row],[Sales]]&lt;=$B$6),"Wasted Budget","Spend Justified")</f>
        <v>Spend Justified</v>
      </c>
      <c r="T468" s="51" t="str">
        <f>IF(AND(Table4[[#This Row],[Clicks]]&gt;=$B$7,Table4[[#This Row],[Sales]]&lt;=$B$6),"Poor Monetization","Normal Monitization")</f>
        <v>Normal Monitization</v>
      </c>
    </row>
    <row r="469" spans="1:20" x14ac:dyDescent="0.35">
      <c r="A469" s="41" t="s">
        <v>109</v>
      </c>
      <c r="B469" s="41" t="s">
        <v>35</v>
      </c>
      <c r="C469" s="41" t="s">
        <v>69</v>
      </c>
      <c r="D469" s="41" t="s">
        <v>43</v>
      </c>
      <c r="E469" s="41" t="s">
        <v>30</v>
      </c>
      <c r="F469" s="41">
        <v>48689.85</v>
      </c>
      <c r="G469" s="41">
        <v>51843</v>
      </c>
      <c r="H469" s="41">
        <v>42601</v>
      </c>
      <c r="I469" s="41">
        <v>84397.42</v>
      </c>
      <c r="J469" s="41">
        <v>36</v>
      </c>
      <c r="K469" s="42">
        <f t="shared" si="36"/>
        <v>0.82173099550566131</v>
      </c>
      <c r="L469" s="43">
        <f t="shared" si="37"/>
        <v>1.7333678374445598</v>
      </c>
      <c r="M469" s="43">
        <f t="shared" si="38"/>
        <v>0.7333678374445598</v>
      </c>
      <c r="N469" s="43">
        <f t="shared" si="39"/>
        <v>1.9811135888828901</v>
      </c>
      <c r="O469" s="1" t="str">
        <f t="shared" si="35"/>
        <v>High Spend</v>
      </c>
      <c r="P469" s="51" t="str">
        <f>IF(Table4[[#This Row],[Sales]]&lt;=$B$3,"Normal","High Revenue")</f>
        <v>Normal</v>
      </c>
      <c r="Q469" s="51" t="str">
        <f>IF(Table4[[#This Row],[CTR]]&lt;=$B$4,"Normal","High CTR")</f>
        <v>High CTR</v>
      </c>
      <c r="R469" s="51" t="str">
        <f>IF(Table4[[#This Row],[ROAS]]&lt;1,"Poor",IF(Table4[[#This Row],[ROAS]]&lt;3,"Average",IF(Table4[[#This Row],[ROAS]]&lt;5,"Good",
"Excellent")))</f>
        <v>Average</v>
      </c>
      <c r="S469" s="51" t="str">
        <f>IF(AND(Table4[[#This Row],[USD_Spend]]&gt;=$B$5,Table4[[#This Row],[Sales]]&lt;=$B$6),"Wasted Budget","Spend Justified")</f>
        <v>Spend Justified</v>
      </c>
      <c r="T469" s="51" t="str">
        <f>IF(AND(Table4[[#This Row],[Clicks]]&gt;=$B$7,Table4[[#This Row],[Sales]]&lt;=$B$6),"Poor Monetization","Normal Monitization")</f>
        <v>Normal Monitization</v>
      </c>
    </row>
    <row r="470" spans="1:20" x14ac:dyDescent="0.35">
      <c r="A470" s="38" t="s">
        <v>104</v>
      </c>
      <c r="B470" s="38" t="s">
        <v>35</v>
      </c>
      <c r="C470" s="38" t="s">
        <v>20</v>
      </c>
      <c r="D470" s="38" t="s">
        <v>37</v>
      </c>
      <c r="E470" s="38" t="s">
        <v>38</v>
      </c>
      <c r="F470" s="38">
        <v>25582.48</v>
      </c>
      <c r="G470" s="38">
        <v>334348</v>
      </c>
      <c r="H470" s="38">
        <v>12589</v>
      </c>
      <c r="I470" s="38">
        <v>15069.49</v>
      </c>
      <c r="J470" s="38">
        <v>43</v>
      </c>
      <c r="K470" s="39">
        <f t="shared" si="36"/>
        <v>3.7652386136600192E-2</v>
      </c>
      <c r="L470" s="40">
        <f t="shared" si="37"/>
        <v>0.58905508770064519</v>
      </c>
      <c r="M470" s="40">
        <f t="shared" si="38"/>
        <v>-0.41094491229935487</v>
      </c>
      <c r="N470" s="40">
        <f t="shared" si="39"/>
        <v>1.1970363015330845</v>
      </c>
      <c r="O470" s="1" t="str">
        <f t="shared" si="35"/>
        <v>Normal</v>
      </c>
      <c r="P470" s="51" t="str">
        <f>IF(Table4[[#This Row],[Sales]]&lt;=$B$3,"Normal","High Revenue")</f>
        <v>Normal</v>
      </c>
      <c r="Q470" s="51" t="str">
        <f>IF(Table4[[#This Row],[CTR]]&lt;=$B$4,"Normal","High CTR")</f>
        <v>Normal</v>
      </c>
      <c r="R470" s="51" t="str">
        <f>IF(Table4[[#This Row],[ROAS]]&lt;1,"Poor",IF(Table4[[#This Row],[ROAS]]&lt;3,"Average",IF(Table4[[#This Row],[ROAS]]&lt;5,"Good",
"Excellent")))</f>
        <v>Poor</v>
      </c>
      <c r="S470" s="51" t="str">
        <f>IF(AND(Table4[[#This Row],[USD_Spend]]&gt;=$B$5,Table4[[#This Row],[Sales]]&lt;=$B$6),"Wasted Budget","Spend Justified")</f>
        <v>Wasted Budget</v>
      </c>
      <c r="T470" s="51" t="str">
        <f>IF(AND(Table4[[#This Row],[Clicks]]&gt;=$B$7,Table4[[#This Row],[Sales]]&lt;=$B$6),"Poor Monetization","Normal Monitization")</f>
        <v>Normal Monitization</v>
      </c>
    </row>
    <row r="471" spans="1:20" x14ac:dyDescent="0.35">
      <c r="A471" s="41" t="s">
        <v>97</v>
      </c>
      <c r="B471" s="41" t="s">
        <v>35</v>
      </c>
      <c r="C471" s="41" t="s">
        <v>36</v>
      </c>
      <c r="D471" s="41" t="s">
        <v>37</v>
      </c>
      <c r="E471" s="41" t="s">
        <v>30</v>
      </c>
      <c r="F471" s="41">
        <v>29412.02</v>
      </c>
      <c r="G471" s="41">
        <v>656908</v>
      </c>
      <c r="H471" s="41">
        <v>44434</v>
      </c>
      <c r="I471" s="41">
        <v>91427.12</v>
      </c>
      <c r="J471" s="41">
        <v>22</v>
      </c>
      <c r="K471" s="42">
        <f t="shared" si="36"/>
        <v>6.7641130873729652E-2</v>
      </c>
      <c r="L471" s="43">
        <f t="shared" si="37"/>
        <v>3.108495098262547</v>
      </c>
      <c r="M471" s="43">
        <f t="shared" si="38"/>
        <v>2.1084950982625466</v>
      </c>
      <c r="N471" s="43">
        <f t="shared" si="39"/>
        <v>2.0575937345276141</v>
      </c>
      <c r="O471" s="1" t="str">
        <f t="shared" si="35"/>
        <v>Normal</v>
      </c>
      <c r="P471" s="51" t="str">
        <f>IF(Table4[[#This Row],[Sales]]&lt;=$B$3,"Normal","High Revenue")</f>
        <v>Normal</v>
      </c>
      <c r="Q471" s="51" t="str">
        <f>IF(Table4[[#This Row],[CTR]]&lt;=$B$4,"Normal","High CTR")</f>
        <v>Normal</v>
      </c>
      <c r="R471" s="51" t="str">
        <f>IF(Table4[[#This Row],[ROAS]]&lt;1,"Poor",IF(Table4[[#This Row],[ROAS]]&lt;3,"Average",IF(Table4[[#This Row],[ROAS]]&lt;5,"Good",
"Excellent")))</f>
        <v>Good</v>
      </c>
      <c r="S471" s="51" t="str">
        <f>IF(AND(Table4[[#This Row],[USD_Spend]]&gt;=$B$5,Table4[[#This Row],[Sales]]&lt;=$B$6),"Wasted Budget","Spend Justified")</f>
        <v>Spend Justified</v>
      </c>
      <c r="T471" s="51" t="str">
        <f>IF(AND(Table4[[#This Row],[Clicks]]&gt;=$B$7,Table4[[#This Row],[Sales]]&lt;=$B$6),"Poor Monetization","Normal Monitization")</f>
        <v>Normal Monitization</v>
      </c>
    </row>
    <row r="472" spans="1:20" x14ac:dyDescent="0.35">
      <c r="A472" s="38" t="s">
        <v>78</v>
      </c>
      <c r="B472" s="38" t="s">
        <v>35</v>
      </c>
      <c r="C472" s="38" t="s">
        <v>20</v>
      </c>
      <c r="D472" s="38" t="s">
        <v>21</v>
      </c>
      <c r="E472" s="38" t="s">
        <v>22</v>
      </c>
      <c r="F472" s="38">
        <v>16598.07</v>
      </c>
      <c r="G472" s="38">
        <v>67152</v>
      </c>
      <c r="H472" s="38">
        <v>23747</v>
      </c>
      <c r="I472" s="38">
        <v>5934.82</v>
      </c>
      <c r="J472" s="38">
        <v>42</v>
      </c>
      <c r="K472" s="39">
        <f t="shared" si="36"/>
        <v>0.35363056945437216</v>
      </c>
      <c r="L472" s="40">
        <f t="shared" si="37"/>
        <v>0.35756084894207579</v>
      </c>
      <c r="M472" s="40">
        <f t="shared" si="38"/>
        <v>-0.64243915105792426</v>
      </c>
      <c r="N472" s="40">
        <f t="shared" si="39"/>
        <v>0.24991872657598854</v>
      </c>
      <c r="O472" s="1" t="str">
        <f t="shared" si="35"/>
        <v>Normal</v>
      </c>
      <c r="P472" s="51" t="str">
        <f>IF(Table4[[#This Row],[Sales]]&lt;=$B$3,"Normal","High Revenue")</f>
        <v>Normal</v>
      </c>
      <c r="Q472" s="51" t="str">
        <f>IF(Table4[[#This Row],[CTR]]&lt;=$B$4,"Normal","High CTR")</f>
        <v>Normal</v>
      </c>
      <c r="R472" s="51" t="str">
        <f>IF(Table4[[#This Row],[ROAS]]&lt;1,"Poor",IF(Table4[[#This Row],[ROAS]]&lt;3,"Average",IF(Table4[[#This Row],[ROAS]]&lt;5,"Good",
"Excellent")))</f>
        <v>Poor</v>
      </c>
      <c r="S472" s="51" t="str">
        <f>IF(AND(Table4[[#This Row],[USD_Spend]]&gt;=$B$5,Table4[[#This Row],[Sales]]&lt;=$B$6),"Wasted Budget","Spend Justified")</f>
        <v>Wasted Budget</v>
      </c>
      <c r="T472" s="51" t="str">
        <f>IF(AND(Table4[[#This Row],[Clicks]]&gt;=$B$7,Table4[[#This Row],[Sales]]&lt;=$B$6),"Poor Monetization","Normal Monitization")</f>
        <v>Normal Monitization</v>
      </c>
    </row>
    <row r="473" spans="1:20" x14ac:dyDescent="0.35">
      <c r="A473" s="41" t="s">
        <v>94</v>
      </c>
      <c r="B473" s="41" t="s">
        <v>28</v>
      </c>
      <c r="C473" s="41" t="s">
        <v>58</v>
      </c>
      <c r="D473" s="41" t="s">
        <v>59</v>
      </c>
      <c r="E473" s="41" t="s">
        <v>22</v>
      </c>
      <c r="F473" s="41">
        <v>8141.08</v>
      </c>
      <c r="G473" s="41">
        <v>201031</v>
      </c>
      <c r="H473" s="41">
        <v>35255</v>
      </c>
      <c r="I473" s="41">
        <v>203828.24</v>
      </c>
      <c r="J473" s="41">
        <v>29</v>
      </c>
      <c r="K473" s="42">
        <f t="shared" si="36"/>
        <v>0.17537096268734673</v>
      </c>
      <c r="L473" s="43">
        <f t="shared" si="37"/>
        <v>25.037002461589861</v>
      </c>
      <c r="M473" s="43">
        <f t="shared" si="38"/>
        <v>24.037002461589864</v>
      </c>
      <c r="N473" s="43">
        <f t="shared" si="39"/>
        <v>5.7815413416536661</v>
      </c>
      <c r="O473" s="1" t="str">
        <f t="shared" si="35"/>
        <v>Normal</v>
      </c>
      <c r="P473" s="51" t="str">
        <f>IF(Table4[[#This Row],[Sales]]&lt;=$B$3,"Normal","High Revenue")</f>
        <v>Normal</v>
      </c>
      <c r="Q473" s="51" t="str">
        <f>IF(Table4[[#This Row],[CTR]]&lt;=$B$4,"Normal","High CTR")</f>
        <v>Normal</v>
      </c>
      <c r="R473" s="51" t="str">
        <f>IF(Table4[[#This Row],[ROAS]]&lt;1,"Poor",IF(Table4[[#This Row],[ROAS]]&lt;3,"Average",IF(Table4[[#This Row],[ROAS]]&lt;5,"Good",
"Excellent")))</f>
        <v>Excellent</v>
      </c>
      <c r="S473" s="51" t="str">
        <f>IF(AND(Table4[[#This Row],[USD_Spend]]&gt;=$B$5,Table4[[#This Row],[Sales]]&lt;=$B$6),"Wasted Budget","Spend Justified")</f>
        <v>Spend Justified</v>
      </c>
      <c r="T473" s="51" t="str">
        <f>IF(AND(Table4[[#This Row],[Clicks]]&gt;=$B$7,Table4[[#This Row],[Sales]]&lt;=$B$6),"Poor Monetization","Normal Monitization")</f>
        <v>Normal Monitization</v>
      </c>
    </row>
    <row r="474" spans="1:20" x14ac:dyDescent="0.35">
      <c r="A474" s="38" t="s">
        <v>82</v>
      </c>
      <c r="B474" s="38" t="s">
        <v>28</v>
      </c>
      <c r="C474" s="38" t="s">
        <v>69</v>
      </c>
      <c r="D474" s="38" t="s">
        <v>43</v>
      </c>
      <c r="E474" s="38" t="s">
        <v>30</v>
      </c>
      <c r="F474" s="38">
        <v>1305.69</v>
      </c>
      <c r="G474" s="38">
        <v>492515</v>
      </c>
      <c r="H474" s="38">
        <v>45438</v>
      </c>
      <c r="I474" s="38">
        <v>104247.44</v>
      </c>
      <c r="J474" s="38">
        <v>13</v>
      </c>
      <c r="K474" s="39">
        <f t="shared" si="36"/>
        <v>9.2257088616590363E-2</v>
      </c>
      <c r="L474" s="40">
        <f t="shared" si="37"/>
        <v>79.840881066715681</v>
      </c>
      <c r="M474" s="40">
        <f t="shared" si="38"/>
        <v>78.840881066715681</v>
      </c>
      <c r="N474" s="40">
        <f t="shared" si="39"/>
        <v>2.2942787974822836</v>
      </c>
      <c r="O474" s="1" t="str">
        <f t="shared" si="35"/>
        <v>Normal</v>
      </c>
      <c r="P474" s="51" t="str">
        <f>IF(Table4[[#This Row],[Sales]]&lt;=$B$3,"Normal","High Revenue")</f>
        <v>Normal</v>
      </c>
      <c r="Q474" s="51" t="str">
        <f>IF(Table4[[#This Row],[CTR]]&lt;=$B$4,"Normal","High CTR")</f>
        <v>Normal</v>
      </c>
      <c r="R474" s="51" t="str">
        <f>IF(Table4[[#This Row],[ROAS]]&lt;1,"Poor",IF(Table4[[#This Row],[ROAS]]&lt;3,"Average",IF(Table4[[#This Row],[ROAS]]&lt;5,"Good",
"Excellent")))</f>
        <v>Excellent</v>
      </c>
      <c r="S474" s="51" t="str">
        <f>IF(AND(Table4[[#This Row],[USD_Spend]]&gt;=$B$5,Table4[[#This Row],[Sales]]&lt;=$B$6),"Wasted Budget","Spend Justified")</f>
        <v>Spend Justified</v>
      </c>
      <c r="T474" s="51" t="str">
        <f>IF(AND(Table4[[#This Row],[Clicks]]&gt;=$B$7,Table4[[#This Row],[Sales]]&lt;=$B$6),"Poor Monetization","Normal Monitization")</f>
        <v>Normal Monitization</v>
      </c>
    </row>
    <row r="475" spans="1:20" x14ac:dyDescent="0.35">
      <c r="A475" s="41" t="s">
        <v>99</v>
      </c>
      <c r="B475" s="41" t="s">
        <v>19</v>
      </c>
      <c r="C475" s="41" t="s">
        <v>20</v>
      </c>
      <c r="D475" s="41" t="s">
        <v>43</v>
      </c>
      <c r="E475" s="41" t="s">
        <v>22</v>
      </c>
      <c r="F475" s="41">
        <v>6708.23</v>
      </c>
      <c r="G475" s="41">
        <v>359247</v>
      </c>
      <c r="H475" s="41">
        <v>11118</v>
      </c>
      <c r="I475" s="41">
        <v>23712.95</v>
      </c>
      <c r="J475" s="41">
        <v>61</v>
      </c>
      <c r="K475" s="42">
        <f t="shared" si="36"/>
        <v>3.0948066372161773E-2</v>
      </c>
      <c r="L475" s="43">
        <f t="shared" si="37"/>
        <v>3.5349041401383081</v>
      </c>
      <c r="M475" s="43">
        <f t="shared" si="38"/>
        <v>2.5349041401383081</v>
      </c>
      <c r="N475" s="43">
        <f t="shared" si="39"/>
        <v>2.1328431372549019</v>
      </c>
      <c r="O475" s="1" t="str">
        <f t="shared" si="35"/>
        <v>Normal</v>
      </c>
      <c r="P475" s="51" t="str">
        <f>IF(Table4[[#This Row],[Sales]]&lt;=$B$3,"Normal","High Revenue")</f>
        <v>Normal</v>
      </c>
      <c r="Q475" s="51" t="str">
        <f>IF(Table4[[#This Row],[CTR]]&lt;=$B$4,"Normal","High CTR")</f>
        <v>Normal</v>
      </c>
      <c r="R475" s="51" t="str">
        <f>IF(Table4[[#This Row],[ROAS]]&lt;1,"Poor",IF(Table4[[#This Row],[ROAS]]&lt;3,"Average",IF(Table4[[#This Row],[ROAS]]&lt;5,"Good",
"Excellent")))</f>
        <v>Good</v>
      </c>
      <c r="S475" s="51" t="str">
        <f>IF(AND(Table4[[#This Row],[USD_Spend]]&gt;=$B$5,Table4[[#This Row],[Sales]]&lt;=$B$6),"Wasted Budget","Spend Justified")</f>
        <v>Wasted Budget</v>
      </c>
      <c r="T475" s="51" t="str">
        <f>IF(AND(Table4[[#This Row],[Clicks]]&gt;=$B$7,Table4[[#This Row],[Sales]]&lt;=$B$6),"Poor Monetization","Normal Monitization")</f>
        <v>Normal Monitization</v>
      </c>
    </row>
    <row r="476" spans="1:20" x14ac:dyDescent="0.35">
      <c r="A476" s="38" t="s">
        <v>75</v>
      </c>
      <c r="B476" s="38" t="s">
        <v>28</v>
      </c>
      <c r="C476" s="38" t="s">
        <v>20</v>
      </c>
      <c r="D476" s="38" t="s">
        <v>51</v>
      </c>
      <c r="E476" s="38" t="s">
        <v>30</v>
      </c>
      <c r="F476" s="38">
        <v>1242.52</v>
      </c>
      <c r="G476" s="38">
        <v>869926</v>
      </c>
      <c r="H476" s="38">
        <v>11494</v>
      </c>
      <c r="I476" s="38">
        <v>12615.11</v>
      </c>
      <c r="J476" s="38">
        <v>38</v>
      </c>
      <c r="K476" s="39">
        <f t="shared" si="36"/>
        <v>1.3212618084756635E-2</v>
      </c>
      <c r="L476" s="40">
        <f t="shared" si="37"/>
        <v>10.152842610179313</v>
      </c>
      <c r="M476" s="40">
        <f t="shared" si="38"/>
        <v>9.152842610179313</v>
      </c>
      <c r="N476" s="40">
        <f t="shared" si="39"/>
        <v>1.0975387158517489</v>
      </c>
      <c r="O476" s="1" t="str">
        <f t="shared" si="35"/>
        <v>Normal</v>
      </c>
      <c r="P476" s="51" t="str">
        <f>IF(Table4[[#This Row],[Sales]]&lt;=$B$3,"Normal","High Revenue")</f>
        <v>Normal</v>
      </c>
      <c r="Q476" s="51" t="str">
        <f>IF(Table4[[#This Row],[CTR]]&lt;=$B$4,"Normal","High CTR")</f>
        <v>Normal</v>
      </c>
      <c r="R476" s="51" t="str">
        <f>IF(Table4[[#This Row],[ROAS]]&lt;1,"Poor",IF(Table4[[#This Row],[ROAS]]&lt;3,"Average",IF(Table4[[#This Row],[ROAS]]&lt;5,"Good",
"Excellent")))</f>
        <v>Excellent</v>
      </c>
      <c r="S476" s="51" t="str">
        <f>IF(AND(Table4[[#This Row],[USD_Spend]]&gt;=$B$5,Table4[[#This Row],[Sales]]&lt;=$B$6),"Wasted Budget","Spend Justified")</f>
        <v>Spend Justified</v>
      </c>
      <c r="T476" s="51" t="str">
        <f>IF(AND(Table4[[#This Row],[Clicks]]&gt;=$B$7,Table4[[#This Row],[Sales]]&lt;=$B$6),"Poor Monetization","Normal Monitization")</f>
        <v>Normal Monitization</v>
      </c>
    </row>
    <row r="477" spans="1:20" x14ac:dyDescent="0.35">
      <c r="A477" s="41" t="s">
        <v>34</v>
      </c>
      <c r="B477" s="41" t="s">
        <v>48</v>
      </c>
      <c r="C477" s="41" t="s">
        <v>58</v>
      </c>
      <c r="D477" s="41" t="s">
        <v>59</v>
      </c>
      <c r="E477" s="41" t="s">
        <v>22</v>
      </c>
      <c r="F477" s="41">
        <v>20449.11</v>
      </c>
      <c r="G477" s="41">
        <v>899173</v>
      </c>
      <c r="H477" s="41">
        <v>40341</v>
      </c>
      <c r="I477" s="41">
        <v>172619.61</v>
      </c>
      <c r="J477" s="41">
        <v>29</v>
      </c>
      <c r="K477" s="42">
        <f t="shared" si="36"/>
        <v>4.486455887799122E-2</v>
      </c>
      <c r="L477" s="43">
        <f t="shared" si="37"/>
        <v>8.4414241010977982</v>
      </c>
      <c r="M477" s="43">
        <f t="shared" si="38"/>
        <v>7.4414241010977982</v>
      </c>
      <c r="N477" s="43">
        <f t="shared" si="39"/>
        <v>4.2790116754666467</v>
      </c>
      <c r="O477" s="1" t="str">
        <f t="shared" si="35"/>
        <v>Normal</v>
      </c>
      <c r="P477" s="51" t="str">
        <f>IF(Table4[[#This Row],[Sales]]&lt;=$B$3,"Normal","High Revenue")</f>
        <v>Normal</v>
      </c>
      <c r="Q477" s="51" t="str">
        <f>IF(Table4[[#This Row],[CTR]]&lt;=$B$4,"Normal","High CTR")</f>
        <v>Normal</v>
      </c>
      <c r="R477" s="51" t="str">
        <f>IF(Table4[[#This Row],[ROAS]]&lt;1,"Poor",IF(Table4[[#This Row],[ROAS]]&lt;3,"Average",IF(Table4[[#This Row],[ROAS]]&lt;5,"Good",
"Excellent")))</f>
        <v>Excellent</v>
      </c>
      <c r="S477" s="51" t="str">
        <f>IF(AND(Table4[[#This Row],[USD_Spend]]&gt;=$B$5,Table4[[#This Row],[Sales]]&lt;=$B$6),"Wasted Budget","Spend Justified")</f>
        <v>Spend Justified</v>
      </c>
      <c r="T477" s="51" t="str">
        <f>IF(AND(Table4[[#This Row],[Clicks]]&gt;=$B$7,Table4[[#This Row],[Sales]]&lt;=$B$6),"Poor Monetization","Normal Monitization")</f>
        <v>Normal Monitization</v>
      </c>
    </row>
    <row r="478" spans="1:20" x14ac:dyDescent="0.35">
      <c r="A478" s="38" t="s">
        <v>112</v>
      </c>
      <c r="B478" s="38" t="s">
        <v>35</v>
      </c>
      <c r="C478" s="38" t="s">
        <v>69</v>
      </c>
      <c r="D478" s="38" t="s">
        <v>63</v>
      </c>
      <c r="E478" s="38" t="s">
        <v>30</v>
      </c>
      <c r="F478" s="38">
        <v>26169.61</v>
      </c>
      <c r="G478" s="38">
        <v>409152</v>
      </c>
      <c r="H478" s="38">
        <v>30656</v>
      </c>
      <c r="I478" s="38">
        <v>135744.28</v>
      </c>
      <c r="J478" s="38">
        <v>21</v>
      </c>
      <c r="K478" s="39">
        <f t="shared" si="36"/>
        <v>7.4925699984357885E-2</v>
      </c>
      <c r="L478" s="40">
        <f t="shared" si="37"/>
        <v>5.1870960247401472</v>
      </c>
      <c r="M478" s="40">
        <f t="shared" si="38"/>
        <v>4.1870960247401472</v>
      </c>
      <c r="N478" s="40">
        <f t="shared" si="39"/>
        <v>4.4279840814196243</v>
      </c>
      <c r="O478" s="1" t="str">
        <f t="shared" si="35"/>
        <v>Normal</v>
      </c>
      <c r="P478" s="51" t="str">
        <f>IF(Table4[[#This Row],[Sales]]&lt;=$B$3,"Normal","High Revenue")</f>
        <v>Normal</v>
      </c>
      <c r="Q478" s="51" t="str">
        <f>IF(Table4[[#This Row],[CTR]]&lt;=$B$4,"Normal","High CTR")</f>
        <v>Normal</v>
      </c>
      <c r="R478" s="51" t="str">
        <f>IF(Table4[[#This Row],[ROAS]]&lt;1,"Poor",IF(Table4[[#This Row],[ROAS]]&lt;3,"Average",IF(Table4[[#This Row],[ROAS]]&lt;5,"Good",
"Excellent")))</f>
        <v>Excellent</v>
      </c>
      <c r="S478" s="51" t="str">
        <f>IF(AND(Table4[[#This Row],[USD_Spend]]&gt;=$B$5,Table4[[#This Row],[Sales]]&lt;=$B$6),"Wasted Budget","Spend Justified")</f>
        <v>Spend Justified</v>
      </c>
      <c r="T478" s="51" t="str">
        <f>IF(AND(Table4[[#This Row],[Clicks]]&gt;=$B$7,Table4[[#This Row],[Sales]]&lt;=$B$6),"Poor Monetization","Normal Monitization")</f>
        <v>Normal Monitization</v>
      </c>
    </row>
    <row r="479" spans="1:20" x14ac:dyDescent="0.35">
      <c r="A479" s="41" t="s">
        <v>62</v>
      </c>
      <c r="B479" s="41" t="s">
        <v>19</v>
      </c>
      <c r="C479" s="41" t="s">
        <v>69</v>
      </c>
      <c r="D479" s="41" t="s">
        <v>37</v>
      </c>
      <c r="E479" s="41" t="s">
        <v>30</v>
      </c>
      <c r="F479" s="41">
        <v>17450.03</v>
      </c>
      <c r="G479" s="41">
        <v>552717</v>
      </c>
      <c r="H479" s="41">
        <v>29688</v>
      </c>
      <c r="I479" s="41">
        <v>34646.03</v>
      </c>
      <c r="J479" s="41">
        <v>48</v>
      </c>
      <c r="K479" s="42">
        <f t="shared" si="36"/>
        <v>5.3712840386671658E-2</v>
      </c>
      <c r="L479" s="43">
        <f t="shared" si="37"/>
        <v>1.9854424319041286</v>
      </c>
      <c r="M479" s="43">
        <f t="shared" si="38"/>
        <v>0.98544243190412861</v>
      </c>
      <c r="N479" s="43">
        <f t="shared" si="39"/>
        <v>1.1670045136081919</v>
      </c>
      <c r="O479" s="1" t="str">
        <f t="shared" si="35"/>
        <v>Normal</v>
      </c>
      <c r="P479" s="51" t="str">
        <f>IF(Table4[[#This Row],[Sales]]&lt;=$B$3,"Normal","High Revenue")</f>
        <v>Normal</v>
      </c>
      <c r="Q479" s="51" t="str">
        <f>IF(Table4[[#This Row],[CTR]]&lt;=$B$4,"Normal","High CTR")</f>
        <v>Normal</v>
      </c>
      <c r="R479" s="51" t="str">
        <f>IF(Table4[[#This Row],[ROAS]]&lt;1,"Poor",IF(Table4[[#This Row],[ROAS]]&lt;3,"Average",IF(Table4[[#This Row],[ROAS]]&lt;5,"Good",
"Excellent")))</f>
        <v>Average</v>
      </c>
      <c r="S479" s="51" t="str">
        <f>IF(AND(Table4[[#This Row],[USD_Spend]]&gt;=$B$5,Table4[[#This Row],[Sales]]&lt;=$B$6),"Wasted Budget","Spend Justified")</f>
        <v>Wasted Budget</v>
      </c>
      <c r="T479" s="51" t="str">
        <f>IF(AND(Table4[[#This Row],[Clicks]]&gt;=$B$7,Table4[[#This Row],[Sales]]&lt;=$B$6),"Poor Monetization","Normal Monitization")</f>
        <v>Normal Monitization</v>
      </c>
    </row>
    <row r="480" spans="1:20" x14ac:dyDescent="0.35">
      <c r="A480" s="38" t="s">
        <v>89</v>
      </c>
      <c r="B480" s="38" t="s">
        <v>19</v>
      </c>
      <c r="C480" s="38" t="s">
        <v>20</v>
      </c>
      <c r="D480" s="38" t="s">
        <v>21</v>
      </c>
      <c r="E480" s="38" t="s">
        <v>30</v>
      </c>
      <c r="F480" s="38">
        <v>3275.44</v>
      </c>
      <c r="G480" s="38">
        <v>177775</v>
      </c>
      <c r="H480" s="38">
        <v>37579</v>
      </c>
      <c r="I480" s="38">
        <v>58362.89</v>
      </c>
      <c r="J480" s="38">
        <v>44</v>
      </c>
      <c r="K480" s="39">
        <f t="shared" si="36"/>
        <v>0.21138517789340458</v>
      </c>
      <c r="L480" s="40">
        <f t="shared" si="37"/>
        <v>17.818335857167281</v>
      </c>
      <c r="M480" s="40">
        <f t="shared" si="38"/>
        <v>16.818335857167281</v>
      </c>
      <c r="N480" s="40">
        <f t="shared" si="39"/>
        <v>1.5530719284706884</v>
      </c>
      <c r="O480" s="1" t="str">
        <f t="shared" si="35"/>
        <v>Normal</v>
      </c>
      <c r="P480" s="51" t="str">
        <f>IF(Table4[[#This Row],[Sales]]&lt;=$B$3,"Normal","High Revenue")</f>
        <v>Normal</v>
      </c>
      <c r="Q480" s="51" t="str">
        <f>IF(Table4[[#This Row],[CTR]]&lt;=$B$4,"Normal","High CTR")</f>
        <v>Normal</v>
      </c>
      <c r="R480" s="51" t="str">
        <f>IF(Table4[[#This Row],[ROAS]]&lt;1,"Poor",IF(Table4[[#This Row],[ROAS]]&lt;3,"Average",IF(Table4[[#This Row],[ROAS]]&lt;5,"Good",
"Excellent")))</f>
        <v>Excellent</v>
      </c>
      <c r="S480" s="51" t="str">
        <f>IF(AND(Table4[[#This Row],[USD_Spend]]&gt;=$B$5,Table4[[#This Row],[Sales]]&lt;=$B$6),"Wasted Budget","Spend Justified")</f>
        <v>Spend Justified</v>
      </c>
      <c r="T480" s="51" t="str">
        <f>IF(AND(Table4[[#This Row],[Clicks]]&gt;=$B$7,Table4[[#This Row],[Sales]]&lt;=$B$6),"Poor Monetization","Normal Monitization")</f>
        <v>Normal Monitization</v>
      </c>
    </row>
    <row r="481" spans="1:20" x14ac:dyDescent="0.35">
      <c r="A481" s="41" t="s">
        <v>118</v>
      </c>
      <c r="B481" s="41" t="s">
        <v>28</v>
      </c>
      <c r="C481" s="41" t="s">
        <v>29</v>
      </c>
      <c r="D481" s="41" t="s">
        <v>37</v>
      </c>
      <c r="E481" s="41" t="s">
        <v>22</v>
      </c>
      <c r="F481" s="41">
        <v>16059.09</v>
      </c>
      <c r="G481" s="41">
        <v>414452</v>
      </c>
      <c r="H481" s="41">
        <v>45313</v>
      </c>
      <c r="I481" s="41">
        <v>213414.54</v>
      </c>
      <c r="J481" s="41">
        <v>31</v>
      </c>
      <c r="K481" s="42">
        <f t="shared" si="36"/>
        <v>0.10933232316408173</v>
      </c>
      <c r="L481" s="43">
        <f t="shared" si="37"/>
        <v>13.289329594640792</v>
      </c>
      <c r="M481" s="43">
        <f t="shared" si="38"/>
        <v>12.289329594640792</v>
      </c>
      <c r="N481" s="43">
        <f t="shared" si="39"/>
        <v>4.7097861540838171</v>
      </c>
      <c r="O481" s="1" t="str">
        <f t="shared" si="35"/>
        <v>Normal</v>
      </c>
      <c r="P481" s="51" t="str">
        <f>IF(Table4[[#This Row],[Sales]]&lt;=$B$3,"Normal","High Revenue")</f>
        <v>Normal</v>
      </c>
      <c r="Q481" s="51" t="str">
        <f>IF(Table4[[#This Row],[CTR]]&lt;=$B$4,"Normal","High CTR")</f>
        <v>Normal</v>
      </c>
      <c r="R481" s="51" t="str">
        <f>IF(Table4[[#This Row],[ROAS]]&lt;1,"Poor",IF(Table4[[#This Row],[ROAS]]&lt;3,"Average",IF(Table4[[#This Row],[ROAS]]&lt;5,"Good",
"Excellent")))</f>
        <v>Excellent</v>
      </c>
      <c r="S481" s="51" t="str">
        <f>IF(AND(Table4[[#This Row],[USD_Spend]]&gt;=$B$5,Table4[[#This Row],[Sales]]&lt;=$B$6),"Wasted Budget","Spend Justified")</f>
        <v>Spend Justified</v>
      </c>
      <c r="T481" s="51" t="str">
        <f>IF(AND(Table4[[#This Row],[Clicks]]&gt;=$B$7,Table4[[#This Row],[Sales]]&lt;=$B$6),"Poor Monetization","Normal Monitization")</f>
        <v>Normal Monitization</v>
      </c>
    </row>
    <row r="482" spans="1:20" x14ac:dyDescent="0.35">
      <c r="A482" s="38" t="s">
        <v>72</v>
      </c>
      <c r="B482" s="38" t="s">
        <v>48</v>
      </c>
      <c r="C482" s="38" t="s">
        <v>20</v>
      </c>
      <c r="D482" s="38" t="s">
        <v>37</v>
      </c>
      <c r="E482" s="38" t="s">
        <v>30</v>
      </c>
      <c r="F482" s="38">
        <v>752.21</v>
      </c>
      <c r="G482" s="38">
        <v>806070</v>
      </c>
      <c r="H482" s="38">
        <v>2530</v>
      </c>
      <c r="I482" s="38">
        <v>166743.16</v>
      </c>
      <c r="J482" s="38">
        <v>55</v>
      </c>
      <c r="K482" s="39">
        <f t="shared" si="36"/>
        <v>3.1386852258488717E-3</v>
      </c>
      <c r="L482" s="40">
        <f t="shared" si="37"/>
        <v>221.67102271971922</v>
      </c>
      <c r="M482" s="40">
        <f t="shared" si="38"/>
        <v>220.67102271971922</v>
      </c>
      <c r="N482" s="40">
        <f t="shared" si="39"/>
        <v>65.906387351778662</v>
      </c>
      <c r="O482" s="1" t="str">
        <f t="shared" si="35"/>
        <v>Normal</v>
      </c>
      <c r="P482" s="51" t="str">
        <f>IF(Table4[[#This Row],[Sales]]&lt;=$B$3,"Normal","High Revenue")</f>
        <v>Normal</v>
      </c>
      <c r="Q482" s="51" t="str">
        <f>IF(Table4[[#This Row],[CTR]]&lt;=$B$4,"Normal","High CTR")</f>
        <v>Normal</v>
      </c>
      <c r="R482" s="51" t="str">
        <f>IF(Table4[[#This Row],[ROAS]]&lt;1,"Poor",IF(Table4[[#This Row],[ROAS]]&lt;3,"Average",IF(Table4[[#This Row],[ROAS]]&lt;5,"Good",
"Excellent")))</f>
        <v>Excellent</v>
      </c>
      <c r="S482" s="51" t="str">
        <f>IF(AND(Table4[[#This Row],[USD_Spend]]&gt;=$B$5,Table4[[#This Row],[Sales]]&lt;=$B$6),"Wasted Budget","Spend Justified")</f>
        <v>Spend Justified</v>
      </c>
      <c r="T482" s="51" t="str">
        <f>IF(AND(Table4[[#This Row],[Clicks]]&gt;=$B$7,Table4[[#This Row],[Sales]]&lt;=$B$6),"Poor Monetization","Normal Monitization")</f>
        <v>Normal Monitization</v>
      </c>
    </row>
    <row r="483" spans="1:20" x14ac:dyDescent="0.35">
      <c r="A483" s="41" t="s">
        <v>57</v>
      </c>
      <c r="B483" s="41" t="s">
        <v>35</v>
      </c>
      <c r="C483" s="41" t="s">
        <v>20</v>
      </c>
      <c r="D483" s="41" t="s">
        <v>37</v>
      </c>
      <c r="E483" s="41" t="s">
        <v>30</v>
      </c>
      <c r="F483" s="41">
        <v>31577.33</v>
      </c>
      <c r="G483" s="41">
        <v>929933</v>
      </c>
      <c r="H483" s="41">
        <v>24287</v>
      </c>
      <c r="I483" s="41">
        <v>116400.43</v>
      </c>
      <c r="J483" s="41">
        <v>38</v>
      </c>
      <c r="K483" s="42">
        <f t="shared" si="36"/>
        <v>2.6116935306091944E-2</v>
      </c>
      <c r="L483" s="43">
        <f t="shared" si="37"/>
        <v>3.6862024116668506</v>
      </c>
      <c r="M483" s="43">
        <f t="shared" si="38"/>
        <v>2.6862024116668506</v>
      </c>
      <c r="N483" s="43">
        <f t="shared" si="39"/>
        <v>4.7927051509037755</v>
      </c>
      <c r="O483" s="1" t="str">
        <f t="shared" si="35"/>
        <v>Normal</v>
      </c>
      <c r="P483" s="51" t="str">
        <f>IF(Table4[[#This Row],[Sales]]&lt;=$B$3,"Normal","High Revenue")</f>
        <v>Normal</v>
      </c>
      <c r="Q483" s="51" t="str">
        <f>IF(Table4[[#This Row],[CTR]]&lt;=$B$4,"Normal","High CTR")</f>
        <v>Normal</v>
      </c>
      <c r="R483" s="51" t="str">
        <f>IF(Table4[[#This Row],[ROAS]]&lt;1,"Poor",IF(Table4[[#This Row],[ROAS]]&lt;3,"Average",IF(Table4[[#This Row],[ROAS]]&lt;5,"Good",
"Excellent")))</f>
        <v>Good</v>
      </c>
      <c r="S483" s="51" t="str">
        <f>IF(AND(Table4[[#This Row],[USD_Spend]]&gt;=$B$5,Table4[[#This Row],[Sales]]&lt;=$B$6),"Wasted Budget","Spend Justified")</f>
        <v>Spend Justified</v>
      </c>
      <c r="T483" s="51" t="str">
        <f>IF(AND(Table4[[#This Row],[Clicks]]&gt;=$B$7,Table4[[#This Row],[Sales]]&lt;=$B$6),"Poor Monetization","Normal Monitization")</f>
        <v>Normal Monitization</v>
      </c>
    </row>
    <row r="484" spans="1:20" x14ac:dyDescent="0.35">
      <c r="A484" s="38" t="s">
        <v>107</v>
      </c>
      <c r="B484" s="38" t="s">
        <v>35</v>
      </c>
      <c r="C484" s="38" t="s">
        <v>20</v>
      </c>
      <c r="D484" s="38" t="s">
        <v>43</v>
      </c>
      <c r="E484" s="38" t="s">
        <v>22</v>
      </c>
      <c r="F484" s="38">
        <v>1828.17</v>
      </c>
      <c r="G484" s="38">
        <v>876028</v>
      </c>
      <c r="H484" s="38">
        <v>6056</v>
      </c>
      <c r="I484" s="38">
        <v>198986.9</v>
      </c>
      <c r="J484" s="38">
        <v>32</v>
      </c>
      <c r="K484" s="39">
        <f t="shared" si="36"/>
        <v>6.9130210449894298E-3</v>
      </c>
      <c r="L484" s="40">
        <f t="shared" si="37"/>
        <v>108.84485578474649</v>
      </c>
      <c r="M484" s="40">
        <f t="shared" si="38"/>
        <v>107.84485578474649</v>
      </c>
      <c r="N484" s="40">
        <f t="shared" si="39"/>
        <v>32.857810435931306</v>
      </c>
      <c r="O484" s="1" t="str">
        <f t="shared" si="35"/>
        <v>Normal</v>
      </c>
      <c r="P484" s="51" t="str">
        <f>IF(Table4[[#This Row],[Sales]]&lt;=$B$3,"Normal","High Revenue")</f>
        <v>Normal</v>
      </c>
      <c r="Q484" s="51" t="str">
        <f>IF(Table4[[#This Row],[CTR]]&lt;=$B$4,"Normal","High CTR")</f>
        <v>Normal</v>
      </c>
      <c r="R484" s="51" t="str">
        <f>IF(Table4[[#This Row],[ROAS]]&lt;1,"Poor",IF(Table4[[#This Row],[ROAS]]&lt;3,"Average",IF(Table4[[#This Row],[ROAS]]&lt;5,"Good",
"Excellent")))</f>
        <v>Excellent</v>
      </c>
      <c r="S484" s="51" t="str">
        <f>IF(AND(Table4[[#This Row],[USD_Spend]]&gt;=$B$5,Table4[[#This Row],[Sales]]&lt;=$B$6),"Wasted Budget","Spend Justified")</f>
        <v>Spend Justified</v>
      </c>
      <c r="T484" s="51" t="str">
        <f>IF(AND(Table4[[#This Row],[Clicks]]&gt;=$B$7,Table4[[#This Row],[Sales]]&lt;=$B$6),"Poor Monetization","Normal Monitization")</f>
        <v>Normal Monitization</v>
      </c>
    </row>
    <row r="485" spans="1:20" x14ac:dyDescent="0.35">
      <c r="A485" s="41" t="s">
        <v>78</v>
      </c>
      <c r="B485" s="41" t="s">
        <v>28</v>
      </c>
      <c r="C485" s="41" t="s">
        <v>20</v>
      </c>
      <c r="D485" s="41" t="s">
        <v>43</v>
      </c>
      <c r="E485" s="41" t="s">
        <v>30</v>
      </c>
      <c r="F485" s="41">
        <v>32426.37</v>
      </c>
      <c r="G485" s="41">
        <v>617040</v>
      </c>
      <c r="H485" s="41">
        <v>39062</v>
      </c>
      <c r="I485" s="41">
        <v>14736.71</v>
      </c>
      <c r="J485" s="41">
        <v>13</v>
      </c>
      <c r="K485" s="42">
        <f t="shared" si="36"/>
        <v>6.3305458317126931E-2</v>
      </c>
      <c r="L485" s="43">
        <f t="shared" si="37"/>
        <v>0.45446684288127226</v>
      </c>
      <c r="M485" s="43">
        <f t="shared" si="38"/>
        <v>-0.54553315711872774</v>
      </c>
      <c r="N485" s="43">
        <f t="shared" si="39"/>
        <v>0.37726460498694381</v>
      </c>
      <c r="O485" s="1" t="str">
        <f t="shared" si="35"/>
        <v>Normal</v>
      </c>
      <c r="P485" s="51" t="str">
        <f>IF(Table4[[#This Row],[Sales]]&lt;=$B$3,"Normal","High Revenue")</f>
        <v>Normal</v>
      </c>
      <c r="Q485" s="51" t="str">
        <f>IF(Table4[[#This Row],[CTR]]&lt;=$B$4,"Normal","High CTR")</f>
        <v>Normal</v>
      </c>
      <c r="R485" s="51" t="str">
        <f>IF(Table4[[#This Row],[ROAS]]&lt;1,"Poor",IF(Table4[[#This Row],[ROAS]]&lt;3,"Average",IF(Table4[[#This Row],[ROAS]]&lt;5,"Good",
"Excellent")))</f>
        <v>Poor</v>
      </c>
      <c r="S485" s="51" t="str">
        <f>IF(AND(Table4[[#This Row],[USD_Spend]]&gt;=$B$5,Table4[[#This Row],[Sales]]&lt;=$B$6),"Wasted Budget","Spend Justified")</f>
        <v>Wasted Budget</v>
      </c>
      <c r="T485" s="51" t="str">
        <f>IF(AND(Table4[[#This Row],[Clicks]]&gt;=$B$7,Table4[[#This Row],[Sales]]&lt;=$B$6),"Poor Monetization","Normal Monitization")</f>
        <v>Poor Monetization</v>
      </c>
    </row>
    <row r="486" spans="1:20" x14ac:dyDescent="0.35">
      <c r="A486" s="38" t="s">
        <v>34</v>
      </c>
      <c r="B486" s="38" t="s">
        <v>48</v>
      </c>
      <c r="C486" s="38" t="s">
        <v>58</v>
      </c>
      <c r="D486" s="38" t="s">
        <v>59</v>
      </c>
      <c r="E486" s="38" t="s">
        <v>22</v>
      </c>
      <c r="F486" s="38">
        <v>23234.13</v>
      </c>
      <c r="G486" s="38">
        <v>504932</v>
      </c>
      <c r="H486" s="38">
        <v>42966</v>
      </c>
      <c r="I486" s="38">
        <v>130598.51</v>
      </c>
      <c r="J486" s="38">
        <v>58</v>
      </c>
      <c r="K486" s="39">
        <f t="shared" si="36"/>
        <v>8.5092646138489936E-2</v>
      </c>
      <c r="L486" s="40">
        <f t="shared" si="37"/>
        <v>5.6209769851507243</v>
      </c>
      <c r="M486" s="40">
        <f t="shared" si="38"/>
        <v>4.6209769851507234</v>
      </c>
      <c r="N486" s="40">
        <f t="shared" si="39"/>
        <v>3.0395780384490059</v>
      </c>
      <c r="O486" s="1" t="str">
        <f t="shared" si="35"/>
        <v>Normal</v>
      </c>
      <c r="P486" s="51" t="str">
        <f>IF(Table4[[#This Row],[Sales]]&lt;=$B$3,"Normal","High Revenue")</f>
        <v>Normal</v>
      </c>
      <c r="Q486" s="51" t="str">
        <f>IF(Table4[[#This Row],[CTR]]&lt;=$B$4,"Normal","High CTR")</f>
        <v>Normal</v>
      </c>
      <c r="R486" s="51" t="str">
        <f>IF(Table4[[#This Row],[ROAS]]&lt;1,"Poor",IF(Table4[[#This Row],[ROAS]]&lt;3,"Average",IF(Table4[[#This Row],[ROAS]]&lt;5,"Good",
"Excellent")))</f>
        <v>Excellent</v>
      </c>
      <c r="S486" s="51" t="str">
        <f>IF(AND(Table4[[#This Row],[USD_Spend]]&gt;=$B$5,Table4[[#This Row],[Sales]]&lt;=$B$6),"Wasted Budget","Spend Justified")</f>
        <v>Spend Justified</v>
      </c>
      <c r="T486" s="51" t="str">
        <f>IF(AND(Table4[[#This Row],[Clicks]]&gt;=$B$7,Table4[[#This Row],[Sales]]&lt;=$B$6),"Poor Monetization","Normal Monitization")</f>
        <v>Normal Monitization</v>
      </c>
    </row>
    <row r="487" spans="1:20" x14ac:dyDescent="0.35">
      <c r="A487" s="41" t="s">
        <v>47</v>
      </c>
      <c r="B487" s="41" t="s">
        <v>19</v>
      </c>
      <c r="C487" s="41" t="s">
        <v>36</v>
      </c>
      <c r="D487" s="41" t="s">
        <v>37</v>
      </c>
      <c r="E487" s="41" t="s">
        <v>38</v>
      </c>
      <c r="F487" s="41">
        <v>34089.379999999997</v>
      </c>
      <c r="G487" s="41">
        <v>246828</v>
      </c>
      <c r="H487" s="41">
        <v>19759</v>
      </c>
      <c r="I487" s="41">
        <v>172590.2</v>
      </c>
      <c r="J487" s="41">
        <v>35</v>
      </c>
      <c r="K487" s="42">
        <f t="shared" si="36"/>
        <v>8.0051695917805116E-2</v>
      </c>
      <c r="L487" s="43">
        <f t="shared" si="37"/>
        <v>5.0628729533948702</v>
      </c>
      <c r="M487" s="43">
        <f t="shared" si="38"/>
        <v>4.0628729533948702</v>
      </c>
      <c r="N487" s="43">
        <f t="shared" si="39"/>
        <v>8.7347639050559245</v>
      </c>
      <c r="O487" s="1" t="str">
        <f t="shared" si="35"/>
        <v>Normal</v>
      </c>
      <c r="P487" s="51" t="str">
        <f>IF(Table4[[#This Row],[Sales]]&lt;=$B$3,"Normal","High Revenue")</f>
        <v>Normal</v>
      </c>
      <c r="Q487" s="51" t="str">
        <f>IF(Table4[[#This Row],[CTR]]&lt;=$B$4,"Normal","High CTR")</f>
        <v>Normal</v>
      </c>
      <c r="R487" s="51" t="str">
        <f>IF(Table4[[#This Row],[ROAS]]&lt;1,"Poor",IF(Table4[[#This Row],[ROAS]]&lt;3,"Average",IF(Table4[[#This Row],[ROAS]]&lt;5,"Good",
"Excellent")))</f>
        <v>Excellent</v>
      </c>
      <c r="S487" s="51" t="str">
        <f>IF(AND(Table4[[#This Row],[USD_Spend]]&gt;=$B$5,Table4[[#This Row],[Sales]]&lt;=$B$6),"Wasted Budget","Spend Justified")</f>
        <v>Spend Justified</v>
      </c>
      <c r="T487" s="51" t="str">
        <f>IF(AND(Table4[[#This Row],[Clicks]]&gt;=$B$7,Table4[[#This Row],[Sales]]&lt;=$B$6),"Poor Monetization","Normal Monitization")</f>
        <v>Normal Monitization</v>
      </c>
    </row>
    <row r="488" spans="1:20" x14ac:dyDescent="0.35">
      <c r="A488" s="38" t="s">
        <v>89</v>
      </c>
      <c r="B488" s="38" t="s">
        <v>35</v>
      </c>
      <c r="C488" s="38" t="s">
        <v>29</v>
      </c>
      <c r="D488" s="38" t="s">
        <v>51</v>
      </c>
      <c r="E488" s="38" t="s">
        <v>30</v>
      </c>
      <c r="F488" s="38">
        <v>34130.660000000003</v>
      </c>
      <c r="G488" s="38">
        <v>792150</v>
      </c>
      <c r="H488" s="38">
        <v>577</v>
      </c>
      <c r="I488" s="38">
        <v>179969.22</v>
      </c>
      <c r="J488" s="38">
        <v>6</v>
      </c>
      <c r="K488" s="39">
        <f t="shared" si="36"/>
        <v>7.283973994824213E-4</v>
      </c>
      <c r="L488" s="40">
        <f t="shared" si="37"/>
        <v>5.272948721179139</v>
      </c>
      <c r="M488" s="40">
        <f t="shared" si="38"/>
        <v>4.272948721179139</v>
      </c>
      <c r="N488" s="40">
        <f t="shared" si="39"/>
        <v>311.90506065857886</v>
      </c>
      <c r="O488" s="1" t="str">
        <f t="shared" si="35"/>
        <v>Normal</v>
      </c>
      <c r="P488" s="51" t="str">
        <f>IF(Table4[[#This Row],[Sales]]&lt;=$B$3,"Normal","High Revenue")</f>
        <v>Normal</v>
      </c>
      <c r="Q488" s="51" t="str">
        <f>IF(Table4[[#This Row],[CTR]]&lt;=$B$4,"Normal","High CTR")</f>
        <v>Normal</v>
      </c>
      <c r="R488" s="51" t="str">
        <f>IF(Table4[[#This Row],[ROAS]]&lt;1,"Poor",IF(Table4[[#This Row],[ROAS]]&lt;3,"Average",IF(Table4[[#This Row],[ROAS]]&lt;5,"Good",
"Excellent")))</f>
        <v>Excellent</v>
      </c>
      <c r="S488" s="51" t="str">
        <f>IF(AND(Table4[[#This Row],[USD_Spend]]&gt;=$B$5,Table4[[#This Row],[Sales]]&lt;=$B$6),"Wasted Budget","Spend Justified")</f>
        <v>Spend Justified</v>
      </c>
      <c r="T488" s="51" t="str">
        <f>IF(AND(Table4[[#This Row],[Clicks]]&gt;=$B$7,Table4[[#This Row],[Sales]]&lt;=$B$6),"Poor Monetization","Normal Monitization")</f>
        <v>Normal Monitization</v>
      </c>
    </row>
    <row r="489" spans="1:20" x14ac:dyDescent="0.35">
      <c r="A489" s="41" t="s">
        <v>106</v>
      </c>
      <c r="B489" s="41" t="s">
        <v>48</v>
      </c>
      <c r="C489" s="41" t="s">
        <v>36</v>
      </c>
      <c r="D489" s="41" t="s">
        <v>59</v>
      </c>
      <c r="E489" s="41" t="s">
        <v>22</v>
      </c>
      <c r="F489" s="41">
        <v>2089.0100000000002</v>
      </c>
      <c r="G489" s="41">
        <v>700897</v>
      </c>
      <c r="H489" s="41">
        <v>4469</v>
      </c>
      <c r="I489" s="41">
        <v>15725.43</v>
      </c>
      <c r="J489" s="41">
        <v>47</v>
      </c>
      <c r="K489" s="42">
        <f t="shared" si="36"/>
        <v>6.3761151781217499E-3</v>
      </c>
      <c r="L489" s="43">
        <f t="shared" si="37"/>
        <v>7.5276949368361086</v>
      </c>
      <c r="M489" s="43">
        <f t="shared" si="38"/>
        <v>6.5276949368361086</v>
      </c>
      <c r="N489" s="43">
        <f t="shared" si="39"/>
        <v>3.5187804878048783</v>
      </c>
      <c r="O489" s="1" t="str">
        <f t="shared" si="35"/>
        <v>Normal</v>
      </c>
      <c r="P489" s="51" t="str">
        <f>IF(Table4[[#This Row],[Sales]]&lt;=$B$3,"Normal","High Revenue")</f>
        <v>Normal</v>
      </c>
      <c r="Q489" s="51" t="str">
        <f>IF(Table4[[#This Row],[CTR]]&lt;=$B$4,"Normal","High CTR")</f>
        <v>Normal</v>
      </c>
      <c r="R489" s="51" t="str">
        <f>IF(Table4[[#This Row],[ROAS]]&lt;1,"Poor",IF(Table4[[#This Row],[ROAS]]&lt;3,"Average",IF(Table4[[#This Row],[ROAS]]&lt;5,"Good",
"Excellent")))</f>
        <v>Excellent</v>
      </c>
      <c r="S489" s="51" t="str">
        <f>IF(AND(Table4[[#This Row],[USD_Spend]]&gt;=$B$5,Table4[[#This Row],[Sales]]&lt;=$B$6),"Wasted Budget","Spend Justified")</f>
        <v>Spend Justified</v>
      </c>
      <c r="T489" s="51" t="str">
        <f>IF(AND(Table4[[#This Row],[Clicks]]&gt;=$B$7,Table4[[#This Row],[Sales]]&lt;=$B$6),"Poor Monetization","Normal Monitization")</f>
        <v>Normal Monitization</v>
      </c>
    </row>
    <row r="490" spans="1:20" x14ac:dyDescent="0.35">
      <c r="A490" s="38" t="s">
        <v>34</v>
      </c>
      <c r="B490" s="38" t="s">
        <v>48</v>
      </c>
      <c r="C490" s="38" t="s">
        <v>29</v>
      </c>
      <c r="D490" s="38" t="s">
        <v>59</v>
      </c>
      <c r="E490" s="38" t="s">
        <v>38</v>
      </c>
      <c r="F490" s="38">
        <v>23054.22</v>
      </c>
      <c r="G490" s="38">
        <v>592813</v>
      </c>
      <c r="H490" s="38">
        <v>30385</v>
      </c>
      <c r="I490" s="38">
        <v>179010.52</v>
      </c>
      <c r="J490" s="38">
        <v>46</v>
      </c>
      <c r="K490" s="39">
        <f t="shared" si="36"/>
        <v>5.1255623611493002E-2</v>
      </c>
      <c r="L490" s="40">
        <f t="shared" si="37"/>
        <v>7.7647615057026425</v>
      </c>
      <c r="M490" s="40">
        <f t="shared" si="38"/>
        <v>6.7647615057026425</v>
      </c>
      <c r="N490" s="40">
        <f t="shared" si="39"/>
        <v>5.891410893532993</v>
      </c>
      <c r="O490" s="1" t="str">
        <f t="shared" si="35"/>
        <v>Normal</v>
      </c>
      <c r="P490" s="51" t="str">
        <f>IF(Table4[[#This Row],[Sales]]&lt;=$B$3,"Normal","High Revenue")</f>
        <v>Normal</v>
      </c>
      <c r="Q490" s="51" t="str">
        <f>IF(Table4[[#This Row],[CTR]]&lt;=$B$4,"Normal","High CTR")</f>
        <v>Normal</v>
      </c>
      <c r="R490" s="51" t="str">
        <f>IF(Table4[[#This Row],[ROAS]]&lt;1,"Poor",IF(Table4[[#This Row],[ROAS]]&lt;3,"Average",IF(Table4[[#This Row],[ROAS]]&lt;5,"Good",
"Excellent")))</f>
        <v>Excellent</v>
      </c>
      <c r="S490" s="51" t="str">
        <f>IF(AND(Table4[[#This Row],[USD_Spend]]&gt;=$B$5,Table4[[#This Row],[Sales]]&lt;=$B$6),"Wasted Budget","Spend Justified")</f>
        <v>Spend Justified</v>
      </c>
      <c r="T490" s="51" t="str">
        <f>IF(AND(Table4[[#This Row],[Clicks]]&gt;=$B$7,Table4[[#This Row],[Sales]]&lt;=$B$6),"Poor Monetization","Normal Monitization")</f>
        <v>Normal Monitization</v>
      </c>
    </row>
    <row r="491" spans="1:20" x14ac:dyDescent="0.35">
      <c r="A491" s="41" t="s">
        <v>111</v>
      </c>
      <c r="B491" s="41" t="s">
        <v>19</v>
      </c>
      <c r="C491" s="41" t="s">
        <v>20</v>
      </c>
      <c r="D491" s="41" t="s">
        <v>21</v>
      </c>
      <c r="E491" s="41" t="s">
        <v>30</v>
      </c>
      <c r="F491" s="41">
        <v>1456.22</v>
      </c>
      <c r="G491" s="41">
        <v>49704</v>
      </c>
      <c r="H491" s="41">
        <v>37334</v>
      </c>
      <c r="I491" s="41">
        <v>123400.69</v>
      </c>
      <c r="J491" s="41">
        <v>40</v>
      </c>
      <c r="K491" s="42">
        <f t="shared" si="36"/>
        <v>0.75112666988572352</v>
      </c>
      <c r="L491" s="43">
        <f t="shared" si="37"/>
        <v>84.740416969963334</v>
      </c>
      <c r="M491" s="43">
        <f t="shared" si="38"/>
        <v>83.740416969963334</v>
      </c>
      <c r="N491" s="43">
        <f t="shared" si="39"/>
        <v>3.3053166014892592</v>
      </c>
      <c r="O491" s="1" t="str">
        <f t="shared" si="35"/>
        <v>Normal</v>
      </c>
      <c r="P491" s="51" t="str">
        <f>IF(Table4[[#This Row],[Sales]]&lt;=$B$3,"Normal","High Revenue")</f>
        <v>Normal</v>
      </c>
      <c r="Q491" s="51" t="str">
        <f>IF(Table4[[#This Row],[CTR]]&lt;=$B$4,"Normal","High CTR")</f>
        <v>High CTR</v>
      </c>
      <c r="R491" s="51" t="str">
        <f>IF(Table4[[#This Row],[ROAS]]&lt;1,"Poor",IF(Table4[[#This Row],[ROAS]]&lt;3,"Average",IF(Table4[[#This Row],[ROAS]]&lt;5,"Good",
"Excellent")))</f>
        <v>Excellent</v>
      </c>
      <c r="S491" s="51" t="str">
        <f>IF(AND(Table4[[#This Row],[USD_Spend]]&gt;=$B$5,Table4[[#This Row],[Sales]]&lt;=$B$6),"Wasted Budget","Spend Justified")</f>
        <v>Spend Justified</v>
      </c>
      <c r="T491" s="51" t="str">
        <f>IF(AND(Table4[[#This Row],[Clicks]]&gt;=$B$7,Table4[[#This Row],[Sales]]&lt;=$B$6),"Poor Monetization","Normal Monitization")</f>
        <v>Normal Monitization</v>
      </c>
    </row>
    <row r="492" spans="1:20" x14ac:dyDescent="0.35">
      <c r="A492" s="38" t="s">
        <v>97</v>
      </c>
      <c r="B492" s="38" t="s">
        <v>35</v>
      </c>
      <c r="C492" s="38" t="s">
        <v>69</v>
      </c>
      <c r="D492" s="38" t="s">
        <v>37</v>
      </c>
      <c r="E492" s="38" t="s">
        <v>30</v>
      </c>
      <c r="F492" s="38">
        <v>49497.26</v>
      </c>
      <c r="G492" s="38">
        <v>453481</v>
      </c>
      <c r="H492" s="38">
        <v>47355</v>
      </c>
      <c r="I492" s="38">
        <v>17604.29</v>
      </c>
      <c r="J492" s="38">
        <v>28</v>
      </c>
      <c r="K492" s="39">
        <f t="shared" si="36"/>
        <v>0.10442554373832641</v>
      </c>
      <c r="L492" s="40">
        <f t="shared" si="37"/>
        <v>0.35566190936629621</v>
      </c>
      <c r="M492" s="40">
        <f t="shared" si="38"/>
        <v>-0.64433809063370373</v>
      </c>
      <c r="N492" s="40">
        <f t="shared" si="39"/>
        <v>0.37175145180023228</v>
      </c>
      <c r="O492" s="1" t="str">
        <f t="shared" si="35"/>
        <v>High Spend</v>
      </c>
      <c r="P492" s="51" t="str">
        <f>IF(Table4[[#This Row],[Sales]]&lt;=$B$3,"Normal","High Revenue")</f>
        <v>Normal</v>
      </c>
      <c r="Q492" s="51" t="str">
        <f>IF(Table4[[#This Row],[CTR]]&lt;=$B$4,"Normal","High CTR")</f>
        <v>Normal</v>
      </c>
      <c r="R492" s="51" t="str">
        <f>IF(Table4[[#This Row],[ROAS]]&lt;1,"Poor",IF(Table4[[#This Row],[ROAS]]&lt;3,"Average",IF(Table4[[#This Row],[ROAS]]&lt;5,"Good",
"Excellent")))</f>
        <v>Poor</v>
      </c>
      <c r="S492" s="51" t="str">
        <f>IF(AND(Table4[[#This Row],[USD_Spend]]&gt;=$B$5,Table4[[#This Row],[Sales]]&lt;=$B$6),"Wasted Budget","Spend Justified")</f>
        <v>Wasted Budget</v>
      </c>
      <c r="T492" s="51" t="str">
        <f>IF(AND(Table4[[#This Row],[Clicks]]&gt;=$B$7,Table4[[#This Row],[Sales]]&lt;=$B$6),"Poor Monetization","Normal Monitization")</f>
        <v>Poor Monetization</v>
      </c>
    </row>
    <row r="493" spans="1:20" x14ac:dyDescent="0.35">
      <c r="A493" s="41" t="s">
        <v>107</v>
      </c>
      <c r="B493" s="41" t="s">
        <v>28</v>
      </c>
      <c r="C493" s="41" t="s">
        <v>69</v>
      </c>
      <c r="D493" s="41" t="s">
        <v>51</v>
      </c>
      <c r="E493" s="41" t="s">
        <v>30</v>
      </c>
      <c r="F493" s="41">
        <v>9724.56</v>
      </c>
      <c r="G493" s="41">
        <v>313662</v>
      </c>
      <c r="H493" s="41">
        <v>7332</v>
      </c>
      <c r="I493" s="41">
        <v>161038.71</v>
      </c>
      <c r="J493" s="41">
        <v>18</v>
      </c>
      <c r="K493" s="42">
        <f t="shared" si="36"/>
        <v>2.3375480612889032E-2</v>
      </c>
      <c r="L493" s="43">
        <f t="shared" si="37"/>
        <v>16.559999629803301</v>
      </c>
      <c r="M493" s="43">
        <f t="shared" si="38"/>
        <v>15.559999629803302</v>
      </c>
      <c r="N493" s="43">
        <f t="shared" si="39"/>
        <v>21.963817512274957</v>
      </c>
      <c r="O493" s="1" t="str">
        <f t="shared" si="35"/>
        <v>Normal</v>
      </c>
      <c r="P493" s="51" t="str">
        <f>IF(Table4[[#This Row],[Sales]]&lt;=$B$3,"Normal","High Revenue")</f>
        <v>Normal</v>
      </c>
      <c r="Q493" s="51" t="str">
        <f>IF(Table4[[#This Row],[CTR]]&lt;=$B$4,"Normal","High CTR")</f>
        <v>Normal</v>
      </c>
      <c r="R493" s="51" t="str">
        <f>IF(Table4[[#This Row],[ROAS]]&lt;1,"Poor",IF(Table4[[#This Row],[ROAS]]&lt;3,"Average",IF(Table4[[#This Row],[ROAS]]&lt;5,"Good",
"Excellent")))</f>
        <v>Excellent</v>
      </c>
      <c r="S493" s="51" t="str">
        <f>IF(AND(Table4[[#This Row],[USD_Spend]]&gt;=$B$5,Table4[[#This Row],[Sales]]&lt;=$B$6),"Wasted Budget","Spend Justified")</f>
        <v>Spend Justified</v>
      </c>
      <c r="T493" s="51" t="str">
        <f>IF(AND(Table4[[#This Row],[Clicks]]&gt;=$B$7,Table4[[#This Row],[Sales]]&lt;=$B$6),"Poor Monetization","Normal Monitization")</f>
        <v>Normal Monitization</v>
      </c>
    </row>
    <row r="494" spans="1:20" x14ac:dyDescent="0.35">
      <c r="A494" s="38" t="s">
        <v>99</v>
      </c>
      <c r="B494" s="38" t="s">
        <v>28</v>
      </c>
      <c r="C494" s="38" t="s">
        <v>20</v>
      </c>
      <c r="D494" s="38" t="s">
        <v>21</v>
      </c>
      <c r="E494" s="38" t="s">
        <v>22</v>
      </c>
      <c r="F494" s="38">
        <v>9739.51</v>
      </c>
      <c r="G494" s="38">
        <v>630407</v>
      </c>
      <c r="H494" s="38">
        <v>48282</v>
      </c>
      <c r="I494" s="38">
        <v>228336.53</v>
      </c>
      <c r="J494" s="38">
        <v>25</v>
      </c>
      <c r="K494" s="39">
        <f t="shared" si="36"/>
        <v>7.6588616560412562E-2</v>
      </c>
      <c r="L494" s="40">
        <f t="shared" si="37"/>
        <v>23.4443550034858</v>
      </c>
      <c r="M494" s="40">
        <f t="shared" si="38"/>
        <v>22.4443550034858</v>
      </c>
      <c r="N494" s="40">
        <f t="shared" si="39"/>
        <v>4.729226834016818</v>
      </c>
      <c r="O494" s="1" t="str">
        <f t="shared" si="35"/>
        <v>Normal</v>
      </c>
      <c r="P494" s="51" t="str">
        <f>IF(Table4[[#This Row],[Sales]]&lt;=$B$3,"Normal","High Revenue")</f>
        <v>Normal</v>
      </c>
      <c r="Q494" s="51" t="str">
        <f>IF(Table4[[#This Row],[CTR]]&lt;=$B$4,"Normal","High CTR")</f>
        <v>Normal</v>
      </c>
      <c r="R494" s="51" t="str">
        <f>IF(Table4[[#This Row],[ROAS]]&lt;1,"Poor",IF(Table4[[#This Row],[ROAS]]&lt;3,"Average",IF(Table4[[#This Row],[ROAS]]&lt;5,"Good",
"Excellent")))</f>
        <v>Excellent</v>
      </c>
      <c r="S494" s="51" t="str">
        <f>IF(AND(Table4[[#This Row],[USD_Spend]]&gt;=$B$5,Table4[[#This Row],[Sales]]&lt;=$B$6),"Wasted Budget","Spend Justified")</f>
        <v>Spend Justified</v>
      </c>
      <c r="T494" s="51" t="str">
        <f>IF(AND(Table4[[#This Row],[Clicks]]&gt;=$B$7,Table4[[#This Row],[Sales]]&lt;=$B$6),"Poor Monetization","Normal Monitization")</f>
        <v>Normal Monitization</v>
      </c>
    </row>
    <row r="495" spans="1:20" x14ac:dyDescent="0.35">
      <c r="A495" s="41" t="s">
        <v>114</v>
      </c>
      <c r="B495" s="41" t="s">
        <v>35</v>
      </c>
      <c r="C495" s="41" t="s">
        <v>69</v>
      </c>
      <c r="D495" s="41" t="s">
        <v>37</v>
      </c>
      <c r="E495" s="41" t="s">
        <v>38</v>
      </c>
      <c r="F495" s="41">
        <v>11748.15</v>
      </c>
      <c r="G495" s="41">
        <v>678470</v>
      </c>
      <c r="H495" s="41">
        <v>14015</v>
      </c>
      <c r="I495" s="41">
        <v>7767.83</v>
      </c>
      <c r="J495" s="41">
        <v>8</v>
      </c>
      <c r="K495" s="42">
        <f t="shared" si="36"/>
        <v>2.0656771854319276E-2</v>
      </c>
      <c r="L495" s="43">
        <f t="shared" si="37"/>
        <v>0.66119601809646622</v>
      </c>
      <c r="M495" s="43">
        <f t="shared" si="38"/>
        <v>-0.33880398190353372</v>
      </c>
      <c r="N495" s="43">
        <f t="shared" si="39"/>
        <v>0.55425115947199433</v>
      </c>
      <c r="O495" s="1" t="str">
        <f t="shared" si="35"/>
        <v>Normal</v>
      </c>
      <c r="P495" s="51" t="str">
        <f>IF(Table4[[#This Row],[Sales]]&lt;=$B$3,"Normal","High Revenue")</f>
        <v>Normal</v>
      </c>
      <c r="Q495" s="51" t="str">
        <f>IF(Table4[[#This Row],[CTR]]&lt;=$B$4,"Normal","High CTR")</f>
        <v>Normal</v>
      </c>
      <c r="R495" s="51" t="str">
        <f>IF(Table4[[#This Row],[ROAS]]&lt;1,"Poor",IF(Table4[[#This Row],[ROAS]]&lt;3,"Average",IF(Table4[[#This Row],[ROAS]]&lt;5,"Good",
"Excellent")))</f>
        <v>Poor</v>
      </c>
      <c r="S495" s="51" t="str">
        <f>IF(AND(Table4[[#This Row],[USD_Spend]]&gt;=$B$5,Table4[[#This Row],[Sales]]&lt;=$B$6),"Wasted Budget","Spend Justified")</f>
        <v>Wasted Budget</v>
      </c>
      <c r="T495" s="51" t="str">
        <f>IF(AND(Table4[[#This Row],[Clicks]]&gt;=$B$7,Table4[[#This Row],[Sales]]&lt;=$B$6),"Poor Monetization","Normal Monitization")</f>
        <v>Normal Monitization</v>
      </c>
    </row>
    <row r="496" spans="1:20" x14ac:dyDescent="0.35">
      <c r="A496" s="38" t="s">
        <v>50</v>
      </c>
      <c r="B496" s="38" t="s">
        <v>28</v>
      </c>
      <c r="C496" s="38" t="s">
        <v>69</v>
      </c>
      <c r="D496" s="38" t="s">
        <v>51</v>
      </c>
      <c r="E496" s="38" t="s">
        <v>30</v>
      </c>
      <c r="F496" s="38">
        <v>17354.27</v>
      </c>
      <c r="G496" s="38">
        <v>924462</v>
      </c>
      <c r="H496" s="38">
        <v>45191</v>
      </c>
      <c r="I496" s="38">
        <v>159168.82</v>
      </c>
      <c r="J496" s="38">
        <v>43</v>
      </c>
      <c r="K496" s="39">
        <f t="shared" si="36"/>
        <v>4.888356687457137E-2</v>
      </c>
      <c r="L496" s="40">
        <f t="shared" si="37"/>
        <v>9.1717381370694362</v>
      </c>
      <c r="M496" s="40">
        <f t="shared" si="38"/>
        <v>8.1717381370694362</v>
      </c>
      <c r="N496" s="40">
        <f t="shared" si="39"/>
        <v>3.5221353809386828</v>
      </c>
      <c r="O496" s="1" t="str">
        <f t="shared" si="35"/>
        <v>Normal</v>
      </c>
      <c r="P496" s="51" t="str">
        <f>IF(Table4[[#This Row],[Sales]]&lt;=$B$3,"Normal","High Revenue")</f>
        <v>Normal</v>
      </c>
      <c r="Q496" s="51" t="str">
        <f>IF(Table4[[#This Row],[CTR]]&lt;=$B$4,"Normal","High CTR")</f>
        <v>Normal</v>
      </c>
      <c r="R496" s="51" t="str">
        <f>IF(Table4[[#This Row],[ROAS]]&lt;1,"Poor",IF(Table4[[#This Row],[ROAS]]&lt;3,"Average",IF(Table4[[#This Row],[ROAS]]&lt;5,"Good",
"Excellent")))</f>
        <v>Excellent</v>
      </c>
      <c r="S496" s="51" t="str">
        <f>IF(AND(Table4[[#This Row],[USD_Spend]]&gt;=$B$5,Table4[[#This Row],[Sales]]&lt;=$B$6),"Wasted Budget","Spend Justified")</f>
        <v>Spend Justified</v>
      </c>
      <c r="T496" s="51" t="str">
        <f>IF(AND(Table4[[#This Row],[Clicks]]&gt;=$B$7,Table4[[#This Row],[Sales]]&lt;=$B$6),"Poor Monetization","Normal Monitization")</f>
        <v>Normal Monitization</v>
      </c>
    </row>
    <row r="497" spans="1:20" x14ac:dyDescent="0.35">
      <c r="A497" s="41" t="s">
        <v>27</v>
      </c>
      <c r="B497" s="41" t="s">
        <v>48</v>
      </c>
      <c r="C497" s="41" t="s">
        <v>29</v>
      </c>
      <c r="D497" s="41" t="s">
        <v>51</v>
      </c>
      <c r="E497" s="41" t="s">
        <v>22</v>
      </c>
      <c r="F497" s="41">
        <v>15044.78</v>
      </c>
      <c r="G497" s="41">
        <v>337557</v>
      </c>
      <c r="H497" s="41">
        <v>39773</v>
      </c>
      <c r="I497" s="41">
        <v>85674.76</v>
      </c>
      <c r="J497" s="41">
        <v>21</v>
      </c>
      <c r="K497" s="42">
        <f t="shared" si="36"/>
        <v>0.11782602641924178</v>
      </c>
      <c r="L497" s="43">
        <f t="shared" si="37"/>
        <v>5.6946502374910093</v>
      </c>
      <c r="M497" s="43">
        <f t="shared" si="38"/>
        <v>4.6946502374910093</v>
      </c>
      <c r="N497" s="43">
        <f t="shared" si="39"/>
        <v>2.1540934805018477</v>
      </c>
      <c r="O497" s="1" t="str">
        <f t="shared" si="35"/>
        <v>Normal</v>
      </c>
      <c r="P497" s="51" t="str">
        <f>IF(Table4[[#This Row],[Sales]]&lt;=$B$3,"Normal","High Revenue")</f>
        <v>Normal</v>
      </c>
      <c r="Q497" s="51" t="str">
        <f>IF(Table4[[#This Row],[CTR]]&lt;=$B$4,"Normal","High CTR")</f>
        <v>Normal</v>
      </c>
      <c r="R497" s="51" t="str">
        <f>IF(Table4[[#This Row],[ROAS]]&lt;1,"Poor",IF(Table4[[#This Row],[ROAS]]&lt;3,"Average",IF(Table4[[#This Row],[ROAS]]&lt;5,"Good",
"Excellent")))</f>
        <v>Excellent</v>
      </c>
      <c r="S497" s="51" t="str">
        <f>IF(AND(Table4[[#This Row],[USD_Spend]]&gt;=$B$5,Table4[[#This Row],[Sales]]&lt;=$B$6),"Wasted Budget","Spend Justified")</f>
        <v>Spend Justified</v>
      </c>
      <c r="T497" s="51" t="str">
        <f>IF(AND(Table4[[#This Row],[Clicks]]&gt;=$B$7,Table4[[#This Row],[Sales]]&lt;=$B$6),"Poor Monetization","Normal Monitization")</f>
        <v>Normal Monitization</v>
      </c>
    </row>
    <row r="498" spans="1:20" x14ac:dyDescent="0.35">
      <c r="A498" s="38" t="s">
        <v>102</v>
      </c>
      <c r="B498" s="38" t="s">
        <v>48</v>
      </c>
      <c r="C498" s="38" t="s">
        <v>20</v>
      </c>
      <c r="D498" s="38" t="s">
        <v>51</v>
      </c>
      <c r="E498" s="38" t="s">
        <v>38</v>
      </c>
      <c r="F498" s="38">
        <v>1041.32</v>
      </c>
      <c r="G498" s="38">
        <v>752464</v>
      </c>
      <c r="H498" s="38">
        <v>37589</v>
      </c>
      <c r="I498" s="38">
        <v>204923.6</v>
      </c>
      <c r="J498" s="38">
        <v>31</v>
      </c>
      <c r="K498" s="39">
        <f t="shared" si="36"/>
        <v>4.9954549320631952E-2</v>
      </c>
      <c r="L498" s="40">
        <f t="shared" si="37"/>
        <v>196.79214842699653</v>
      </c>
      <c r="M498" s="40">
        <f t="shared" si="38"/>
        <v>195.7921484269965</v>
      </c>
      <c r="N498" s="40">
        <f t="shared" si="39"/>
        <v>5.4516906541807444</v>
      </c>
      <c r="O498" s="1" t="str">
        <f t="shared" si="35"/>
        <v>Normal</v>
      </c>
      <c r="P498" s="51" t="str">
        <f>IF(Table4[[#This Row],[Sales]]&lt;=$B$3,"Normal","High Revenue")</f>
        <v>Normal</v>
      </c>
      <c r="Q498" s="51" t="str">
        <f>IF(Table4[[#This Row],[CTR]]&lt;=$B$4,"Normal","High CTR")</f>
        <v>Normal</v>
      </c>
      <c r="R498" s="51" t="str">
        <f>IF(Table4[[#This Row],[ROAS]]&lt;1,"Poor",IF(Table4[[#This Row],[ROAS]]&lt;3,"Average",IF(Table4[[#This Row],[ROAS]]&lt;5,"Good",
"Excellent")))</f>
        <v>Excellent</v>
      </c>
      <c r="S498" s="51" t="str">
        <f>IF(AND(Table4[[#This Row],[USD_Spend]]&gt;=$B$5,Table4[[#This Row],[Sales]]&lt;=$B$6),"Wasted Budget","Spend Justified")</f>
        <v>Spend Justified</v>
      </c>
      <c r="T498" s="51" t="str">
        <f>IF(AND(Table4[[#This Row],[Clicks]]&gt;=$B$7,Table4[[#This Row],[Sales]]&lt;=$B$6),"Poor Monetization","Normal Monitization")</f>
        <v>Normal Monitization</v>
      </c>
    </row>
    <row r="499" spans="1:20" x14ac:dyDescent="0.35">
      <c r="A499" s="41" t="s">
        <v>113</v>
      </c>
      <c r="B499" s="41" t="s">
        <v>48</v>
      </c>
      <c r="C499" s="41" t="s">
        <v>58</v>
      </c>
      <c r="D499" s="41" t="s">
        <v>51</v>
      </c>
      <c r="E499" s="41" t="s">
        <v>30</v>
      </c>
      <c r="F499" s="41">
        <v>6753.35</v>
      </c>
      <c r="G499" s="41">
        <v>565953</v>
      </c>
      <c r="H499" s="41">
        <v>6370</v>
      </c>
      <c r="I499" s="41">
        <v>156635.63</v>
      </c>
      <c r="J499" s="41">
        <v>6</v>
      </c>
      <c r="K499" s="42">
        <f t="shared" si="36"/>
        <v>1.125535159280011E-2</v>
      </c>
      <c r="L499" s="43">
        <f t="shared" si="37"/>
        <v>23.193767537592453</v>
      </c>
      <c r="M499" s="43">
        <f t="shared" si="38"/>
        <v>22.193767537592453</v>
      </c>
      <c r="N499" s="43">
        <f t="shared" si="39"/>
        <v>24.589580847723706</v>
      </c>
      <c r="O499" s="1" t="str">
        <f t="shared" si="35"/>
        <v>Normal</v>
      </c>
      <c r="P499" s="51" t="str">
        <f>IF(Table4[[#This Row],[Sales]]&lt;=$B$3,"Normal","High Revenue")</f>
        <v>Normal</v>
      </c>
      <c r="Q499" s="51" t="str">
        <f>IF(Table4[[#This Row],[CTR]]&lt;=$B$4,"Normal","High CTR")</f>
        <v>Normal</v>
      </c>
      <c r="R499" s="51" t="str">
        <f>IF(Table4[[#This Row],[ROAS]]&lt;1,"Poor",IF(Table4[[#This Row],[ROAS]]&lt;3,"Average",IF(Table4[[#This Row],[ROAS]]&lt;5,"Good",
"Excellent")))</f>
        <v>Excellent</v>
      </c>
      <c r="S499" s="51" t="str">
        <f>IF(AND(Table4[[#This Row],[USD_Spend]]&gt;=$B$5,Table4[[#This Row],[Sales]]&lt;=$B$6),"Wasted Budget","Spend Justified")</f>
        <v>Spend Justified</v>
      </c>
      <c r="T499" s="51" t="str">
        <f>IF(AND(Table4[[#This Row],[Clicks]]&gt;=$B$7,Table4[[#This Row],[Sales]]&lt;=$B$6),"Poor Monetization","Normal Monitization")</f>
        <v>Normal Monitization</v>
      </c>
    </row>
    <row r="500" spans="1:20" x14ac:dyDescent="0.35">
      <c r="A500" s="38" t="s">
        <v>70</v>
      </c>
      <c r="B500" s="38" t="s">
        <v>48</v>
      </c>
      <c r="C500" s="38" t="s">
        <v>20</v>
      </c>
      <c r="D500" s="38" t="s">
        <v>21</v>
      </c>
      <c r="E500" s="38" t="s">
        <v>30</v>
      </c>
      <c r="F500" s="38">
        <v>56144.88</v>
      </c>
      <c r="G500" s="38">
        <v>159289</v>
      </c>
      <c r="H500" s="38">
        <v>46738</v>
      </c>
      <c r="I500" s="38">
        <v>73557.19</v>
      </c>
      <c r="J500" s="38">
        <v>37</v>
      </c>
      <c r="K500" s="39">
        <f t="shared" si="36"/>
        <v>0.29341636898969797</v>
      </c>
      <c r="L500" s="40">
        <f t="shared" si="37"/>
        <v>1.3101317519959079</v>
      </c>
      <c r="M500" s="40">
        <f t="shared" si="38"/>
        <v>0.31013175199590781</v>
      </c>
      <c r="N500" s="40">
        <f t="shared" si="39"/>
        <v>1.5738198040138647</v>
      </c>
      <c r="O500" s="1" t="str">
        <f t="shared" si="35"/>
        <v>High Spend</v>
      </c>
      <c r="P500" s="51" t="str">
        <f>IF(Table4[[#This Row],[Sales]]&lt;=$B$3,"Normal","High Revenue")</f>
        <v>Normal</v>
      </c>
      <c r="Q500" s="51" t="str">
        <f>IF(Table4[[#This Row],[CTR]]&lt;=$B$4,"Normal","High CTR")</f>
        <v>Normal</v>
      </c>
      <c r="R500" s="51" t="str">
        <f>IF(Table4[[#This Row],[ROAS]]&lt;1,"Poor",IF(Table4[[#This Row],[ROAS]]&lt;3,"Average",IF(Table4[[#This Row],[ROAS]]&lt;5,"Good",
"Excellent")))</f>
        <v>Average</v>
      </c>
      <c r="S500" s="51" t="str">
        <f>IF(AND(Table4[[#This Row],[USD_Spend]]&gt;=$B$5,Table4[[#This Row],[Sales]]&lt;=$B$6),"Wasted Budget","Spend Justified")</f>
        <v>Spend Justified</v>
      </c>
      <c r="T500" s="51" t="str">
        <f>IF(AND(Table4[[#This Row],[Clicks]]&gt;=$B$7,Table4[[#This Row],[Sales]]&lt;=$B$6),"Poor Monetization","Normal Monitization")</f>
        <v>Normal Monitization</v>
      </c>
    </row>
    <row r="501" spans="1:20" x14ac:dyDescent="0.35">
      <c r="A501" s="41" t="s">
        <v>88</v>
      </c>
      <c r="B501" s="41" t="s">
        <v>19</v>
      </c>
      <c r="C501" s="41" t="s">
        <v>20</v>
      </c>
      <c r="D501" s="41" t="s">
        <v>37</v>
      </c>
      <c r="E501" s="41" t="s">
        <v>22</v>
      </c>
      <c r="F501" s="41">
        <v>16955.169999999998</v>
      </c>
      <c r="G501" s="41">
        <v>826466</v>
      </c>
      <c r="H501" s="41">
        <v>45353</v>
      </c>
      <c r="I501" s="41">
        <v>136712.98000000001</v>
      </c>
      <c r="J501" s="41">
        <v>33</v>
      </c>
      <c r="K501" s="42">
        <f t="shared" si="36"/>
        <v>5.4875820662918982E-2</v>
      </c>
      <c r="L501" s="43">
        <f t="shared" si="37"/>
        <v>8.0632031409888558</v>
      </c>
      <c r="M501" s="43">
        <f t="shared" si="38"/>
        <v>7.0632031409888558</v>
      </c>
      <c r="N501" s="43">
        <f t="shared" si="39"/>
        <v>3.0144197737746126</v>
      </c>
      <c r="O501" s="1" t="str">
        <f t="shared" si="35"/>
        <v>Normal</v>
      </c>
      <c r="P501" s="51" t="str">
        <f>IF(Table4[[#This Row],[Sales]]&lt;=$B$3,"Normal","High Revenue")</f>
        <v>Normal</v>
      </c>
      <c r="Q501" s="51" t="str">
        <f>IF(Table4[[#This Row],[CTR]]&lt;=$B$4,"Normal","High CTR")</f>
        <v>Normal</v>
      </c>
      <c r="R501" s="51" t="str">
        <f>IF(Table4[[#This Row],[ROAS]]&lt;1,"Poor",IF(Table4[[#This Row],[ROAS]]&lt;3,"Average",IF(Table4[[#This Row],[ROAS]]&lt;5,"Good",
"Excellent")))</f>
        <v>Excellent</v>
      </c>
      <c r="S501" s="51" t="str">
        <f>IF(AND(Table4[[#This Row],[USD_Spend]]&gt;=$B$5,Table4[[#This Row],[Sales]]&lt;=$B$6),"Wasted Budget","Spend Justified")</f>
        <v>Spend Justified</v>
      </c>
      <c r="T501" s="51" t="str">
        <f>IF(AND(Table4[[#This Row],[Clicks]]&gt;=$B$7,Table4[[#This Row],[Sales]]&lt;=$B$6),"Poor Monetization","Normal Monitization")</f>
        <v>Normal Monitization</v>
      </c>
    </row>
    <row r="502" spans="1:20" x14ac:dyDescent="0.35">
      <c r="A502" s="38" t="s">
        <v>88</v>
      </c>
      <c r="B502" s="38" t="s">
        <v>35</v>
      </c>
      <c r="C502" s="38" t="s">
        <v>36</v>
      </c>
      <c r="D502" s="38" t="s">
        <v>63</v>
      </c>
      <c r="E502" s="38" t="s">
        <v>30</v>
      </c>
      <c r="F502" s="38">
        <v>37472</v>
      </c>
      <c r="G502" s="38">
        <v>925979</v>
      </c>
      <c r="H502" s="38">
        <v>20044</v>
      </c>
      <c r="I502" s="38">
        <v>181780.01</v>
      </c>
      <c r="J502" s="38">
        <v>31</v>
      </c>
      <c r="K502" s="39">
        <f t="shared" si="36"/>
        <v>2.1646279235274235E-2</v>
      </c>
      <c r="L502" s="40">
        <f t="shared" si="37"/>
        <v>4.8510890798462851</v>
      </c>
      <c r="M502" s="40">
        <f t="shared" si="38"/>
        <v>3.8510890798462856</v>
      </c>
      <c r="N502" s="40">
        <f t="shared" si="39"/>
        <v>9.0690485930951912</v>
      </c>
      <c r="O502" s="1" t="str">
        <f t="shared" si="35"/>
        <v>Normal</v>
      </c>
      <c r="P502" s="51" t="str">
        <f>IF(Table4[[#This Row],[Sales]]&lt;=$B$3,"Normal","High Revenue")</f>
        <v>Normal</v>
      </c>
      <c r="Q502" s="51" t="str">
        <f>IF(Table4[[#This Row],[CTR]]&lt;=$B$4,"Normal","High CTR")</f>
        <v>Normal</v>
      </c>
      <c r="R502" s="51" t="str">
        <f>IF(Table4[[#This Row],[ROAS]]&lt;1,"Poor",IF(Table4[[#This Row],[ROAS]]&lt;3,"Average",IF(Table4[[#This Row],[ROAS]]&lt;5,"Good",
"Excellent")))</f>
        <v>Good</v>
      </c>
      <c r="S502" s="51" t="str">
        <f>IF(AND(Table4[[#This Row],[USD_Spend]]&gt;=$B$5,Table4[[#This Row],[Sales]]&lt;=$B$6),"Wasted Budget","Spend Justified")</f>
        <v>Spend Justified</v>
      </c>
      <c r="T502" s="51" t="str">
        <f>IF(AND(Table4[[#This Row],[Clicks]]&gt;=$B$7,Table4[[#This Row],[Sales]]&lt;=$B$6),"Poor Monetization","Normal Monitization")</f>
        <v>Normal Monitization</v>
      </c>
    </row>
    <row r="503" spans="1:20" x14ac:dyDescent="0.35">
      <c r="A503" s="41" t="s">
        <v>27</v>
      </c>
      <c r="B503" s="41" t="s">
        <v>19</v>
      </c>
      <c r="C503" s="41" t="s">
        <v>58</v>
      </c>
      <c r="D503" s="41" t="s">
        <v>51</v>
      </c>
      <c r="E503" s="41" t="s">
        <v>38</v>
      </c>
      <c r="F503" s="41">
        <v>31148.13</v>
      </c>
      <c r="G503" s="41">
        <v>271250</v>
      </c>
      <c r="H503" s="41">
        <v>41437</v>
      </c>
      <c r="I503" s="41">
        <v>248551.38</v>
      </c>
      <c r="J503" s="41">
        <v>18</v>
      </c>
      <c r="K503" s="42">
        <f t="shared" si="36"/>
        <v>0.15276313364055299</v>
      </c>
      <c r="L503" s="43">
        <f t="shared" si="37"/>
        <v>7.9796565636524566</v>
      </c>
      <c r="M503" s="43">
        <f t="shared" si="38"/>
        <v>6.9796565636524566</v>
      </c>
      <c r="N503" s="43">
        <f t="shared" si="39"/>
        <v>5.9982957260419436</v>
      </c>
      <c r="O503" s="1" t="str">
        <f t="shared" si="35"/>
        <v>Normal</v>
      </c>
      <c r="P503" s="51" t="str">
        <f>IF(Table4[[#This Row],[Sales]]&lt;=$B$3,"Normal","High Revenue")</f>
        <v>High Revenue</v>
      </c>
      <c r="Q503" s="51" t="str">
        <f>IF(Table4[[#This Row],[CTR]]&lt;=$B$4,"Normal","High CTR")</f>
        <v>Normal</v>
      </c>
      <c r="R503" s="51" t="str">
        <f>IF(Table4[[#This Row],[ROAS]]&lt;1,"Poor",IF(Table4[[#This Row],[ROAS]]&lt;3,"Average",IF(Table4[[#This Row],[ROAS]]&lt;5,"Good",
"Excellent")))</f>
        <v>Excellent</v>
      </c>
      <c r="S503" s="51" t="str">
        <f>IF(AND(Table4[[#This Row],[USD_Spend]]&gt;=$B$5,Table4[[#This Row],[Sales]]&lt;=$B$6),"Wasted Budget","Spend Justified")</f>
        <v>Spend Justified</v>
      </c>
      <c r="T503" s="51" t="str">
        <f>IF(AND(Table4[[#This Row],[Clicks]]&gt;=$B$7,Table4[[#This Row],[Sales]]&lt;=$B$6),"Poor Monetization","Normal Monitization")</f>
        <v>Normal Monitization</v>
      </c>
    </row>
    <row r="504" spans="1:20" x14ac:dyDescent="0.35">
      <c r="A504" s="38" t="s">
        <v>62</v>
      </c>
      <c r="B504" s="38" t="s">
        <v>19</v>
      </c>
      <c r="C504" s="38" t="s">
        <v>29</v>
      </c>
      <c r="D504" s="38" t="s">
        <v>51</v>
      </c>
      <c r="E504" s="38" t="s">
        <v>22</v>
      </c>
      <c r="F504" s="38">
        <v>20344.22</v>
      </c>
      <c r="G504" s="38">
        <v>211485</v>
      </c>
      <c r="H504" s="38">
        <v>44661</v>
      </c>
      <c r="I504" s="38">
        <v>168892.62</v>
      </c>
      <c r="J504" s="38">
        <v>7</v>
      </c>
      <c r="K504" s="39">
        <f t="shared" si="36"/>
        <v>0.21117809773742818</v>
      </c>
      <c r="L504" s="40">
        <f t="shared" si="37"/>
        <v>8.3017495878436218</v>
      </c>
      <c r="M504" s="40">
        <f t="shared" si="38"/>
        <v>7.3017495878436227</v>
      </c>
      <c r="N504" s="40">
        <f t="shared" si="39"/>
        <v>3.7816578222610331</v>
      </c>
      <c r="O504" s="1" t="str">
        <f t="shared" si="35"/>
        <v>Normal</v>
      </c>
      <c r="P504" s="51" t="str">
        <f>IF(Table4[[#This Row],[Sales]]&lt;=$B$3,"Normal","High Revenue")</f>
        <v>Normal</v>
      </c>
      <c r="Q504" s="51" t="str">
        <f>IF(Table4[[#This Row],[CTR]]&lt;=$B$4,"Normal","High CTR")</f>
        <v>Normal</v>
      </c>
      <c r="R504" s="51" t="str">
        <f>IF(Table4[[#This Row],[ROAS]]&lt;1,"Poor",IF(Table4[[#This Row],[ROAS]]&lt;3,"Average",IF(Table4[[#This Row],[ROAS]]&lt;5,"Good",
"Excellent")))</f>
        <v>Excellent</v>
      </c>
      <c r="S504" s="51" t="str">
        <f>IF(AND(Table4[[#This Row],[USD_Spend]]&gt;=$B$5,Table4[[#This Row],[Sales]]&lt;=$B$6),"Wasted Budget","Spend Justified")</f>
        <v>Spend Justified</v>
      </c>
      <c r="T504" s="51" t="str">
        <f>IF(AND(Table4[[#This Row],[Clicks]]&gt;=$B$7,Table4[[#This Row],[Sales]]&lt;=$B$6),"Poor Monetization","Normal Monitization")</f>
        <v>Normal Monitization</v>
      </c>
    </row>
    <row r="505" spans="1:20" x14ac:dyDescent="0.35">
      <c r="A505" s="41" t="s">
        <v>67</v>
      </c>
      <c r="B505" s="41" t="s">
        <v>19</v>
      </c>
      <c r="C505" s="41" t="s">
        <v>69</v>
      </c>
      <c r="D505" s="41" t="s">
        <v>63</v>
      </c>
      <c r="E505" s="41" t="s">
        <v>38</v>
      </c>
      <c r="F505" s="41">
        <v>8891.26</v>
      </c>
      <c r="G505" s="41">
        <v>128733</v>
      </c>
      <c r="H505" s="41">
        <v>22248</v>
      </c>
      <c r="I505" s="41">
        <v>228941.07</v>
      </c>
      <c r="J505" s="41">
        <v>37</v>
      </c>
      <c r="K505" s="42">
        <f t="shared" si="36"/>
        <v>0.17282281932371654</v>
      </c>
      <c r="L505" s="43">
        <f t="shared" si="37"/>
        <v>25.749001828762179</v>
      </c>
      <c r="M505" s="43">
        <f t="shared" si="38"/>
        <v>24.749001828762175</v>
      </c>
      <c r="N505" s="43">
        <f t="shared" si="39"/>
        <v>10.290411272923409</v>
      </c>
      <c r="O505" s="1" t="str">
        <f t="shared" si="35"/>
        <v>Normal</v>
      </c>
      <c r="P505" s="51" t="str">
        <f>IF(Table4[[#This Row],[Sales]]&lt;=$B$3,"Normal","High Revenue")</f>
        <v>Normal</v>
      </c>
      <c r="Q505" s="51" t="str">
        <f>IF(Table4[[#This Row],[CTR]]&lt;=$B$4,"Normal","High CTR")</f>
        <v>Normal</v>
      </c>
      <c r="R505" s="51" t="str">
        <f>IF(Table4[[#This Row],[ROAS]]&lt;1,"Poor",IF(Table4[[#This Row],[ROAS]]&lt;3,"Average",IF(Table4[[#This Row],[ROAS]]&lt;5,"Good",
"Excellent")))</f>
        <v>Excellent</v>
      </c>
      <c r="S505" s="51" t="str">
        <f>IF(AND(Table4[[#This Row],[USD_Spend]]&gt;=$B$5,Table4[[#This Row],[Sales]]&lt;=$B$6),"Wasted Budget","Spend Justified")</f>
        <v>Spend Justified</v>
      </c>
      <c r="T505" s="51" t="str">
        <f>IF(AND(Table4[[#This Row],[Clicks]]&gt;=$B$7,Table4[[#This Row],[Sales]]&lt;=$B$6),"Poor Monetization","Normal Monitization")</f>
        <v>Normal Monitization</v>
      </c>
    </row>
    <row r="506" spans="1:20" x14ac:dyDescent="0.35">
      <c r="A506" s="38" t="s">
        <v>102</v>
      </c>
      <c r="B506" s="38" t="s">
        <v>48</v>
      </c>
      <c r="C506" s="38" t="s">
        <v>58</v>
      </c>
      <c r="D506" s="38" t="s">
        <v>51</v>
      </c>
      <c r="E506" s="38" t="s">
        <v>30</v>
      </c>
      <c r="F506" s="38">
        <v>2626.82</v>
      </c>
      <c r="G506" s="38">
        <v>962631</v>
      </c>
      <c r="H506" s="38">
        <v>13289</v>
      </c>
      <c r="I506" s="38">
        <v>197389.63</v>
      </c>
      <c r="J506" s="38">
        <v>28</v>
      </c>
      <c r="K506" s="39">
        <f t="shared" si="36"/>
        <v>1.3804874349569046E-2</v>
      </c>
      <c r="L506" s="40">
        <f t="shared" si="37"/>
        <v>75.143949718671237</v>
      </c>
      <c r="M506" s="40">
        <f t="shared" si="38"/>
        <v>74.143949718671237</v>
      </c>
      <c r="N506" s="40">
        <f t="shared" si="39"/>
        <v>14.85361050492889</v>
      </c>
      <c r="O506" s="1" t="str">
        <f t="shared" si="35"/>
        <v>Normal</v>
      </c>
      <c r="P506" s="51" t="str">
        <f>IF(Table4[[#This Row],[Sales]]&lt;=$B$3,"Normal","High Revenue")</f>
        <v>Normal</v>
      </c>
      <c r="Q506" s="51" t="str">
        <f>IF(Table4[[#This Row],[CTR]]&lt;=$B$4,"Normal","High CTR")</f>
        <v>Normal</v>
      </c>
      <c r="R506" s="51" t="str">
        <f>IF(Table4[[#This Row],[ROAS]]&lt;1,"Poor",IF(Table4[[#This Row],[ROAS]]&lt;3,"Average",IF(Table4[[#This Row],[ROAS]]&lt;5,"Good",
"Excellent")))</f>
        <v>Excellent</v>
      </c>
      <c r="S506" s="51" t="str">
        <f>IF(AND(Table4[[#This Row],[USD_Spend]]&gt;=$B$5,Table4[[#This Row],[Sales]]&lt;=$B$6),"Wasted Budget","Spend Justified")</f>
        <v>Spend Justified</v>
      </c>
      <c r="T506" s="51" t="str">
        <f>IF(AND(Table4[[#This Row],[Clicks]]&gt;=$B$7,Table4[[#This Row],[Sales]]&lt;=$B$6),"Poor Monetization","Normal Monitization")</f>
        <v>Normal Monitization</v>
      </c>
    </row>
    <row r="507" spans="1:20" x14ac:dyDescent="0.35">
      <c r="A507" s="41" t="s">
        <v>104</v>
      </c>
      <c r="B507" s="41" t="s">
        <v>28</v>
      </c>
      <c r="C507" s="41" t="s">
        <v>20</v>
      </c>
      <c r="D507" s="41" t="s">
        <v>37</v>
      </c>
      <c r="E507" s="41" t="s">
        <v>22</v>
      </c>
      <c r="F507" s="41">
        <v>23765.16</v>
      </c>
      <c r="G507" s="41">
        <v>238808</v>
      </c>
      <c r="H507" s="41">
        <v>30685</v>
      </c>
      <c r="I507" s="41">
        <v>79025.55</v>
      </c>
      <c r="J507" s="41">
        <v>30</v>
      </c>
      <c r="K507" s="42">
        <f t="shared" si="36"/>
        <v>0.12849234531506482</v>
      </c>
      <c r="L507" s="43">
        <f t="shared" si="37"/>
        <v>3.3252690072358027</v>
      </c>
      <c r="M507" s="43">
        <f t="shared" si="38"/>
        <v>2.3252690072358022</v>
      </c>
      <c r="N507" s="43">
        <f t="shared" si="39"/>
        <v>2.575380479061431</v>
      </c>
      <c r="O507" s="1" t="str">
        <f t="shared" si="35"/>
        <v>Normal</v>
      </c>
      <c r="P507" s="51" t="str">
        <f>IF(Table4[[#This Row],[Sales]]&lt;=$B$3,"Normal","High Revenue")</f>
        <v>Normal</v>
      </c>
      <c r="Q507" s="51" t="str">
        <f>IF(Table4[[#This Row],[CTR]]&lt;=$B$4,"Normal","High CTR")</f>
        <v>Normal</v>
      </c>
      <c r="R507" s="51" t="str">
        <f>IF(Table4[[#This Row],[ROAS]]&lt;1,"Poor",IF(Table4[[#This Row],[ROAS]]&lt;3,"Average",IF(Table4[[#This Row],[ROAS]]&lt;5,"Good",
"Excellent")))</f>
        <v>Good</v>
      </c>
      <c r="S507" s="51" t="str">
        <f>IF(AND(Table4[[#This Row],[USD_Spend]]&gt;=$B$5,Table4[[#This Row],[Sales]]&lt;=$B$6),"Wasted Budget","Spend Justified")</f>
        <v>Spend Justified</v>
      </c>
      <c r="T507" s="51" t="str">
        <f>IF(AND(Table4[[#This Row],[Clicks]]&gt;=$B$7,Table4[[#This Row],[Sales]]&lt;=$B$6),"Poor Monetization","Normal Monitization")</f>
        <v>Normal Monitization</v>
      </c>
    </row>
    <row r="508" spans="1:20" x14ac:dyDescent="0.35">
      <c r="A508" s="38" t="s">
        <v>91</v>
      </c>
      <c r="B508" s="38" t="s">
        <v>48</v>
      </c>
      <c r="C508" s="38" t="s">
        <v>29</v>
      </c>
      <c r="D508" s="38" t="s">
        <v>37</v>
      </c>
      <c r="E508" s="38" t="s">
        <v>38</v>
      </c>
      <c r="F508" s="38">
        <v>33527.279999999999</v>
      </c>
      <c r="G508" s="38">
        <v>282735</v>
      </c>
      <c r="H508" s="38">
        <v>10752</v>
      </c>
      <c r="I508" s="38">
        <v>240274.73</v>
      </c>
      <c r="J508" s="38">
        <v>42</v>
      </c>
      <c r="K508" s="39">
        <f t="shared" si="36"/>
        <v>3.802854262825614E-2</v>
      </c>
      <c r="L508" s="40">
        <f t="shared" si="37"/>
        <v>7.1665440799253632</v>
      </c>
      <c r="M508" s="40">
        <f t="shared" si="38"/>
        <v>6.1665440799253632</v>
      </c>
      <c r="N508" s="40">
        <f t="shared" si="39"/>
        <v>22.346980096726192</v>
      </c>
      <c r="O508" s="1" t="str">
        <f t="shared" si="35"/>
        <v>Normal</v>
      </c>
      <c r="P508" s="51" t="str">
        <f>IF(Table4[[#This Row],[Sales]]&lt;=$B$3,"Normal","High Revenue")</f>
        <v>High Revenue</v>
      </c>
      <c r="Q508" s="51" t="str">
        <f>IF(Table4[[#This Row],[CTR]]&lt;=$B$4,"Normal","High CTR")</f>
        <v>Normal</v>
      </c>
      <c r="R508" s="51" t="str">
        <f>IF(Table4[[#This Row],[ROAS]]&lt;1,"Poor",IF(Table4[[#This Row],[ROAS]]&lt;3,"Average",IF(Table4[[#This Row],[ROAS]]&lt;5,"Good",
"Excellent")))</f>
        <v>Excellent</v>
      </c>
      <c r="S508" s="51" t="str">
        <f>IF(AND(Table4[[#This Row],[USD_Spend]]&gt;=$B$5,Table4[[#This Row],[Sales]]&lt;=$B$6),"Wasted Budget","Spend Justified")</f>
        <v>Spend Justified</v>
      </c>
      <c r="T508" s="51" t="str">
        <f>IF(AND(Table4[[#This Row],[Clicks]]&gt;=$B$7,Table4[[#This Row],[Sales]]&lt;=$B$6),"Poor Monetization","Normal Monitization")</f>
        <v>Normal Monitization</v>
      </c>
    </row>
    <row r="509" spans="1:20" x14ac:dyDescent="0.35">
      <c r="A509" s="41" t="s">
        <v>67</v>
      </c>
      <c r="B509" s="41" t="s">
        <v>19</v>
      </c>
      <c r="C509" s="41" t="s">
        <v>20</v>
      </c>
      <c r="D509" s="41" t="s">
        <v>37</v>
      </c>
      <c r="E509" s="41" t="s">
        <v>30</v>
      </c>
      <c r="F509" s="41">
        <v>19785.2</v>
      </c>
      <c r="G509" s="41">
        <v>740494</v>
      </c>
      <c r="H509" s="41">
        <v>6522</v>
      </c>
      <c r="I509" s="41">
        <v>115848.14</v>
      </c>
      <c r="J509" s="41">
        <v>39</v>
      </c>
      <c r="K509" s="42">
        <f t="shared" si="36"/>
        <v>8.8076338228263839E-3</v>
      </c>
      <c r="L509" s="43">
        <f t="shared" si="37"/>
        <v>5.8552928451569857</v>
      </c>
      <c r="M509" s="43">
        <f t="shared" si="38"/>
        <v>4.8552928451569857</v>
      </c>
      <c r="N509" s="43">
        <f t="shared" si="39"/>
        <v>17.762670959828274</v>
      </c>
      <c r="O509" s="1" t="str">
        <f t="shared" si="35"/>
        <v>Normal</v>
      </c>
      <c r="P509" s="51" t="str">
        <f>IF(Table4[[#This Row],[Sales]]&lt;=$B$3,"Normal","High Revenue")</f>
        <v>Normal</v>
      </c>
      <c r="Q509" s="51" t="str">
        <f>IF(Table4[[#This Row],[CTR]]&lt;=$B$4,"Normal","High CTR")</f>
        <v>Normal</v>
      </c>
      <c r="R509" s="51" t="str">
        <f>IF(Table4[[#This Row],[ROAS]]&lt;1,"Poor",IF(Table4[[#This Row],[ROAS]]&lt;3,"Average",IF(Table4[[#This Row],[ROAS]]&lt;5,"Good",
"Excellent")))</f>
        <v>Excellent</v>
      </c>
      <c r="S509" s="51" t="str">
        <f>IF(AND(Table4[[#This Row],[USD_Spend]]&gt;=$B$5,Table4[[#This Row],[Sales]]&lt;=$B$6),"Wasted Budget","Spend Justified")</f>
        <v>Spend Justified</v>
      </c>
      <c r="T509" s="51" t="str">
        <f>IF(AND(Table4[[#This Row],[Clicks]]&gt;=$B$7,Table4[[#This Row],[Sales]]&lt;=$B$6),"Poor Monetization","Normal Monitization")</f>
        <v>Normal Monitization</v>
      </c>
    </row>
    <row r="510" spans="1:20" x14ac:dyDescent="0.35">
      <c r="A510" s="38" t="s">
        <v>81</v>
      </c>
      <c r="B510" s="38" t="s">
        <v>28</v>
      </c>
      <c r="C510" s="38" t="s">
        <v>69</v>
      </c>
      <c r="D510" s="38" t="s">
        <v>59</v>
      </c>
      <c r="E510" s="38" t="s">
        <v>22</v>
      </c>
      <c r="F510" s="38">
        <v>12412.53</v>
      </c>
      <c r="G510" s="38">
        <v>964293</v>
      </c>
      <c r="H510" s="38">
        <v>5593</v>
      </c>
      <c r="I510" s="38">
        <v>74400.33</v>
      </c>
      <c r="J510" s="38">
        <v>14</v>
      </c>
      <c r="K510" s="39">
        <f t="shared" si="36"/>
        <v>5.8001043251376914E-3</v>
      </c>
      <c r="L510" s="40">
        <f t="shared" si="37"/>
        <v>5.9939698030941315</v>
      </c>
      <c r="M510" s="40">
        <f t="shared" si="38"/>
        <v>4.9939698030941315</v>
      </c>
      <c r="N510" s="40">
        <f t="shared" si="39"/>
        <v>13.302401215805471</v>
      </c>
      <c r="O510" s="1" t="str">
        <f t="shared" si="35"/>
        <v>Normal</v>
      </c>
      <c r="P510" s="51" t="str">
        <f>IF(Table4[[#This Row],[Sales]]&lt;=$B$3,"Normal","High Revenue")</f>
        <v>Normal</v>
      </c>
      <c r="Q510" s="51" t="str">
        <f>IF(Table4[[#This Row],[CTR]]&lt;=$B$4,"Normal","High CTR")</f>
        <v>Normal</v>
      </c>
      <c r="R510" s="51" t="str">
        <f>IF(Table4[[#This Row],[ROAS]]&lt;1,"Poor",IF(Table4[[#This Row],[ROAS]]&lt;3,"Average",IF(Table4[[#This Row],[ROAS]]&lt;5,"Good",
"Excellent")))</f>
        <v>Excellent</v>
      </c>
      <c r="S510" s="51" t="str">
        <f>IF(AND(Table4[[#This Row],[USD_Spend]]&gt;=$B$5,Table4[[#This Row],[Sales]]&lt;=$B$6),"Wasted Budget","Spend Justified")</f>
        <v>Spend Justified</v>
      </c>
      <c r="T510" s="51" t="str">
        <f>IF(AND(Table4[[#This Row],[Clicks]]&gt;=$B$7,Table4[[#This Row],[Sales]]&lt;=$B$6),"Poor Monetization","Normal Monitization")</f>
        <v>Normal Monitization</v>
      </c>
    </row>
    <row r="511" spans="1:20" x14ac:dyDescent="0.35">
      <c r="A511" s="41" t="s">
        <v>106</v>
      </c>
      <c r="B511" s="41" t="s">
        <v>28</v>
      </c>
      <c r="C511" s="41" t="s">
        <v>20</v>
      </c>
      <c r="D511" s="41" t="s">
        <v>51</v>
      </c>
      <c r="E511" s="41" t="s">
        <v>30</v>
      </c>
      <c r="F511" s="41">
        <v>13570.93</v>
      </c>
      <c r="G511" s="41">
        <v>613080</v>
      </c>
      <c r="H511" s="41">
        <v>40944</v>
      </c>
      <c r="I511" s="41">
        <v>91694.07</v>
      </c>
      <c r="J511" s="41">
        <v>44</v>
      </c>
      <c r="K511" s="42">
        <f t="shared" si="36"/>
        <v>6.678410647876297E-2</v>
      </c>
      <c r="L511" s="43">
        <f t="shared" si="37"/>
        <v>6.756653376002971</v>
      </c>
      <c r="M511" s="43">
        <f t="shared" si="38"/>
        <v>5.7566533760029719</v>
      </c>
      <c r="N511" s="43">
        <f t="shared" si="39"/>
        <v>2.2394995603751466</v>
      </c>
      <c r="O511" s="1" t="str">
        <f t="shared" si="35"/>
        <v>Normal</v>
      </c>
      <c r="P511" s="51" t="str">
        <f>IF(Table4[[#This Row],[Sales]]&lt;=$B$3,"Normal","High Revenue")</f>
        <v>Normal</v>
      </c>
      <c r="Q511" s="51" t="str">
        <f>IF(Table4[[#This Row],[CTR]]&lt;=$B$4,"Normal","High CTR")</f>
        <v>Normal</v>
      </c>
      <c r="R511" s="51" t="str">
        <f>IF(Table4[[#This Row],[ROAS]]&lt;1,"Poor",IF(Table4[[#This Row],[ROAS]]&lt;3,"Average",IF(Table4[[#This Row],[ROAS]]&lt;5,"Good",
"Excellent")))</f>
        <v>Excellent</v>
      </c>
      <c r="S511" s="51" t="str">
        <f>IF(AND(Table4[[#This Row],[USD_Spend]]&gt;=$B$5,Table4[[#This Row],[Sales]]&lt;=$B$6),"Wasted Budget","Spend Justified")</f>
        <v>Spend Justified</v>
      </c>
      <c r="T511" s="51" t="str">
        <f>IF(AND(Table4[[#This Row],[Clicks]]&gt;=$B$7,Table4[[#This Row],[Sales]]&lt;=$B$6),"Poor Monetization","Normal Monitization")</f>
        <v>Normal Monitization</v>
      </c>
    </row>
    <row r="512" spans="1:20" x14ac:dyDescent="0.35">
      <c r="A512" s="38" t="s">
        <v>97</v>
      </c>
      <c r="B512" s="38" t="s">
        <v>48</v>
      </c>
      <c r="C512" s="38" t="s">
        <v>29</v>
      </c>
      <c r="D512" s="38" t="s">
        <v>43</v>
      </c>
      <c r="E512" s="38" t="s">
        <v>30</v>
      </c>
      <c r="F512" s="38">
        <v>50832.47</v>
      </c>
      <c r="G512" s="38">
        <v>959173</v>
      </c>
      <c r="H512" s="38">
        <v>6683</v>
      </c>
      <c r="I512" s="38">
        <v>184898.05</v>
      </c>
      <c r="J512" s="38">
        <v>36</v>
      </c>
      <c r="K512" s="39">
        <f t="shared" si="36"/>
        <v>6.9674605102520611E-3</v>
      </c>
      <c r="L512" s="40">
        <f t="shared" si="37"/>
        <v>3.6374004647029738</v>
      </c>
      <c r="M512" s="40">
        <f t="shared" si="38"/>
        <v>2.6374004647029738</v>
      </c>
      <c r="N512" s="40">
        <f t="shared" si="39"/>
        <v>27.666923537333531</v>
      </c>
      <c r="O512" s="1" t="str">
        <f t="shared" si="35"/>
        <v>High Spend</v>
      </c>
      <c r="P512" s="51" t="str">
        <f>IF(Table4[[#This Row],[Sales]]&lt;=$B$3,"Normal","High Revenue")</f>
        <v>Normal</v>
      </c>
      <c r="Q512" s="51" t="str">
        <f>IF(Table4[[#This Row],[CTR]]&lt;=$B$4,"Normal","High CTR")</f>
        <v>Normal</v>
      </c>
      <c r="R512" s="51" t="str">
        <f>IF(Table4[[#This Row],[ROAS]]&lt;1,"Poor",IF(Table4[[#This Row],[ROAS]]&lt;3,"Average",IF(Table4[[#This Row],[ROAS]]&lt;5,"Good",
"Excellent")))</f>
        <v>Good</v>
      </c>
      <c r="S512" s="51" t="str">
        <f>IF(AND(Table4[[#This Row],[USD_Spend]]&gt;=$B$5,Table4[[#This Row],[Sales]]&lt;=$B$6),"Wasted Budget","Spend Justified")</f>
        <v>Spend Justified</v>
      </c>
      <c r="T512" s="51" t="str">
        <f>IF(AND(Table4[[#This Row],[Clicks]]&gt;=$B$7,Table4[[#This Row],[Sales]]&lt;=$B$6),"Poor Monetization","Normal Monitization")</f>
        <v>Normal Monitization</v>
      </c>
    </row>
    <row r="513" spans="1:20" x14ac:dyDescent="0.35">
      <c r="A513" s="41" t="s">
        <v>47</v>
      </c>
      <c r="B513" s="41" t="s">
        <v>28</v>
      </c>
      <c r="C513" s="41" t="s">
        <v>69</v>
      </c>
      <c r="D513" s="41" t="s">
        <v>51</v>
      </c>
      <c r="E513" s="41" t="s">
        <v>30</v>
      </c>
      <c r="F513" s="41">
        <v>6940.56</v>
      </c>
      <c r="G513" s="41">
        <v>579128</v>
      </c>
      <c r="H513" s="41">
        <v>28665</v>
      </c>
      <c r="I513" s="41">
        <v>98483.01</v>
      </c>
      <c r="J513" s="41">
        <v>29</v>
      </c>
      <c r="K513" s="42">
        <f t="shared" si="36"/>
        <v>4.9496829716401208E-2</v>
      </c>
      <c r="L513" s="43">
        <f t="shared" si="37"/>
        <v>14.189490473391194</v>
      </c>
      <c r="M513" s="43">
        <f t="shared" si="38"/>
        <v>13.189490473391196</v>
      </c>
      <c r="N513" s="43">
        <f t="shared" si="39"/>
        <v>3.4356535845107272</v>
      </c>
      <c r="O513" s="1" t="str">
        <f t="shared" si="35"/>
        <v>Normal</v>
      </c>
      <c r="P513" s="51" t="str">
        <f>IF(Table4[[#This Row],[Sales]]&lt;=$B$3,"Normal","High Revenue")</f>
        <v>Normal</v>
      </c>
      <c r="Q513" s="51" t="str">
        <f>IF(Table4[[#This Row],[CTR]]&lt;=$B$4,"Normal","High CTR")</f>
        <v>Normal</v>
      </c>
      <c r="R513" s="51" t="str">
        <f>IF(Table4[[#This Row],[ROAS]]&lt;1,"Poor",IF(Table4[[#This Row],[ROAS]]&lt;3,"Average",IF(Table4[[#This Row],[ROAS]]&lt;5,"Good",
"Excellent")))</f>
        <v>Excellent</v>
      </c>
      <c r="S513" s="51" t="str">
        <f>IF(AND(Table4[[#This Row],[USD_Spend]]&gt;=$B$5,Table4[[#This Row],[Sales]]&lt;=$B$6),"Wasted Budget","Spend Justified")</f>
        <v>Spend Justified</v>
      </c>
      <c r="T513" s="51" t="str">
        <f>IF(AND(Table4[[#This Row],[Clicks]]&gt;=$B$7,Table4[[#This Row],[Sales]]&lt;=$B$6),"Poor Monetization","Normal Monitization")</f>
        <v>Normal Monitization</v>
      </c>
    </row>
    <row r="514" spans="1:20" x14ac:dyDescent="0.35">
      <c r="A514" s="38" t="s">
        <v>34</v>
      </c>
      <c r="B514" s="38" t="s">
        <v>19</v>
      </c>
      <c r="C514" s="38" t="s">
        <v>20</v>
      </c>
      <c r="D514" s="38" t="s">
        <v>63</v>
      </c>
      <c r="E514" s="38" t="s">
        <v>38</v>
      </c>
      <c r="F514" s="38">
        <v>2363</v>
      </c>
      <c r="G514" s="38">
        <v>934065</v>
      </c>
      <c r="H514" s="38">
        <v>5144</v>
      </c>
      <c r="I514" s="38">
        <v>46827.65</v>
      </c>
      <c r="J514" s="38">
        <v>27</v>
      </c>
      <c r="K514" s="39">
        <f t="shared" si="36"/>
        <v>5.5071113894643309E-3</v>
      </c>
      <c r="L514" s="40">
        <f t="shared" si="37"/>
        <v>19.817033432077867</v>
      </c>
      <c r="M514" s="40">
        <f t="shared" si="38"/>
        <v>18.817033432077867</v>
      </c>
      <c r="N514" s="40">
        <f t="shared" si="39"/>
        <v>9.1033534214618985</v>
      </c>
      <c r="O514" s="1" t="str">
        <f t="shared" si="35"/>
        <v>Normal</v>
      </c>
      <c r="P514" s="51" t="str">
        <f>IF(Table4[[#This Row],[Sales]]&lt;=$B$3,"Normal","High Revenue")</f>
        <v>Normal</v>
      </c>
      <c r="Q514" s="51" t="str">
        <f>IF(Table4[[#This Row],[CTR]]&lt;=$B$4,"Normal","High CTR")</f>
        <v>Normal</v>
      </c>
      <c r="R514" s="51" t="str">
        <f>IF(Table4[[#This Row],[ROAS]]&lt;1,"Poor",IF(Table4[[#This Row],[ROAS]]&lt;3,"Average",IF(Table4[[#This Row],[ROAS]]&lt;5,"Good",
"Excellent")))</f>
        <v>Excellent</v>
      </c>
      <c r="S514" s="51" t="str">
        <f>IF(AND(Table4[[#This Row],[USD_Spend]]&gt;=$B$5,Table4[[#This Row],[Sales]]&lt;=$B$6),"Wasted Budget","Spend Justified")</f>
        <v>Spend Justified</v>
      </c>
      <c r="T514" s="51" t="str">
        <f>IF(AND(Table4[[#This Row],[Clicks]]&gt;=$B$7,Table4[[#This Row],[Sales]]&lt;=$B$6),"Poor Monetization","Normal Monitization")</f>
        <v>Normal Monitization</v>
      </c>
    </row>
    <row r="515" spans="1:20" x14ac:dyDescent="0.35">
      <c r="A515" s="41" t="s">
        <v>66</v>
      </c>
      <c r="B515" s="41" t="s">
        <v>35</v>
      </c>
      <c r="C515" s="41" t="s">
        <v>36</v>
      </c>
      <c r="D515" s="41" t="s">
        <v>37</v>
      </c>
      <c r="E515" s="41" t="s">
        <v>38</v>
      </c>
      <c r="F515" s="41">
        <v>3052.16</v>
      </c>
      <c r="G515" s="41">
        <v>235636</v>
      </c>
      <c r="H515" s="41">
        <v>43154</v>
      </c>
      <c r="I515" s="41">
        <v>96056.77</v>
      </c>
      <c r="J515" s="41">
        <v>56</v>
      </c>
      <c r="K515" s="42">
        <f t="shared" si="36"/>
        <v>0.18313839990493813</v>
      </c>
      <c r="L515" s="43">
        <f t="shared" si="37"/>
        <v>31.471734771440556</v>
      </c>
      <c r="M515" s="43">
        <f t="shared" si="38"/>
        <v>30.471734771440556</v>
      </c>
      <c r="N515" s="43">
        <f t="shared" si="39"/>
        <v>2.2259065208323681</v>
      </c>
      <c r="O515" s="1" t="str">
        <f t="shared" si="35"/>
        <v>Normal</v>
      </c>
      <c r="P515" s="51" t="str">
        <f>IF(Table4[[#This Row],[Sales]]&lt;=$B$3,"Normal","High Revenue")</f>
        <v>Normal</v>
      </c>
      <c r="Q515" s="51" t="str">
        <f>IF(Table4[[#This Row],[CTR]]&lt;=$B$4,"Normal","High CTR")</f>
        <v>Normal</v>
      </c>
      <c r="R515" s="51" t="str">
        <f>IF(Table4[[#This Row],[ROAS]]&lt;1,"Poor",IF(Table4[[#This Row],[ROAS]]&lt;3,"Average",IF(Table4[[#This Row],[ROAS]]&lt;5,"Good",
"Excellent")))</f>
        <v>Excellent</v>
      </c>
      <c r="S515" s="51" t="str">
        <f>IF(AND(Table4[[#This Row],[USD_Spend]]&gt;=$B$5,Table4[[#This Row],[Sales]]&lt;=$B$6),"Wasted Budget","Spend Justified")</f>
        <v>Spend Justified</v>
      </c>
      <c r="T515" s="51" t="str">
        <f>IF(AND(Table4[[#This Row],[Clicks]]&gt;=$B$7,Table4[[#This Row],[Sales]]&lt;=$B$6),"Poor Monetization","Normal Monitization")</f>
        <v>Normal Monitization</v>
      </c>
    </row>
    <row r="516" spans="1:20" x14ac:dyDescent="0.35">
      <c r="A516" s="38" t="s">
        <v>82</v>
      </c>
      <c r="B516" s="38" t="s">
        <v>19</v>
      </c>
      <c r="C516" s="38" t="s">
        <v>20</v>
      </c>
      <c r="D516" s="38" t="s">
        <v>59</v>
      </c>
      <c r="E516" s="38" t="s">
        <v>38</v>
      </c>
      <c r="F516" s="38">
        <v>7944.39</v>
      </c>
      <c r="G516" s="38">
        <v>360520</v>
      </c>
      <c r="H516" s="38">
        <v>20046</v>
      </c>
      <c r="I516" s="38">
        <v>32324.51</v>
      </c>
      <c r="J516" s="38">
        <v>17</v>
      </c>
      <c r="K516" s="39">
        <f t="shared" si="36"/>
        <v>5.5603017863086655E-2</v>
      </c>
      <c r="L516" s="40">
        <f t="shared" si="37"/>
        <v>4.0688473249676811</v>
      </c>
      <c r="M516" s="40">
        <f t="shared" si="38"/>
        <v>3.0688473249676815</v>
      </c>
      <c r="N516" s="40">
        <f t="shared" si="39"/>
        <v>1.612516711563404</v>
      </c>
      <c r="O516" s="1" t="str">
        <f t="shared" si="35"/>
        <v>Normal</v>
      </c>
      <c r="P516" s="51" t="str">
        <f>IF(Table4[[#This Row],[Sales]]&lt;=$B$3,"Normal","High Revenue")</f>
        <v>Normal</v>
      </c>
      <c r="Q516" s="51" t="str">
        <f>IF(Table4[[#This Row],[CTR]]&lt;=$B$4,"Normal","High CTR")</f>
        <v>Normal</v>
      </c>
      <c r="R516" s="51" t="str">
        <f>IF(Table4[[#This Row],[ROAS]]&lt;1,"Poor",IF(Table4[[#This Row],[ROAS]]&lt;3,"Average",IF(Table4[[#This Row],[ROAS]]&lt;5,"Good",
"Excellent")))</f>
        <v>Good</v>
      </c>
      <c r="S516" s="51" t="str">
        <f>IF(AND(Table4[[#This Row],[USD_Spend]]&gt;=$B$5,Table4[[#This Row],[Sales]]&lt;=$B$6),"Wasted Budget","Spend Justified")</f>
        <v>Wasted Budget</v>
      </c>
      <c r="T516" s="51" t="str">
        <f>IF(AND(Table4[[#This Row],[Clicks]]&gt;=$B$7,Table4[[#This Row],[Sales]]&lt;=$B$6),"Poor Monetization","Normal Monitization")</f>
        <v>Normal Monitization</v>
      </c>
    </row>
    <row r="517" spans="1:20" x14ac:dyDescent="0.35">
      <c r="A517" s="41" t="s">
        <v>67</v>
      </c>
      <c r="B517" s="41" t="s">
        <v>28</v>
      </c>
      <c r="C517" s="41" t="s">
        <v>58</v>
      </c>
      <c r="D517" s="41" t="s">
        <v>21</v>
      </c>
      <c r="E517" s="41" t="s">
        <v>22</v>
      </c>
      <c r="F517" s="41">
        <v>16378.72</v>
      </c>
      <c r="G517" s="41">
        <v>43697</v>
      </c>
      <c r="H517" s="41">
        <v>31110</v>
      </c>
      <c r="I517" s="41">
        <v>233569.02</v>
      </c>
      <c r="J517" s="41">
        <v>43</v>
      </c>
      <c r="K517" s="42">
        <f t="shared" si="36"/>
        <v>0.71194818866283727</v>
      </c>
      <c r="L517" s="43">
        <f t="shared" si="37"/>
        <v>14.260517305381617</v>
      </c>
      <c r="M517" s="43">
        <f t="shared" si="38"/>
        <v>13.260517305381617</v>
      </c>
      <c r="N517" s="43">
        <f t="shared" si="39"/>
        <v>7.5078437801350049</v>
      </c>
      <c r="O517" s="1" t="str">
        <f t="shared" si="35"/>
        <v>Normal</v>
      </c>
      <c r="P517" s="51" t="str">
        <f>IF(Table4[[#This Row],[Sales]]&lt;=$B$3,"Normal","High Revenue")</f>
        <v>High Revenue</v>
      </c>
      <c r="Q517" s="51" t="str">
        <f>IF(Table4[[#This Row],[CTR]]&lt;=$B$4,"Normal","High CTR")</f>
        <v>High CTR</v>
      </c>
      <c r="R517" s="51" t="str">
        <f>IF(Table4[[#This Row],[ROAS]]&lt;1,"Poor",IF(Table4[[#This Row],[ROAS]]&lt;3,"Average",IF(Table4[[#This Row],[ROAS]]&lt;5,"Good",
"Excellent")))</f>
        <v>Excellent</v>
      </c>
      <c r="S517" s="51" t="str">
        <f>IF(AND(Table4[[#This Row],[USD_Spend]]&gt;=$B$5,Table4[[#This Row],[Sales]]&lt;=$B$6),"Wasted Budget","Spend Justified")</f>
        <v>Spend Justified</v>
      </c>
      <c r="T517" s="51" t="str">
        <f>IF(AND(Table4[[#This Row],[Clicks]]&gt;=$B$7,Table4[[#This Row],[Sales]]&lt;=$B$6),"Poor Monetization","Normal Monitization")</f>
        <v>Normal Monitization</v>
      </c>
    </row>
    <row r="518" spans="1:20" x14ac:dyDescent="0.35">
      <c r="A518" s="38" t="s">
        <v>112</v>
      </c>
      <c r="B518" s="38" t="s">
        <v>19</v>
      </c>
      <c r="C518" s="38" t="s">
        <v>29</v>
      </c>
      <c r="D518" s="38" t="s">
        <v>51</v>
      </c>
      <c r="E518" s="38" t="s">
        <v>22</v>
      </c>
      <c r="F518" s="38">
        <v>14428.69</v>
      </c>
      <c r="G518" s="38">
        <v>301979</v>
      </c>
      <c r="H518" s="38">
        <v>48048</v>
      </c>
      <c r="I518" s="38">
        <v>168835.32</v>
      </c>
      <c r="J518" s="38">
        <v>37</v>
      </c>
      <c r="K518" s="39">
        <f t="shared" si="36"/>
        <v>0.15911040171667568</v>
      </c>
      <c r="L518" s="40">
        <f t="shared" si="37"/>
        <v>11.70136166207743</v>
      </c>
      <c r="M518" s="40">
        <f t="shared" si="38"/>
        <v>10.70136166207743</v>
      </c>
      <c r="N518" s="40">
        <f t="shared" si="39"/>
        <v>3.5138886113886114</v>
      </c>
      <c r="O518" s="1" t="str">
        <f t="shared" si="35"/>
        <v>Normal</v>
      </c>
      <c r="P518" s="51" t="str">
        <f>IF(Table4[[#This Row],[Sales]]&lt;=$B$3,"Normal","High Revenue")</f>
        <v>Normal</v>
      </c>
      <c r="Q518" s="51" t="str">
        <f>IF(Table4[[#This Row],[CTR]]&lt;=$B$4,"Normal","High CTR")</f>
        <v>Normal</v>
      </c>
      <c r="R518" s="51" t="str">
        <f>IF(Table4[[#This Row],[ROAS]]&lt;1,"Poor",IF(Table4[[#This Row],[ROAS]]&lt;3,"Average",IF(Table4[[#This Row],[ROAS]]&lt;5,"Good",
"Excellent")))</f>
        <v>Excellent</v>
      </c>
      <c r="S518" s="51" t="str">
        <f>IF(AND(Table4[[#This Row],[USD_Spend]]&gt;=$B$5,Table4[[#This Row],[Sales]]&lt;=$B$6),"Wasted Budget","Spend Justified")</f>
        <v>Spend Justified</v>
      </c>
      <c r="T518" s="51" t="str">
        <f>IF(AND(Table4[[#This Row],[Clicks]]&gt;=$B$7,Table4[[#This Row],[Sales]]&lt;=$B$6),"Poor Monetization","Normal Monitization")</f>
        <v>Normal Monitization</v>
      </c>
    </row>
    <row r="519" spans="1:20" x14ac:dyDescent="0.35">
      <c r="A519" s="41" t="s">
        <v>64</v>
      </c>
      <c r="B519" s="41" t="s">
        <v>48</v>
      </c>
      <c r="C519" s="41" t="s">
        <v>58</v>
      </c>
      <c r="D519" s="41" t="s">
        <v>21</v>
      </c>
      <c r="E519" s="41" t="s">
        <v>38</v>
      </c>
      <c r="F519" s="41">
        <v>7396.72</v>
      </c>
      <c r="G519" s="41">
        <v>868311</v>
      </c>
      <c r="H519" s="41">
        <v>48898</v>
      </c>
      <c r="I519" s="41">
        <v>166079.01</v>
      </c>
      <c r="J519" s="41">
        <v>15</v>
      </c>
      <c r="K519" s="42">
        <f t="shared" si="36"/>
        <v>5.6313924388842244E-2</v>
      </c>
      <c r="L519" s="43">
        <f t="shared" si="37"/>
        <v>22.453061627315893</v>
      </c>
      <c r="M519" s="43">
        <f t="shared" si="38"/>
        <v>21.453061627315893</v>
      </c>
      <c r="N519" s="43">
        <f t="shared" si="39"/>
        <v>3.3964376866129498</v>
      </c>
      <c r="O519" s="1" t="str">
        <f t="shared" si="35"/>
        <v>Normal</v>
      </c>
      <c r="P519" s="51" t="str">
        <f>IF(Table4[[#This Row],[Sales]]&lt;=$B$3,"Normal","High Revenue")</f>
        <v>Normal</v>
      </c>
      <c r="Q519" s="51" t="str">
        <f>IF(Table4[[#This Row],[CTR]]&lt;=$B$4,"Normal","High CTR")</f>
        <v>Normal</v>
      </c>
      <c r="R519" s="51" t="str">
        <f>IF(Table4[[#This Row],[ROAS]]&lt;1,"Poor",IF(Table4[[#This Row],[ROAS]]&lt;3,"Average",IF(Table4[[#This Row],[ROAS]]&lt;5,"Good",
"Excellent")))</f>
        <v>Excellent</v>
      </c>
      <c r="S519" s="51" t="str">
        <f>IF(AND(Table4[[#This Row],[USD_Spend]]&gt;=$B$5,Table4[[#This Row],[Sales]]&lt;=$B$6),"Wasted Budget","Spend Justified")</f>
        <v>Spend Justified</v>
      </c>
      <c r="T519" s="51" t="str">
        <f>IF(AND(Table4[[#This Row],[Clicks]]&gt;=$B$7,Table4[[#This Row],[Sales]]&lt;=$B$6),"Poor Monetization","Normal Monitization")</f>
        <v>Normal Monitization</v>
      </c>
    </row>
    <row r="520" spans="1:20" x14ac:dyDescent="0.35">
      <c r="A520" s="38" t="s">
        <v>66</v>
      </c>
      <c r="B520" s="38" t="s">
        <v>19</v>
      </c>
      <c r="C520" s="38" t="s">
        <v>36</v>
      </c>
      <c r="D520" s="38" t="s">
        <v>51</v>
      </c>
      <c r="E520" s="38" t="s">
        <v>22</v>
      </c>
      <c r="F520" s="38">
        <v>21359.57</v>
      </c>
      <c r="G520" s="38">
        <v>705951</v>
      </c>
      <c r="H520" s="38">
        <v>44421</v>
      </c>
      <c r="I520" s="38">
        <v>162144.09</v>
      </c>
      <c r="J520" s="38">
        <v>48</v>
      </c>
      <c r="K520" s="39">
        <f t="shared" si="36"/>
        <v>6.292363067691667E-2</v>
      </c>
      <c r="L520" s="40">
        <f t="shared" si="37"/>
        <v>7.5911682679005246</v>
      </c>
      <c r="M520" s="40">
        <f t="shared" si="38"/>
        <v>6.5911682679005237</v>
      </c>
      <c r="N520" s="40">
        <f t="shared" si="39"/>
        <v>3.6501674883501045</v>
      </c>
      <c r="O520" s="1" t="str">
        <f t="shared" si="35"/>
        <v>Normal</v>
      </c>
      <c r="P520" s="51" t="str">
        <f>IF(Table4[[#This Row],[Sales]]&lt;=$B$3,"Normal","High Revenue")</f>
        <v>Normal</v>
      </c>
      <c r="Q520" s="51" t="str">
        <f>IF(Table4[[#This Row],[CTR]]&lt;=$B$4,"Normal","High CTR")</f>
        <v>Normal</v>
      </c>
      <c r="R520" s="51" t="str">
        <f>IF(Table4[[#This Row],[ROAS]]&lt;1,"Poor",IF(Table4[[#This Row],[ROAS]]&lt;3,"Average",IF(Table4[[#This Row],[ROAS]]&lt;5,"Good",
"Excellent")))</f>
        <v>Excellent</v>
      </c>
      <c r="S520" s="51" t="str">
        <f>IF(AND(Table4[[#This Row],[USD_Spend]]&gt;=$B$5,Table4[[#This Row],[Sales]]&lt;=$B$6),"Wasted Budget","Spend Justified")</f>
        <v>Spend Justified</v>
      </c>
      <c r="T520" s="51" t="str">
        <f>IF(AND(Table4[[#This Row],[Clicks]]&gt;=$B$7,Table4[[#This Row],[Sales]]&lt;=$B$6),"Poor Monetization","Normal Monitization")</f>
        <v>Normal Monitization</v>
      </c>
    </row>
    <row r="521" spans="1:20" x14ac:dyDescent="0.35">
      <c r="A521" s="41" t="s">
        <v>114</v>
      </c>
      <c r="B521" s="41" t="s">
        <v>48</v>
      </c>
      <c r="C521" s="41" t="s">
        <v>58</v>
      </c>
      <c r="D521" s="41" t="s">
        <v>37</v>
      </c>
      <c r="E521" s="41" t="s">
        <v>22</v>
      </c>
      <c r="F521" s="41">
        <v>20802.29</v>
      </c>
      <c r="G521" s="41">
        <v>955169</v>
      </c>
      <c r="H521" s="41">
        <v>32224</v>
      </c>
      <c r="I521" s="41">
        <v>93016.47</v>
      </c>
      <c r="J521" s="41">
        <v>49</v>
      </c>
      <c r="K521" s="42">
        <f t="shared" si="36"/>
        <v>3.3736438263804625E-2</v>
      </c>
      <c r="L521" s="43">
        <f t="shared" si="37"/>
        <v>4.471453383257324</v>
      </c>
      <c r="M521" s="43">
        <f t="shared" si="38"/>
        <v>3.4714533832573236</v>
      </c>
      <c r="N521" s="43">
        <f t="shared" si="39"/>
        <v>2.8865587760675275</v>
      </c>
      <c r="O521" s="1" t="str">
        <f t="shared" si="35"/>
        <v>Normal</v>
      </c>
      <c r="P521" s="51" t="str">
        <f>IF(Table4[[#This Row],[Sales]]&lt;=$B$3,"Normal","High Revenue")</f>
        <v>Normal</v>
      </c>
      <c r="Q521" s="51" t="str">
        <f>IF(Table4[[#This Row],[CTR]]&lt;=$B$4,"Normal","High CTR")</f>
        <v>Normal</v>
      </c>
      <c r="R521" s="51" t="str">
        <f>IF(Table4[[#This Row],[ROAS]]&lt;1,"Poor",IF(Table4[[#This Row],[ROAS]]&lt;3,"Average",IF(Table4[[#This Row],[ROAS]]&lt;5,"Good",
"Excellent")))</f>
        <v>Good</v>
      </c>
      <c r="S521" s="51" t="str">
        <f>IF(AND(Table4[[#This Row],[USD_Spend]]&gt;=$B$5,Table4[[#This Row],[Sales]]&lt;=$B$6),"Wasted Budget","Spend Justified")</f>
        <v>Spend Justified</v>
      </c>
      <c r="T521" s="51" t="str">
        <f>IF(AND(Table4[[#This Row],[Clicks]]&gt;=$B$7,Table4[[#This Row],[Sales]]&lt;=$B$6),"Poor Monetization","Normal Monitization")</f>
        <v>Normal Monitization</v>
      </c>
    </row>
    <row r="522" spans="1:20" x14ac:dyDescent="0.35">
      <c r="A522" s="38" t="s">
        <v>66</v>
      </c>
      <c r="B522" s="38" t="s">
        <v>48</v>
      </c>
      <c r="C522" s="38" t="s">
        <v>29</v>
      </c>
      <c r="D522" s="38" t="s">
        <v>63</v>
      </c>
      <c r="E522" s="38" t="s">
        <v>22</v>
      </c>
      <c r="F522" s="38">
        <v>8932.66</v>
      </c>
      <c r="G522" s="38">
        <v>807861</v>
      </c>
      <c r="H522" s="38">
        <v>28211</v>
      </c>
      <c r="I522" s="38">
        <v>65698.09</v>
      </c>
      <c r="J522" s="38">
        <v>36</v>
      </c>
      <c r="K522" s="39">
        <f t="shared" si="36"/>
        <v>3.4920611342792882E-2</v>
      </c>
      <c r="L522" s="40">
        <f t="shared" si="37"/>
        <v>7.3548181616674091</v>
      </c>
      <c r="M522" s="40">
        <f t="shared" si="38"/>
        <v>6.3548181616674082</v>
      </c>
      <c r="N522" s="40">
        <f t="shared" si="39"/>
        <v>2.3288111020523909</v>
      </c>
      <c r="O522" s="1" t="str">
        <f t="shared" ref="O522:O585" si="40">IF(F522&lt;=$B$2,"Normal","High Spend")</f>
        <v>Normal</v>
      </c>
      <c r="P522" s="51" t="str">
        <f>IF(Table4[[#This Row],[Sales]]&lt;=$B$3,"Normal","High Revenue")</f>
        <v>Normal</v>
      </c>
      <c r="Q522" s="51" t="str">
        <f>IF(Table4[[#This Row],[CTR]]&lt;=$B$4,"Normal","High CTR")</f>
        <v>Normal</v>
      </c>
      <c r="R522" s="51" t="str">
        <f>IF(Table4[[#This Row],[ROAS]]&lt;1,"Poor",IF(Table4[[#This Row],[ROAS]]&lt;3,"Average",IF(Table4[[#This Row],[ROAS]]&lt;5,"Good",
"Excellent")))</f>
        <v>Excellent</v>
      </c>
      <c r="S522" s="51" t="str">
        <f>IF(AND(Table4[[#This Row],[USD_Spend]]&gt;=$B$5,Table4[[#This Row],[Sales]]&lt;=$B$6),"Wasted Budget","Spend Justified")</f>
        <v>Wasted Budget</v>
      </c>
      <c r="T522" s="51" t="str">
        <f>IF(AND(Table4[[#This Row],[Clicks]]&gt;=$B$7,Table4[[#This Row],[Sales]]&lt;=$B$6),"Poor Monetization","Normal Monitization")</f>
        <v>Normal Monitization</v>
      </c>
    </row>
    <row r="523" spans="1:20" x14ac:dyDescent="0.35">
      <c r="A523" s="41" t="s">
        <v>87</v>
      </c>
      <c r="B523" s="41" t="s">
        <v>19</v>
      </c>
      <c r="C523" s="41" t="s">
        <v>20</v>
      </c>
      <c r="D523" s="41" t="s">
        <v>59</v>
      </c>
      <c r="E523" s="41" t="s">
        <v>22</v>
      </c>
      <c r="F523" s="41">
        <v>16826</v>
      </c>
      <c r="G523" s="41">
        <v>805248</v>
      </c>
      <c r="H523" s="41">
        <v>29797</v>
      </c>
      <c r="I523" s="41">
        <v>15612.78</v>
      </c>
      <c r="J523" s="41">
        <v>22</v>
      </c>
      <c r="K523" s="42">
        <f t="shared" ref="K523:K586" si="41">H523/G523</f>
        <v>3.7003506994118585E-2</v>
      </c>
      <c r="L523" s="43">
        <f t="shared" ref="L523:L586" si="42">I523/F523</f>
        <v>0.92789611315820753</v>
      </c>
      <c r="M523" s="43">
        <f t="shared" ref="M523:M586" si="43">(I523-F523)/F523</f>
        <v>-7.2103886841792419E-2</v>
      </c>
      <c r="N523" s="43">
        <f t="shared" ref="N523:N586" si="44">I523/H523</f>
        <v>0.52397154075913688</v>
      </c>
      <c r="O523" s="1" t="str">
        <f t="shared" si="40"/>
        <v>Normal</v>
      </c>
      <c r="P523" s="51" t="str">
        <f>IF(Table4[[#This Row],[Sales]]&lt;=$B$3,"Normal","High Revenue")</f>
        <v>Normal</v>
      </c>
      <c r="Q523" s="51" t="str">
        <f>IF(Table4[[#This Row],[CTR]]&lt;=$B$4,"Normal","High CTR")</f>
        <v>Normal</v>
      </c>
      <c r="R523" s="51" t="str">
        <f>IF(Table4[[#This Row],[ROAS]]&lt;1,"Poor",IF(Table4[[#This Row],[ROAS]]&lt;3,"Average",IF(Table4[[#This Row],[ROAS]]&lt;5,"Good",
"Excellent")))</f>
        <v>Poor</v>
      </c>
      <c r="S523" s="51" t="str">
        <f>IF(AND(Table4[[#This Row],[USD_Spend]]&gt;=$B$5,Table4[[#This Row],[Sales]]&lt;=$B$6),"Wasted Budget","Spend Justified")</f>
        <v>Wasted Budget</v>
      </c>
      <c r="T523" s="51" t="str">
        <f>IF(AND(Table4[[#This Row],[Clicks]]&gt;=$B$7,Table4[[#This Row],[Sales]]&lt;=$B$6),"Poor Monetization","Normal Monitization")</f>
        <v>Normal Monitization</v>
      </c>
    </row>
    <row r="524" spans="1:20" x14ac:dyDescent="0.35">
      <c r="A524" s="38" t="s">
        <v>27</v>
      </c>
      <c r="B524" s="38" t="s">
        <v>28</v>
      </c>
      <c r="C524" s="38" t="s">
        <v>58</v>
      </c>
      <c r="D524" s="38" t="s">
        <v>21</v>
      </c>
      <c r="E524" s="38" t="s">
        <v>30</v>
      </c>
      <c r="F524" s="38">
        <v>42828.27</v>
      </c>
      <c r="G524" s="38">
        <v>293201</v>
      </c>
      <c r="H524" s="38">
        <v>40464</v>
      </c>
      <c r="I524" s="38">
        <v>203008.81</v>
      </c>
      <c r="J524" s="38">
        <v>17</v>
      </c>
      <c r="K524" s="39">
        <f t="shared" si="41"/>
        <v>0.13800771484408306</v>
      </c>
      <c r="L524" s="40">
        <f t="shared" si="42"/>
        <v>4.7400656155385219</v>
      </c>
      <c r="M524" s="40">
        <f t="shared" si="43"/>
        <v>3.7400656155385219</v>
      </c>
      <c r="N524" s="40">
        <f t="shared" si="44"/>
        <v>5.0170227856860414</v>
      </c>
      <c r="O524" s="1" t="str">
        <f t="shared" si="40"/>
        <v>High Spend</v>
      </c>
      <c r="P524" s="51" t="str">
        <f>IF(Table4[[#This Row],[Sales]]&lt;=$B$3,"Normal","High Revenue")</f>
        <v>Normal</v>
      </c>
      <c r="Q524" s="51" t="str">
        <f>IF(Table4[[#This Row],[CTR]]&lt;=$B$4,"Normal","High CTR")</f>
        <v>Normal</v>
      </c>
      <c r="R524" s="51" t="str">
        <f>IF(Table4[[#This Row],[ROAS]]&lt;1,"Poor",IF(Table4[[#This Row],[ROAS]]&lt;3,"Average",IF(Table4[[#This Row],[ROAS]]&lt;5,"Good",
"Excellent")))</f>
        <v>Good</v>
      </c>
      <c r="S524" s="51" t="str">
        <f>IF(AND(Table4[[#This Row],[USD_Spend]]&gt;=$B$5,Table4[[#This Row],[Sales]]&lt;=$B$6),"Wasted Budget","Spend Justified")</f>
        <v>Spend Justified</v>
      </c>
      <c r="T524" s="51" t="str">
        <f>IF(AND(Table4[[#This Row],[Clicks]]&gt;=$B$7,Table4[[#This Row],[Sales]]&lt;=$B$6),"Poor Monetization","Normal Monitization")</f>
        <v>Normal Monitization</v>
      </c>
    </row>
    <row r="525" spans="1:20" x14ac:dyDescent="0.35">
      <c r="A525" s="41" t="s">
        <v>91</v>
      </c>
      <c r="B525" s="41" t="s">
        <v>48</v>
      </c>
      <c r="C525" s="41" t="s">
        <v>58</v>
      </c>
      <c r="D525" s="41" t="s">
        <v>21</v>
      </c>
      <c r="E525" s="41" t="s">
        <v>22</v>
      </c>
      <c r="F525" s="41">
        <v>30096.22</v>
      </c>
      <c r="G525" s="41">
        <v>210188</v>
      </c>
      <c r="H525" s="41">
        <v>5742</v>
      </c>
      <c r="I525" s="41">
        <v>78724.88</v>
      </c>
      <c r="J525" s="41">
        <v>59</v>
      </c>
      <c r="K525" s="42">
        <f t="shared" si="41"/>
        <v>2.7318400669876491E-2</v>
      </c>
      <c r="L525" s="43">
        <f t="shared" si="42"/>
        <v>2.6157730106970245</v>
      </c>
      <c r="M525" s="43">
        <f t="shared" si="43"/>
        <v>1.6157730106970245</v>
      </c>
      <c r="N525" s="43">
        <f t="shared" si="44"/>
        <v>13.710358760013934</v>
      </c>
      <c r="O525" s="1" t="str">
        <f t="shared" si="40"/>
        <v>Normal</v>
      </c>
      <c r="P525" s="51" t="str">
        <f>IF(Table4[[#This Row],[Sales]]&lt;=$B$3,"Normal","High Revenue")</f>
        <v>Normal</v>
      </c>
      <c r="Q525" s="51" t="str">
        <f>IF(Table4[[#This Row],[CTR]]&lt;=$B$4,"Normal","High CTR")</f>
        <v>Normal</v>
      </c>
      <c r="R525" s="51" t="str">
        <f>IF(Table4[[#This Row],[ROAS]]&lt;1,"Poor",IF(Table4[[#This Row],[ROAS]]&lt;3,"Average",IF(Table4[[#This Row],[ROAS]]&lt;5,"Good",
"Excellent")))</f>
        <v>Average</v>
      </c>
      <c r="S525" s="51" t="str">
        <f>IF(AND(Table4[[#This Row],[USD_Spend]]&gt;=$B$5,Table4[[#This Row],[Sales]]&lt;=$B$6),"Wasted Budget","Spend Justified")</f>
        <v>Spend Justified</v>
      </c>
      <c r="T525" s="51" t="str">
        <f>IF(AND(Table4[[#This Row],[Clicks]]&gt;=$B$7,Table4[[#This Row],[Sales]]&lt;=$B$6),"Poor Monetization","Normal Monitization")</f>
        <v>Normal Monitization</v>
      </c>
    </row>
    <row r="526" spans="1:20" x14ac:dyDescent="0.35">
      <c r="A526" s="38" t="s">
        <v>71</v>
      </c>
      <c r="B526" s="38" t="s">
        <v>28</v>
      </c>
      <c r="C526" s="38" t="s">
        <v>69</v>
      </c>
      <c r="D526" s="38" t="s">
        <v>43</v>
      </c>
      <c r="E526" s="38" t="s">
        <v>22</v>
      </c>
      <c r="F526" s="38">
        <v>5664.14</v>
      </c>
      <c r="G526" s="38">
        <v>538751</v>
      </c>
      <c r="H526" s="38">
        <v>7857</v>
      </c>
      <c r="I526" s="38">
        <v>159703.06</v>
      </c>
      <c r="J526" s="38">
        <v>20</v>
      </c>
      <c r="K526" s="39">
        <f t="shared" si="41"/>
        <v>1.4583731631124582E-2</v>
      </c>
      <c r="L526" s="40">
        <f t="shared" si="42"/>
        <v>28.19546480136437</v>
      </c>
      <c r="M526" s="40">
        <f t="shared" si="43"/>
        <v>27.19546480136437</v>
      </c>
      <c r="N526" s="40">
        <f t="shared" si="44"/>
        <v>20.32621356751941</v>
      </c>
      <c r="O526" s="1" t="str">
        <f t="shared" si="40"/>
        <v>Normal</v>
      </c>
      <c r="P526" s="51" t="str">
        <f>IF(Table4[[#This Row],[Sales]]&lt;=$B$3,"Normal","High Revenue")</f>
        <v>Normal</v>
      </c>
      <c r="Q526" s="51" t="str">
        <f>IF(Table4[[#This Row],[CTR]]&lt;=$B$4,"Normal","High CTR")</f>
        <v>Normal</v>
      </c>
      <c r="R526" s="51" t="str">
        <f>IF(Table4[[#This Row],[ROAS]]&lt;1,"Poor",IF(Table4[[#This Row],[ROAS]]&lt;3,"Average",IF(Table4[[#This Row],[ROAS]]&lt;5,"Good",
"Excellent")))</f>
        <v>Excellent</v>
      </c>
      <c r="S526" s="51" t="str">
        <f>IF(AND(Table4[[#This Row],[USD_Spend]]&gt;=$B$5,Table4[[#This Row],[Sales]]&lt;=$B$6),"Wasted Budget","Spend Justified")</f>
        <v>Spend Justified</v>
      </c>
      <c r="T526" s="51" t="str">
        <f>IF(AND(Table4[[#This Row],[Clicks]]&gt;=$B$7,Table4[[#This Row],[Sales]]&lt;=$B$6),"Poor Monetization","Normal Monitization")</f>
        <v>Normal Monitization</v>
      </c>
    </row>
    <row r="527" spans="1:20" x14ac:dyDescent="0.35">
      <c r="A527" s="41" t="s">
        <v>79</v>
      </c>
      <c r="B527" s="41" t="s">
        <v>19</v>
      </c>
      <c r="C527" s="41" t="s">
        <v>58</v>
      </c>
      <c r="D527" s="41" t="s">
        <v>51</v>
      </c>
      <c r="E527" s="41" t="s">
        <v>38</v>
      </c>
      <c r="F527" s="41">
        <v>1959.98</v>
      </c>
      <c r="G527" s="41">
        <v>155699</v>
      </c>
      <c r="H527" s="41">
        <v>37947</v>
      </c>
      <c r="I527" s="41">
        <v>219068.79999999999</v>
      </c>
      <c r="J527" s="41">
        <v>34</v>
      </c>
      <c r="K527" s="42">
        <f t="shared" si="41"/>
        <v>0.24372025510761147</v>
      </c>
      <c r="L527" s="43">
        <f t="shared" si="42"/>
        <v>111.77093643812691</v>
      </c>
      <c r="M527" s="43">
        <f t="shared" si="43"/>
        <v>110.77093643812691</v>
      </c>
      <c r="N527" s="43">
        <f t="shared" si="44"/>
        <v>5.773020265106596</v>
      </c>
      <c r="O527" s="1" t="str">
        <f t="shared" si="40"/>
        <v>Normal</v>
      </c>
      <c r="P527" s="51" t="str">
        <f>IF(Table4[[#This Row],[Sales]]&lt;=$B$3,"Normal","High Revenue")</f>
        <v>Normal</v>
      </c>
      <c r="Q527" s="51" t="str">
        <f>IF(Table4[[#This Row],[CTR]]&lt;=$B$4,"Normal","High CTR")</f>
        <v>Normal</v>
      </c>
      <c r="R527" s="51" t="str">
        <f>IF(Table4[[#This Row],[ROAS]]&lt;1,"Poor",IF(Table4[[#This Row],[ROAS]]&lt;3,"Average",IF(Table4[[#This Row],[ROAS]]&lt;5,"Good",
"Excellent")))</f>
        <v>Excellent</v>
      </c>
      <c r="S527" s="51" t="str">
        <f>IF(AND(Table4[[#This Row],[USD_Spend]]&gt;=$B$5,Table4[[#This Row],[Sales]]&lt;=$B$6),"Wasted Budget","Spend Justified")</f>
        <v>Spend Justified</v>
      </c>
      <c r="T527" s="51" t="str">
        <f>IF(AND(Table4[[#This Row],[Clicks]]&gt;=$B$7,Table4[[#This Row],[Sales]]&lt;=$B$6),"Poor Monetization","Normal Monitization")</f>
        <v>Normal Monitization</v>
      </c>
    </row>
    <row r="528" spans="1:20" x14ac:dyDescent="0.35">
      <c r="A528" s="38" t="s">
        <v>84</v>
      </c>
      <c r="B528" s="38" t="s">
        <v>35</v>
      </c>
      <c r="C528" s="38" t="s">
        <v>29</v>
      </c>
      <c r="D528" s="38" t="s">
        <v>37</v>
      </c>
      <c r="E528" s="38" t="s">
        <v>30</v>
      </c>
      <c r="F528" s="38">
        <v>7869.49</v>
      </c>
      <c r="G528" s="38">
        <v>221883</v>
      </c>
      <c r="H528" s="38">
        <v>35396</v>
      </c>
      <c r="I528" s="38">
        <v>71427.520000000004</v>
      </c>
      <c r="J528" s="38">
        <v>47</v>
      </c>
      <c r="K528" s="39">
        <f t="shared" si="41"/>
        <v>0.15952551569971563</v>
      </c>
      <c r="L528" s="40">
        <f t="shared" si="42"/>
        <v>9.076511946771646</v>
      </c>
      <c r="M528" s="40">
        <f t="shared" si="43"/>
        <v>8.0765119467716477</v>
      </c>
      <c r="N528" s="40">
        <f t="shared" si="44"/>
        <v>2.0179545711379818</v>
      </c>
      <c r="O528" s="1" t="str">
        <f t="shared" si="40"/>
        <v>Normal</v>
      </c>
      <c r="P528" s="51" t="str">
        <f>IF(Table4[[#This Row],[Sales]]&lt;=$B$3,"Normal","High Revenue")</f>
        <v>Normal</v>
      </c>
      <c r="Q528" s="51" t="str">
        <f>IF(Table4[[#This Row],[CTR]]&lt;=$B$4,"Normal","High CTR")</f>
        <v>Normal</v>
      </c>
      <c r="R528" s="51" t="str">
        <f>IF(Table4[[#This Row],[ROAS]]&lt;1,"Poor",IF(Table4[[#This Row],[ROAS]]&lt;3,"Average",IF(Table4[[#This Row],[ROAS]]&lt;5,"Good",
"Excellent")))</f>
        <v>Excellent</v>
      </c>
      <c r="S528" s="51" t="str">
        <f>IF(AND(Table4[[#This Row],[USD_Spend]]&gt;=$B$5,Table4[[#This Row],[Sales]]&lt;=$B$6),"Wasted Budget","Spend Justified")</f>
        <v>Spend Justified</v>
      </c>
      <c r="T528" s="51" t="str">
        <f>IF(AND(Table4[[#This Row],[Clicks]]&gt;=$B$7,Table4[[#This Row],[Sales]]&lt;=$B$6),"Poor Monetization","Normal Monitization")</f>
        <v>Normal Monitization</v>
      </c>
    </row>
    <row r="529" spans="1:20" x14ac:dyDescent="0.35">
      <c r="A529" s="41" t="s">
        <v>79</v>
      </c>
      <c r="B529" s="41" t="s">
        <v>28</v>
      </c>
      <c r="C529" s="41" t="s">
        <v>58</v>
      </c>
      <c r="D529" s="41" t="s">
        <v>37</v>
      </c>
      <c r="E529" s="41" t="s">
        <v>22</v>
      </c>
      <c r="F529" s="41">
        <v>5335.89</v>
      </c>
      <c r="G529" s="41">
        <v>68900</v>
      </c>
      <c r="H529" s="41">
        <v>23164</v>
      </c>
      <c r="I529" s="41">
        <v>129297.54</v>
      </c>
      <c r="J529" s="41">
        <v>46</v>
      </c>
      <c r="K529" s="42">
        <f t="shared" si="41"/>
        <v>0.33619738751814221</v>
      </c>
      <c r="L529" s="43">
        <f t="shared" si="42"/>
        <v>24.231672691903317</v>
      </c>
      <c r="M529" s="43">
        <f t="shared" si="43"/>
        <v>23.231672691903317</v>
      </c>
      <c r="N529" s="43">
        <f t="shared" si="44"/>
        <v>5.5818312899326541</v>
      </c>
      <c r="O529" s="1" t="str">
        <f t="shared" si="40"/>
        <v>Normal</v>
      </c>
      <c r="P529" s="51" t="str">
        <f>IF(Table4[[#This Row],[Sales]]&lt;=$B$3,"Normal","High Revenue")</f>
        <v>Normal</v>
      </c>
      <c r="Q529" s="51" t="str">
        <f>IF(Table4[[#This Row],[CTR]]&lt;=$B$4,"Normal","High CTR")</f>
        <v>Normal</v>
      </c>
      <c r="R529" s="51" t="str">
        <f>IF(Table4[[#This Row],[ROAS]]&lt;1,"Poor",IF(Table4[[#This Row],[ROAS]]&lt;3,"Average",IF(Table4[[#This Row],[ROAS]]&lt;5,"Good",
"Excellent")))</f>
        <v>Excellent</v>
      </c>
      <c r="S529" s="51" t="str">
        <f>IF(AND(Table4[[#This Row],[USD_Spend]]&gt;=$B$5,Table4[[#This Row],[Sales]]&lt;=$B$6),"Wasted Budget","Spend Justified")</f>
        <v>Spend Justified</v>
      </c>
      <c r="T529" s="51" t="str">
        <f>IF(AND(Table4[[#This Row],[Clicks]]&gt;=$B$7,Table4[[#This Row],[Sales]]&lt;=$B$6),"Poor Monetization","Normal Monitization")</f>
        <v>Normal Monitization</v>
      </c>
    </row>
    <row r="530" spans="1:20" x14ac:dyDescent="0.35">
      <c r="A530" s="38" t="s">
        <v>66</v>
      </c>
      <c r="B530" s="38" t="s">
        <v>48</v>
      </c>
      <c r="C530" s="38" t="s">
        <v>29</v>
      </c>
      <c r="D530" s="38" t="s">
        <v>37</v>
      </c>
      <c r="E530" s="38" t="s">
        <v>22</v>
      </c>
      <c r="F530" s="38">
        <v>1354.54</v>
      </c>
      <c r="G530" s="38">
        <v>83384</v>
      </c>
      <c r="H530" s="38">
        <v>12713</v>
      </c>
      <c r="I530" s="38">
        <v>17766.18</v>
      </c>
      <c r="J530" s="38">
        <v>46</v>
      </c>
      <c r="K530" s="39">
        <f t="shared" si="41"/>
        <v>0.15246330231219418</v>
      </c>
      <c r="L530" s="40">
        <f t="shared" si="42"/>
        <v>13.116024628287095</v>
      </c>
      <c r="M530" s="40">
        <f t="shared" si="43"/>
        <v>12.116024628287093</v>
      </c>
      <c r="N530" s="40">
        <f t="shared" si="44"/>
        <v>1.3974813183355621</v>
      </c>
      <c r="O530" s="1" t="str">
        <f t="shared" si="40"/>
        <v>Normal</v>
      </c>
      <c r="P530" s="51" t="str">
        <f>IF(Table4[[#This Row],[Sales]]&lt;=$B$3,"Normal","High Revenue")</f>
        <v>Normal</v>
      </c>
      <c r="Q530" s="51" t="str">
        <f>IF(Table4[[#This Row],[CTR]]&lt;=$B$4,"Normal","High CTR")</f>
        <v>Normal</v>
      </c>
      <c r="R530" s="51" t="str">
        <f>IF(Table4[[#This Row],[ROAS]]&lt;1,"Poor",IF(Table4[[#This Row],[ROAS]]&lt;3,"Average",IF(Table4[[#This Row],[ROAS]]&lt;5,"Good",
"Excellent")))</f>
        <v>Excellent</v>
      </c>
      <c r="S530" s="51" t="str">
        <f>IF(AND(Table4[[#This Row],[USD_Spend]]&gt;=$B$5,Table4[[#This Row],[Sales]]&lt;=$B$6),"Wasted Budget","Spend Justified")</f>
        <v>Spend Justified</v>
      </c>
      <c r="T530" s="51" t="str">
        <f>IF(AND(Table4[[#This Row],[Clicks]]&gt;=$B$7,Table4[[#This Row],[Sales]]&lt;=$B$6),"Poor Monetization","Normal Monitization")</f>
        <v>Normal Monitization</v>
      </c>
    </row>
    <row r="531" spans="1:20" x14ac:dyDescent="0.35">
      <c r="A531" s="41" t="s">
        <v>79</v>
      </c>
      <c r="B531" s="41" t="s">
        <v>28</v>
      </c>
      <c r="C531" s="41" t="s">
        <v>29</v>
      </c>
      <c r="D531" s="41" t="s">
        <v>63</v>
      </c>
      <c r="E531" s="41" t="s">
        <v>30</v>
      </c>
      <c r="F531" s="41">
        <v>13477.29</v>
      </c>
      <c r="G531" s="41">
        <v>480735</v>
      </c>
      <c r="H531" s="41">
        <v>15435</v>
      </c>
      <c r="I531" s="41">
        <v>135832.73000000001</v>
      </c>
      <c r="J531" s="41">
        <v>45</v>
      </c>
      <c r="K531" s="42">
        <f t="shared" si="41"/>
        <v>3.2107086024524945E-2</v>
      </c>
      <c r="L531" s="43">
        <f t="shared" si="42"/>
        <v>10.078638212875141</v>
      </c>
      <c r="M531" s="43">
        <f t="shared" si="43"/>
        <v>9.0786382128751395</v>
      </c>
      <c r="N531" s="43">
        <f t="shared" si="44"/>
        <v>8.8003064463880794</v>
      </c>
      <c r="O531" s="1" t="str">
        <f t="shared" si="40"/>
        <v>Normal</v>
      </c>
      <c r="P531" s="51" t="str">
        <f>IF(Table4[[#This Row],[Sales]]&lt;=$B$3,"Normal","High Revenue")</f>
        <v>Normal</v>
      </c>
      <c r="Q531" s="51" t="str">
        <f>IF(Table4[[#This Row],[CTR]]&lt;=$B$4,"Normal","High CTR")</f>
        <v>Normal</v>
      </c>
      <c r="R531" s="51" t="str">
        <f>IF(Table4[[#This Row],[ROAS]]&lt;1,"Poor",IF(Table4[[#This Row],[ROAS]]&lt;3,"Average",IF(Table4[[#This Row],[ROAS]]&lt;5,"Good",
"Excellent")))</f>
        <v>Excellent</v>
      </c>
      <c r="S531" s="51" t="str">
        <f>IF(AND(Table4[[#This Row],[USD_Spend]]&gt;=$B$5,Table4[[#This Row],[Sales]]&lt;=$B$6),"Wasted Budget","Spend Justified")</f>
        <v>Spend Justified</v>
      </c>
      <c r="T531" s="51" t="str">
        <f>IF(AND(Table4[[#This Row],[Clicks]]&gt;=$B$7,Table4[[#This Row],[Sales]]&lt;=$B$6),"Poor Monetization","Normal Monitization")</f>
        <v>Normal Monitization</v>
      </c>
    </row>
    <row r="532" spans="1:20" x14ac:dyDescent="0.35">
      <c r="A532" s="38" t="s">
        <v>42</v>
      </c>
      <c r="B532" s="38" t="s">
        <v>28</v>
      </c>
      <c r="C532" s="38" t="s">
        <v>20</v>
      </c>
      <c r="D532" s="38" t="s">
        <v>63</v>
      </c>
      <c r="E532" s="38" t="s">
        <v>38</v>
      </c>
      <c r="F532" s="38">
        <v>1298.42</v>
      </c>
      <c r="G532" s="38">
        <v>534344</v>
      </c>
      <c r="H532" s="38">
        <v>10197</v>
      </c>
      <c r="I532" s="38">
        <v>51601.86</v>
      </c>
      <c r="J532" s="38">
        <v>38</v>
      </c>
      <c r="K532" s="39">
        <f t="shared" si="41"/>
        <v>1.9083212312667495E-2</v>
      </c>
      <c r="L532" s="40">
        <f t="shared" si="42"/>
        <v>39.742040325934596</v>
      </c>
      <c r="M532" s="40">
        <f t="shared" si="43"/>
        <v>38.742040325934596</v>
      </c>
      <c r="N532" s="40">
        <f t="shared" si="44"/>
        <v>5.0604942630185352</v>
      </c>
      <c r="O532" s="1" t="str">
        <f t="shared" si="40"/>
        <v>Normal</v>
      </c>
      <c r="P532" s="51" t="str">
        <f>IF(Table4[[#This Row],[Sales]]&lt;=$B$3,"Normal","High Revenue")</f>
        <v>Normal</v>
      </c>
      <c r="Q532" s="51" t="str">
        <f>IF(Table4[[#This Row],[CTR]]&lt;=$B$4,"Normal","High CTR")</f>
        <v>Normal</v>
      </c>
      <c r="R532" s="51" t="str">
        <f>IF(Table4[[#This Row],[ROAS]]&lt;1,"Poor",IF(Table4[[#This Row],[ROAS]]&lt;3,"Average",IF(Table4[[#This Row],[ROAS]]&lt;5,"Good",
"Excellent")))</f>
        <v>Excellent</v>
      </c>
      <c r="S532" s="51" t="str">
        <f>IF(AND(Table4[[#This Row],[USD_Spend]]&gt;=$B$5,Table4[[#This Row],[Sales]]&lt;=$B$6),"Wasted Budget","Spend Justified")</f>
        <v>Spend Justified</v>
      </c>
      <c r="T532" s="51" t="str">
        <f>IF(AND(Table4[[#This Row],[Clicks]]&gt;=$B$7,Table4[[#This Row],[Sales]]&lt;=$B$6),"Poor Monetization","Normal Monitization")</f>
        <v>Normal Monitization</v>
      </c>
    </row>
    <row r="533" spans="1:20" x14ac:dyDescent="0.35">
      <c r="A533" s="41" t="s">
        <v>108</v>
      </c>
      <c r="B533" s="41" t="s">
        <v>35</v>
      </c>
      <c r="C533" s="41" t="s">
        <v>36</v>
      </c>
      <c r="D533" s="41" t="s">
        <v>21</v>
      </c>
      <c r="E533" s="41" t="s">
        <v>38</v>
      </c>
      <c r="F533" s="41">
        <v>48909.36</v>
      </c>
      <c r="G533" s="41">
        <v>114180</v>
      </c>
      <c r="H533" s="41">
        <v>45036</v>
      </c>
      <c r="I533" s="41">
        <v>94997.06</v>
      </c>
      <c r="J533" s="41">
        <v>34</v>
      </c>
      <c r="K533" s="42">
        <f t="shared" si="41"/>
        <v>0.39442984760903838</v>
      </c>
      <c r="L533" s="43">
        <f t="shared" si="42"/>
        <v>1.9423083843256177</v>
      </c>
      <c r="M533" s="43">
        <f t="shared" si="43"/>
        <v>0.94230838432561781</v>
      </c>
      <c r="N533" s="43">
        <f t="shared" si="44"/>
        <v>2.1093582911448618</v>
      </c>
      <c r="O533" s="1" t="str">
        <f t="shared" si="40"/>
        <v>High Spend</v>
      </c>
      <c r="P533" s="51" t="str">
        <f>IF(Table4[[#This Row],[Sales]]&lt;=$B$3,"Normal","High Revenue")</f>
        <v>Normal</v>
      </c>
      <c r="Q533" s="51" t="str">
        <f>IF(Table4[[#This Row],[CTR]]&lt;=$B$4,"Normal","High CTR")</f>
        <v>Normal</v>
      </c>
      <c r="R533" s="51" t="str">
        <f>IF(Table4[[#This Row],[ROAS]]&lt;1,"Poor",IF(Table4[[#This Row],[ROAS]]&lt;3,"Average",IF(Table4[[#This Row],[ROAS]]&lt;5,"Good",
"Excellent")))</f>
        <v>Average</v>
      </c>
      <c r="S533" s="51" t="str">
        <f>IF(AND(Table4[[#This Row],[USD_Spend]]&gt;=$B$5,Table4[[#This Row],[Sales]]&lt;=$B$6),"Wasted Budget","Spend Justified")</f>
        <v>Spend Justified</v>
      </c>
      <c r="T533" s="51" t="str">
        <f>IF(AND(Table4[[#This Row],[Clicks]]&gt;=$B$7,Table4[[#This Row],[Sales]]&lt;=$B$6),"Poor Monetization","Normal Monitization")</f>
        <v>Normal Monitization</v>
      </c>
    </row>
    <row r="534" spans="1:20" x14ac:dyDescent="0.35">
      <c r="A534" s="38" t="s">
        <v>105</v>
      </c>
      <c r="B534" s="38" t="s">
        <v>28</v>
      </c>
      <c r="C534" s="38" t="s">
        <v>29</v>
      </c>
      <c r="D534" s="38" t="s">
        <v>43</v>
      </c>
      <c r="E534" s="38" t="s">
        <v>38</v>
      </c>
      <c r="F534" s="38">
        <v>10072.379999999999</v>
      </c>
      <c r="G534" s="38">
        <v>344232</v>
      </c>
      <c r="H534" s="38">
        <v>40923</v>
      </c>
      <c r="I534" s="38">
        <v>31351.98</v>
      </c>
      <c r="J534" s="38">
        <v>33</v>
      </c>
      <c r="K534" s="39">
        <f t="shared" si="41"/>
        <v>0.1188820330474796</v>
      </c>
      <c r="L534" s="40">
        <f t="shared" si="42"/>
        <v>3.1126685053582173</v>
      </c>
      <c r="M534" s="40">
        <f t="shared" si="43"/>
        <v>2.1126685053582173</v>
      </c>
      <c r="N534" s="40">
        <f t="shared" si="44"/>
        <v>0.76612125210761672</v>
      </c>
      <c r="O534" s="1" t="str">
        <f t="shared" si="40"/>
        <v>Normal</v>
      </c>
      <c r="P534" s="51" t="str">
        <f>IF(Table4[[#This Row],[Sales]]&lt;=$B$3,"Normal","High Revenue")</f>
        <v>Normal</v>
      </c>
      <c r="Q534" s="51" t="str">
        <f>IF(Table4[[#This Row],[CTR]]&lt;=$B$4,"Normal","High CTR")</f>
        <v>Normal</v>
      </c>
      <c r="R534" s="51" t="str">
        <f>IF(Table4[[#This Row],[ROAS]]&lt;1,"Poor",IF(Table4[[#This Row],[ROAS]]&lt;3,"Average",IF(Table4[[#This Row],[ROAS]]&lt;5,"Good",
"Excellent")))</f>
        <v>Good</v>
      </c>
      <c r="S534" s="51" t="str">
        <f>IF(AND(Table4[[#This Row],[USD_Spend]]&gt;=$B$5,Table4[[#This Row],[Sales]]&lt;=$B$6),"Wasted Budget","Spend Justified")</f>
        <v>Wasted Budget</v>
      </c>
      <c r="T534" s="51" t="str">
        <f>IF(AND(Table4[[#This Row],[Clicks]]&gt;=$B$7,Table4[[#This Row],[Sales]]&lt;=$B$6),"Poor Monetization","Normal Monitization")</f>
        <v>Poor Monetization</v>
      </c>
    </row>
    <row r="535" spans="1:20" x14ac:dyDescent="0.35">
      <c r="A535" s="41" t="s">
        <v>18</v>
      </c>
      <c r="B535" s="41" t="s">
        <v>35</v>
      </c>
      <c r="C535" s="41" t="s">
        <v>58</v>
      </c>
      <c r="D535" s="41" t="s">
        <v>37</v>
      </c>
      <c r="E535" s="41" t="s">
        <v>38</v>
      </c>
      <c r="F535" s="41">
        <v>33550.639999999999</v>
      </c>
      <c r="G535" s="41">
        <v>661303</v>
      </c>
      <c r="H535" s="41">
        <v>16079</v>
      </c>
      <c r="I535" s="41">
        <v>239929.72</v>
      </c>
      <c r="J535" s="41">
        <v>21</v>
      </c>
      <c r="K535" s="42">
        <f t="shared" si="41"/>
        <v>2.4314119246396888E-2</v>
      </c>
      <c r="L535" s="43">
        <f t="shared" si="42"/>
        <v>7.1512710338759558</v>
      </c>
      <c r="M535" s="43">
        <f t="shared" si="43"/>
        <v>6.1512710338759566</v>
      </c>
      <c r="N535" s="43">
        <f t="shared" si="44"/>
        <v>14.921930468312706</v>
      </c>
      <c r="O535" s="1" t="str">
        <f t="shared" si="40"/>
        <v>Normal</v>
      </c>
      <c r="P535" s="51" t="str">
        <f>IF(Table4[[#This Row],[Sales]]&lt;=$B$3,"Normal","High Revenue")</f>
        <v>High Revenue</v>
      </c>
      <c r="Q535" s="51" t="str">
        <f>IF(Table4[[#This Row],[CTR]]&lt;=$B$4,"Normal","High CTR")</f>
        <v>Normal</v>
      </c>
      <c r="R535" s="51" t="str">
        <f>IF(Table4[[#This Row],[ROAS]]&lt;1,"Poor",IF(Table4[[#This Row],[ROAS]]&lt;3,"Average",IF(Table4[[#This Row],[ROAS]]&lt;5,"Good",
"Excellent")))</f>
        <v>Excellent</v>
      </c>
      <c r="S535" s="51" t="str">
        <f>IF(AND(Table4[[#This Row],[USD_Spend]]&gt;=$B$5,Table4[[#This Row],[Sales]]&lt;=$B$6),"Wasted Budget","Spend Justified")</f>
        <v>Spend Justified</v>
      </c>
      <c r="T535" s="51" t="str">
        <f>IF(AND(Table4[[#This Row],[Clicks]]&gt;=$B$7,Table4[[#This Row],[Sales]]&lt;=$B$6),"Poor Monetization","Normal Monitization")</f>
        <v>Normal Monitization</v>
      </c>
    </row>
    <row r="536" spans="1:20" x14ac:dyDescent="0.35">
      <c r="A536" s="38" t="s">
        <v>96</v>
      </c>
      <c r="B536" s="38" t="s">
        <v>28</v>
      </c>
      <c r="C536" s="38" t="s">
        <v>36</v>
      </c>
      <c r="D536" s="38" t="s">
        <v>37</v>
      </c>
      <c r="E536" s="38" t="s">
        <v>38</v>
      </c>
      <c r="F536" s="38">
        <v>2014.73</v>
      </c>
      <c r="G536" s="38">
        <v>267724</v>
      </c>
      <c r="H536" s="38">
        <v>42520</v>
      </c>
      <c r="I536" s="38">
        <v>77300.759999999995</v>
      </c>
      <c r="J536" s="38">
        <v>15</v>
      </c>
      <c r="K536" s="39">
        <f t="shared" si="41"/>
        <v>0.15882027759931869</v>
      </c>
      <c r="L536" s="40">
        <f t="shared" si="42"/>
        <v>38.367801144570237</v>
      </c>
      <c r="M536" s="40">
        <f t="shared" si="43"/>
        <v>37.367801144570237</v>
      </c>
      <c r="N536" s="40">
        <f t="shared" si="44"/>
        <v>1.8179858889934148</v>
      </c>
      <c r="O536" s="1" t="str">
        <f t="shared" si="40"/>
        <v>Normal</v>
      </c>
      <c r="P536" s="51" t="str">
        <f>IF(Table4[[#This Row],[Sales]]&lt;=$B$3,"Normal","High Revenue")</f>
        <v>Normal</v>
      </c>
      <c r="Q536" s="51" t="str">
        <f>IF(Table4[[#This Row],[CTR]]&lt;=$B$4,"Normal","High CTR")</f>
        <v>Normal</v>
      </c>
      <c r="R536" s="51" t="str">
        <f>IF(Table4[[#This Row],[ROAS]]&lt;1,"Poor",IF(Table4[[#This Row],[ROAS]]&lt;3,"Average",IF(Table4[[#This Row],[ROAS]]&lt;5,"Good",
"Excellent")))</f>
        <v>Excellent</v>
      </c>
      <c r="S536" s="51" t="str">
        <f>IF(AND(Table4[[#This Row],[USD_Spend]]&gt;=$B$5,Table4[[#This Row],[Sales]]&lt;=$B$6),"Wasted Budget","Spend Justified")</f>
        <v>Spend Justified</v>
      </c>
      <c r="T536" s="51" t="str">
        <f>IF(AND(Table4[[#This Row],[Clicks]]&gt;=$B$7,Table4[[#This Row],[Sales]]&lt;=$B$6),"Poor Monetization","Normal Monitization")</f>
        <v>Normal Monitization</v>
      </c>
    </row>
    <row r="537" spans="1:20" x14ac:dyDescent="0.35">
      <c r="A537" s="41" t="s">
        <v>119</v>
      </c>
      <c r="B537" s="41" t="s">
        <v>48</v>
      </c>
      <c r="C537" s="41" t="s">
        <v>20</v>
      </c>
      <c r="D537" s="41" t="s">
        <v>59</v>
      </c>
      <c r="E537" s="41" t="s">
        <v>30</v>
      </c>
      <c r="F537" s="41">
        <v>4519.8</v>
      </c>
      <c r="G537" s="41">
        <v>771485</v>
      </c>
      <c r="H537" s="41">
        <v>12696</v>
      </c>
      <c r="I537" s="41">
        <v>119963.91</v>
      </c>
      <c r="J537" s="41">
        <v>50</v>
      </c>
      <c r="K537" s="42">
        <f t="shared" si="41"/>
        <v>1.6456574009864094E-2</v>
      </c>
      <c r="L537" s="43">
        <f t="shared" si="42"/>
        <v>26.541862471790786</v>
      </c>
      <c r="M537" s="43">
        <f t="shared" si="43"/>
        <v>25.541862471790786</v>
      </c>
      <c r="N537" s="43">
        <f t="shared" si="44"/>
        <v>9.4489532136105865</v>
      </c>
      <c r="O537" s="1" t="str">
        <f t="shared" si="40"/>
        <v>Normal</v>
      </c>
      <c r="P537" s="51" t="str">
        <f>IF(Table4[[#This Row],[Sales]]&lt;=$B$3,"Normal","High Revenue")</f>
        <v>Normal</v>
      </c>
      <c r="Q537" s="51" t="str">
        <f>IF(Table4[[#This Row],[CTR]]&lt;=$B$4,"Normal","High CTR")</f>
        <v>Normal</v>
      </c>
      <c r="R537" s="51" t="str">
        <f>IF(Table4[[#This Row],[ROAS]]&lt;1,"Poor",IF(Table4[[#This Row],[ROAS]]&lt;3,"Average",IF(Table4[[#This Row],[ROAS]]&lt;5,"Good",
"Excellent")))</f>
        <v>Excellent</v>
      </c>
      <c r="S537" s="51" t="str">
        <f>IF(AND(Table4[[#This Row],[USD_Spend]]&gt;=$B$5,Table4[[#This Row],[Sales]]&lt;=$B$6),"Wasted Budget","Spend Justified")</f>
        <v>Spend Justified</v>
      </c>
      <c r="T537" s="51" t="str">
        <f>IF(AND(Table4[[#This Row],[Clicks]]&gt;=$B$7,Table4[[#This Row],[Sales]]&lt;=$B$6),"Poor Monetization","Normal Monitization")</f>
        <v>Normal Monitization</v>
      </c>
    </row>
    <row r="538" spans="1:20" x14ac:dyDescent="0.35">
      <c r="A538" s="38" t="s">
        <v>104</v>
      </c>
      <c r="B538" s="38" t="s">
        <v>35</v>
      </c>
      <c r="C538" s="38" t="s">
        <v>20</v>
      </c>
      <c r="D538" s="38" t="s">
        <v>21</v>
      </c>
      <c r="E538" s="38" t="s">
        <v>30</v>
      </c>
      <c r="F538" s="38">
        <v>547.05999999999995</v>
      </c>
      <c r="G538" s="38">
        <v>574139</v>
      </c>
      <c r="H538" s="38">
        <v>13985</v>
      </c>
      <c r="I538" s="38">
        <v>54931.33</v>
      </c>
      <c r="J538" s="38">
        <v>36</v>
      </c>
      <c r="K538" s="39">
        <f t="shared" si="41"/>
        <v>2.4358212906630625E-2</v>
      </c>
      <c r="L538" s="40">
        <f t="shared" si="42"/>
        <v>100.41189266259644</v>
      </c>
      <c r="M538" s="40">
        <f t="shared" si="43"/>
        <v>99.411892662596443</v>
      </c>
      <c r="N538" s="40">
        <f t="shared" si="44"/>
        <v>3.9278748659277798</v>
      </c>
      <c r="O538" s="1" t="str">
        <f t="shared" si="40"/>
        <v>Normal</v>
      </c>
      <c r="P538" s="51" t="str">
        <f>IF(Table4[[#This Row],[Sales]]&lt;=$B$3,"Normal","High Revenue")</f>
        <v>Normal</v>
      </c>
      <c r="Q538" s="51" t="str">
        <f>IF(Table4[[#This Row],[CTR]]&lt;=$B$4,"Normal","High CTR")</f>
        <v>Normal</v>
      </c>
      <c r="R538" s="51" t="str">
        <f>IF(Table4[[#This Row],[ROAS]]&lt;1,"Poor",IF(Table4[[#This Row],[ROAS]]&lt;3,"Average",IF(Table4[[#This Row],[ROAS]]&lt;5,"Good",
"Excellent")))</f>
        <v>Excellent</v>
      </c>
      <c r="S538" s="51" t="str">
        <f>IF(AND(Table4[[#This Row],[USD_Spend]]&gt;=$B$5,Table4[[#This Row],[Sales]]&lt;=$B$6),"Wasted Budget","Spend Justified")</f>
        <v>Spend Justified</v>
      </c>
      <c r="T538" s="51" t="str">
        <f>IF(AND(Table4[[#This Row],[Clicks]]&gt;=$B$7,Table4[[#This Row],[Sales]]&lt;=$B$6),"Poor Monetization","Normal Monitization")</f>
        <v>Normal Monitization</v>
      </c>
    </row>
    <row r="539" spans="1:20" x14ac:dyDescent="0.35">
      <c r="A539" s="41" t="s">
        <v>50</v>
      </c>
      <c r="B539" s="41" t="s">
        <v>35</v>
      </c>
      <c r="C539" s="41" t="s">
        <v>58</v>
      </c>
      <c r="D539" s="41" t="s">
        <v>37</v>
      </c>
      <c r="E539" s="41" t="s">
        <v>22</v>
      </c>
      <c r="F539" s="41">
        <v>51274.94</v>
      </c>
      <c r="G539" s="41">
        <v>275356</v>
      </c>
      <c r="H539" s="41">
        <v>38561</v>
      </c>
      <c r="I539" s="41">
        <v>105403.03</v>
      </c>
      <c r="J539" s="41">
        <v>16</v>
      </c>
      <c r="K539" s="42">
        <f t="shared" si="41"/>
        <v>0.14004052935109459</v>
      </c>
      <c r="L539" s="43">
        <f t="shared" si="42"/>
        <v>2.0556441411730564</v>
      </c>
      <c r="M539" s="43">
        <f t="shared" si="43"/>
        <v>1.0556441411730564</v>
      </c>
      <c r="N539" s="43">
        <f t="shared" si="44"/>
        <v>2.7334101812712324</v>
      </c>
      <c r="O539" s="1" t="str">
        <f t="shared" si="40"/>
        <v>High Spend</v>
      </c>
      <c r="P539" s="51" t="str">
        <f>IF(Table4[[#This Row],[Sales]]&lt;=$B$3,"Normal","High Revenue")</f>
        <v>Normal</v>
      </c>
      <c r="Q539" s="51" t="str">
        <f>IF(Table4[[#This Row],[CTR]]&lt;=$B$4,"Normal","High CTR")</f>
        <v>Normal</v>
      </c>
      <c r="R539" s="51" t="str">
        <f>IF(Table4[[#This Row],[ROAS]]&lt;1,"Poor",IF(Table4[[#This Row],[ROAS]]&lt;3,"Average",IF(Table4[[#This Row],[ROAS]]&lt;5,"Good",
"Excellent")))</f>
        <v>Average</v>
      </c>
      <c r="S539" s="51" t="str">
        <f>IF(AND(Table4[[#This Row],[USD_Spend]]&gt;=$B$5,Table4[[#This Row],[Sales]]&lt;=$B$6),"Wasted Budget","Spend Justified")</f>
        <v>Spend Justified</v>
      </c>
      <c r="T539" s="51" t="str">
        <f>IF(AND(Table4[[#This Row],[Clicks]]&gt;=$B$7,Table4[[#This Row],[Sales]]&lt;=$B$6),"Poor Monetization","Normal Monitization")</f>
        <v>Normal Monitization</v>
      </c>
    </row>
    <row r="540" spans="1:20" x14ac:dyDescent="0.35">
      <c r="A540" s="38" t="s">
        <v>71</v>
      </c>
      <c r="B540" s="38" t="s">
        <v>48</v>
      </c>
      <c r="C540" s="38" t="s">
        <v>36</v>
      </c>
      <c r="D540" s="38" t="s">
        <v>21</v>
      </c>
      <c r="E540" s="38" t="s">
        <v>22</v>
      </c>
      <c r="F540" s="38">
        <v>168.49</v>
      </c>
      <c r="G540" s="38">
        <v>682758</v>
      </c>
      <c r="H540" s="38">
        <v>12141</v>
      </c>
      <c r="I540" s="38">
        <v>159388.29999999999</v>
      </c>
      <c r="J540" s="38">
        <v>50</v>
      </c>
      <c r="K540" s="39">
        <f t="shared" si="41"/>
        <v>1.7782288892989901E-2</v>
      </c>
      <c r="L540" s="40">
        <f t="shared" si="42"/>
        <v>945.98077037212875</v>
      </c>
      <c r="M540" s="40">
        <f t="shared" si="43"/>
        <v>944.98077037212886</v>
      </c>
      <c r="N540" s="40">
        <f t="shared" si="44"/>
        <v>13.128103121653899</v>
      </c>
      <c r="O540" s="1" t="str">
        <f t="shared" si="40"/>
        <v>Normal</v>
      </c>
      <c r="P540" s="51" t="str">
        <f>IF(Table4[[#This Row],[Sales]]&lt;=$B$3,"Normal","High Revenue")</f>
        <v>Normal</v>
      </c>
      <c r="Q540" s="51" t="str">
        <f>IF(Table4[[#This Row],[CTR]]&lt;=$B$4,"Normal","High CTR")</f>
        <v>Normal</v>
      </c>
      <c r="R540" s="51" t="str">
        <f>IF(Table4[[#This Row],[ROAS]]&lt;1,"Poor",IF(Table4[[#This Row],[ROAS]]&lt;3,"Average",IF(Table4[[#This Row],[ROAS]]&lt;5,"Good",
"Excellent")))</f>
        <v>Excellent</v>
      </c>
      <c r="S540" s="51" t="str">
        <f>IF(AND(Table4[[#This Row],[USD_Spend]]&gt;=$B$5,Table4[[#This Row],[Sales]]&lt;=$B$6),"Wasted Budget","Spend Justified")</f>
        <v>Spend Justified</v>
      </c>
      <c r="T540" s="51" t="str">
        <f>IF(AND(Table4[[#This Row],[Clicks]]&gt;=$B$7,Table4[[#This Row],[Sales]]&lt;=$B$6),"Poor Monetization","Normal Monitization")</f>
        <v>Normal Monitization</v>
      </c>
    </row>
    <row r="541" spans="1:20" x14ac:dyDescent="0.35">
      <c r="A541" s="41" t="s">
        <v>85</v>
      </c>
      <c r="B541" s="41" t="s">
        <v>48</v>
      </c>
      <c r="C541" s="41" t="s">
        <v>36</v>
      </c>
      <c r="D541" s="41" t="s">
        <v>59</v>
      </c>
      <c r="E541" s="41" t="s">
        <v>22</v>
      </c>
      <c r="F541" s="41">
        <v>16431.68</v>
      </c>
      <c r="G541" s="41">
        <v>16892</v>
      </c>
      <c r="H541" s="41">
        <v>16137</v>
      </c>
      <c r="I541" s="41">
        <v>221131.13</v>
      </c>
      <c r="J541" s="41">
        <v>32</v>
      </c>
      <c r="K541" s="42">
        <f t="shared" si="41"/>
        <v>0.95530428605256923</v>
      </c>
      <c r="L541" s="43">
        <f t="shared" si="42"/>
        <v>13.457609325400689</v>
      </c>
      <c r="M541" s="43">
        <f t="shared" si="43"/>
        <v>12.457609325400689</v>
      </c>
      <c r="N541" s="43">
        <f t="shared" si="44"/>
        <v>13.703360599863668</v>
      </c>
      <c r="O541" s="1" t="str">
        <f t="shared" si="40"/>
        <v>Normal</v>
      </c>
      <c r="P541" s="51" t="str">
        <f>IF(Table4[[#This Row],[Sales]]&lt;=$B$3,"Normal","High Revenue")</f>
        <v>Normal</v>
      </c>
      <c r="Q541" s="51" t="str">
        <f>IF(Table4[[#This Row],[CTR]]&lt;=$B$4,"Normal","High CTR")</f>
        <v>High CTR</v>
      </c>
      <c r="R541" s="51" t="str">
        <f>IF(Table4[[#This Row],[ROAS]]&lt;1,"Poor",IF(Table4[[#This Row],[ROAS]]&lt;3,"Average",IF(Table4[[#This Row],[ROAS]]&lt;5,"Good",
"Excellent")))</f>
        <v>Excellent</v>
      </c>
      <c r="S541" s="51" t="str">
        <f>IF(AND(Table4[[#This Row],[USD_Spend]]&gt;=$B$5,Table4[[#This Row],[Sales]]&lt;=$B$6),"Wasted Budget","Spend Justified")</f>
        <v>Spend Justified</v>
      </c>
      <c r="T541" s="51" t="str">
        <f>IF(AND(Table4[[#This Row],[Clicks]]&gt;=$B$7,Table4[[#This Row],[Sales]]&lt;=$B$6),"Poor Monetization","Normal Monitization")</f>
        <v>Normal Monitization</v>
      </c>
    </row>
    <row r="542" spans="1:20" x14ac:dyDescent="0.35">
      <c r="A542" s="38" t="s">
        <v>72</v>
      </c>
      <c r="B542" s="38" t="s">
        <v>19</v>
      </c>
      <c r="C542" s="38" t="s">
        <v>58</v>
      </c>
      <c r="D542" s="38" t="s">
        <v>43</v>
      </c>
      <c r="E542" s="38" t="s">
        <v>38</v>
      </c>
      <c r="F542" s="38">
        <v>12333.8</v>
      </c>
      <c r="G542" s="38">
        <v>660338</v>
      </c>
      <c r="H542" s="38">
        <v>40681</v>
      </c>
      <c r="I542" s="38">
        <v>29813.09</v>
      </c>
      <c r="J542" s="38">
        <v>30</v>
      </c>
      <c r="K542" s="39">
        <f t="shared" si="41"/>
        <v>6.1606328880058396E-2</v>
      </c>
      <c r="L542" s="40">
        <f t="shared" si="42"/>
        <v>2.4171861064716471</v>
      </c>
      <c r="M542" s="40">
        <f t="shared" si="43"/>
        <v>1.4171861064716471</v>
      </c>
      <c r="N542" s="40">
        <f t="shared" si="44"/>
        <v>0.73285047073572429</v>
      </c>
      <c r="O542" s="1" t="str">
        <f t="shared" si="40"/>
        <v>Normal</v>
      </c>
      <c r="P542" s="51" t="str">
        <f>IF(Table4[[#This Row],[Sales]]&lt;=$B$3,"Normal","High Revenue")</f>
        <v>Normal</v>
      </c>
      <c r="Q542" s="51" t="str">
        <f>IF(Table4[[#This Row],[CTR]]&lt;=$B$4,"Normal","High CTR")</f>
        <v>Normal</v>
      </c>
      <c r="R542" s="51" t="str">
        <f>IF(Table4[[#This Row],[ROAS]]&lt;1,"Poor",IF(Table4[[#This Row],[ROAS]]&lt;3,"Average",IF(Table4[[#This Row],[ROAS]]&lt;5,"Good",
"Excellent")))</f>
        <v>Average</v>
      </c>
      <c r="S542" s="51" t="str">
        <f>IF(AND(Table4[[#This Row],[USD_Spend]]&gt;=$B$5,Table4[[#This Row],[Sales]]&lt;=$B$6),"Wasted Budget","Spend Justified")</f>
        <v>Wasted Budget</v>
      </c>
      <c r="T542" s="51" t="str">
        <f>IF(AND(Table4[[#This Row],[Clicks]]&gt;=$B$7,Table4[[#This Row],[Sales]]&lt;=$B$6),"Poor Monetization","Normal Monitization")</f>
        <v>Poor Monetization</v>
      </c>
    </row>
    <row r="543" spans="1:20" x14ac:dyDescent="0.35">
      <c r="A543" s="41" t="s">
        <v>102</v>
      </c>
      <c r="B543" s="41" t="s">
        <v>48</v>
      </c>
      <c r="C543" s="41" t="s">
        <v>69</v>
      </c>
      <c r="D543" s="41" t="s">
        <v>51</v>
      </c>
      <c r="E543" s="41" t="s">
        <v>38</v>
      </c>
      <c r="F543" s="41">
        <v>6882.4</v>
      </c>
      <c r="G543" s="41">
        <v>445810</v>
      </c>
      <c r="H543" s="41">
        <v>31835</v>
      </c>
      <c r="I543" s="41">
        <v>118788.33</v>
      </c>
      <c r="J543" s="41">
        <v>10</v>
      </c>
      <c r="K543" s="42">
        <f t="shared" si="41"/>
        <v>7.1409344788138443E-2</v>
      </c>
      <c r="L543" s="43">
        <f t="shared" si="42"/>
        <v>17.259724805300479</v>
      </c>
      <c r="M543" s="43">
        <f t="shared" si="43"/>
        <v>16.259724805300479</v>
      </c>
      <c r="N543" s="43">
        <f t="shared" si="44"/>
        <v>3.7313752159572799</v>
      </c>
      <c r="O543" s="1" t="str">
        <f t="shared" si="40"/>
        <v>Normal</v>
      </c>
      <c r="P543" s="51" t="str">
        <f>IF(Table4[[#This Row],[Sales]]&lt;=$B$3,"Normal","High Revenue")</f>
        <v>Normal</v>
      </c>
      <c r="Q543" s="51" t="str">
        <f>IF(Table4[[#This Row],[CTR]]&lt;=$B$4,"Normal","High CTR")</f>
        <v>Normal</v>
      </c>
      <c r="R543" s="51" t="str">
        <f>IF(Table4[[#This Row],[ROAS]]&lt;1,"Poor",IF(Table4[[#This Row],[ROAS]]&lt;3,"Average",IF(Table4[[#This Row],[ROAS]]&lt;5,"Good",
"Excellent")))</f>
        <v>Excellent</v>
      </c>
      <c r="S543" s="51" t="str">
        <f>IF(AND(Table4[[#This Row],[USD_Spend]]&gt;=$B$5,Table4[[#This Row],[Sales]]&lt;=$B$6),"Wasted Budget","Spend Justified")</f>
        <v>Spend Justified</v>
      </c>
      <c r="T543" s="51" t="str">
        <f>IF(AND(Table4[[#This Row],[Clicks]]&gt;=$B$7,Table4[[#This Row],[Sales]]&lt;=$B$6),"Poor Monetization","Normal Monitization")</f>
        <v>Normal Monitization</v>
      </c>
    </row>
    <row r="544" spans="1:20" x14ac:dyDescent="0.35">
      <c r="A544" s="38" t="s">
        <v>68</v>
      </c>
      <c r="B544" s="38" t="s">
        <v>19</v>
      </c>
      <c r="C544" s="38" t="s">
        <v>20</v>
      </c>
      <c r="D544" s="38" t="s">
        <v>21</v>
      </c>
      <c r="E544" s="38" t="s">
        <v>30</v>
      </c>
      <c r="F544" s="38">
        <v>21474.98</v>
      </c>
      <c r="G544" s="38">
        <v>413402</v>
      </c>
      <c r="H544" s="38">
        <v>23385</v>
      </c>
      <c r="I544" s="38">
        <v>60306.53</v>
      </c>
      <c r="J544" s="38">
        <v>38</v>
      </c>
      <c r="K544" s="39">
        <f t="shared" si="41"/>
        <v>5.6567215446466153E-2</v>
      </c>
      <c r="L544" s="40">
        <f t="shared" si="42"/>
        <v>2.8082228714531983</v>
      </c>
      <c r="M544" s="40">
        <f t="shared" si="43"/>
        <v>1.8082228714531983</v>
      </c>
      <c r="N544" s="40">
        <f t="shared" si="44"/>
        <v>2.5788552490912977</v>
      </c>
      <c r="O544" s="1" t="str">
        <f t="shared" si="40"/>
        <v>Normal</v>
      </c>
      <c r="P544" s="51" t="str">
        <f>IF(Table4[[#This Row],[Sales]]&lt;=$B$3,"Normal","High Revenue")</f>
        <v>Normal</v>
      </c>
      <c r="Q544" s="51" t="str">
        <f>IF(Table4[[#This Row],[CTR]]&lt;=$B$4,"Normal","High CTR")</f>
        <v>Normal</v>
      </c>
      <c r="R544" s="51" t="str">
        <f>IF(Table4[[#This Row],[ROAS]]&lt;1,"Poor",IF(Table4[[#This Row],[ROAS]]&lt;3,"Average",IF(Table4[[#This Row],[ROAS]]&lt;5,"Good",
"Excellent")))</f>
        <v>Average</v>
      </c>
      <c r="S544" s="51" t="str">
        <f>IF(AND(Table4[[#This Row],[USD_Spend]]&gt;=$B$5,Table4[[#This Row],[Sales]]&lt;=$B$6),"Wasted Budget","Spend Justified")</f>
        <v>Wasted Budget</v>
      </c>
      <c r="T544" s="51" t="str">
        <f>IF(AND(Table4[[#This Row],[Clicks]]&gt;=$B$7,Table4[[#This Row],[Sales]]&lt;=$B$6),"Poor Monetization","Normal Monitization")</f>
        <v>Normal Monitization</v>
      </c>
    </row>
    <row r="545" spans="1:20" x14ac:dyDescent="0.35">
      <c r="A545" s="41" t="s">
        <v>111</v>
      </c>
      <c r="B545" s="41" t="s">
        <v>28</v>
      </c>
      <c r="C545" s="41" t="s">
        <v>36</v>
      </c>
      <c r="D545" s="41" t="s">
        <v>51</v>
      </c>
      <c r="E545" s="41" t="s">
        <v>22</v>
      </c>
      <c r="F545" s="41">
        <v>40772.559999999998</v>
      </c>
      <c r="G545" s="41">
        <v>435051</v>
      </c>
      <c r="H545" s="41">
        <v>12220</v>
      </c>
      <c r="I545" s="41">
        <v>198515.38</v>
      </c>
      <c r="J545" s="41">
        <v>35</v>
      </c>
      <c r="K545" s="42">
        <f t="shared" si="41"/>
        <v>2.8088660869645166E-2</v>
      </c>
      <c r="L545" s="43">
        <f t="shared" si="42"/>
        <v>4.8688475778808105</v>
      </c>
      <c r="M545" s="43">
        <f t="shared" si="43"/>
        <v>3.8688475778808105</v>
      </c>
      <c r="N545" s="43">
        <f t="shared" si="44"/>
        <v>16.245121112929624</v>
      </c>
      <c r="O545" s="1" t="str">
        <f t="shared" si="40"/>
        <v>Normal</v>
      </c>
      <c r="P545" s="51" t="str">
        <f>IF(Table4[[#This Row],[Sales]]&lt;=$B$3,"Normal","High Revenue")</f>
        <v>Normal</v>
      </c>
      <c r="Q545" s="51" t="str">
        <f>IF(Table4[[#This Row],[CTR]]&lt;=$B$4,"Normal","High CTR")</f>
        <v>Normal</v>
      </c>
      <c r="R545" s="51" t="str">
        <f>IF(Table4[[#This Row],[ROAS]]&lt;1,"Poor",IF(Table4[[#This Row],[ROAS]]&lt;3,"Average",IF(Table4[[#This Row],[ROAS]]&lt;5,"Good",
"Excellent")))</f>
        <v>Good</v>
      </c>
      <c r="S545" s="51" t="str">
        <f>IF(AND(Table4[[#This Row],[USD_Spend]]&gt;=$B$5,Table4[[#This Row],[Sales]]&lt;=$B$6),"Wasted Budget","Spend Justified")</f>
        <v>Spend Justified</v>
      </c>
      <c r="T545" s="51" t="str">
        <f>IF(AND(Table4[[#This Row],[Clicks]]&gt;=$B$7,Table4[[#This Row],[Sales]]&lt;=$B$6),"Poor Monetization","Normal Monitization")</f>
        <v>Normal Monitization</v>
      </c>
    </row>
    <row r="546" spans="1:20" x14ac:dyDescent="0.35">
      <c r="A546" s="38" t="s">
        <v>75</v>
      </c>
      <c r="B546" s="38" t="s">
        <v>48</v>
      </c>
      <c r="C546" s="38" t="s">
        <v>29</v>
      </c>
      <c r="D546" s="38" t="s">
        <v>51</v>
      </c>
      <c r="E546" s="38" t="s">
        <v>30</v>
      </c>
      <c r="F546" s="38">
        <v>30872.39</v>
      </c>
      <c r="G546" s="38">
        <v>763240</v>
      </c>
      <c r="H546" s="38">
        <v>45736</v>
      </c>
      <c r="I546" s="38">
        <v>99074.72</v>
      </c>
      <c r="J546" s="38">
        <v>32</v>
      </c>
      <c r="K546" s="39">
        <f t="shared" si="41"/>
        <v>5.9923484094125047E-2</v>
      </c>
      <c r="L546" s="40">
        <f t="shared" si="42"/>
        <v>3.2091690989910404</v>
      </c>
      <c r="M546" s="40">
        <f t="shared" si="43"/>
        <v>2.2091690989910404</v>
      </c>
      <c r="N546" s="40">
        <f t="shared" si="44"/>
        <v>2.1662305404932658</v>
      </c>
      <c r="O546" s="1" t="str">
        <f t="shared" si="40"/>
        <v>Normal</v>
      </c>
      <c r="P546" s="51" t="str">
        <f>IF(Table4[[#This Row],[Sales]]&lt;=$B$3,"Normal","High Revenue")</f>
        <v>Normal</v>
      </c>
      <c r="Q546" s="51" t="str">
        <f>IF(Table4[[#This Row],[CTR]]&lt;=$B$4,"Normal","High CTR")</f>
        <v>Normal</v>
      </c>
      <c r="R546" s="51" t="str">
        <f>IF(Table4[[#This Row],[ROAS]]&lt;1,"Poor",IF(Table4[[#This Row],[ROAS]]&lt;3,"Average",IF(Table4[[#This Row],[ROAS]]&lt;5,"Good",
"Excellent")))</f>
        <v>Good</v>
      </c>
      <c r="S546" s="51" t="str">
        <f>IF(AND(Table4[[#This Row],[USD_Spend]]&gt;=$B$5,Table4[[#This Row],[Sales]]&lt;=$B$6),"Wasted Budget","Spend Justified")</f>
        <v>Spend Justified</v>
      </c>
      <c r="T546" s="51" t="str">
        <f>IF(AND(Table4[[#This Row],[Clicks]]&gt;=$B$7,Table4[[#This Row],[Sales]]&lt;=$B$6),"Poor Monetization","Normal Monitization")</f>
        <v>Normal Monitization</v>
      </c>
    </row>
    <row r="547" spans="1:20" x14ac:dyDescent="0.35">
      <c r="A547" s="41" t="s">
        <v>105</v>
      </c>
      <c r="B547" s="41" t="s">
        <v>35</v>
      </c>
      <c r="C547" s="41" t="s">
        <v>20</v>
      </c>
      <c r="D547" s="41" t="s">
        <v>63</v>
      </c>
      <c r="E547" s="41" t="s">
        <v>30</v>
      </c>
      <c r="F547" s="41">
        <v>18953.689999999999</v>
      </c>
      <c r="G547" s="41">
        <v>904787</v>
      </c>
      <c r="H547" s="41">
        <v>31767</v>
      </c>
      <c r="I547" s="41">
        <v>31130.05</v>
      </c>
      <c r="J547" s="41">
        <v>60</v>
      </c>
      <c r="K547" s="42">
        <f t="shared" si="41"/>
        <v>3.5109920898509818E-2</v>
      </c>
      <c r="L547" s="43">
        <f t="shared" si="42"/>
        <v>1.6424268836305755</v>
      </c>
      <c r="M547" s="43">
        <f t="shared" si="43"/>
        <v>0.64242688363057543</v>
      </c>
      <c r="N547" s="43">
        <f t="shared" si="44"/>
        <v>0.9799493184751471</v>
      </c>
      <c r="O547" s="1" t="str">
        <f t="shared" si="40"/>
        <v>Normal</v>
      </c>
      <c r="P547" s="51" t="str">
        <f>IF(Table4[[#This Row],[Sales]]&lt;=$B$3,"Normal","High Revenue")</f>
        <v>Normal</v>
      </c>
      <c r="Q547" s="51" t="str">
        <f>IF(Table4[[#This Row],[CTR]]&lt;=$B$4,"Normal","High CTR")</f>
        <v>Normal</v>
      </c>
      <c r="R547" s="51" t="str">
        <f>IF(Table4[[#This Row],[ROAS]]&lt;1,"Poor",IF(Table4[[#This Row],[ROAS]]&lt;3,"Average",IF(Table4[[#This Row],[ROAS]]&lt;5,"Good",
"Excellent")))</f>
        <v>Average</v>
      </c>
      <c r="S547" s="51" t="str">
        <f>IF(AND(Table4[[#This Row],[USD_Spend]]&gt;=$B$5,Table4[[#This Row],[Sales]]&lt;=$B$6),"Wasted Budget","Spend Justified")</f>
        <v>Wasted Budget</v>
      </c>
      <c r="T547" s="51" t="str">
        <f>IF(AND(Table4[[#This Row],[Clicks]]&gt;=$B$7,Table4[[#This Row],[Sales]]&lt;=$B$6),"Poor Monetization","Normal Monitization")</f>
        <v>Normal Monitization</v>
      </c>
    </row>
    <row r="548" spans="1:20" x14ac:dyDescent="0.35">
      <c r="A548" s="38" t="s">
        <v>77</v>
      </c>
      <c r="B548" s="38" t="s">
        <v>28</v>
      </c>
      <c r="C548" s="38" t="s">
        <v>36</v>
      </c>
      <c r="D548" s="38" t="s">
        <v>51</v>
      </c>
      <c r="E548" s="38" t="s">
        <v>22</v>
      </c>
      <c r="F548" s="38">
        <v>39017.019999999997</v>
      </c>
      <c r="G548" s="38">
        <v>297286</v>
      </c>
      <c r="H548" s="38">
        <v>24240</v>
      </c>
      <c r="I548" s="38">
        <v>206759.04000000001</v>
      </c>
      <c r="J548" s="38">
        <v>9</v>
      </c>
      <c r="K548" s="39">
        <f t="shared" si="41"/>
        <v>8.1537643885013084E-2</v>
      </c>
      <c r="L548" s="40">
        <f t="shared" si="42"/>
        <v>5.2992012203904864</v>
      </c>
      <c r="M548" s="40">
        <f t="shared" si="43"/>
        <v>4.2992012203904872</v>
      </c>
      <c r="N548" s="40">
        <f t="shared" si="44"/>
        <v>8.5296633663366332</v>
      </c>
      <c r="O548" s="1" t="str">
        <f t="shared" si="40"/>
        <v>Normal</v>
      </c>
      <c r="P548" s="51" t="str">
        <f>IF(Table4[[#This Row],[Sales]]&lt;=$B$3,"Normal","High Revenue")</f>
        <v>Normal</v>
      </c>
      <c r="Q548" s="51" t="str">
        <f>IF(Table4[[#This Row],[CTR]]&lt;=$B$4,"Normal","High CTR")</f>
        <v>Normal</v>
      </c>
      <c r="R548" s="51" t="str">
        <f>IF(Table4[[#This Row],[ROAS]]&lt;1,"Poor",IF(Table4[[#This Row],[ROAS]]&lt;3,"Average",IF(Table4[[#This Row],[ROAS]]&lt;5,"Good",
"Excellent")))</f>
        <v>Excellent</v>
      </c>
      <c r="S548" s="51" t="str">
        <f>IF(AND(Table4[[#This Row],[USD_Spend]]&gt;=$B$5,Table4[[#This Row],[Sales]]&lt;=$B$6),"Wasted Budget","Spend Justified")</f>
        <v>Spend Justified</v>
      </c>
      <c r="T548" s="51" t="str">
        <f>IF(AND(Table4[[#This Row],[Clicks]]&gt;=$B$7,Table4[[#This Row],[Sales]]&lt;=$B$6),"Poor Monetization","Normal Monitization")</f>
        <v>Normal Monitization</v>
      </c>
    </row>
    <row r="549" spans="1:20" x14ac:dyDescent="0.35">
      <c r="A549" s="41" t="s">
        <v>95</v>
      </c>
      <c r="B549" s="41" t="s">
        <v>19</v>
      </c>
      <c r="C549" s="41" t="s">
        <v>20</v>
      </c>
      <c r="D549" s="41" t="s">
        <v>37</v>
      </c>
      <c r="E549" s="41" t="s">
        <v>22</v>
      </c>
      <c r="F549" s="41">
        <v>21606.45</v>
      </c>
      <c r="G549" s="41">
        <v>999583</v>
      </c>
      <c r="H549" s="41">
        <v>2050</v>
      </c>
      <c r="I549" s="41">
        <v>113431.78</v>
      </c>
      <c r="J549" s="41">
        <v>60</v>
      </c>
      <c r="K549" s="42">
        <f t="shared" si="41"/>
        <v>2.050855206621161E-3</v>
      </c>
      <c r="L549" s="43">
        <f t="shared" si="42"/>
        <v>5.2499036167440742</v>
      </c>
      <c r="M549" s="43">
        <f t="shared" si="43"/>
        <v>4.2499036167440742</v>
      </c>
      <c r="N549" s="43">
        <f t="shared" si="44"/>
        <v>55.332575609756098</v>
      </c>
      <c r="O549" s="1" t="str">
        <f t="shared" si="40"/>
        <v>Normal</v>
      </c>
      <c r="P549" s="51" t="str">
        <f>IF(Table4[[#This Row],[Sales]]&lt;=$B$3,"Normal","High Revenue")</f>
        <v>Normal</v>
      </c>
      <c r="Q549" s="51" t="str">
        <f>IF(Table4[[#This Row],[CTR]]&lt;=$B$4,"Normal","High CTR")</f>
        <v>Normal</v>
      </c>
      <c r="R549" s="51" t="str">
        <f>IF(Table4[[#This Row],[ROAS]]&lt;1,"Poor",IF(Table4[[#This Row],[ROAS]]&lt;3,"Average",IF(Table4[[#This Row],[ROAS]]&lt;5,"Good",
"Excellent")))</f>
        <v>Excellent</v>
      </c>
      <c r="S549" s="51" t="str">
        <f>IF(AND(Table4[[#This Row],[USD_Spend]]&gt;=$B$5,Table4[[#This Row],[Sales]]&lt;=$B$6),"Wasted Budget","Spend Justified")</f>
        <v>Spend Justified</v>
      </c>
      <c r="T549" s="51" t="str">
        <f>IF(AND(Table4[[#This Row],[Clicks]]&gt;=$B$7,Table4[[#This Row],[Sales]]&lt;=$B$6),"Poor Monetization","Normal Monitization")</f>
        <v>Normal Monitization</v>
      </c>
    </row>
    <row r="550" spans="1:20" x14ac:dyDescent="0.35">
      <c r="A550" s="38" t="s">
        <v>100</v>
      </c>
      <c r="B550" s="38" t="s">
        <v>48</v>
      </c>
      <c r="C550" s="38" t="s">
        <v>20</v>
      </c>
      <c r="D550" s="38" t="s">
        <v>59</v>
      </c>
      <c r="E550" s="38" t="s">
        <v>38</v>
      </c>
      <c r="F550" s="38">
        <v>6876.28</v>
      </c>
      <c r="G550" s="38">
        <v>563081</v>
      </c>
      <c r="H550" s="38">
        <v>27537</v>
      </c>
      <c r="I550" s="38">
        <v>241735.7</v>
      </c>
      <c r="J550" s="38">
        <v>55</v>
      </c>
      <c r="K550" s="39">
        <f t="shared" si="41"/>
        <v>4.8904154109266698E-2</v>
      </c>
      <c r="L550" s="40">
        <f t="shared" si="42"/>
        <v>35.155011139744168</v>
      </c>
      <c r="M550" s="40">
        <f t="shared" si="43"/>
        <v>34.155011139744168</v>
      </c>
      <c r="N550" s="40">
        <f t="shared" si="44"/>
        <v>8.7785779133529438</v>
      </c>
      <c r="O550" s="1" t="str">
        <f t="shared" si="40"/>
        <v>Normal</v>
      </c>
      <c r="P550" s="51" t="str">
        <f>IF(Table4[[#This Row],[Sales]]&lt;=$B$3,"Normal","High Revenue")</f>
        <v>High Revenue</v>
      </c>
      <c r="Q550" s="51" t="str">
        <f>IF(Table4[[#This Row],[CTR]]&lt;=$B$4,"Normal","High CTR")</f>
        <v>Normal</v>
      </c>
      <c r="R550" s="51" t="str">
        <f>IF(Table4[[#This Row],[ROAS]]&lt;1,"Poor",IF(Table4[[#This Row],[ROAS]]&lt;3,"Average",IF(Table4[[#This Row],[ROAS]]&lt;5,"Good",
"Excellent")))</f>
        <v>Excellent</v>
      </c>
      <c r="S550" s="51" t="str">
        <f>IF(AND(Table4[[#This Row],[USD_Spend]]&gt;=$B$5,Table4[[#This Row],[Sales]]&lt;=$B$6),"Wasted Budget","Spend Justified")</f>
        <v>Spend Justified</v>
      </c>
      <c r="T550" s="51" t="str">
        <f>IF(AND(Table4[[#This Row],[Clicks]]&gt;=$B$7,Table4[[#This Row],[Sales]]&lt;=$B$6),"Poor Monetization","Normal Monitization")</f>
        <v>Normal Monitization</v>
      </c>
    </row>
    <row r="551" spans="1:20" x14ac:dyDescent="0.35">
      <c r="A551" s="41" t="s">
        <v>85</v>
      </c>
      <c r="B551" s="41" t="s">
        <v>19</v>
      </c>
      <c r="C551" s="41" t="s">
        <v>69</v>
      </c>
      <c r="D551" s="41" t="s">
        <v>43</v>
      </c>
      <c r="E551" s="41" t="s">
        <v>22</v>
      </c>
      <c r="F551" s="41">
        <v>24045.48</v>
      </c>
      <c r="G551" s="41">
        <v>889962</v>
      </c>
      <c r="H551" s="41">
        <v>3661</v>
      </c>
      <c r="I551" s="41">
        <v>25741.48</v>
      </c>
      <c r="J551" s="41">
        <v>57</v>
      </c>
      <c r="K551" s="42">
        <f t="shared" si="41"/>
        <v>4.1136587854312878E-3</v>
      </c>
      <c r="L551" s="43">
        <f t="shared" si="42"/>
        <v>1.0705330066191234</v>
      </c>
      <c r="M551" s="43">
        <f t="shared" si="43"/>
        <v>7.0533006619123428E-2</v>
      </c>
      <c r="N551" s="43">
        <f t="shared" si="44"/>
        <v>7.0312701447691888</v>
      </c>
      <c r="O551" s="1" t="str">
        <f t="shared" si="40"/>
        <v>Normal</v>
      </c>
      <c r="P551" s="51" t="str">
        <f>IF(Table4[[#This Row],[Sales]]&lt;=$B$3,"Normal","High Revenue")</f>
        <v>Normal</v>
      </c>
      <c r="Q551" s="51" t="str">
        <f>IF(Table4[[#This Row],[CTR]]&lt;=$B$4,"Normal","High CTR")</f>
        <v>Normal</v>
      </c>
      <c r="R551" s="51" t="str">
        <f>IF(Table4[[#This Row],[ROAS]]&lt;1,"Poor",IF(Table4[[#This Row],[ROAS]]&lt;3,"Average",IF(Table4[[#This Row],[ROAS]]&lt;5,"Good",
"Excellent")))</f>
        <v>Average</v>
      </c>
      <c r="S551" s="51" t="str">
        <f>IF(AND(Table4[[#This Row],[USD_Spend]]&gt;=$B$5,Table4[[#This Row],[Sales]]&lt;=$B$6),"Wasted Budget","Spend Justified")</f>
        <v>Wasted Budget</v>
      </c>
      <c r="T551" s="51" t="str">
        <f>IF(AND(Table4[[#This Row],[Clicks]]&gt;=$B$7,Table4[[#This Row],[Sales]]&lt;=$B$6),"Poor Monetization","Normal Monitization")</f>
        <v>Normal Monitization</v>
      </c>
    </row>
    <row r="552" spans="1:20" x14ac:dyDescent="0.35">
      <c r="A552" s="38" t="s">
        <v>50</v>
      </c>
      <c r="B552" s="38" t="s">
        <v>19</v>
      </c>
      <c r="C552" s="38" t="s">
        <v>69</v>
      </c>
      <c r="D552" s="38" t="s">
        <v>59</v>
      </c>
      <c r="E552" s="38" t="s">
        <v>30</v>
      </c>
      <c r="F552" s="38">
        <v>6939.01</v>
      </c>
      <c r="G552" s="38">
        <v>588469</v>
      </c>
      <c r="H552" s="38">
        <v>7232</v>
      </c>
      <c r="I552" s="38">
        <v>48063.69</v>
      </c>
      <c r="J552" s="38">
        <v>34</v>
      </c>
      <c r="K552" s="39">
        <f t="shared" si="41"/>
        <v>1.2289517374747013E-2</v>
      </c>
      <c r="L552" s="40">
        <f t="shared" si="42"/>
        <v>6.9265918337053849</v>
      </c>
      <c r="M552" s="40">
        <f t="shared" si="43"/>
        <v>5.926591833705384</v>
      </c>
      <c r="N552" s="40">
        <f t="shared" si="44"/>
        <v>6.6459748340707971</v>
      </c>
      <c r="O552" s="1" t="str">
        <f t="shared" si="40"/>
        <v>Normal</v>
      </c>
      <c r="P552" s="51" t="str">
        <f>IF(Table4[[#This Row],[Sales]]&lt;=$B$3,"Normal","High Revenue")</f>
        <v>Normal</v>
      </c>
      <c r="Q552" s="51" t="str">
        <f>IF(Table4[[#This Row],[CTR]]&lt;=$B$4,"Normal","High CTR")</f>
        <v>Normal</v>
      </c>
      <c r="R552" s="51" t="str">
        <f>IF(Table4[[#This Row],[ROAS]]&lt;1,"Poor",IF(Table4[[#This Row],[ROAS]]&lt;3,"Average",IF(Table4[[#This Row],[ROAS]]&lt;5,"Good",
"Excellent")))</f>
        <v>Excellent</v>
      </c>
      <c r="S552" s="51" t="str">
        <f>IF(AND(Table4[[#This Row],[USD_Spend]]&gt;=$B$5,Table4[[#This Row],[Sales]]&lt;=$B$6),"Wasted Budget","Spend Justified")</f>
        <v>Wasted Budget</v>
      </c>
      <c r="T552" s="51" t="str">
        <f>IF(AND(Table4[[#This Row],[Clicks]]&gt;=$B$7,Table4[[#This Row],[Sales]]&lt;=$B$6),"Poor Monetization","Normal Monitization")</f>
        <v>Normal Monitization</v>
      </c>
    </row>
    <row r="553" spans="1:20" x14ac:dyDescent="0.35">
      <c r="A553" s="41" t="s">
        <v>62</v>
      </c>
      <c r="B553" s="41" t="s">
        <v>48</v>
      </c>
      <c r="C553" s="41" t="s">
        <v>29</v>
      </c>
      <c r="D553" s="41" t="s">
        <v>21</v>
      </c>
      <c r="E553" s="41" t="s">
        <v>38</v>
      </c>
      <c r="F553" s="41">
        <v>7124.96</v>
      </c>
      <c r="G553" s="41">
        <v>22537</v>
      </c>
      <c r="H553" s="41">
        <v>4141</v>
      </c>
      <c r="I553" s="41">
        <v>208441.22</v>
      </c>
      <c r="J553" s="41">
        <v>12</v>
      </c>
      <c r="K553" s="42">
        <f t="shared" si="41"/>
        <v>0.18374229045569507</v>
      </c>
      <c r="L553" s="43">
        <f t="shared" si="42"/>
        <v>29.255072309177876</v>
      </c>
      <c r="M553" s="43">
        <f t="shared" si="43"/>
        <v>28.255072309177876</v>
      </c>
      <c r="N553" s="43">
        <f t="shared" si="44"/>
        <v>50.335962327940109</v>
      </c>
      <c r="O553" s="1" t="str">
        <f t="shared" si="40"/>
        <v>Normal</v>
      </c>
      <c r="P553" s="51" t="str">
        <f>IF(Table4[[#This Row],[Sales]]&lt;=$B$3,"Normal","High Revenue")</f>
        <v>Normal</v>
      </c>
      <c r="Q553" s="51" t="str">
        <f>IF(Table4[[#This Row],[CTR]]&lt;=$B$4,"Normal","High CTR")</f>
        <v>Normal</v>
      </c>
      <c r="R553" s="51" t="str">
        <f>IF(Table4[[#This Row],[ROAS]]&lt;1,"Poor",IF(Table4[[#This Row],[ROAS]]&lt;3,"Average",IF(Table4[[#This Row],[ROAS]]&lt;5,"Good",
"Excellent")))</f>
        <v>Excellent</v>
      </c>
      <c r="S553" s="51" t="str">
        <f>IF(AND(Table4[[#This Row],[USD_Spend]]&gt;=$B$5,Table4[[#This Row],[Sales]]&lt;=$B$6),"Wasted Budget","Spend Justified")</f>
        <v>Spend Justified</v>
      </c>
      <c r="T553" s="51" t="str">
        <f>IF(AND(Table4[[#This Row],[Clicks]]&gt;=$B$7,Table4[[#This Row],[Sales]]&lt;=$B$6),"Poor Monetization","Normal Monitization")</f>
        <v>Normal Monitization</v>
      </c>
    </row>
    <row r="554" spans="1:20" x14ac:dyDescent="0.35">
      <c r="A554" s="38" t="s">
        <v>90</v>
      </c>
      <c r="B554" s="38" t="s">
        <v>48</v>
      </c>
      <c r="C554" s="38" t="s">
        <v>58</v>
      </c>
      <c r="D554" s="38" t="s">
        <v>21</v>
      </c>
      <c r="E554" s="38" t="s">
        <v>38</v>
      </c>
      <c r="F554" s="38">
        <v>3840.69</v>
      </c>
      <c r="G554" s="38">
        <v>534977</v>
      </c>
      <c r="H554" s="38">
        <v>7516</v>
      </c>
      <c r="I554" s="38">
        <v>49043.99</v>
      </c>
      <c r="J554" s="38">
        <v>59</v>
      </c>
      <c r="K554" s="39">
        <f t="shared" si="41"/>
        <v>1.4049202115231122E-2</v>
      </c>
      <c r="L554" s="40">
        <f t="shared" si="42"/>
        <v>12.769577862311198</v>
      </c>
      <c r="M554" s="40">
        <f t="shared" si="43"/>
        <v>11.769577862311198</v>
      </c>
      <c r="N554" s="40">
        <f t="shared" si="44"/>
        <v>6.5252780734433209</v>
      </c>
      <c r="O554" s="1" t="str">
        <f t="shared" si="40"/>
        <v>Normal</v>
      </c>
      <c r="P554" s="51" t="str">
        <f>IF(Table4[[#This Row],[Sales]]&lt;=$B$3,"Normal","High Revenue")</f>
        <v>Normal</v>
      </c>
      <c r="Q554" s="51" t="str">
        <f>IF(Table4[[#This Row],[CTR]]&lt;=$B$4,"Normal","High CTR")</f>
        <v>Normal</v>
      </c>
      <c r="R554" s="51" t="str">
        <f>IF(Table4[[#This Row],[ROAS]]&lt;1,"Poor",IF(Table4[[#This Row],[ROAS]]&lt;3,"Average",IF(Table4[[#This Row],[ROAS]]&lt;5,"Good",
"Excellent")))</f>
        <v>Excellent</v>
      </c>
      <c r="S554" s="51" t="str">
        <f>IF(AND(Table4[[#This Row],[USD_Spend]]&gt;=$B$5,Table4[[#This Row],[Sales]]&lt;=$B$6),"Wasted Budget","Spend Justified")</f>
        <v>Spend Justified</v>
      </c>
      <c r="T554" s="51" t="str">
        <f>IF(AND(Table4[[#This Row],[Clicks]]&gt;=$B$7,Table4[[#This Row],[Sales]]&lt;=$B$6),"Poor Monetization","Normal Monitization")</f>
        <v>Normal Monitization</v>
      </c>
    </row>
    <row r="555" spans="1:20" x14ac:dyDescent="0.35">
      <c r="A555" s="41" t="s">
        <v>27</v>
      </c>
      <c r="B555" s="41" t="s">
        <v>48</v>
      </c>
      <c r="C555" s="41" t="s">
        <v>29</v>
      </c>
      <c r="D555" s="41" t="s">
        <v>37</v>
      </c>
      <c r="E555" s="41" t="s">
        <v>38</v>
      </c>
      <c r="F555" s="41">
        <v>17908.740000000002</v>
      </c>
      <c r="G555" s="41">
        <v>820143</v>
      </c>
      <c r="H555" s="41">
        <v>12907</v>
      </c>
      <c r="I555" s="41">
        <v>184453.52</v>
      </c>
      <c r="J555" s="41">
        <v>29</v>
      </c>
      <c r="K555" s="42">
        <f t="shared" si="41"/>
        <v>1.5737499436073953E-2</v>
      </c>
      <c r="L555" s="43">
        <f t="shared" si="42"/>
        <v>10.299636937048612</v>
      </c>
      <c r="M555" s="43">
        <f t="shared" si="43"/>
        <v>9.2996369370486125</v>
      </c>
      <c r="N555" s="43">
        <f t="shared" si="44"/>
        <v>14.290967691950105</v>
      </c>
      <c r="O555" s="1" t="str">
        <f t="shared" si="40"/>
        <v>Normal</v>
      </c>
      <c r="P555" s="51" t="str">
        <f>IF(Table4[[#This Row],[Sales]]&lt;=$B$3,"Normal","High Revenue")</f>
        <v>Normal</v>
      </c>
      <c r="Q555" s="51" t="str">
        <f>IF(Table4[[#This Row],[CTR]]&lt;=$B$4,"Normal","High CTR")</f>
        <v>Normal</v>
      </c>
      <c r="R555" s="51" t="str">
        <f>IF(Table4[[#This Row],[ROAS]]&lt;1,"Poor",IF(Table4[[#This Row],[ROAS]]&lt;3,"Average",IF(Table4[[#This Row],[ROAS]]&lt;5,"Good",
"Excellent")))</f>
        <v>Excellent</v>
      </c>
      <c r="S555" s="51" t="str">
        <f>IF(AND(Table4[[#This Row],[USD_Spend]]&gt;=$B$5,Table4[[#This Row],[Sales]]&lt;=$B$6),"Wasted Budget","Spend Justified")</f>
        <v>Spend Justified</v>
      </c>
      <c r="T555" s="51" t="str">
        <f>IF(AND(Table4[[#This Row],[Clicks]]&gt;=$B$7,Table4[[#This Row],[Sales]]&lt;=$B$6),"Poor Monetization","Normal Monitization")</f>
        <v>Normal Monitization</v>
      </c>
    </row>
    <row r="556" spans="1:20" x14ac:dyDescent="0.35">
      <c r="A556" s="38" t="s">
        <v>78</v>
      </c>
      <c r="B556" s="38" t="s">
        <v>35</v>
      </c>
      <c r="C556" s="38" t="s">
        <v>20</v>
      </c>
      <c r="D556" s="38" t="s">
        <v>51</v>
      </c>
      <c r="E556" s="38" t="s">
        <v>30</v>
      </c>
      <c r="F556" s="38">
        <v>5990.58</v>
      </c>
      <c r="G556" s="38">
        <v>506171</v>
      </c>
      <c r="H556" s="38">
        <v>48331</v>
      </c>
      <c r="I556" s="38">
        <v>46574.39</v>
      </c>
      <c r="J556" s="38">
        <v>34</v>
      </c>
      <c r="K556" s="39">
        <f t="shared" si="41"/>
        <v>9.5483542123116494E-2</v>
      </c>
      <c r="L556" s="40">
        <f t="shared" si="42"/>
        <v>7.7746044623392061</v>
      </c>
      <c r="M556" s="40">
        <f t="shared" si="43"/>
        <v>6.7746044623392052</v>
      </c>
      <c r="N556" s="40">
        <f t="shared" si="44"/>
        <v>0.96365459022159694</v>
      </c>
      <c r="O556" s="1" t="str">
        <f t="shared" si="40"/>
        <v>Normal</v>
      </c>
      <c r="P556" s="51" t="str">
        <f>IF(Table4[[#This Row],[Sales]]&lt;=$B$3,"Normal","High Revenue")</f>
        <v>Normal</v>
      </c>
      <c r="Q556" s="51" t="str">
        <f>IF(Table4[[#This Row],[CTR]]&lt;=$B$4,"Normal","High CTR")</f>
        <v>Normal</v>
      </c>
      <c r="R556" s="51" t="str">
        <f>IF(Table4[[#This Row],[ROAS]]&lt;1,"Poor",IF(Table4[[#This Row],[ROAS]]&lt;3,"Average",IF(Table4[[#This Row],[ROAS]]&lt;5,"Good",
"Excellent")))</f>
        <v>Excellent</v>
      </c>
      <c r="S556" s="51" t="str">
        <f>IF(AND(Table4[[#This Row],[USD_Spend]]&gt;=$B$5,Table4[[#This Row],[Sales]]&lt;=$B$6),"Wasted Budget","Spend Justified")</f>
        <v>Wasted Budget</v>
      </c>
      <c r="T556" s="51" t="str">
        <f>IF(AND(Table4[[#This Row],[Clicks]]&gt;=$B$7,Table4[[#This Row],[Sales]]&lt;=$B$6),"Poor Monetization","Normal Monitization")</f>
        <v>Poor Monetization</v>
      </c>
    </row>
    <row r="557" spans="1:20" x14ac:dyDescent="0.35">
      <c r="A557" s="41" t="s">
        <v>95</v>
      </c>
      <c r="B557" s="41" t="s">
        <v>35</v>
      </c>
      <c r="C557" s="41" t="s">
        <v>58</v>
      </c>
      <c r="D557" s="41" t="s">
        <v>43</v>
      </c>
      <c r="E557" s="41" t="s">
        <v>30</v>
      </c>
      <c r="F557" s="41">
        <v>2698.89</v>
      </c>
      <c r="G557" s="41">
        <v>983737</v>
      </c>
      <c r="H557" s="41">
        <v>21243</v>
      </c>
      <c r="I557" s="41">
        <v>151235.68</v>
      </c>
      <c r="J557" s="41">
        <v>51</v>
      </c>
      <c r="K557" s="42">
        <f t="shared" si="41"/>
        <v>2.1594186251000014E-2</v>
      </c>
      <c r="L557" s="43">
        <f t="shared" si="42"/>
        <v>56.036251940612622</v>
      </c>
      <c r="M557" s="43">
        <f t="shared" si="43"/>
        <v>55.036251940612615</v>
      </c>
      <c r="N557" s="43">
        <f t="shared" si="44"/>
        <v>7.1193183636962765</v>
      </c>
      <c r="O557" s="1" t="str">
        <f t="shared" si="40"/>
        <v>Normal</v>
      </c>
      <c r="P557" s="51" t="str">
        <f>IF(Table4[[#This Row],[Sales]]&lt;=$B$3,"Normal","High Revenue")</f>
        <v>Normal</v>
      </c>
      <c r="Q557" s="51" t="str">
        <f>IF(Table4[[#This Row],[CTR]]&lt;=$B$4,"Normal","High CTR")</f>
        <v>Normal</v>
      </c>
      <c r="R557" s="51" t="str">
        <f>IF(Table4[[#This Row],[ROAS]]&lt;1,"Poor",IF(Table4[[#This Row],[ROAS]]&lt;3,"Average",IF(Table4[[#This Row],[ROAS]]&lt;5,"Good",
"Excellent")))</f>
        <v>Excellent</v>
      </c>
      <c r="S557" s="51" t="str">
        <f>IF(AND(Table4[[#This Row],[USD_Spend]]&gt;=$B$5,Table4[[#This Row],[Sales]]&lt;=$B$6),"Wasted Budget","Spend Justified")</f>
        <v>Spend Justified</v>
      </c>
      <c r="T557" s="51" t="str">
        <f>IF(AND(Table4[[#This Row],[Clicks]]&gt;=$B$7,Table4[[#This Row],[Sales]]&lt;=$B$6),"Poor Monetization","Normal Monitization")</f>
        <v>Normal Monitization</v>
      </c>
    </row>
    <row r="558" spans="1:20" x14ac:dyDescent="0.35">
      <c r="A558" s="38" t="s">
        <v>89</v>
      </c>
      <c r="B558" s="38" t="s">
        <v>35</v>
      </c>
      <c r="C558" s="38" t="s">
        <v>69</v>
      </c>
      <c r="D558" s="38" t="s">
        <v>59</v>
      </c>
      <c r="E558" s="38" t="s">
        <v>22</v>
      </c>
      <c r="F558" s="38">
        <v>36096.839999999997</v>
      </c>
      <c r="G558" s="38">
        <v>977516</v>
      </c>
      <c r="H558" s="38">
        <v>18213</v>
      </c>
      <c r="I558" s="38">
        <v>193492.99</v>
      </c>
      <c r="J558" s="38">
        <v>48</v>
      </c>
      <c r="K558" s="39">
        <f t="shared" si="41"/>
        <v>1.8631920091333545E-2</v>
      </c>
      <c r="L558" s="40">
        <f t="shared" si="42"/>
        <v>5.360385839868532</v>
      </c>
      <c r="M558" s="40">
        <f t="shared" si="43"/>
        <v>4.360385839868532</v>
      </c>
      <c r="N558" s="40">
        <f t="shared" si="44"/>
        <v>10.623894470982265</v>
      </c>
      <c r="O558" s="1" t="str">
        <f t="shared" si="40"/>
        <v>Normal</v>
      </c>
      <c r="P558" s="51" t="str">
        <f>IF(Table4[[#This Row],[Sales]]&lt;=$B$3,"Normal","High Revenue")</f>
        <v>Normal</v>
      </c>
      <c r="Q558" s="51" t="str">
        <f>IF(Table4[[#This Row],[CTR]]&lt;=$B$4,"Normal","High CTR")</f>
        <v>Normal</v>
      </c>
      <c r="R558" s="51" t="str">
        <f>IF(Table4[[#This Row],[ROAS]]&lt;1,"Poor",IF(Table4[[#This Row],[ROAS]]&lt;3,"Average",IF(Table4[[#This Row],[ROAS]]&lt;5,"Good",
"Excellent")))</f>
        <v>Excellent</v>
      </c>
      <c r="S558" s="51" t="str">
        <f>IF(AND(Table4[[#This Row],[USD_Spend]]&gt;=$B$5,Table4[[#This Row],[Sales]]&lt;=$B$6),"Wasted Budget","Spend Justified")</f>
        <v>Spend Justified</v>
      </c>
      <c r="T558" s="51" t="str">
        <f>IF(AND(Table4[[#This Row],[Clicks]]&gt;=$B$7,Table4[[#This Row],[Sales]]&lt;=$B$6),"Poor Monetization","Normal Monitization")</f>
        <v>Normal Monitization</v>
      </c>
    </row>
    <row r="559" spans="1:20" x14ac:dyDescent="0.35">
      <c r="A559" s="41" t="s">
        <v>18</v>
      </c>
      <c r="B559" s="41" t="s">
        <v>48</v>
      </c>
      <c r="C559" s="41" t="s">
        <v>36</v>
      </c>
      <c r="D559" s="41" t="s">
        <v>59</v>
      </c>
      <c r="E559" s="41" t="s">
        <v>30</v>
      </c>
      <c r="F559" s="41">
        <v>10892.7</v>
      </c>
      <c r="G559" s="41">
        <v>18474</v>
      </c>
      <c r="H559" s="41">
        <v>34026</v>
      </c>
      <c r="I559" s="41">
        <v>148677.78</v>
      </c>
      <c r="J559" s="41">
        <v>25</v>
      </c>
      <c r="K559" s="42">
        <f t="shared" si="41"/>
        <v>1.8418317635595973</v>
      </c>
      <c r="L559" s="43">
        <f t="shared" si="42"/>
        <v>13.649304580131647</v>
      </c>
      <c r="M559" s="43">
        <f t="shared" si="43"/>
        <v>12.649304580131647</v>
      </c>
      <c r="N559" s="43">
        <f t="shared" si="44"/>
        <v>4.3695344736378061</v>
      </c>
      <c r="O559" s="1" t="str">
        <f t="shared" si="40"/>
        <v>Normal</v>
      </c>
      <c r="P559" s="51" t="str">
        <f>IF(Table4[[#This Row],[Sales]]&lt;=$B$3,"Normal","High Revenue")</f>
        <v>Normal</v>
      </c>
      <c r="Q559" s="51" t="str">
        <f>IF(Table4[[#This Row],[CTR]]&lt;=$B$4,"Normal","High CTR")</f>
        <v>High CTR</v>
      </c>
      <c r="R559" s="51" t="str">
        <f>IF(Table4[[#This Row],[ROAS]]&lt;1,"Poor",IF(Table4[[#This Row],[ROAS]]&lt;3,"Average",IF(Table4[[#This Row],[ROAS]]&lt;5,"Good",
"Excellent")))</f>
        <v>Excellent</v>
      </c>
      <c r="S559" s="51" t="str">
        <f>IF(AND(Table4[[#This Row],[USD_Spend]]&gt;=$B$5,Table4[[#This Row],[Sales]]&lt;=$B$6),"Wasted Budget","Spend Justified")</f>
        <v>Spend Justified</v>
      </c>
      <c r="T559" s="51" t="str">
        <f>IF(AND(Table4[[#This Row],[Clicks]]&gt;=$B$7,Table4[[#This Row],[Sales]]&lt;=$B$6),"Poor Monetization","Normal Monitization")</f>
        <v>Normal Monitization</v>
      </c>
    </row>
    <row r="560" spans="1:20" x14ac:dyDescent="0.35">
      <c r="A560" s="38" t="s">
        <v>104</v>
      </c>
      <c r="B560" s="38" t="s">
        <v>35</v>
      </c>
      <c r="C560" s="38" t="s">
        <v>29</v>
      </c>
      <c r="D560" s="38" t="s">
        <v>51</v>
      </c>
      <c r="E560" s="38" t="s">
        <v>38</v>
      </c>
      <c r="F560" s="38">
        <v>23152.93</v>
      </c>
      <c r="G560" s="38">
        <v>982462</v>
      </c>
      <c r="H560" s="38">
        <v>33325</v>
      </c>
      <c r="I560" s="38">
        <v>194972.51</v>
      </c>
      <c r="J560" s="38">
        <v>44</v>
      </c>
      <c r="K560" s="39">
        <f t="shared" si="41"/>
        <v>3.3919886977816956E-2</v>
      </c>
      <c r="L560" s="40">
        <f t="shared" si="42"/>
        <v>8.42107284045691</v>
      </c>
      <c r="M560" s="40">
        <f t="shared" si="43"/>
        <v>7.42107284045691</v>
      </c>
      <c r="N560" s="40">
        <f t="shared" si="44"/>
        <v>5.8506379594898723</v>
      </c>
      <c r="O560" s="1" t="str">
        <f t="shared" si="40"/>
        <v>Normal</v>
      </c>
      <c r="P560" s="51" t="str">
        <f>IF(Table4[[#This Row],[Sales]]&lt;=$B$3,"Normal","High Revenue")</f>
        <v>Normal</v>
      </c>
      <c r="Q560" s="51" t="str">
        <f>IF(Table4[[#This Row],[CTR]]&lt;=$B$4,"Normal","High CTR")</f>
        <v>Normal</v>
      </c>
      <c r="R560" s="51" t="str">
        <f>IF(Table4[[#This Row],[ROAS]]&lt;1,"Poor",IF(Table4[[#This Row],[ROAS]]&lt;3,"Average",IF(Table4[[#This Row],[ROAS]]&lt;5,"Good",
"Excellent")))</f>
        <v>Excellent</v>
      </c>
      <c r="S560" s="51" t="str">
        <f>IF(AND(Table4[[#This Row],[USD_Spend]]&gt;=$B$5,Table4[[#This Row],[Sales]]&lt;=$B$6),"Wasted Budget","Spend Justified")</f>
        <v>Spend Justified</v>
      </c>
      <c r="T560" s="51" t="str">
        <f>IF(AND(Table4[[#This Row],[Clicks]]&gt;=$B$7,Table4[[#This Row],[Sales]]&lt;=$B$6),"Poor Monetization","Normal Monitization")</f>
        <v>Normal Monitization</v>
      </c>
    </row>
    <row r="561" spans="1:20" x14ac:dyDescent="0.35">
      <c r="A561" s="41" t="s">
        <v>92</v>
      </c>
      <c r="B561" s="41" t="s">
        <v>48</v>
      </c>
      <c r="C561" s="41" t="s">
        <v>29</v>
      </c>
      <c r="D561" s="41" t="s">
        <v>59</v>
      </c>
      <c r="E561" s="41" t="s">
        <v>38</v>
      </c>
      <c r="F561" s="41">
        <v>26603.03</v>
      </c>
      <c r="G561" s="41">
        <v>410209</v>
      </c>
      <c r="H561" s="41">
        <v>34823</v>
      </c>
      <c r="I561" s="41">
        <v>78097.16</v>
      </c>
      <c r="J561" s="41">
        <v>18</v>
      </c>
      <c r="K561" s="42">
        <f t="shared" si="41"/>
        <v>8.4890872701476563E-2</v>
      </c>
      <c r="L561" s="43">
        <f t="shared" si="42"/>
        <v>2.9356490595244229</v>
      </c>
      <c r="M561" s="43">
        <f t="shared" si="43"/>
        <v>1.9356490595244229</v>
      </c>
      <c r="N561" s="43">
        <f t="shared" si="44"/>
        <v>2.2426890273669704</v>
      </c>
      <c r="O561" s="1" t="str">
        <f t="shared" si="40"/>
        <v>Normal</v>
      </c>
      <c r="P561" s="51" t="str">
        <f>IF(Table4[[#This Row],[Sales]]&lt;=$B$3,"Normal","High Revenue")</f>
        <v>Normal</v>
      </c>
      <c r="Q561" s="51" t="str">
        <f>IF(Table4[[#This Row],[CTR]]&lt;=$B$4,"Normal","High CTR")</f>
        <v>Normal</v>
      </c>
      <c r="R561" s="51" t="str">
        <f>IF(Table4[[#This Row],[ROAS]]&lt;1,"Poor",IF(Table4[[#This Row],[ROAS]]&lt;3,"Average",IF(Table4[[#This Row],[ROAS]]&lt;5,"Good",
"Excellent")))</f>
        <v>Average</v>
      </c>
      <c r="S561" s="51" t="str">
        <f>IF(AND(Table4[[#This Row],[USD_Spend]]&gt;=$B$5,Table4[[#This Row],[Sales]]&lt;=$B$6),"Wasted Budget","Spend Justified")</f>
        <v>Spend Justified</v>
      </c>
      <c r="T561" s="51" t="str">
        <f>IF(AND(Table4[[#This Row],[Clicks]]&gt;=$B$7,Table4[[#This Row],[Sales]]&lt;=$B$6),"Poor Monetization","Normal Monitization")</f>
        <v>Normal Monitization</v>
      </c>
    </row>
    <row r="562" spans="1:20" x14ac:dyDescent="0.35">
      <c r="A562" s="38" t="s">
        <v>70</v>
      </c>
      <c r="B562" s="38" t="s">
        <v>19</v>
      </c>
      <c r="C562" s="38" t="s">
        <v>69</v>
      </c>
      <c r="D562" s="38" t="s">
        <v>21</v>
      </c>
      <c r="E562" s="38" t="s">
        <v>30</v>
      </c>
      <c r="F562" s="38">
        <v>13116.6</v>
      </c>
      <c r="G562" s="38">
        <v>348756</v>
      </c>
      <c r="H562" s="38">
        <v>10494</v>
      </c>
      <c r="I562" s="38">
        <v>159145.24</v>
      </c>
      <c r="J562" s="38">
        <v>30</v>
      </c>
      <c r="K562" s="39">
        <f t="shared" si="41"/>
        <v>3.0089804906582251E-2</v>
      </c>
      <c r="L562" s="40">
        <f t="shared" si="42"/>
        <v>12.133116813808455</v>
      </c>
      <c r="M562" s="40">
        <f t="shared" si="43"/>
        <v>11.133116813808455</v>
      </c>
      <c r="N562" s="40">
        <f t="shared" si="44"/>
        <v>15.165355441204497</v>
      </c>
      <c r="O562" s="1" t="str">
        <f t="shared" si="40"/>
        <v>Normal</v>
      </c>
      <c r="P562" s="51" t="str">
        <f>IF(Table4[[#This Row],[Sales]]&lt;=$B$3,"Normal","High Revenue")</f>
        <v>Normal</v>
      </c>
      <c r="Q562" s="51" t="str">
        <f>IF(Table4[[#This Row],[CTR]]&lt;=$B$4,"Normal","High CTR")</f>
        <v>Normal</v>
      </c>
      <c r="R562" s="51" t="str">
        <f>IF(Table4[[#This Row],[ROAS]]&lt;1,"Poor",IF(Table4[[#This Row],[ROAS]]&lt;3,"Average",IF(Table4[[#This Row],[ROAS]]&lt;5,"Good",
"Excellent")))</f>
        <v>Excellent</v>
      </c>
      <c r="S562" s="51" t="str">
        <f>IF(AND(Table4[[#This Row],[USD_Spend]]&gt;=$B$5,Table4[[#This Row],[Sales]]&lt;=$B$6),"Wasted Budget","Spend Justified")</f>
        <v>Spend Justified</v>
      </c>
      <c r="T562" s="51" t="str">
        <f>IF(AND(Table4[[#This Row],[Clicks]]&gt;=$B$7,Table4[[#This Row],[Sales]]&lt;=$B$6),"Poor Monetization","Normal Monitization")</f>
        <v>Normal Monitization</v>
      </c>
    </row>
    <row r="563" spans="1:20" x14ac:dyDescent="0.35">
      <c r="A563" s="41" t="s">
        <v>86</v>
      </c>
      <c r="B563" s="41" t="s">
        <v>48</v>
      </c>
      <c r="C563" s="41" t="s">
        <v>20</v>
      </c>
      <c r="D563" s="41" t="s">
        <v>51</v>
      </c>
      <c r="E563" s="41" t="s">
        <v>38</v>
      </c>
      <c r="F563" s="41">
        <v>19166.54</v>
      </c>
      <c r="G563" s="41">
        <v>32525</v>
      </c>
      <c r="H563" s="41">
        <v>19204</v>
      </c>
      <c r="I563" s="41">
        <v>51319.86</v>
      </c>
      <c r="J563" s="41">
        <v>28</v>
      </c>
      <c r="K563" s="42">
        <f t="shared" si="41"/>
        <v>0.59043812451960032</v>
      </c>
      <c r="L563" s="43">
        <f t="shared" si="42"/>
        <v>2.6775756083257591</v>
      </c>
      <c r="M563" s="43">
        <f t="shared" si="43"/>
        <v>1.6775756083257594</v>
      </c>
      <c r="N563" s="43">
        <f t="shared" si="44"/>
        <v>2.6723526348677358</v>
      </c>
      <c r="O563" s="1" t="str">
        <f t="shared" si="40"/>
        <v>Normal</v>
      </c>
      <c r="P563" s="51" t="str">
        <f>IF(Table4[[#This Row],[Sales]]&lt;=$B$3,"Normal","High Revenue")</f>
        <v>Normal</v>
      </c>
      <c r="Q563" s="51" t="str">
        <f>IF(Table4[[#This Row],[CTR]]&lt;=$B$4,"Normal","High CTR")</f>
        <v>High CTR</v>
      </c>
      <c r="R563" s="51" t="str">
        <f>IF(Table4[[#This Row],[ROAS]]&lt;1,"Poor",IF(Table4[[#This Row],[ROAS]]&lt;3,"Average",IF(Table4[[#This Row],[ROAS]]&lt;5,"Good",
"Excellent")))</f>
        <v>Average</v>
      </c>
      <c r="S563" s="51" t="str">
        <f>IF(AND(Table4[[#This Row],[USD_Spend]]&gt;=$B$5,Table4[[#This Row],[Sales]]&lt;=$B$6),"Wasted Budget","Spend Justified")</f>
        <v>Wasted Budget</v>
      </c>
      <c r="T563" s="51" t="str">
        <f>IF(AND(Table4[[#This Row],[Clicks]]&gt;=$B$7,Table4[[#This Row],[Sales]]&lt;=$B$6),"Poor Monetization","Normal Monitization")</f>
        <v>Normal Monitization</v>
      </c>
    </row>
    <row r="564" spans="1:20" x14ac:dyDescent="0.35">
      <c r="A564" s="38" t="s">
        <v>107</v>
      </c>
      <c r="B564" s="38" t="s">
        <v>48</v>
      </c>
      <c r="C564" s="38" t="s">
        <v>58</v>
      </c>
      <c r="D564" s="38" t="s">
        <v>51</v>
      </c>
      <c r="E564" s="38" t="s">
        <v>38</v>
      </c>
      <c r="F564" s="38">
        <v>14680.86</v>
      </c>
      <c r="G564" s="38">
        <v>803237</v>
      </c>
      <c r="H564" s="38">
        <v>27791</v>
      </c>
      <c r="I564" s="38">
        <v>203693.62</v>
      </c>
      <c r="J564" s="38">
        <v>23</v>
      </c>
      <c r="K564" s="39">
        <f t="shared" si="41"/>
        <v>3.4598754788437283E-2</v>
      </c>
      <c r="L564" s="40">
        <f t="shared" si="42"/>
        <v>13.87477436607937</v>
      </c>
      <c r="M564" s="40">
        <f t="shared" si="43"/>
        <v>12.874774366079372</v>
      </c>
      <c r="N564" s="40">
        <f t="shared" si="44"/>
        <v>7.3294814868122771</v>
      </c>
      <c r="O564" s="1" t="str">
        <f t="shared" si="40"/>
        <v>Normal</v>
      </c>
      <c r="P564" s="51" t="str">
        <f>IF(Table4[[#This Row],[Sales]]&lt;=$B$3,"Normal","High Revenue")</f>
        <v>Normal</v>
      </c>
      <c r="Q564" s="51" t="str">
        <f>IF(Table4[[#This Row],[CTR]]&lt;=$B$4,"Normal","High CTR")</f>
        <v>Normal</v>
      </c>
      <c r="R564" s="51" t="str">
        <f>IF(Table4[[#This Row],[ROAS]]&lt;1,"Poor",IF(Table4[[#This Row],[ROAS]]&lt;3,"Average",IF(Table4[[#This Row],[ROAS]]&lt;5,"Good",
"Excellent")))</f>
        <v>Excellent</v>
      </c>
      <c r="S564" s="51" t="str">
        <f>IF(AND(Table4[[#This Row],[USD_Spend]]&gt;=$B$5,Table4[[#This Row],[Sales]]&lt;=$B$6),"Wasted Budget","Spend Justified")</f>
        <v>Spend Justified</v>
      </c>
      <c r="T564" s="51" t="str">
        <f>IF(AND(Table4[[#This Row],[Clicks]]&gt;=$B$7,Table4[[#This Row],[Sales]]&lt;=$B$6),"Poor Monetization","Normal Monitization")</f>
        <v>Normal Monitization</v>
      </c>
    </row>
    <row r="565" spans="1:20" x14ac:dyDescent="0.35">
      <c r="A565" s="41" t="s">
        <v>78</v>
      </c>
      <c r="B565" s="41" t="s">
        <v>19</v>
      </c>
      <c r="C565" s="41" t="s">
        <v>29</v>
      </c>
      <c r="D565" s="41" t="s">
        <v>59</v>
      </c>
      <c r="E565" s="41" t="s">
        <v>30</v>
      </c>
      <c r="F565" s="41">
        <v>2374.66</v>
      </c>
      <c r="G565" s="41">
        <v>179054</v>
      </c>
      <c r="H565" s="41">
        <v>10031</v>
      </c>
      <c r="I565" s="41">
        <v>172181.63</v>
      </c>
      <c r="J565" s="41">
        <v>43</v>
      </c>
      <c r="K565" s="42">
        <f t="shared" si="41"/>
        <v>5.6022205591609232E-2</v>
      </c>
      <c r="L565" s="43">
        <f t="shared" si="42"/>
        <v>72.507908500585359</v>
      </c>
      <c r="M565" s="43">
        <f t="shared" si="43"/>
        <v>71.507908500585359</v>
      </c>
      <c r="N565" s="43">
        <f t="shared" si="44"/>
        <v>17.164951649885356</v>
      </c>
      <c r="O565" s="1" t="str">
        <f t="shared" si="40"/>
        <v>Normal</v>
      </c>
      <c r="P565" s="51" t="str">
        <f>IF(Table4[[#This Row],[Sales]]&lt;=$B$3,"Normal","High Revenue")</f>
        <v>Normal</v>
      </c>
      <c r="Q565" s="51" t="str">
        <f>IF(Table4[[#This Row],[CTR]]&lt;=$B$4,"Normal","High CTR")</f>
        <v>Normal</v>
      </c>
      <c r="R565" s="51" t="str">
        <f>IF(Table4[[#This Row],[ROAS]]&lt;1,"Poor",IF(Table4[[#This Row],[ROAS]]&lt;3,"Average",IF(Table4[[#This Row],[ROAS]]&lt;5,"Good",
"Excellent")))</f>
        <v>Excellent</v>
      </c>
      <c r="S565" s="51" t="str">
        <f>IF(AND(Table4[[#This Row],[USD_Spend]]&gt;=$B$5,Table4[[#This Row],[Sales]]&lt;=$B$6),"Wasted Budget","Spend Justified")</f>
        <v>Spend Justified</v>
      </c>
      <c r="T565" s="51" t="str">
        <f>IF(AND(Table4[[#This Row],[Clicks]]&gt;=$B$7,Table4[[#This Row],[Sales]]&lt;=$B$6),"Poor Monetization","Normal Monitization")</f>
        <v>Normal Monitization</v>
      </c>
    </row>
    <row r="566" spans="1:20" x14ac:dyDescent="0.35">
      <c r="A566" s="38" t="s">
        <v>82</v>
      </c>
      <c r="B566" s="38" t="s">
        <v>48</v>
      </c>
      <c r="C566" s="38" t="s">
        <v>69</v>
      </c>
      <c r="D566" s="38" t="s">
        <v>43</v>
      </c>
      <c r="E566" s="38" t="s">
        <v>38</v>
      </c>
      <c r="F566" s="38">
        <v>20311.48</v>
      </c>
      <c r="G566" s="38">
        <v>750880</v>
      </c>
      <c r="H566" s="38">
        <v>44430</v>
      </c>
      <c r="I566" s="38">
        <v>11922.74</v>
      </c>
      <c r="J566" s="38">
        <v>8</v>
      </c>
      <c r="K566" s="39">
        <f t="shared" si="41"/>
        <v>5.9170573194118899E-2</v>
      </c>
      <c r="L566" s="40">
        <f t="shared" si="42"/>
        <v>0.58699513772506973</v>
      </c>
      <c r="M566" s="40">
        <f t="shared" si="43"/>
        <v>-0.41300486227493022</v>
      </c>
      <c r="N566" s="40">
        <f t="shared" si="44"/>
        <v>0.26834886338059871</v>
      </c>
      <c r="O566" s="1" t="str">
        <f t="shared" si="40"/>
        <v>Normal</v>
      </c>
      <c r="P566" s="51" t="str">
        <f>IF(Table4[[#This Row],[Sales]]&lt;=$B$3,"Normal","High Revenue")</f>
        <v>Normal</v>
      </c>
      <c r="Q566" s="51" t="str">
        <f>IF(Table4[[#This Row],[CTR]]&lt;=$B$4,"Normal","High CTR")</f>
        <v>Normal</v>
      </c>
      <c r="R566" s="51" t="str">
        <f>IF(Table4[[#This Row],[ROAS]]&lt;1,"Poor",IF(Table4[[#This Row],[ROAS]]&lt;3,"Average",IF(Table4[[#This Row],[ROAS]]&lt;5,"Good",
"Excellent")))</f>
        <v>Poor</v>
      </c>
      <c r="S566" s="51" t="str">
        <f>IF(AND(Table4[[#This Row],[USD_Spend]]&gt;=$B$5,Table4[[#This Row],[Sales]]&lt;=$B$6),"Wasted Budget","Spend Justified")</f>
        <v>Wasted Budget</v>
      </c>
      <c r="T566" s="51" t="str">
        <f>IF(AND(Table4[[#This Row],[Clicks]]&gt;=$B$7,Table4[[#This Row],[Sales]]&lt;=$B$6),"Poor Monetization","Normal Monitization")</f>
        <v>Poor Monetization</v>
      </c>
    </row>
    <row r="567" spans="1:20" x14ac:dyDescent="0.35">
      <c r="A567" s="41" t="s">
        <v>98</v>
      </c>
      <c r="B567" s="41" t="s">
        <v>28</v>
      </c>
      <c r="C567" s="41" t="s">
        <v>58</v>
      </c>
      <c r="D567" s="41" t="s">
        <v>37</v>
      </c>
      <c r="E567" s="41" t="s">
        <v>30</v>
      </c>
      <c r="F567" s="41">
        <v>20506.259999999998</v>
      </c>
      <c r="G567" s="41">
        <v>274742</v>
      </c>
      <c r="H567" s="41">
        <v>31408</v>
      </c>
      <c r="I567" s="41">
        <v>32951.35</v>
      </c>
      <c r="J567" s="41">
        <v>34</v>
      </c>
      <c r="K567" s="42">
        <f t="shared" si="41"/>
        <v>0.1143181603104003</v>
      </c>
      <c r="L567" s="43">
        <f t="shared" si="42"/>
        <v>1.6068922368096377</v>
      </c>
      <c r="M567" s="43">
        <f t="shared" si="43"/>
        <v>0.60689223680963766</v>
      </c>
      <c r="N567" s="43">
        <f t="shared" si="44"/>
        <v>1.0491387544574631</v>
      </c>
      <c r="O567" s="1" t="str">
        <f t="shared" si="40"/>
        <v>Normal</v>
      </c>
      <c r="P567" s="51" t="str">
        <f>IF(Table4[[#This Row],[Sales]]&lt;=$B$3,"Normal","High Revenue")</f>
        <v>Normal</v>
      </c>
      <c r="Q567" s="51" t="str">
        <f>IF(Table4[[#This Row],[CTR]]&lt;=$B$4,"Normal","High CTR")</f>
        <v>Normal</v>
      </c>
      <c r="R567" s="51" t="str">
        <f>IF(Table4[[#This Row],[ROAS]]&lt;1,"Poor",IF(Table4[[#This Row],[ROAS]]&lt;3,"Average",IF(Table4[[#This Row],[ROAS]]&lt;5,"Good",
"Excellent")))</f>
        <v>Average</v>
      </c>
      <c r="S567" s="51" t="str">
        <f>IF(AND(Table4[[#This Row],[USD_Spend]]&gt;=$B$5,Table4[[#This Row],[Sales]]&lt;=$B$6),"Wasted Budget","Spend Justified")</f>
        <v>Wasted Budget</v>
      </c>
      <c r="T567" s="51" t="str">
        <f>IF(AND(Table4[[#This Row],[Clicks]]&gt;=$B$7,Table4[[#This Row],[Sales]]&lt;=$B$6),"Poor Monetization","Normal Monitization")</f>
        <v>Normal Monitization</v>
      </c>
    </row>
    <row r="568" spans="1:20" x14ac:dyDescent="0.35">
      <c r="A568" s="38" t="s">
        <v>114</v>
      </c>
      <c r="B568" s="38" t="s">
        <v>19</v>
      </c>
      <c r="C568" s="38" t="s">
        <v>58</v>
      </c>
      <c r="D568" s="38" t="s">
        <v>59</v>
      </c>
      <c r="E568" s="38" t="s">
        <v>30</v>
      </c>
      <c r="F568" s="38">
        <v>17712.03</v>
      </c>
      <c r="G568" s="38">
        <v>963149</v>
      </c>
      <c r="H568" s="38">
        <v>1104</v>
      </c>
      <c r="I568" s="38">
        <v>56892.9</v>
      </c>
      <c r="J568" s="38">
        <v>19</v>
      </c>
      <c r="K568" s="39">
        <f t="shared" si="41"/>
        <v>1.1462400936926686E-3</v>
      </c>
      <c r="L568" s="40">
        <f t="shared" si="42"/>
        <v>3.2121049930470988</v>
      </c>
      <c r="M568" s="40">
        <f t="shared" si="43"/>
        <v>2.2121049930470988</v>
      </c>
      <c r="N568" s="40">
        <f t="shared" si="44"/>
        <v>51.533423913043478</v>
      </c>
      <c r="O568" s="1" t="str">
        <f t="shared" si="40"/>
        <v>Normal</v>
      </c>
      <c r="P568" s="51" t="str">
        <f>IF(Table4[[#This Row],[Sales]]&lt;=$B$3,"Normal","High Revenue")</f>
        <v>Normal</v>
      </c>
      <c r="Q568" s="51" t="str">
        <f>IF(Table4[[#This Row],[CTR]]&lt;=$B$4,"Normal","High CTR")</f>
        <v>Normal</v>
      </c>
      <c r="R568" s="51" t="str">
        <f>IF(Table4[[#This Row],[ROAS]]&lt;1,"Poor",IF(Table4[[#This Row],[ROAS]]&lt;3,"Average",IF(Table4[[#This Row],[ROAS]]&lt;5,"Good",
"Excellent")))</f>
        <v>Good</v>
      </c>
      <c r="S568" s="51" t="str">
        <f>IF(AND(Table4[[#This Row],[USD_Spend]]&gt;=$B$5,Table4[[#This Row],[Sales]]&lt;=$B$6),"Wasted Budget","Spend Justified")</f>
        <v>Wasted Budget</v>
      </c>
      <c r="T568" s="51" t="str">
        <f>IF(AND(Table4[[#This Row],[Clicks]]&gt;=$B$7,Table4[[#This Row],[Sales]]&lt;=$B$6),"Poor Monetization","Normal Monitization")</f>
        <v>Normal Monitization</v>
      </c>
    </row>
    <row r="569" spans="1:20" x14ac:dyDescent="0.35">
      <c r="A569" s="41" t="s">
        <v>87</v>
      </c>
      <c r="B569" s="41" t="s">
        <v>48</v>
      </c>
      <c r="C569" s="41" t="s">
        <v>29</v>
      </c>
      <c r="D569" s="41" t="s">
        <v>37</v>
      </c>
      <c r="E569" s="41" t="s">
        <v>38</v>
      </c>
      <c r="F569" s="41">
        <v>5143.8</v>
      </c>
      <c r="G569" s="41">
        <v>609083</v>
      </c>
      <c r="H569" s="41">
        <v>12951</v>
      </c>
      <c r="I569" s="41">
        <v>142486.06</v>
      </c>
      <c r="J569" s="41">
        <v>41</v>
      </c>
      <c r="K569" s="42">
        <f t="shared" si="41"/>
        <v>2.1263111923990656E-2</v>
      </c>
      <c r="L569" s="43">
        <f t="shared" si="42"/>
        <v>27.700544344647923</v>
      </c>
      <c r="M569" s="43">
        <f t="shared" si="43"/>
        <v>26.700544344647927</v>
      </c>
      <c r="N569" s="43">
        <f t="shared" si="44"/>
        <v>11.001934985715389</v>
      </c>
      <c r="O569" s="1" t="str">
        <f t="shared" si="40"/>
        <v>Normal</v>
      </c>
      <c r="P569" s="51" t="str">
        <f>IF(Table4[[#This Row],[Sales]]&lt;=$B$3,"Normal","High Revenue")</f>
        <v>Normal</v>
      </c>
      <c r="Q569" s="51" t="str">
        <f>IF(Table4[[#This Row],[CTR]]&lt;=$B$4,"Normal","High CTR")</f>
        <v>Normal</v>
      </c>
      <c r="R569" s="51" t="str">
        <f>IF(Table4[[#This Row],[ROAS]]&lt;1,"Poor",IF(Table4[[#This Row],[ROAS]]&lt;3,"Average",IF(Table4[[#This Row],[ROAS]]&lt;5,"Good",
"Excellent")))</f>
        <v>Excellent</v>
      </c>
      <c r="S569" s="51" t="str">
        <f>IF(AND(Table4[[#This Row],[USD_Spend]]&gt;=$B$5,Table4[[#This Row],[Sales]]&lt;=$B$6),"Wasted Budget","Spend Justified")</f>
        <v>Spend Justified</v>
      </c>
      <c r="T569" s="51" t="str">
        <f>IF(AND(Table4[[#This Row],[Clicks]]&gt;=$B$7,Table4[[#This Row],[Sales]]&lt;=$B$6),"Poor Monetization","Normal Monitization")</f>
        <v>Normal Monitization</v>
      </c>
    </row>
    <row r="570" spans="1:20" x14ac:dyDescent="0.35">
      <c r="A570" s="38" t="s">
        <v>57</v>
      </c>
      <c r="B570" s="38" t="s">
        <v>28</v>
      </c>
      <c r="C570" s="38" t="s">
        <v>69</v>
      </c>
      <c r="D570" s="38" t="s">
        <v>43</v>
      </c>
      <c r="E570" s="38" t="s">
        <v>30</v>
      </c>
      <c r="F570" s="38">
        <v>29309.040000000001</v>
      </c>
      <c r="G570" s="38">
        <v>266496</v>
      </c>
      <c r="H570" s="38">
        <v>25161</v>
      </c>
      <c r="I570" s="38">
        <v>9217.07</v>
      </c>
      <c r="J570" s="38">
        <v>24</v>
      </c>
      <c r="K570" s="39">
        <f t="shared" si="41"/>
        <v>9.4414175072046108E-2</v>
      </c>
      <c r="L570" s="40">
        <f t="shared" si="42"/>
        <v>0.31447874103007123</v>
      </c>
      <c r="M570" s="40">
        <f t="shared" si="43"/>
        <v>-0.68552125896992877</v>
      </c>
      <c r="N570" s="40">
        <f t="shared" si="44"/>
        <v>0.36632367552958944</v>
      </c>
      <c r="O570" s="1" t="str">
        <f t="shared" si="40"/>
        <v>Normal</v>
      </c>
      <c r="P570" s="51" t="str">
        <f>IF(Table4[[#This Row],[Sales]]&lt;=$B$3,"Normal","High Revenue")</f>
        <v>Normal</v>
      </c>
      <c r="Q570" s="51" t="str">
        <f>IF(Table4[[#This Row],[CTR]]&lt;=$B$4,"Normal","High CTR")</f>
        <v>Normal</v>
      </c>
      <c r="R570" s="51" t="str">
        <f>IF(Table4[[#This Row],[ROAS]]&lt;1,"Poor",IF(Table4[[#This Row],[ROAS]]&lt;3,"Average",IF(Table4[[#This Row],[ROAS]]&lt;5,"Good",
"Excellent")))</f>
        <v>Poor</v>
      </c>
      <c r="S570" s="51" t="str">
        <f>IF(AND(Table4[[#This Row],[USD_Spend]]&gt;=$B$5,Table4[[#This Row],[Sales]]&lt;=$B$6),"Wasted Budget","Spend Justified")</f>
        <v>Wasted Budget</v>
      </c>
      <c r="T570" s="51" t="str">
        <f>IF(AND(Table4[[#This Row],[Clicks]]&gt;=$B$7,Table4[[#This Row],[Sales]]&lt;=$B$6),"Poor Monetization","Normal Monitization")</f>
        <v>Normal Monitization</v>
      </c>
    </row>
    <row r="571" spans="1:20" x14ac:dyDescent="0.35">
      <c r="A571" s="41" t="s">
        <v>110</v>
      </c>
      <c r="B571" s="41" t="s">
        <v>35</v>
      </c>
      <c r="C571" s="41" t="s">
        <v>69</v>
      </c>
      <c r="D571" s="41" t="s">
        <v>51</v>
      </c>
      <c r="E571" s="41" t="s">
        <v>38</v>
      </c>
      <c r="F571" s="41">
        <v>8093.21</v>
      </c>
      <c r="G571" s="41">
        <v>740897</v>
      </c>
      <c r="H571" s="41">
        <v>32218</v>
      </c>
      <c r="I571" s="41">
        <v>51495.08</v>
      </c>
      <c r="J571" s="41">
        <v>51</v>
      </c>
      <c r="K571" s="42">
        <f t="shared" si="41"/>
        <v>4.34851268124989E-2</v>
      </c>
      <c r="L571" s="43">
        <f t="shared" si="42"/>
        <v>6.362750997441065</v>
      </c>
      <c r="M571" s="43">
        <f t="shared" si="43"/>
        <v>5.362750997441065</v>
      </c>
      <c r="N571" s="43">
        <f t="shared" si="44"/>
        <v>1.5983326091005028</v>
      </c>
      <c r="O571" s="1" t="str">
        <f t="shared" si="40"/>
        <v>Normal</v>
      </c>
      <c r="P571" s="51" t="str">
        <f>IF(Table4[[#This Row],[Sales]]&lt;=$B$3,"Normal","High Revenue")</f>
        <v>Normal</v>
      </c>
      <c r="Q571" s="51" t="str">
        <f>IF(Table4[[#This Row],[CTR]]&lt;=$B$4,"Normal","High CTR")</f>
        <v>Normal</v>
      </c>
      <c r="R571" s="51" t="str">
        <f>IF(Table4[[#This Row],[ROAS]]&lt;1,"Poor",IF(Table4[[#This Row],[ROAS]]&lt;3,"Average",IF(Table4[[#This Row],[ROAS]]&lt;5,"Good",
"Excellent")))</f>
        <v>Excellent</v>
      </c>
      <c r="S571" s="51" t="str">
        <f>IF(AND(Table4[[#This Row],[USD_Spend]]&gt;=$B$5,Table4[[#This Row],[Sales]]&lt;=$B$6),"Wasted Budget","Spend Justified")</f>
        <v>Wasted Budget</v>
      </c>
      <c r="T571" s="51" t="str">
        <f>IF(AND(Table4[[#This Row],[Clicks]]&gt;=$B$7,Table4[[#This Row],[Sales]]&lt;=$B$6),"Poor Monetization","Normal Monitization")</f>
        <v>Normal Monitization</v>
      </c>
    </row>
    <row r="572" spans="1:20" x14ac:dyDescent="0.35">
      <c r="A572" s="38" t="s">
        <v>57</v>
      </c>
      <c r="B572" s="38" t="s">
        <v>48</v>
      </c>
      <c r="C572" s="38" t="s">
        <v>29</v>
      </c>
      <c r="D572" s="38" t="s">
        <v>37</v>
      </c>
      <c r="E572" s="38" t="s">
        <v>22</v>
      </c>
      <c r="F572" s="38">
        <v>13549.58</v>
      </c>
      <c r="G572" s="38">
        <v>123284</v>
      </c>
      <c r="H572" s="38">
        <v>8107</v>
      </c>
      <c r="I572" s="38">
        <v>66419.02</v>
      </c>
      <c r="J572" s="38">
        <v>38</v>
      </c>
      <c r="K572" s="39">
        <f t="shared" si="41"/>
        <v>6.5758735926803147E-2</v>
      </c>
      <c r="L572" s="40">
        <f t="shared" si="42"/>
        <v>4.9019246353023496</v>
      </c>
      <c r="M572" s="40">
        <f t="shared" si="43"/>
        <v>3.9019246353023491</v>
      </c>
      <c r="N572" s="40">
        <f t="shared" si="44"/>
        <v>8.1927988158381648</v>
      </c>
      <c r="O572" s="1" t="str">
        <f t="shared" si="40"/>
        <v>Normal</v>
      </c>
      <c r="P572" s="51" t="str">
        <f>IF(Table4[[#This Row],[Sales]]&lt;=$B$3,"Normal","High Revenue")</f>
        <v>Normal</v>
      </c>
      <c r="Q572" s="51" t="str">
        <f>IF(Table4[[#This Row],[CTR]]&lt;=$B$4,"Normal","High CTR")</f>
        <v>Normal</v>
      </c>
      <c r="R572" s="51" t="str">
        <f>IF(Table4[[#This Row],[ROAS]]&lt;1,"Poor",IF(Table4[[#This Row],[ROAS]]&lt;3,"Average",IF(Table4[[#This Row],[ROAS]]&lt;5,"Good",
"Excellent")))</f>
        <v>Good</v>
      </c>
      <c r="S572" s="51" t="str">
        <f>IF(AND(Table4[[#This Row],[USD_Spend]]&gt;=$B$5,Table4[[#This Row],[Sales]]&lt;=$B$6),"Wasted Budget","Spend Justified")</f>
        <v>Wasted Budget</v>
      </c>
      <c r="T572" s="51" t="str">
        <f>IF(AND(Table4[[#This Row],[Clicks]]&gt;=$B$7,Table4[[#This Row],[Sales]]&lt;=$B$6),"Poor Monetization","Normal Monitization")</f>
        <v>Normal Monitization</v>
      </c>
    </row>
    <row r="573" spans="1:20" x14ac:dyDescent="0.35">
      <c r="A573" s="41" t="s">
        <v>50</v>
      </c>
      <c r="B573" s="41" t="s">
        <v>48</v>
      </c>
      <c r="C573" s="41" t="s">
        <v>58</v>
      </c>
      <c r="D573" s="41" t="s">
        <v>21</v>
      </c>
      <c r="E573" s="41" t="s">
        <v>38</v>
      </c>
      <c r="F573" s="41">
        <v>41607.29</v>
      </c>
      <c r="G573" s="41">
        <v>369502</v>
      </c>
      <c r="H573" s="41">
        <v>5631</v>
      </c>
      <c r="I573" s="41">
        <v>241999.68</v>
      </c>
      <c r="J573" s="41">
        <v>17</v>
      </c>
      <c r="K573" s="42">
        <f t="shared" si="41"/>
        <v>1.5239430368441848E-2</v>
      </c>
      <c r="L573" s="43">
        <f t="shared" si="42"/>
        <v>5.8162807527238609</v>
      </c>
      <c r="M573" s="43">
        <f t="shared" si="43"/>
        <v>4.8162807527238609</v>
      </c>
      <c r="N573" s="43">
        <f t="shared" si="44"/>
        <v>42.976323921150772</v>
      </c>
      <c r="O573" s="1" t="str">
        <f t="shared" si="40"/>
        <v>Normal</v>
      </c>
      <c r="P573" s="51" t="str">
        <f>IF(Table4[[#This Row],[Sales]]&lt;=$B$3,"Normal","High Revenue")</f>
        <v>High Revenue</v>
      </c>
      <c r="Q573" s="51" t="str">
        <f>IF(Table4[[#This Row],[CTR]]&lt;=$B$4,"Normal","High CTR")</f>
        <v>Normal</v>
      </c>
      <c r="R573" s="51" t="str">
        <f>IF(Table4[[#This Row],[ROAS]]&lt;1,"Poor",IF(Table4[[#This Row],[ROAS]]&lt;3,"Average",IF(Table4[[#This Row],[ROAS]]&lt;5,"Good",
"Excellent")))</f>
        <v>Excellent</v>
      </c>
      <c r="S573" s="51" t="str">
        <f>IF(AND(Table4[[#This Row],[USD_Spend]]&gt;=$B$5,Table4[[#This Row],[Sales]]&lt;=$B$6),"Wasted Budget","Spend Justified")</f>
        <v>Spend Justified</v>
      </c>
      <c r="T573" s="51" t="str">
        <f>IF(AND(Table4[[#This Row],[Clicks]]&gt;=$B$7,Table4[[#This Row],[Sales]]&lt;=$B$6),"Poor Monetization","Normal Monitization")</f>
        <v>Normal Monitization</v>
      </c>
    </row>
    <row r="574" spans="1:20" x14ac:dyDescent="0.35">
      <c r="A574" s="38" t="s">
        <v>85</v>
      </c>
      <c r="B574" s="38" t="s">
        <v>48</v>
      </c>
      <c r="C574" s="38" t="s">
        <v>36</v>
      </c>
      <c r="D574" s="38" t="s">
        <v>63</v>
      </c>
      <c r="E574" s="38" t="s">
        <v>38</v>
      </c>
      <c r="F574" s="38">
        <v>25391.47</v>
      </c>
      <c r="G574" s="38">
        <v>959648</v>
      </c>
      <c r="H574" s="38">
        <v>2525</v>
      </c>
      <c r="I574" s="38">
        <v>54487.67</v>
      </c>
      <c r="J574" s="38">
        <v>41</v>
      </c>
      <c r="K574" s="39">
        <f t="shared" si="41"/>
        <v>2.6311730968021606E-3</v>
      </c>
      <c r="L574" s="40">
        <f t="shared" si="42"/>
        <v>2.145904510451738</v>
      </c>
      <c r="M574" s="40">
        <f t="shared" si="43"/>
        <v>1.1459045104517382</v>
      </c>
      <c r="N574" s="40">
        <f t="shared" si="44"/>
        <v>21.579275247524752</v>
      </c>
      <c r="O574" s="1" t="str">
        <f t="shared" si="40"/>
        <v>Normal</v>
      </c>
      <c r="P574" s="51" t="str">
        <f>IF(Table4[[#This Row],[Sales]]&lt;=$B$3,"Normal","High Revenue")</f>
        <v>Normal</v>
      </c>
      <c r="Q574" s="51" t="str">
        <f>IF(Table4[[#This Row],[CTR]]&lt;=$B$4,"Normal","High CTR")</f>
        <v>Normal</v>
      </c>
      <c r="R574" s="51" t="str">
        <f>IF(Table4[[#This Row],[ROAS]]&lt;1,"Poor",IF(Table4[[#This Row],[ROAS]]&lt;3,"Average",IF(Table4[[#This Row],[ROAS]]&lt;5,"Good",
"Excellent")))</f>
        <v>Average</v>
      </c>
      <c r="S574" s="51" t="str">
        <f>IF(AND(Table4[[#This Row],[USD_Spend]]&gt;=$B$5,Table4[[#This Row],[Sales]]&lt;=$B$6),"Wasted Budget","Spend Justified")</f>
        <v>Wasted Budget</v>
      </c>
      <c r="T574" s="51" t="str">
        <f>IF(AND(Table4[[#This Row],[Clicks]]&gt;=$B$7,Table4[[#This Row],[Sales]]&lt;=$B$6),"Poor Monetization","Normal Monitization")</f>
        <v>Normal Monitization</v>
      </c>
    </row>
    <row r="575" spans="1:20" x14ac:dyDescent="0.35">
      <c r="A575" s="41" t="s">
        <v>102</v>
      </c>
      <c r="B575" s="41" t="s">
        <v>35</v>
      </c>
      <c r="C575" s="41" t="s">
        <v>29</v>
      </c>
      <c r="D575" s="41" t="s">
        <v>63</v>
      </c>
      <c r="E575" s="41" t="s">
        <v>30</v>
      </c>
      <c r="F575" s="41">
        <v>27774.26</v>
      </c>
      <c r="G575" s="41">
        <v>362898</v>
      </c>
      <c r="H575" s="41">
        <v>24399</v>
      </c>
      <c r="I575" s="41">
        <v>172055.7</v>
      </c>
      <c r="J575" s="41">
        <v>36</v>
      </c>
      <c r="K575" s="42">
        <f t="shared" si="41"/>
        <v>6.7233768166261601E-2</v>
      </c>
      <c r="L575" s="43">
        <f t="shared" si="42"/>
        <v>6.1947897081686429</v>
      </c>
      <c r="M575" s="43">
        <f t="shared" si="43"/>
        <v>5.1947897081686429</v>
      </c>
      <c r="N575" s="43">
        <f t="shared" si="44"/>
        <v>7.0517521209885654</v>
      </c>
      <c r="O575" s="1" t="str">
        <f t="shared" si="40"/>
        <v>Normal</v>
      </c>
      <c r="P575" s="51" t="str">
        <f>IF(Table4[[#This Row],[Sales]]&lt;=$B$3,"Normal","High Revenue")</f>
        <v>Normal</v>
      </c>
      <c r="Q575" s="51" t="str">
        <f>IF(Table4[[#This Row],[CTR]]&lt;=$B$4,"Normal","High CTR")</f>
        <v>Normal</v>
      </c>
      <c r="R575" s="51" t="str">
        <f>IF(Table4[[#This Row],[ROAS]]&lt;1,"Poor",IF(Table4[[#This Row],[ROAS]]&lt;3,"Average",IF(Table4[[#This Row],[ROAS]]&lt;5,"Good",
"Excellent")))</f>
        <v>Excellent</v>
      </c>
      <c r="S575" s="51" t="str">
        <f>IF(AND(Table4[[#This Row],[USD_Spend]]&gt;=$B$5,Table4[[#This Row],[Sales]]&lt;=$B$6),"Wasted Budget","Spend Justified")</f>
        <v>Spend Justified</v>
      </c>
      <c r="T575" s="51" t="str">
        <f>IF(AND(Table4[[#This Row],[Clicks]]&gt;=$B$7,Table4[[#This Row],[Sales]]&lt;=$B$6),"Poor Monetization","Normal Monitization")</f>
        <v>Normal Monitization</v>
      </c>
    </row>
    <row r="576" spans="1:20" x14ac:dyDescent="0.35">
      <c r="A576" s="38" t="s">
        <v>100</v>
      </c>
      <c r="B576" s="38" t="s">
        <v>19</v>
      </c>
      <c r="C576" s="38" t="s">
        <v>36</v>
      </c>
      <c r="D576" s="38" t="s">
        <v>21</v>
      </c>
      <c r="E576" s="38" t="s">
        <v>38</v>
      </c>
      <c r="F576" s="38">
        <v>1502.75</v>
      </c>
      <c r="G576" s="38">
        <v>485904</v>
      </c>
      <c r="H576" s="38">
        <v>2783</v>
      </c>
      <c r="I576" s="38">
        <v>58244.7</v>
      </c>
      <c r="J576" s="38">
        <v>24</v>
      </c>
      <c r="K576" s="39">
        <f t="shared" si="41"/>
        <v>5.727468800421482E-3</v>
      </c>
      <c r="L576" s="40">
        <f t="shared" si="42"/>
        <v>38.758742305772749</v>
      </c>
      <c r="M576" s="40">
        <f t="shared" si="43"/>
        <v>37.758742305772749</v>
      </c>
      <c r="N576" s="40">
        <f t="shared" si="44"/>
        <v>20.928745957599713</v>
      </c>
      <c r="O576" s="1" t="str">
        <f t="shared" si="40"/>
        <v>Normal</v>
      </c>
      <c r="P576" s="51" t="str">
        <f>IF(Table4[[#This Row],[Sales]]&lt;=$B$3,"Normal","High Revenue")</f>
        <v>Normal</v>
      </c>
      <c r="Q576" s="51" t="str">
        <f>IF(Table4[[#This Row],[CTR]]&lt;=$B$4,"Normal","High CTR")</f>
        <v>Normal</v>
      </c>
      <c r="R576" s="51" t="str">
        <f>IF(Table4[[#This Row],[ROAS]]&lt;1,"Poor",IF(Table4[[#This Row],[ROAS]]&lt;3,"Average",IF(Table4[[#This Row],[ROAS]]&lt;5,"Good",
"Excellent")))</f>
        <v>Excellent</v>
      </c>
      <c r="S576" s="51" t="str">
        <f>IF(AND(Table4[[#This Row],[USD_Spend]]&gt;=$B$5,Table4[[#This Row],[Sales]]&lt;=$B$6),"Wasted Budget","Spend Justified")</f>
        <v>Spend Justified</v>
      </c>
      <c r="T576" s="51" t="str">
        <f>IF(AND(Table4[[#This Row],[Clicks]]&gt;=$B$7,Table4[[#This Row],[Sales]]&lt;=$B$6),"Poor Monetization","Normal Monitization")</f>
        <v>Normal Monitization</v>
      </c>
    </row>
    <row r="577" spans="1:20" x14ac:dyDescent="0.35">
      <c r="A577" s="41" t="s">
        <v>92</v>
      </c>
      <c r="B577" s="41" t="s">
        <v>48</v>
      </c>
      <c r="C577" s="41" t="s">
        <v>29</v>
      </c>
      <c r="D577" s="41" t="s">
        <v>63</v>
      </c>
      <c r="E577" s="41" t="s">
        <v>38</v>
      </c>
      <c r="F577" s="41">
        <v>3618.68</v>
      </c>
      <c r="G577" s="41">
        <v>604639</v>
      </c>
      <c r="H577" s="41">
        <v>14031</v>
      </c>
      <c r="I577" s="41">
        <v>50481.32</v>
      </c>
      <c r="J577" s="41">
        <v>17</v>
      </c>
      <c r="K577" s="42">
        <f t="shared" si="41"/>
        <v>2.3205582173826036E-2</v>
      </c>
      <c r="L577" s="43">
        <f t="shared" si="42"/>
        <v>13.950202836393382</v>
      </c>
      <c r="M577" s="43">
        <f t="shared" si="43"/>
        <v>12.950202836393382</v>
      </c>
      <c r="N577" s="43">
        <f t="shared" si="44"/>
        <v>3.5978419214596249</v>
      </c>
      <c r="O577" s="1" t="str">
        <f t="shared" si="40"/>
        <v>Normal</v>
      </c>
      <c r="P577" s="51" t="str">
        <f>IF(Table4[[#This Row],[Sales]]&lt;=$B$3,"Normal","High Revenue")</f>
        <v>Normal</v>
      </c>
      <c r="Q577" s="51" t="str">
        <f>IF(Table4[[#This Row],[CTR]]&lt;=$B$4,"Normal","High CTR")</f>
        <v>Normal</v>
      </c>
      <c r="R577" s="51" t="str">
        <f>IF(Table4[[#This Row],[ROAS]]&lt;1,"Poor",IF(Table4[[#This Row],[ROAS]]&lt;3,"Average",IF(Table4[[#This Row],[ROAS]]&lt;5,"Good",
"Excellent")))</f>
        <v>Excellent</v>
      </c>
      <c r="S577" s="51" t="str">
        <f>IF(AND(Table4[[#This Row],[USD_Spend]]&gt;=$B$5,Table4[[#This Row],[Sales]]&lt;=$B$6),"Wasted Budget","Spend Justified")</f>
        <v>Spend Justified</v>
      </c>
      <c r="T577" s="51" t="str">
        <f>IF(AND(Table4[[#This Row],[Clicks]]&gt;=$B$7,Table4[[#This Row],[Sales]]&lt;=$B$6),"Poor Monetization","Normal Monitization")</f>
        <v>Normal Monitization</v>
      </c>
    </row>
    <row r="578" spans="1:20" x14ac:dyDescent="0.35">
      <c r="A578" s="38" t="s">
        <v>86</v>
      </c>
      <c r="B578" s="38" t="s">
        <v>48</v>
      </c>
      <c r="C578" s="38" t="s">
        <v>58</v>
      </c>
      <c r="D578" s="38" t="s">
        <v>21</v>
      </c>
      <c r="E578" s="38" t="s">
        <v>22</v>
      </c>
      <c r="F578" s="38">
        <v>23572.26</v>
      </c>
      <c r="G578" s="38">
        <v>208667</v>
      </c>
      <c r="H578" s="38">
        <v>9271</v>
      </c>
      <c r="I578" s="38">
        <v>13746.08</v>
      </c>
      <c r="J578" s="38">
        <v>11</v>
      </c>
      <c r="K578" s="39">
        <f t="shared" si="41"/>
        <v>4.4429641486195708E-2</v>
      </c>
      <c r="L578" s="40">
        <f t="shared" si="42"/>
        <v>0.58314646113694657</v>
      </c>
      <c r="M578" s="40">
        <f t="shared" si="43"/>
        <v>-0.41685353886305337</v>
      </c>
      <c r="N578" s="40">
        <f t="shared" si="44"/>
        <v>1.4826965807356272</v>
      </c>
      <c r="O578" s="1" t="str">
        <f t="shared" si="40"/>
        <v>Normal</v>
      </c>
      <c r="P578" s="51" t="str">
        <f>IF(Table4[[#This Row],[Sales]]&lt;=$B$3,"Normal","High Revenue")</f>
        <v>Normal</v>
      </c>
      <c r="Q578" s="51" t="str">
        <f>IF(Table4[[#This Row],[CTR]]&lt;=$B$4,"Normal","High CTR")</f>
        <v>Normal</v>
      </c>
      <c r="R578" s="51" t="str">
        <f>IF(Table4[[#This Row],[ROAS]]&lt;1,"Poor",IF(Table4[[#This Row],[ROAS]]&lt;3,"Average",IF(Table4[[#This Row],[ROAS]]&lt;5,"Good",
"Excellent")))</f>
        <v>Poor</v>
      </c>
      <c r="S578" s="51" t="str">
        <f>IF(AND(Table4[[#This Row],[USD_Spend]]&gt;=$B$5,Table4[[#This Row],[Sales]]&lt;=$B$6),"Wasted Budget","Spend Justified")</f>
        <v>Wasted Budget</v>
      </c>
      <c r="T578" s="51" t="str">
        <f>IF(AND(Table4[[#This Row],[Clicks]]&gt;=$B$7,Table4[[#This Row],[Sales]]&lt;=$B$6),"Poor Monetization","Normal Monitization")</f>
        <v>Normal Monitization</v>
      </c>
    </row>
    <row r="579" spans="1:20" x14ac:dyDescent="0.35">
      <c r="A579" s="41" t="s">
        <v>85</v>
      </c>
      <c r="B579" s="41" t="s">
        <v>19</v>
      </c>
      <c r="C579" s="41" t="s">
        <v>20</v>
      </c>
      <c r="D579" s="41" t="s">
        <v>59</v>
      </c>
      <c r="E579" s="41" t="s">
        <v>22</v>
      </c>
      <c r="F579" s="41">
        <v>5835.85</v>
      </c>
      <c r="G579" s="41">
        <v>303243</v>
      </c>
      <c r="H579" s="41">
        <v>39169</v>
      </c>
      <c r="I579" s="41">
        <v>176790.02</v>
      </c>
      <c r="J579" s="41">
        <v>19</v>
      </c>
      <c r="K579" s="42">
        <f t="shared" si="41"/>
        <v>0.12916703765626905</v>
      </c>
      <c r="L579" s="43">
        <f t="shared" si="42"/>
        <v>30.293790964469611</v>
      </c>
      <c r="M579" s="43">
        <f t="shared" si="43"/>
        <v>29.293790964469611</v>
      </c>
      <c r="N579" s="43">
        <f t="shared" si="44"/>
        <v>4.5135188541959197</v>
      </c>
      <c r="O579" s="1" t="str">
        <f t="shared" si="40"/>
        <v>Normal</v>
      </c>
      <c r="P579" s="51" t="str">
        <f>IF(Table4[[#This Row],[Sales]]&lt;=$B$3,"Normal","High Revenue")</f>
        <v>Normal</v>
      </c>
      <c r="Q579" s="51" t="str">
        <f>IF(Table4[[#This Row],[CTR]]&lt;=$B$4,"Normal","High CTR")</f>
        <v>Normal</v>
      </c>
      <c r="R579" s="51" t="str">
        <f>IF(Table4[[#This Row],[ROAS]]&lt;1,"Poor",IF(Table4[[#This Row],[ROAS]]&lt;3,"Average",IF(Table4[[#This Row],[ROAS]]&lt;5,"Good",
"Excellent")))</f>
        <v>Excellent</v>
      </c>
      <c r="S579" s="51" t="str">
        <f>IF(AND(Table4[[#This Row],[USD_Spend]]&gt;=$B$5,Table4[[#This Row],[Sales]]&lt;=$B$6),"Wasted Budget","Spend Justified")</f>
        <v>Spend Justified</v>
      </c>
      <c r="T579" s="51" t="str">
        <f>IF(AND(Table4[[#This Row],[Clicks]]&gt;=$B$7,Table4[[#This Row],[Sales]]&lt;=$B$6),"Poor Monetization","Normal Monitization")</f>
        <v>Normal Monitization</v>
      </c>
    </row>
    <row r="580" spans="1:20" x14ac:dyDescent="0.35">
      <c r="A580" s="38" t="s">
        <v>120</v>
      </c>
      <c r="B580" s="38" t="s">
        <v>48</v>
      </c>
      <c r="C580" s="38" t="s">
        <v>69</v>
      </c>
      <c r="D580" s="38" t="s">
        <v>43</v>
      </c>
      <c r="E580" s="38" t="s">
        <v>30</v>
      </c>
      <c r="F580" s="38">
        <v>23776.58</v>
      </c>
      <c r="G580" s="38">
        <v>76412</v>
      </c>
      <c r="H580" s="38">
        <v>17245</v>
      </c>
      <c r="I580" s="38">
        <v>165468.51999999999</v>
      </c>
      <c r="J580" s="38">
        <v>13</v>
      </c>
      <c r="K580" s="39">
        <f t="shared" si="41"/>
        <v>0.22568444746898392</v>
      </c>
      <c r="L580" s="40">
        <f t="shared" si="42"/>
        <v>6.9593070155590073</v>
      </c>
      <c r="M580" s="40">
        <f t="shared" si="43"/>
        <v>5.9593070155590073</v>
      </c>
      <c r="N580" s="40">
        <f t="shared" si="44"/>
        <v>9.5951591765729187</v>
      </c>
      <c r="O580" s="1" t="str">
        <f t="shared" si="40"/>
        <v>Normal</v>
      </c>
      <c r="P580" s="51" t="str">
        <f>IF(Table4[[#This Row],[Sales]]&lt;=$B$3,"Normal","High Revenue")</f>
        <v>Normal</v>
      </c>
      <c r="Q580" s="51" t="str">
        <f>IF(Table4[[#This Row],[CTR]]&lt;=$B$4,"Normal","High CTR")</f>
        <v>Normal</v>
      </c>
      <c r="R580" s="51" t="str">
        <f>IF(Table4[[#This Row],[ROAS]]&lt;1,"Poor",IF(Table4[[#This Row],[ROAS]]&lt;3,"Average",IF(Table4[[#This Row],[ROAS]]&lt;5,"Good",
"Excellent")))</f>
        <v>Excellent</v>
      </c>
      <c r="S580" s="51" t="str">
        <f>IF(AND(Table4[[#This Row],[USD_Spend]]&gt;=$B$5,Table4[[#This Row],[Sales]]&lt;=$B$6),"Wasted Budget","Spend Justified")</f>
        <v>Spend Justified</v>
      </c>
      <c r="T580" s="51" t="str">
        <f>IF(AND(Table4[[#This Row],[Clicks]]&gt;=$B$7,Table4[[#This Row],[Sales]]&lt;=$B$6),"Poor Monetization","Normal Monitization")</f>
        <v>Normal Monitization</v>
      </c>
    </row>
    <row r="581" spans="1:20" x14ac:dyDescent="0.35">
      <c r="A581" s="41" t="s">
        <v>97</v>
      </c>
      <c r="B581" s="41" t="s">
        <v>48</v>
      </c>
      <c r="C581" s="41" t="s">
        <v>20</v>
      </c>
      <c r="D581" s="41" t="s">
        <v>43</v>
      </c>
      <c r="E581" s="41" t="s">
        <v>22</v>
      </c>
      <c r="F581" s="41">
        <v>1840.55</v>
      </c>
      <c r="G581" s="41">
        <v>868706</v>
      </c>
      <c r="H581" s="41">
        <v>1239</v>
      </c>
      <c r="I581" s="41">
        <v>143980.35</v>
      </c>
      <c r="J581" s="41">
        <v>61</v>
      </c>
      <c r="K581" s="42">
        <f t="shared" si="41"/>
        <v>1.4262592868012883E-3</v>
      </c>
      <c r="L581" s="43">
        <f t="shared" si="42"/>
        <v>78.226807204368271</v>
      </c>
      <c r="M581" s="43">
        <f t="shared" si="43"/>
        <v>77.226807204368271</v>
      </c>
      <c r="N581" s="43">
        <f t="shared" si="44"/>
        <v>116.20690072639226</v>
      </c>
      <c r="O581" s="1" t="str">
        <f t="shared" si="40"/>
        <v>Normal</v>
      </c>
      <c r="P581" s="51" t="str">
        <f>IF(Table4[[#This Row],[Sales]]&lt;=$B$3,"Normal","High Revenue")</f>
        <v>Normal</v>
      </c>
      <c r="Q581" s="51" t="str">
        <f>IF(Table4[[#This Row],[CTR]]&lt;=$B$4,"Normal","High CTR")</f>
        <v>Normal</v>
      </c>
      <c r="R581" s="51" t="str">
        <f>IF(Table4[[#This Row],[ROAS]]&lt;1,"Poor",IF(Table4[[#This Row],[ROAS]]&lt;3,"Average",IF(Table4[[#This Row],[ROAS]]&lt;5,"Good",
"Excellent")))</f>
        <v>Excellent</v>
      </c>
      <c r="S581" s="51" t="str">
        <f>IF(AND(Table4[[#This Row],[USD_Spend]]&gt;=$B$5,Table4[[#This Row],[Sales]]&lt;=$B$6),"Wasted Budget","Spend Justified")</f>
        <v>Spend Justified</v>
      </c>
      <c r="T581" s="51" t="str">
        <f>IF(AND(Table4[[#This Row],[Clicks]]&gt;=$B$7,Table4[[#This Row],[Sales]]&lt;=$B$6),"Poor Monetization","Normal Monitization")</f>
        <v>Normal Monitization</v>
      </c>
    </row>
    <row r="582" spans="1:20" x14ac:dyDescent="0.35">
      <c r="A582" s="38" t="s">
        <v>112</v>
      </c>
      <c r="B582" s="38" t="s">
        <v>48</v>
      </c>
      <c r="C582" s="38" t="s">
        <v>69</v>
      </c>
      <c r="D582" s="38" t="s">
        <v>51</v>
      </c>
      <c r="E582" s="38" t="s">
        <v>30</v>
      </c>
      <c r="F582" s="38">
        <v>26356.51</v>
      </c>
      <c r="G582" s="38">
        <v>507635</v>
      </c>
      <c r="H582" s="38">
        <v>38561</v>
      </c>
      <c r="I582" s="38">
        <v>140076.76</v>
      </c>
      <c r="J582" s="38">
        <v>44</v>
      </c>
      <c r="K582" s="39">
        <f t="shared" si="41"/>
        <v>7.5962059353669467E-2</v>
      </c>
      <c r="L582" s="40">
        <f t="shared" si="42"/>
        <v>5.3146930302987769</v>
      </c>
      <c r="M582" s="40">
        <f t="shared" si="43"/>
        <v>4.3146930302987769</v>
      </c>
      <c r="N582" s="40">
        <f t="shared" si="44"/>
        <v>3.6326018516117324</v>
      </c>
      <c r="O582" s="1" t="str">
        <f t="shared" si="40"/>
        <v>Normal</v>
      </c>
      <c r="P582" s="51" t="str">
        <f>IF(Table4[[#This Row],[Sales]]&lt;=$B$3,"Normal","High Revenue")</f>
        <v>Normal</v>
      </c>
      <c r="Q582" s="51" t="str">
        <f>IF(Table4[[#This Row],[CTR]]&lt;=$B$4,"Normal","High CTR")</f>
        <v>Normal</v>
      </c>
      <c r="R582" s="51" t="str">
        <f>IF(Table4[[#This Row],[ROAS]]&lt;1,"Poor",IF(Table4[[#This Row],[ROAS]]&lt;3,"Average",IF(Table4[[#This Row],[ROAS]]&lt;5,"Good",
"Excellent")))</f>
        <v>Excellent</v>
      </c>
      <c r="S582" s="51" t="str">
        <f>IF(AND(Table4[[#This Row],[USD_Spend]]&gt;=$B$5,Table4[[#This Row],[Sales]]&lt;=$B$6),"Wasted Budget","Spend Justified")</f>
        <v>Spend Justified</v>
      </c>
      <c r="T582" s="51" t="str">
        <f>IF(AND(Table4[[#This Row],[Clicks]]&gt;=$B$7,Table4[[#This Row],[Sales]]&lt;=$B$6),"Poor Monetization","Normal Monitization")</f>
        <v>Normal Monitization</v>
      </c>
    </row>
    <row r="583" spans="1:20" x14ac:dyDescent="0.35">
      <c r="A583" s="41" t="s">
        <v>71</v>
      </c>
      <c r="B583" s="41" t="s">
        <v>19</v>
      </c>
      <c r="C583" s="41" t="s">
        <v>36</v>
      </c>
      <c r="D583" s="41" t="s">
        <v>63</v>
      </c>
      <c r="E583" s="41" t="s">
        <v>22</v>
      </c>
      <c r="F583" s="41">
        <v>31733.23</v>
      </c>
      <c r="G583" s="41">
        <v>687278</v>
      </c>
      <c r="H583" s="41">
        <v>46751</v>
      </c>
      <c r="I583" s="41">
        <v>125251.23</v>
      </c>
      <c r="J583" s="41">
        <v>41</v>
      </c>
      <c r="K583" s="42">
        <f t="shared" si="41"/>
        <v>6.8023419926143427E-2</v>
      </c>
      <c r="L583" s="43">
        <f t="shared" si="42"/>
        <v>3.9470053946604238</v>
      </c>
      <c r="M583" s="43">
        <f t="shared" si="43"/>
        <v>2.9470053946604238</v>
      </c>
      <c r="N583" s="43">
        <f t="shared" si="44"/>
        <v>2.6791133879489206</v>
      </c>
      <c r="O583" s="1" t="str">
        <f t="shared" si="40"/>
        <v>Normal</v>
      </c>
      <c r="P583" s="51" t="str">
        <f>IF(Table4[[#This Row],[Sales]]&lt;=$B$3,"Normal","High Revenue")</f>
        <v>Normal</v>
      </c>
      <c r="Q583" s="51" t="str">
        <f>IF(Table4[[#This Row],[CTR]]&lt;=$B$4,"Normal","High CTR")</f>
        <v>Normal</v>
      </c>
      <c r="R583" s="51" t="str">
        <f>IF(Table4[[#This Row],[ROAS]]&lt;1,"Poor",IF(Table4[[#This Row],[ROAS]]&lt;3,"Average",IF(Table4[[#This Row],[ROAS]]&lt;5,"Good",
"Excellent")))</f>
        <v>Good</v>
      </c>
      <c r="S583" s="51" t="str">
        <f>IF(AND(Table4[[#This Row],[USD_Spend]]&gt;=$B$5,Table4[[#This Row],[Sales]]&lt;=$B$6),"Wasted Budget","Spend Justified")</f>
        <v>Spend Justified</v>
      </c>
      <c r="T583" s="51" t="str">
        <f>IF(AND(Table4[[#This Row],[Clicks]]&gt;=$B$7,Table4[[#This Row],[Sales]]&lt;=$B$6),"Poor Monetization","Normal Monitization")</f>
        <v>Normal Monitization</v>
      </c>
    </row>
    <row r="584" spans="1:20" x14ac:dyDescent="0.35">
      <c r="A584" s="38" t="s">
        <v>67</v>
      </c>
      <c r="B584" s="38" t="s">
        <v>19</v>
      </c>
      <c r="C584" s="38" t="s">
        <v>36</v>
      </c>
      <c r="D584" s="38" t="s">
        <v>51</v>
      </c>
      <c r="E584" s="38" t="s">
        <v>38</v>
      </c>
      <c r="F584" s="38">
        <v>2864.18</v>
      </c>
      <c r="G584" s="38">
        <v>882064</v>
      </c>
      <c r="H584" s="38">
        <v>20253</v>
      </c>
      <c r="I584" s="38">
        <v>63665.82</v>
      </c>
      <c r="J584" s="38">
        <v>7</v>
      </c>
      <c r="K584" s="39">
        <f t="shared" si="41"/>
        <v>2.2960918935587441E-2</v>
      </c>
      <c r="L584" s="40">
        <f t="shared" si="42"/>
        <v>22.228288724870644</v>
      </c>
      <c r="M584" s="40">
        <f t="shared" si="43"/>
        <v>21.228288724870644</v>
      </c>
      <c r="N584" s="40">
        <f t="shared" si="44"/>
        <v>3.1435254036439044</v>
      </c>
      <c r="O584" s="1" t="str">
        <f t="shared" si="40"/>
        <v>Normal</v>
      </c>
      <c r="P584" s="51" t="str">
        <f>IF(Table4[[#This Row],[Sales]]&lt;=$B$3,"Normal","High Revenue")</f>
        <v>Normal</v>
      </c>
      <c r="Q584" s="51" t="str">
        <f>IF(Table4[[#This Row],[CTR]]&lt;=$B$4,"Normal","High CTR")</f>
        <v>Normal</v>
      </c>
      <c r="R584" s="51" t="str">
        <f>IF(Table4[[#This Row],[ROAS]]&lt;1,"Poor",IF(Table4[[#This Row],[ROAS]]&lt;3,"Average",IF(Table4[[#This Row],[ROAS]]&lt;5,"Good",
"Excellent")))</f>
        <v>Excellent</v>
      </c>
      <c r="S584" s="51" t="str">
        <f>IF(AND(Table4[[#This Row],[USD_Spend]]&gt;=$B$5,Table4[[#This Row],[Sales]]&lt;=$B$6),"Wasted Budget","Spend Justified")</f>
        <v>Spend Justified</v>
      </c>
      <c r="T584" s="51" t="str">
        <f>IF(AND(Table4[[#This Row],[Clicks]]&gt;=$B$7,Table4[[#This Row],[Sales]]&lt;=$B$6),"Poor Monetization","Normal Monitization")</f>
        <v>Normal Monitization</v>
      </c>
    </row>
    <row r="585" spans="1:20" x14ac:dyDescent="0.35">
      <c r="A585" s="41" t="s">
        <v>79</v>
      </c>
      <c r="B585" s="41" t="s">
        <v>48</v>
      </c>
      <c r="C585" s="41" t="s">
        <v>20</v>
      </c>
      <c r="D585" s="41" t="s">
        <v>63</v>
      </c>
      <c r="E585" s="41" t="s">
        <v>22</v>
      </c>
      <c r="F585" s="41">
        <v>1195.46</v>
      </c>
      <c r="G585" s="41">
        <v>727552</v>
      </c>
      <c r="H585" s="41">
        <v>23162</v>
      </c>
      <c r="I585" s="41">
        <v>92067.64</v>
      </c>
      <c r="J585" s="41">
        <v>31</v>
      </c>
      <c r="K585" s="42">
        <f t="shared" si="41"/>
        <v>3.1835525158339199E-2</v>
      </c>
      <c r="L585" s="43">
        <f t="shared" si="42"/>
        <v>77.0144044970137</v>
      </c>
      <c r="M585" s="43">
        <f t="shared" si="43"/>
        <v>76.0144044970137</v>
      </c>
      <c r="N585" s="43">
        <f t="shared" si="44"/>
        <v>3.9749434418444003</v>
      </c>
      <c r="O585" s="1" t="str">
        <f t="shared" si="40"/>
        <v>Normal</v>
      </c>
      <c r="P585" s="51" t="str">
        <f>IF(Table4[[#This Row],[Sales]]&lt;=$B$3,"Normal","High Revenue")</f>
        <v>Normal</v>
      </c>
      <c r="Q585" s="51" t="str">
        <f>IF(Table4[[#This Row],[CTR]]&lt;=$B$4,"Normal","High CTR")</f>
        <v>Normal</v>
      </c>
      <c r="R585" s="51" t="str">
        <f>IF(Table4[[#This Row],[ROAS]]&lt;1,"Poor",IF(Table4[[#This Row],[ROAS]]&lt;3,"Average",IF(Table4[[#This Row],[ROAS]]&lt;5,"Good",
"Excellent")))</f>
        <v>Excellent</v>
      </c>
      <c r="S585" s="51" t="str">
        <f>IF(AND(Table4[[#This Row],[USD_Spend]]&gt;=$B$5,Table4[[#This Row],[Sales]]&lt;=$B$6),"Wasted Budget","Spend Justified")</f>
        <v>Spend Justified</v>
      </c>
      <c r="T585" s="51" t="str">
        <f>IF(AND(Table4[[#This Row],[Clicks]]&gt;=$B$7,Table4[[#This Row],[Sales]]&lt;=$B$6),"Poor Monetization","Normal Monitization")</f>
        <v>Normal Monitization</v>
      </c>
    </row>
    <row r="586" spans="1:20" x14ac:dyDescent="0.35">
      <c r="A586" s="38" t="s">
        <v>98</v>
      </c>
      <c r="B586" s="38" t="s">
        <v>48</v>
      </c>
      <c r="C586" s="38" t="s">
        <v>69</v>
      </c>
      <c r="D586" s="38" t="s">
        <v>43</v>
      </c>
      <c r="E586" s="38" t="s">
        <v>30</v>
      </c>
      <c r="F586" s="38">
        <v>4443.6000000000004</v>
      </c>
      <c r="G586" s="38">
        <v>94714</v>
      </c>
      <c r="H586" s="38">
        <v>21209</v>
      </c>
      <c r="I586" s="38">
        <v>154032.87</v>
      </c>
      <c r="J586" s="38">
        <v>51</v>
      </c>
      <c r="K586" s="39">
        <f t="shared" si="41"/>
        <v>0.22392676900986128</v>
      </c>
      <c r="L586" s="40">
        <f t="shared" si="42"/>
        <v>34.663981906562242</v>
      </c>
      <c r="M586" s="40">
        <f t="shared" si="43"/>
        <v>33.663981906562242</v>
      </c>
      <c r="N586" s="40">
        <f t="shared" si="44"/>
        <v>7.2626182281107079</v>
      </c>
      <c r="O586" s="1" t="str">
        <f t="shared" ref="O586:O649" si="45">IF(F586&lt;=$B$2,"Normal","High Spend")</f>
        <v>Normal</v>
      </c>
      <c r="P586" s="51" t="str">
        <f>IF(Table4[[#This Row],[Sales]]&lt;=$B$3,"Normal","High Revenue")</f>
        <v>Normal</v>
      </c>
      <c r="Q586" s="51" t="str">
        <f>IF(Table4[[#This Row],[CTR]]&lt;=$B$4,"Normal","High CTR")</f>
        <v>Normal</v>
      </c>
      <c r="R586" s="51" t="str">
        <f>IF(Table4[[#This Row],[ROAS]]&lt;1,"Poor",IF(Table4[[#This Row],[ROAS]]&lt;3,"Average",IF(Table4[[#This Row],[ROAS]]&lt;5,"Good",
"Excellent")))</f>
        <v>Excellent</v>
      </c>
      <c r="S586" s="51" t="str">
        <f>IF(AND(Table4[[#This Row],[USD_Spend]]&gt;=$B$5,Table4[[#This Row],[Sales]]&lt;=$B$6),"Wasted Budget","Spend Justified")</f>
        <v>Spend Justified</v>
      </c>
      <c r="T586" s="51" t="str">
        <f>IF(AND(Table4[[#This Row],[Clicks]]&gt;=$B$7,Table4[[#This Row],[Sales]]&lt;=$B$6),"Poor Monetization","Normal Monitization")</f>
        <v>Normal Monitization</v>
      </c>
    </row>
    <row r="587" spans="1:20" x14ac:dyDescent="0.35">
      <c r="A587" s="41" t="s">
        <v>57</v>
      </c>
      <c r="B587" s="41" t="s">
        <v>19</v>
      </c>
      <c r="C587" s="41" t="s">
        <v>29</v>
      </c>
      <c r="D587" s="41" t="s">
        <v>51</v>
      </c>
      <c r="E587" s="41" t="s">
        <v>38</v>
      </c>
      <c r="F587" s="41">
        <v>3204.82</v>
      </c>
      <c r="G587" s="41">
        <v>171177</v>
      </c>
      <c r="H587" s="41">
        <v>27016</v>
      </c>
      <c r="I587" s="41">
        <v>35341.449999999997</v>
      </c>
      <c r="J587" s="41">
        <v>18</v>
      </c>
      <c r="K587" s="42">
        <f t="shared" ref="K587:K650" si="46">H587/G587</f>
        <v>0.15782494143488904</v>
      </c>
      <c r="L587" s="43">
        <f t="shared" ref="L587:L650" si="47">I587/F587</f>
        <v>11.027592813324928</v>
      </c>
      <c r="M587" s="43">
        <f t="shared" ref="M587:M650" si="48">(I587-F587)/F587</f>
        <v>10.027592813324928</v>
      </c>
      <c r="N587" s="43">
        <f t="shared" ref="N587:N650" si="49">I587/H587</f>
        <v>1.308167382291975</v>
      </c>
      <c r="O587" s="1" t="str">
        <f t="shared" si="45"/>
        <v>Normal</v>
      </c>
      <c r="P587" s="51" t="str">
        <f>IF(Table4[[#This Row],[Sales]]&lt;=$B$3,"Normal","High Revenue")</f>
        <v>Normal</v>
      </c>
      <c r="Q587" s="51" t="str">
        <f>IF(Table4[[#This Row],[CTR]]&lt;=$B$4,"Normal","High CTR")</f>
        <v>Normal</v>
      </c>
      <c r="R587" s="51" t="str">
        <f>IF(Table4[[#This Row],[ROAS]]&lt;1,"Poor",IF(Table4[[#This Row],[ROAS]]&lt;3,"Average",IF(Table4[[#This Row],[ROAS]]&lt;5,"Good",
"Excellent")))</f>
        <v>Excellent</v>
      </c>
      <c r="S587" s="51" t="str">
        <f>IF(AND(Table4[[#This Row],[USD_Spend]]&gt;=$B$5,Table4[[#This Row],[Sales]]&lt;=$B$6),"Wasted Budget","Spend Justified")</f>
        <v>Spend Justified</v>
      </c>
      <c r="T587" s="51" t="str">
        <f>IF(AND(Table4[[#This Row],[Clicks]]&gt;=$B$7,Table4[[#This Row],[Sales]]&lt;=$B$6),"Poor Monetization","Normal Monitization")</f>
        <v>Normal Monitization</v>
      </c>
    </row>
    <row r="588" spans="1:20" x14ac:dyDescent="0.35">
      <c r="A588" s="38" t="s">
        <v>91</v>
      </c>
      <c r="B588" s="38" t="s">
        <v>28</v>
      </c>
      <c r="C588" s="38" t="s">
        <v>36</v>
      </c>
      <c r="D588" s="38" t="s">
        <v>21</v>
      </c>
      <c r="E588" s="38" t="s">
        <v>22</v>
      </c>
      <c r="F588" s="38">
        <v>17729.38</v>
      </c>
      <c r="G588" s="38">
        <v>130671</v>
      </c>
      <c r="H588" s="38">
        <v>17748</v>
      </c>
      <c r="I588" s="38">
        <v>19854.830000000002</v>
      </c>
      <c r="J588" s="38">
        <v>38</v>
      </c>
      <c r="K588" s="39">
        <f t="shared" si="46"/>
        <v>0.13582202631035195</v>
      </c>
      <c r="L588" s="40">
        <f t="shared" si="47"/>
        <v>1.1198829287882599</v>
      </c>
      <c r="M588" s="40">
        <f t="shared" si="48"/>
        <v>0.11988292878825997</v>
      </c>
      <c r="N588" s="40">
        <f t="shared" si="49"/>
        <v>1.1187080234392608</v>
      </c>
      <c r="O588" s="1" t="str">
        <f t="shared" si="45"/>
        <v>Normal</v>
      </c>
      <c r="P588" s="51" t="str">
        <f>IF(Table4[[#This Row],[Sales]]&lt;=$B$3,"Normal","High Revenue")</f>
        <v>Normal</v>
      </c>
      <c r="Q588" s="51" t="str">
        <f>IF(Table4[[#This Row],[CTR]]&lt;=$B$4,"Normal","High CTR")</f>
        <v>Normal</v>
      </c>
      <c r="R588" s="51" t="str">
        <f>IF(Table4[[#This Row],[ROAS]]&lt;1,"Poor",IF(Table4[[#This Row],[ROAS]]&lt;3,"Average",IF(Table4[[#This Row],[ROAS]]&lt;5,"Good",
"Excellent")))</f>
        <v>Average</v>
      </c>
      <c r="S588" s="51" t="str">
        <f>IF(AND(Table4[[#This Row],[USD_Spend]]&gt;=$B$5,Table4[[#This Row],[Sales]]&lt;=$B$6),"Wasted Budget","Spend Justified")</f>
        <v>Wasted Budget</v>
      </c>
      <c r="T588" s="51" t="str">
        <f>IF(AND(Table4[[#This Row],[Clicks]]&gt;=$B$7,Table4[[#This Row],[Sales]]&lt;=$B$6),"Poor Monetization","Normal Monitization")</f>
        <v>Normal Monitization</v>
      </c>
    </row>
    <row r="589" spans="1:20" x14ac:dyDescent="0.35">
      <c r="A589" s="41" t="s">
        <v>103</v>
      </c>
      <c r="B589" s="41" t="s">
        <v>19</v>
      </c>
      <c r="C589" s="41" t="s">
        <v>69</v>
      </c>
      <c r="D589" s="41" t="s">
        <v>43</v>
      </c>
      <c r="E589" s="41" t="s">
        <v>22</v>
      </c>
      <c r="F589" s="41">
        <v>1207.23</v>
      </c>
      <c r="G589" s="41">
        <v>486663</v>
      </c>
      <c r="H589" s="41">
        <v>32431</v>
      </c>
      <c r="I589" s="41">
        <v>212924.72</v>
      </c>
      <c r="J589" s="41">
        <v>45</v>
      </c>
      <c r="K589" s="42">
        <f t="shared" si="46"/>
        <v>6.6639543174640353E-2</v>
      </c>
      <c r="L589" s="43">
        <f t="shared" si="47"/>
        <v>176.37460964356418</v>
      </c>
      <c r="M589" s="43">
        <f t="shared" si="48"/>
        <v>175.37460964356418</v>
      </c>
      <c r="N589" s="43">
        <f t="shared" si="49"/>
        <v>6.5654688415405014</v>
      </c>
      <c r="O589" s="1" t="str">
        <f t="shared" si="45"/>
        <v>Normal</v>
      </c>
      <c r="P589" s="51" t="str">
        <f>IF(Table4[[#This Row],[Sales]]&lt;=$B$3,"Normal","High Revenue")</f>
        <v>Normal</v>
      </c>
      <c r="Q589" s="51" t="str">
        <f>IF(Table4[[#This Row],[CTR]]&lt;=$B$4,"Normal","High CTR")</f>
        <v>Normal</v>
      </c>
      <c r="R589" s="51" t="str">
        <f>IF(Table4[[#This Row],[ROAS]]&lt;1,"Poor",IF(Table4[[#This Row],[ROAS]]&lt;3,"Average",IF(Table4[[#This Row],[ROAS]]&lt;5,"Good",
"Excellent")))</f>
        <v>Excellent</v>
      </c>
      <c r="S589" s="51" t="str">
        <f>IF(AND(Table4[[#This Row],[USD_Spend]]&gt;=$B$5,Table4[[#This Row],[Sales]]&lt;=$B$6),"Wasted Budget","Spend Justified")</f>
        <v>Spend Justified</v>
      </c>
      <c r="T589" s="51" t="str">
        <f>IF(AND(Table4[[#This Row],[Clicks]]&gt;=$B$7,Table4[[#This Row],[Sales]]&lt;=$B$6),"Poor Monetization","Normal Monitization")</f>
        <v>Normal Monitization</v>
      </c>
    </row>
    <row r="590" spans="1:20" x14ac:dyDescent="0.35">
      <c r="A590" s="38" t="s">
        <v>55</v>
      </c>
      <c r="B590" s="38" t="s">
        <v>28</v>
      </c>
      <c r="C590" s="38" t="s">
        <v>29</v>
      </c>
      <c r="D590" s="38" t="s">
        <v>43</v>
      </c>
      <c r="E590" s="38" t="s">
        <v>38</v>
      </c>
      <c r="F590" s="38">
        <v>10995.29</v>
      </c>
      <c r="G590" s="38">
        <v>781934</v>
      </c>
      <c r="H590" s="38">
        <v>20547</v>
      </c>
      <c r="I590" s="38">
        <v>173326.41</v>
      </c>
      <c r="J590" s="38">
        <v>13</v>
      </c>
      <c r="K590" s="39">
        <f t="shared" si="46"/>
        <v>2.6277153826282013E-2</v>
      </c>
      <c r="L590" s="40">
        <f t="shared" si="47"/>
        <v>15.763696091690168</v>
      </c>
      <c r="M590" s="40">
        <f t="shared" si="48"/>
        <v>14.763696091690168</v>
      </c>
      <c r="N590" s="40">
        <f t="shared" si="49"/>
        <v>8.4356066579062645</v>
      </c>
      <c r="O590" s="1" t="str">
        <f t="shared" si="45"/>
        <v>Normal</v>
      </c>
      <c r="P590" s="51" t="str">
        <f>IF(Table4[[#This Row],[Sales]]&lt;=$B$3,"Normal","High Revenue")</f>
        <v>Normal</v>
      </c>
      <c r="Q590" s="51" t="str">
        <f>IF(Table4[[#This Row],[CTR]]&lt;=$B$4,"Normal","High CTR")</f>
        <v>Normal</v>
      </c>
      <c r="R590" s="51" t="str">
        <f>IF(Table4[[#This Row],[ROAS]]&lt;1,"Poor",IF(Table4[[#This Row],[ROAS]]&lt;3,"Average",IF(Table4[[#This Row],[ROAS]]&lt;5,"Good",
"Excellent")))</f>
        <v>Excellent</v>
      </c>
      <c r="S590" s="51" t="str">
        <f>IF(AND(Table4[[#This Row],[USD_Spend]]&gt;=$B$5,Table4[[#This Row],[Sales]]&lt;=$B$6),"Wasted Budget","Spend Justified")</f>
        <v>Spend Justified</v>
      </c>
      <c r="T590" s="51" t="str">
        <f>IF(AND(Table4[[#This Row],[Clicks]]&gt;=$B$7,Table4[[#This Row],[Sales]]&lt;=$B$6),"Poor Monetization","Normal Monitization")</f>
        <v>Normal Monitization</v>
      </c>
    </row>
    <row r="591" spans="1:20" x14ac:dyDescent="0.35">
      <c r="A591" s="41" t="s">
        <v>47</v>
      </c>
      <c r="B591" s="41" t="s">
        <v>19</v>
      </c>
      <c r="C591" s="41" t="s">
        <v>58</v>
      </c>
      <c r="D591" s="41" t="s">
        <v>59</v>
      </c>
      <c r="E591" s="41" t="s">
        <v>38</v>
      </c>
      <c r="F591" s="41">
        <v>34883.43</v>
      </c>
      <c r="G591" s="41">
        <v>503446</v>
      </c>
      <c r="H591" s="41">
        <v>18826</v>
      </c>
      <c r="I591" s="41">
        <v>136489.23000000001</v>
      </c>
      <c r="J591" s="41">
        <v>44</v>
      </c>
      <c r="K591" s="42">
        <f t="shared" si="46"/>
        <v>3.7394278631670524E-2</v>
      </c>
      <c r="L591" s="43">
        <f t="shared" si="47"/>
        <v>3.9127238921172607</v>
      </c>
      <c r="M591" s="43">
        <f t="shared" si="48"/>
        <v>2.9127238921172607</v>
      </c>
      <c r="N591" s="43">
        <f t="shared" si="49"/>
        <v>7.2500387761606291</v>
      </c>
      <c r="O591" s="1" t="str">
        <f t="shared" si="45"/>
        <v>Normal</v>
      </c>
      <c r="P591" s="51" t="str">
        <f>IF(Table4[[#This Row],[Sales]]&lt;=$B$3,"Normal","High Revenue")</f>
        <v>Normal</v>
      </c>
      <c r="Q591" s="51" t="str">
        <f>IF(Table4[[#This Row],[CTR]]&lt;=$B$4,"Normal","High CTR")</f>
        <v>Normal</v>
      </c>
      <c r="R591" s="51" t="str">
        <f>IF(Table4[[#This Row],[ROAS]]&lt;1,"Poor",IF(Table4[[#This Row],[ROAS]]&lt;3,"Average",IF(Table4[[#This Row],[ROAS]]&lt;5,"Good",
"Excellent")))</f>
        <v>Good</v>
      </c>
      <c r="S591" s="51" t="str">
        <f>IF(AND(Table4[[#This Row],[USD_Spend]]&gt;=$B$5,Table4[[#This Row],[Sales]]&lt;=$B$6),"Wasted Budget","Spend Justified")</f>
        <v>Spend Justified</v>
      </c>
      <c r="T591" s="51" t="str">
        <f>IF(AND(Table4[[#This Row],[Clicks]]&gt;=$B$7,Table4[[#This Row],[Sales]]&lt;=$B$6),"Poor Monetization","Normal Monitization")</f>
        <v>Normal Monitization</v>
      </c>
    </row>
    <row r="592" spans="1:20" x14ac:dyDescent="0.35">
      <c r="A592" s="38" t="s">
        <v>109</v>
      </c>
      <c r="B592" s="38" t="s">
        <v>48</v>
      </c>
      <c r="C592" s="38" t="s">
        <v>29</v>
      </c>
      <c r="D592" s="38" t="s">
        <v>51</v>
      </c>
      <c r="E592" s="38" t="s">
        <v>30</v>
      </c>
      <c r="F592" s="38">
        <v>16270.97</v>
      </c>
      <c r="G592" s="38">
        <v>859566</v>
      </c>
      <c r="H592" s="38">
        <v>21932</v>
      </c>
      <c r="I592" s="38">
        <v>42412.05</v>
      </c>
      <c r="J592" s="38">
        <v>24</v>
      </c>
      <c r="K592" s="39">
        <f t="shared" si="46"/>
        <v>2.5515201857681667E-2</v>
      </c>
      <c r="L592" s="40">
        <f t="shared" si="47"/>
        <v>2.6066085795745431</v>
      </c>
      <c r="M592" s="40">
        <f t="shared" si="48"/>
        <v>1.6066085795745431</v>
      </c>
      <c r="N592" s="40">
        <f t="shared" si="49"/>
        <v>1.9337976472733907</v>
      </c>
      <c r="O592" s="1" t="str">
        <f t="shared" si="45"/>
        <v>Normal</v>
      </c>
      <c r="P592" s="51" t="str">
        <f>IF(Table4[[#This Row],[Sales]]&lt;=$B$3,"Normal","High Revenue")</f>
        <v>Normal</v>
      </c>
      <c r="Q592" s="51" t="str">
        <f>IF(Table4[[#This Row],[CTR]]&lt;=$B$4,"Normal","High CTR")</f>
        <v>Normal</v>
      </c>
      <c r="R592" s="51" t="str">
        <f>IF(Table4[[#This Row],[ROAS]]&lt;1,"Poor",IF(Table4[[#This Row],[ROAS]]&lt;3,"Average",IF(Table4[[#This Row],[ROAS]]&lt;5,"Good",
"Excellent")))</f>
        <v>Average</v>
      </c>
      <c r="S592" s="51" t="str">
        <f>IF(AND(Table4[[#This Row],[USD_Spend]]&gt;=$B$5,Table4[[#This Row],[Sales]]&lt;=$B$6),"Wasted Budget","Spend Justified")</f>
        <v>Wasted Budget</v>
      </c>
      <c r="T592" s="51" t="str">
        <f>IF(AND(Table4[[#This Row],[Clicks]]&gt;=$B$7,Table4[[#This Row],[Sales]]&lt;=$B$6),"Poor Monetization","Normal Monitization")</f>
        <v>Normal Monitization</v>
      </c>
    </row>
    <row r="593" spans="1:20" x14ac:dyDescent="0.35">
      <c r="A593" s="41" t="s">
        <v>97</v>
      </c>
      <c r="B593" s="41" t="s">
        <v>19</v>
      </c>
      <c r="C593" s="41" t="s">
        <v>36</v>
      </c>
      <c r="D593" s="41" t="s">
        <v>59</v>
      </c>
      <c r="E593" s="41" t="s">
        <v>30</v>
      </c>
      <c r="F593" s="41">
        <v>2366.6799999999998</v>
      </c>
      <c r="G593" s="41">
        <v>677837</v>
      </c>
      <c r="H593" s="41">
        <v>18973</v>
      </c>
      <c r="I593" s="41">
        <v>177934.07</v>
      </c>
      <c r="J593" s="41">
        <v>19</v>
      </c>
      <c r="K593" s="42">
        <f t="shared" si="46"/>
        <v>2.7990505091932131E-2</v>
      </c>
      <c r="L593" s="43">
        <f t="shared" si="47"/>
        <v>75.182986293034972</v>
      </c>
      <c r="M593" s="43">
        <f t="shared" si="48"/>
        <v>74.182986293034986</v>
      </c>
      <c r="N593" s="43">
        <f t="shared" si="49"/>
        <v>9.3782780793759564</v>
      </c>
      <c r="O593" s="1" t="str">
        <f t="shared" si="45"/>
        <v>Normal</v>
      </c>
      <c r="P593" s="51" t="str">
        <f>IF(Table4[[#This Row],[Sales]]&lt;=$B$3,"Normal","High Revenue")</f>
        <v>Normal</v>
      </c>
      <c r="Q593" s="51" t="str">
        <f>IF(Table4[[#This Row],[CTR]]&lt;=$B$4,"Normal","High CTR")</f>
        <v>Normal</v>
      </c>
      <c r="R593" s="51" t="str">
        <f>IF(Table4[[#This Row],[ROAS]]&lt;1,"Poor",IF(Table4[[#This Row],[ROAS]]&lt;3,"Average",IF(Table4[[#This Row],[ROAS]]&lt;5,"Good",
"Excellent")))</f>
        <v>Excellent</v>
      </c>
      <c r="S593" s="51" t="str">
        <f>IF(AND(Table4[[#This Row],[USD_Spend]]&gt;=$B$5,Table4[[#This Row],[Sales]]&lt;=$B$6),"Wasted Budget","Spend Justified")</f>
        <v>Spend Justified</v>
      </c>
      <c r="T593" s="51" t="str">
        <f>IF(AND(Table4[[#This Row],[Clicks]]&gt;=$B$7,Table4[[#This Row],[Sales]]&lt;=$B$6),"Poor Monetization","Normal Monitization")</f>
        <v>Normal Monitization</v>
      </c>
    </row>
    <row r="594" spans="1:20" x14ac:dyDescent="0.35">
      <c r="A594" s="38" t="s">
        <v>90</v>
      </c>
      <c r="B594" s="38" t="s">
        <v>28</v>
      </c>
      <c r="C594" s="38" t="s">
        <v>29</v>
      </c>
      <c r="D594" s="38" t="s">
        <v>21</v>
      </c>
      <c r="E594" s="38" t="s">
        <v>22</v>
      </c>
      <c r="F594" s="38">
        <v>1969.53</v>
      </c>
      <c r="G594" s="38">
        <v>855872</v>
      </c>
      <c r="H594" s="38">
        <v>20639</v>
      </c>
      <c r="I594" s="38">
        <v>85675.05</v>
      </c>
      <c r="J594" s="38">
        <v>11</v>
      </c>
      <c r="K594" s="39">
        <f t="shared" si="46"/>
        <v>2.4114587227996708E-2</v>
      </c>
      <c r="L594" s="40">
        <f t="shared" si="47"/>
        <v>43.500251328997273</v>
      </c>
      <c r="M594" s="40">
        <f t="shared" si="48"/>
        <v>42.50025132899728</v>
      </c>
      <c r="N594" s="40">
        <f t="shared" si="49"/>
        <v>4.1511240854692577</v>
      </c>
      <c r="O594" s="1" t="str">
        <f t="shared" si="45"/>
        <v>Normal</v>
      </c>
      <c r="P594" s="51" t="str">
        <f>IF(Table4[[#This Row],[Sales]]&lt;=$B$3,"Normal","High Revenue")</f>
        <v>Normal</v>
      </c>
      <c r="Q594" s="51" t="str">
        <f>IF(Table4[[#This Row],[CTR]]&lt;=$B$4,"Normal","High CTR")</f>
        <v>Normal</v>
      </c>
      <c r="R594" s="51" t="str">
        <f>IF(Table4[[#This Row],[ROAS]]&lt;1,"Poor",IF(Table4[[#This Row],[ROAS]]&lt;3,"Average",IF(Table4[[#This Row],[ROAS]]&lt;5,"Good",
"Excellent")))</f>
        <v>Excellent</v>
      </c>
      <c r="S594" s="51" t="str">
        <f>IF(AND(Table4[[#This Row],[USD_Spend]]&gt;=$B$5,Table4[[#This Row],[Sales]]&lt;=$B$6),"Wasted Budget","Spend Justified")</f>
        <v>Spend Justified</v>
      </c>
      <c r="T594" s="51" t="str">
        <f>IF(AND(Table4[[#This Row],[Clicks]]&gt;=$B$7,Table4[[#This Row],[Sales]]&lt;=$B$6),"Poor Monetization","Normal Monitization")</f>
        <v>Normal Monitization</v>
      </c>
    </row>
    <row r="595" spans="1:20" x14ac:dyDescent="0.35">
      <c r="A595" s="41" t="s">
        <v>84</v>
      </c>
      <c r="B595" s="41" t="s">
        <v>35</v>
      </c>
      <c r="C595" s="41" t="s">
        <v>36</v>
      </c>
      <c r="D595" s="41" t="s">
        <v>21</v>
      </c>
      <c r="E595" s="41" t="s">
        <v>30</v>
      </c>
      <c r="F595" s="41">
        <v>3618.11</v>
      </c>
      <c r="G595" s="41">
        <v>568453</v>
      </c>
      <c r="H595" s="41">
        <v>46215</v>
      </c>
      <c r="I595" s="41">
        <v>61377.13</v>
      </c>
      <c r="J595" s="41">
        <v>53</v>
      </c>
      <c r="K595" s="42">
        <f t="shared" si="46"/>
        <v>8.1299597328187201E-2</v>
      </c>
      <c r="L595" s="43">
        <f t="shared" si="47"/>
        <v>16.963865111895437</v>
      </c>
      <c r="M595" s="43">
        <f t="shared" si="48"/>
        <v>15.963865111895435</v>
      </c>
      <c r="N595" s="43">
        <f t="shared" si="49"/>
        <v>1.3280781131667208</v>
      </c>
      <c r="O595" s="1" t="str">
        <f t="shared" si="45"/>
        <v>Normal</v>
      </c>
      <c r="P595" s="51" t="str">
        <f>IF(Table4[[#This Row],[Sales]]&lt;=$B$3,"Normal","High Revenue")</f>
        <v>Normal</v>
      </c>
      <c r="Q595" s="51" t="str">
        <f>IF(Table4[[#This Row],[CTR]]&lt;=$B$4,"Normal","High CTR")</f>
        <v>Normal</v>
      </c>
      <c r="R595" s="51" t="str">
        <f>IF(Table4[[#This Row],[ROAS]]&lt;1,"Poor",IF(Table4[[#This Row],[ROAS]]&lt;3,"Average",IF(Table4[[#This Row],[ROAS]]&lt;5,"Good",
"Excellent")))</f>
        <v>Excellent</v>
      </c>
      <c r="S595" s="51" t="str">
        <f>IF(AND(Table4[[#This Row],[USD_Spend]]&gt;=$B$5,Table4[[#This Row],[Sales]]&lt;=$B$6),"Wasted Budget","Spend Justified")</f>
        <v>Spend Justified</v>
      </c>
      <c r="T595" s="51" t="str">
        <f>IF(AND(Table4[[#This Row],[Clicks]]&gt;=$B$7,Table4[[#This Row],[Sales]]&lt;=$B$6),"Poor Monetization","Normal Monitization")</f>
        <v>Poor Monetization</v>
      </c>
    </row>
    <row r="596" spans="1:20" x14ac:dyDescent="0.35">
      <c r="A596" s="38" t="s">
        <v>79</v>
      </c>
      <c r="B596" s="38" t="s">
        <v>19</v>
      </c>
      <c r="C596" s="38" t="s">
        <v>36</v>
      </c>
      <c r="D596" s="38" t="s">
        <v>51</v>
      </c>
      <c r="E596" s="38" t="s">
        <v>30</v>
      </c>
      <c r="F596" s="38">
        <v>515.52</v>
      </c>
      <c r="G596" s="38">
        <v>643952</v>
      </c>
      <c r="H596" s="38">
        <v>44612</v>
      </c>
      <c r="I596" s="38">
        <v>85104.19</v>
      </c>
      <c r="J596" s="38">
        <v>49</v>
      </c>
      <c r="K596" s="39">
        <f t="shared" si="46"/>
        <v>6.9278455537058664E-2</v>
      </c>
      <c r="L596" s="40">
        <f t="shared" si="47"/>
        <v>165.08416744258227</v>
      </c>
      <c r="M596" s="40">
        <f t="shared" si="48"/>
        <v>164.08416744258224</v>
      </c>
      <c r="N596" s="40">
        <f t="shared" si="49"/>
        <v>1.9076524253564064</v>
      </c>
      <c r="O596" s="1" t="str">
        <f t="shared" si="45"/>
        <v>Normal</v>
      </c>
      <c r="P596" s="51" t="str">
        <f>IF(Table4[[#This Row],[Sales]]&lt;=$B$3,"Normal","High Revenue")</f>
        <v>Normal</v>
      </c>
      <c r="Q596" s="51" t="str">
        <f>IF(Table4[[#This Row],[CTR]]&lt;=$B$4,"Normal","High CTR")</f>
        <v>Normal</v>
      </c>
      <c r="R596" s="51" t="str">
        <f>IF(Table4[[#This Row],[ROAS]]&lt;1,"Poor",IF(Table4[[#This Row],[ROAS]]&lt;3,"Average",IF(Table4[[#This Row],[ROAS]]&lt;5,"Good",
"Excellent")))</f>
        <v>Excellent</v>
      </c>
      <c r="S596" s="51" t="str">
        <f>IF(AND(Table4[[#This Row],[USD_Spend]]&gt;=$B$5,Table4[[#This Row],[Sales]]&lt;=$B$6),"Wasted Budget","Spend Justified")</f>
        <v>Spend Justified</v>
      </c>
      <c r="T596" s="51" t="str">
        <f>IF(AND(Table4[[#This Row],[Clicks]]&gt;=$B$7,Table4[[#This Row],[Sales]]&lt;=$B$6),"Poor Monetization","Normal Monitization")</f>
        <v>Normal Monitization</v>
      </c>
    </row>
    <row r="597" spans="1:20" x14ac:dyDescent="0.35">
      <c r="A597" s="41" t="s">
        <v>67</v>
      </c>
      <c r="B597" s="41" t="s">
        <v>48</v>
      </c>
      <c r="C597" s="41" t="s">
        <v>20</v>
      </c>
      <c r="D597" s="41" t="s">
        <v>63</v>
      </c>
      <c r="E597" s="41" t="s">
        <v>22</v>
      </c>
      <c r="F597" s="41">
        <v>2973.5</v>
      </c>
      <c r="G597" s="41">
        <v>422344</v>
      </c>
      <c r="H597" s="41">
        <v>33224</v>
      </c>
      <c r="I597" s="41">
        <v>117021.51</v>
      </c>
      <c r="J597" s="41">
        <v>25</v>
      </c>
      <c r="K597" s="42">
        <f t="shared" si="46"/>
        <v>7.8665732199344612E-2</v>
      </c>
      <c r="L597" s="43">
        <f t="shared" si="47"/>
        <v>39.354804102909029</v>
      </c>
      <c r="M597" s="43">
        <f t="shared" si="48"/>
        <v>38.354804102909029</v>
      </c>
      <c r="N597" s="43">
        <f t="shared" si="49"/>
        <v>3.5221981098001445</v>
      </c>
      <c r="O597" s="1" t="str">
        <f t="shared" si="45"/>
        <v>Normal</v>
      </c>
      <c r="P597" s="51" t="str">
        <f>IF(Table4[[#This Row],[Sales]]&lt;=$B$3,"Normal","High Revenue")</f>
        <v>Normal</v>
      </c>
      <c r="Q597" s="51" t="str">
        <f>IF(Table4[[#This Row],[CTR]]&lt;=$B$4,"Normal","High CTR")</f>
        <v>Normal</v>
      </c>
      <c r="R597" s="51" t="str">
        <f>IF(Table4[[#This Row],[ROAS]]&lt;1,"Poor",IF(Table4[[#This Row],[ROAS]]&lt;3,"Average",IF(Table4[[#This Row],[ROAS]]&lt;5,"Good",
"Excellent")))</f>
        <v>Excellent</v>
      </c>
      <c r="S597" s="51" t="str">
        <f>IF(AND(Table4[[#This Row],[USD_Spend]]&gt;=$B$5,Table4[[#This Row],[Sales]]&lt;=$B$6),"Wasted Budget","Spend Justified")</f>
        <v>Spend Justified</v>
      </c>
      <c r="T597" s="51" t="str">
        <f>IF(AND(Table4[[#This Row],[Clicks]]&gt;=$B$7,Table4[[#This Row],[Sales]]&lt;=$B$6),"Poor Monetization","Normal Monitization")</f>
        <v>Normal Monitization</v>
      </c>
    </row>
    <row r="598" spans="1:20" x14ac:dyDescent="0.35">
      <c r="A598" s="38" t="s">
        <v>101</v>
      </c>
      <c r="B598" s="38" t="s">
        <v>35</v>
      </c>
      <c r="C598" s="38" t="s">
        <v>69</v>
      </c>
      <c r="D598" s="38" t="s">
        <v>37</v>
      </c>
      <c r="E598" s="38" t="s">
        <v>22</v>
      </c>
      <c r="F598" s="38">
        <v>4936.55</v>
      </c>
      <c r="G598" s="38">
        <v>319967</v>
      </c>
      <c r="H598" s="38">
        <v>10682</v>
      </c>
      <c r="I598" s="38">
        <v>21699.65</v>
      </c>
      <c r="J598" s="38">
        <v>12</v>
      </c>
      <c r="K598" s="39">
        <f t="shared" si="46"/>
        <v>3.3384692796444633E-2</v>
      </c>
      <c r="L598" s="40">
        <f t="shared" si="47"/>
        <v>4.3957115799495599</v>
      </c>
      <c r="M598" s="40">
        <f t="shared" si="48"/>
        <v>3.3957115799495603</v>
      </c>
      <c r="N598" s="40">
        <f t="shared" si="49"/>
        <v>2.031422018348624</v>
      </c>
      <c r="O598" s="1" t="str">
        <f t="shared" si="45"/>
        <v>Normal</v>
      </c>
      <c r="P598" s="51" t="str">
        <f>IF(Table4[[#This Row],[Sales]]&lt;=$B$3,"Normal","High Revenue")</f>
        <v>Normal</v>
      </c>
      <c r="Q598" s="51" t="str">
        <f>IF(Table4[[#This Row],[CTR]]&lt;=$B$4,"Normal","High CTR")</f>
        <v>Normal</v>
      </c>
      <c r="R598" s="51" t="str">
        <f>IF(Table4[[#This Row],[ROAS]]&lt;1,"Poor",IF(Table4[[#This Row],[ROAS]]&lt;3,"Average",IF(Table4[[#This Row],[ROAS]]&lt;5,"Good",
"Excellent")))</f>
        <v>Good</v>
      </c>
      <c r="S598" s="51" t="str">
        <f>IF(AND(Table4[[#This Row],[USD_Spend]]&gt;=$B$5,Table4[[#This Row],[Sales]]&lt;=$B$6),"Wasted Budget","Spend Justified")</f>
        <v>Wasted Budget</v>
      </c>
      <c r="T598" s="51" t="str">
        <f>IF(AND(Table4[[#This Row],[Clicks]]&gt;=$B$7,Table4[[#This Row],[Sales]]&lt;=$B$6),"Poor Monetization","Normal Monitization")</f>
        <v>Normal Monitization</v>
      </c>
    </row>
    <row r="599" spans="1:20" x14ac:dyDescent="0.35">
      <c r="A599" s="41" t="s">
        <v>117</v>
      </c>
      <c r="B599" s="41" t="s">
        <v>48</v>
      </c>
      <c r="C599" s="41" t="s">
        <v>20</v>
      </c>
      <c r="D599" s="41" t="s">
        <v>59</v>
      </c>
      <c r="E599" s="41" t="s">
        <v>30</v>
      </c>
      <c r="F599" s="41">
        <v>1829.78</v>
      </c>
      <c r="G599" s="41">
        <v>990741</v>
      </c>
      <c r="H599" s="41">
        <v>28464</v>
      </c>
      <c r="I599" s="41">
        <v>210509.95</v>
      </c>
      <c r="J599" s="41">
        <v>6</v>
      </c>
      <c r="K599" s="42">
        <f t="shared" si="46"/>
        <v>2.8730011173455021E-2</v>
      </c>
      <c r="L599" s="43">
        <f t="shared" si="47"/>
        <v>115.04659030047328</v>
      </c>
      <c r="M599" s="43">
        <f t="shared" si="48"/>
        <v>114.04659030047328</v>
      </c>
      <c r="N599" s="43">
        <f t="shared" si="49"/>
        <v>7.3956559162450821</v>
      </c>
      <c r="O599" s="1" t="str">
        <f t="shared" si="45"/>
        <v>Normal</v>
      </c>
      <c r="P599" s="51" t="str">
        <f>IF(Table4[[#This Row],[Sales]]&lt;=$B$3,"Normal","High Revenue")</f>
        <v>Normal</v>
      </c>
      <c r="Q599" s="51" t="str">
        <f>IF(Table4[[#This Row],[CTR]]&lt;=$B$4,"Normal","High CTR")</f>
        <v>Normal</v>
      </c>
      <c r="R599" s="51" t="str">
        <f>IF(Table4[[#This Row],[ROAS]]&lt;1,"Poor",IF(Table4[[#This Row],[ROAS]]&lt;3,"Average",IF(Table4[[#This Row],[ROAS]]&lt;5,"Good",
"Excellent")))</f>
        <v>Excellent</v>
      </c>
      <c r="S599" s="51" t="str">
        <f>IF(AND(Table4[[#This Row],[USD_Spend]]&gt;=$B$5,Table4[[#This Row],[Sales]]&lt;=$B$6),"Wasted Budget","Spend Justified")</f>
        <v>Spend Justified</v>
      </c>
      <c r="T599" s="51" t="str">
        <f>IF(AND(Table4[[#This Row],[Clicks]]&gt;=$B$7,Table4[[#This Row],[Sales]]&lt;=$B$6),"Poor Monetization","Normal Monitization")</f>
        <v>Normal Monitization</v>
      </c>
    </row>
    <row r="600" spans="1:20" x14ac:dyDescent="0.35">
      <c r="A600" s="38" t="s">
        <v>102</v>
      </c>
      <c r="B600" s="38" t="s">
        <v>19</v>
      </c>
      <c r="C600" s="38" t="s">
        <v>58</v>
      </c>
      <c r="D600" s="38" t="s">
        <v>37</v>
      </c>
      <c r="E600" s="38" t="s">
        <v>22</v>
      </c>
      <c r="F600" s="38">
        <v>47123.95</v>
      </c>
      <c r="G600" s="38">
        <v>27215</v>
      </c>
      <c r="H600" s="38">
        <v>2527</v>
      </c>
      <c r="I600" s="38">
        <v>88124.85</v>
      </c>
      <c r="J600" s="38">
        <v>40</v>
      </c>
      <c r="K600" s="39">
        <f t="shared" si="46"/>
        <v>9.2853205952599674E-2</v>
      </c>
      <c r="L600" s="40">
        <f t="shared" si="47"/>
        <v>1.8700650094060454</v>
      </c>
      <c r="M600" s="40">
        <f t="shared" si="48"/>
        <v>0.87006500940604536</v>
      </c>
      <c r="N600" s="40">
        <f t="shared" si="49"/>
        <v>34.873308270676695</v>
      </c>
      <c r="O600" s="1" t="str">
        <f t="shared" si="45"/>
        <v>High Spend</v>
      </c>
      <c r="P600" s="51" t="str">
        <f>IF(Table4[[#This Row],[Sales]]&lt;=$B$3,"Normal","High Revenue")</f>
        <v>Normal</v>
      </c>
      <c r="Q600" s="51" t="str">
        <f>IF(Table4[[#This Row],[CTR]]&lt;=$B$4,"Normal","High CTR")</f>
        <v>Normal</v>
      </c>
      <c r="R600" s="51" t="str">
        <f>IF(Table4[[#This Row],[ROAS]]&lt;1,"Poor",IF(Table4[[#This Row],[ROAS]]&lt;3,"Average",IF(Table4[[#This Row],[ROAS]]&lt;5,"Good",
"Excellent")))</f>
        <v>Average</v>
      </c>
      <c r="S600" s="51" t="str">
        <f>IF(AND(Table4[[#This Row],[USD_Spend]]&gt;=$B$5,Table4[[#This Row],[Sales]]&lt;=$B$6),"Wasted Budget","Spend Justified")</f>
        <v>Spend Justified</v>
      </c>
      <c r="T600" s="51" t="str">
        <f>IF(AND(Table4[[#This Row],[Clicks]]&gt;=$B$7,Table4[[#This Row],[Sales]]&lt;=$B$6),"Poor Monetization","Normal Monitization")</f>
        <v>Normal Monitization</v>
      </c>
    </row>
    <row r="601" spans="1:20" x14ac:dyDescent="0.35">
      <c r="A601" s="41" t="s">
        <v>106</v>
      </c>
      <c r="B601" s="41" t="s">
        <v>35</v>
      </c>
      <c r="C601" s="41" t="s">
        <v>69</v>
      </c>
      <c r="D601" s="41" t="s">
        <v>63</v>
      </c>
      <c r="E601" s="41" t="s">
        <v>30</v>
      </c>
      <c r="F601" s="41">
        <v>36442.15</v>
      </c>
      <c r="G601" s="41">
        <v>558706</v>
      </c>
      <c r="H601" s="41">
        <v>22474</v>
      </c>
      <c r="I601" s="41">
        <v>114632.65</v>
      </c>
      <c r="J601" s="41">
        <v>39</v>
      </c>
      <c r="K601" s="42">
        <f t="shared" si="46"/>
        <v>4.0225091550833536E-2</v>
      </c>
      <c r="L601" s="43">
        <f t="shared" si="47"/>
        <v>3.1456061181900625</v>
      </c>
      <c r="M601" s="43">
        <f t="shared" si="48"/>
        <v>2.145606118190063</v>
      </c>
      <c r="N601" s="43">
        <f t="shared" si="49"/>
        <v>5.1006785618937434</v>
      </c>
      <c r="O601" s="1" t="str">
        <f t="shared" si="45"/>
        <v>Normal</v>
      </c>
      <c r="P601" s="51" t="str">
        <f>IF(Table4[[#This Row],[Sales]]&lt;=$B$3,"Normal","High Revenue")</f>
        <v>Normal</v>
      </c>
      <c r="Q601" s="51" t="str">
        <f>IF(Table4[[#This Row],[CTR]]&lt;=$B$4,"Normal","High CTR")</f>
        <v>Normal</v>
      </c>
      <c r="R601" s="51" t="str">
        <f>IF(Table4[[#This Row],[ROAS]]&lt;1,"Poor",IF(Table4[[#This Row],[ROAS]]&lt;3,"Average",IF(Table4[[#This Row],[ROAS]]&lt;5,"Good",
"Excellent")))</f>
        <v>Good</v>
      </c>
      <c r="S601" s="51" t="str">
        <f>IF(AND(Table4[[#This Row],[USD_Spend]]&gt;=$B$5,Table4[[#This Row],[Sales]]&lt;=$B$6),"Wasted Budget","Spend Justified")</f>
        <v>Spend Justified</v>
      </c>
      <c r="T601" s="51" t="str">
        <f>IF(AND(Table4[[#This Row],[Clicks]]&gt;=$B$7,Table4[[#This Row],[Sales]]&lt;=$B$6),"Poor Monetization","Normal Monitization")</f>
        <v>Normal Monitization</v>
      </c>
    </row>
    <row r="602" spans="1:20" x14ac:dyDescent="0.35">
      <c r="A602" s="38" t="s">
        <v>96</v>
      </c>
      <c r="B602" s="38" t="s">
        <v>28</v>
      </c>
      <c r="C602" s="38" t="s">
        <v>36</v>
      </c>
      <c r="D602" s="38" t="s">
        <v>43</v>
      </c>
      <c r="E602" s="38" t="s">
        <v>22</v>
      </c>
      <c r="F602" s="38">
        <v>20379.490000000002</v>
      </c>
      <c r="G602" s="38">
        <v>458443</v>
      </c>
      <c r="H602" s="38">
        <v>30675</v>
      </c>
      <c r="I602" s="38">
        <v>108023.89</v>
      </c>
      <c r="J602" s="38">
        <v>49</v>
      </c>
      <c r="K602" s="39">
        <f t="shared" si="46"/>
        <v>6.691126268696436E-2</v>
      </c>
      <c r="L602" s="40">
        <f t="shared" si="47"/>
        <v>5.3006179251786962</v>
      </c>
      <c r="M602" s="40">
        <f t="shared" si="48"/>
        <v>4.3006179251786962</v>
      </c>
      <c r="N602" s="40">
        <f t="shared" si="49"/>
        <v>3.5215612061939692</v>
      </c>
      <c r="O602" s="1" t="str">
        <f t="shared" si="45"/>
        <v>Normal</v>
      </c>
      <c r="P602" s="51" t="str">
        <f>IF(Table4[[#This Row],[Sales]]&lt;=$B$3,"Normal","High Revenue")</f>
        <v>Normal</v>
      </c>
      <c r="Q602" s="51" t="str">
        <f>IF(Table4[[#This Row],[CTR]]&lt;=$B$4,"Normal","High CTR")</f>
        <v>Normal</v>
      </c>
      <c r="R602" s="51" t="str">
        <f>IF(Table4[[#This Row],[ROAS]]&lt;1,"Poor",IF(Table4[[#This Row],[ROAS]]&lt;3,"Average",IF(Table4[[#This Row],[ROAS]]&lt;5,"Good",
"Excellent")))</f>
        <v>Excellent</v>
      </c>
      <c r="S602" s="51" t="str">
        <f>IF(AND(Table4[[#This Row],[USD_Spend]]&gt;=$B$5,Table4[[#This Row],[Sales]]&lt;=$B$6),"Wasted Budget","Spend Justified")</f>
        <v>Spend Justified</v>
      </c>
      <c r="T602" s="51" t="str">
        <f>IF(AND(Table4[[#This Row],[Clicks]]&gt;=$B$7,Table4[[#This Row],[Sales]]&lt;=$B$6),"Poor Monetization","Normal Monitization")</f>
        <v>Normal Monitization</v>
      </c>
    </row>
    <row r="603" spans="1:20" x14ac:dyDescent="0.35">
      <c r="A603" s="41" t="s">
        <v>83</v>
      </c>
      <c r="B603" s="41" t="s">
        <v>28</v>
      </c>
      <c r="C603" s="41" t="s">
        <v>20</v>
      </c>
      <c r="D603" s="41" t="s">
        <v>59</v>
      </c>
      <c r="E603" s="41" t="s">
        <v>22</v>
      </c>
      <c r="F603" s="41">
        <v>12548.58</v>
      </c>
      <c r="G603" s="41">
        <v>338574</v>
      </c>
      <c r="H603" s="41">
        <v>13212</v>
      </c>
      <c r="I603" s="41">
        <v>106506.99</v>
      </c>
      <c r="J603" s="41">
        <v>57</v>
      </c>
      <c r="K603" s="42">
        <f t="shared" si="46"/>
        <v>3.9022488436796683E-2</v>
      </c>
      <c r="L603" s="43">
        <f t="shared" si="47"/>
        <v>8.4875730959200162</v>
      </c>
      <c r="M603" s="43">
        <f t="shared" si="48"/>
        <v>7.4875730959200171</v>
      </c>
      <c r="N603" s="43">
        <f t="shared" si="49"/>
        <v>8.0613828337874658</v>
      </c>
      <c r="O603" s="1" t="str">
        <f t="shared" si="45"/>
        <v>Normal</v>
      </c>
      <c r="P603" s="51" t="str">
        <f>IF(Table4[[#This Row],[Sales]]&lt;=$B$3,"Normal","High Revenue")</f>
        <v>Normal</v>
      </c>
      <c r="Q603" s="51" t="str">
        <f>IF(Table4[[#This Row],[CTR]]&lt;=$B$4,"Normal","High CTR")</f>
        <v>Normal</v>
      </c>
      <c r="R603" s="51" t="str">
        <f>IF(Table4[[#This Row],[ROAS]]&lt;1,"Poor",IF(Table4[[#This Row],[ROAS]]&lt;3,"Average",IF(Table4[[#This Row],[ROAS]]&lt;5,"Good",
"Excellent")))</f>
        <v>Excellent</v>
      </c>
      <c r="S603" s="51" t="str">
        <f>IF(AND(Table4[[#This Row],[USD_Spend]]&gt;=$B$5,Table4[[#This Row],[Sales]]&lt;=$B$6),"Wasted Budget","Spend Justified")</f>
        <v>Spend Justified</v>
      </c>
      <c r="T603" s="51" t="str">
        <f>IF(AND(Table4[[#This Row],[Clicks]]&gt;=$B$7,Table4[[#This Row],[Sales]]&lt;=$B$6),"Poor Monetization","Normal Monitization")</f>
        <v>Normal Monitization</v>
      </c>
    </row>
    <row r="604" spans="1:20" x14ac:dyDescent="0.35">
      <c r="A604" s="38" t="s">
        <v>88</v>
      </c>
      <c r="B604" s="38" t="s">
        <v>19</v>
      </c>
      <c r="C604" s="38" t="s">
        <v>20</v>
      </c>
      <c r="D604" s="38" t="s">
        <v>51</v>
      </c>
      <c r="E604" s="38" t="s">
        <v>30</v>
      </c>
      <c r="F604" s="38">
        <v>12863.73</v>
      </c>
      <c r="G604" s="38">
        <v>480888</v>
      </c>
      <c r="H604" s="38">
        <v>9863</v>
      </c>
      <c r="I604" s="38">
        <v>217254.66</v>
      </c>
      <c r="J604" s="38">
        <v>46</v>
      </c>
      <c r="K604" s="39">
        <f t="shared" si="46"/>
        <v>2.0509973216216667E-2</v>
      </c>
      <c r="L604" s="40">
        <f t="shared" si="47"/>
        <v>16.888931903887908</v>
      </c>
      <c r="M604" s="40">
        <f t="shared" si="48"/>
        <v>15.888931903887908</v>
      </c>
      <c r="N604" s="40">
        <f t="shared" si="49"/>
        <v>22.027239176721078</v>
      </c>
      <c r="O604" s="1" t="str">
        <f t="shared" si="45"/>
        <v>Normal</v>
      </c>
      <c r="P604" s="51" t="str">
        <f>IF(Table4[[#This Row],[Sales]]&lt;=$B$3,"Normal","High Revenue")</f>
        <v>Normal</v>
      </c>
      <c r="Q604" s="51" t="str">
        <f>IF(Table4[[#This Row],[CTR]]&lt;=$B$4,"Normal","High CTR")</f>
        <v>Normal</v>
      </c>
      <c r="R604" s="51" t="str">
        <f>IF(Table4[[#This Row],[ROAS]]&lt;1,"Poor",IF(Table4[[#This Row],[ROAS]]&lt;3,"Average",IF(Table4[[#This Row],[ROAS]]&lt;5,"Good",
"Excellent")))</f>
        <v>Excellent</v>
      </c>
      <c r="S604" s="51" t="str">
        <f>IF(AND(Table4[[#This Row],[USD_Spend]]&gt;=$B$5,Table4[[#This Row],[Sales]]&lt;=$B$6),"Wasted Budget","Spend Justified")</f>
        <v>Spend Justified</v>
      </c>
      <c r="T604" s="51" t="str">
        <f>IF(AND(Table4[[#This Row],[Clicks]]&gt;=$B$7,Table4[[#This Row],[Sales]]&lt;=$B$6),"Poor Monetization","Normal Monitization")</f>
        <v>Normal Monitization</v>
      </c>
    </row>
    <row r="605" spans="1:20" x14ac:dyDescent="0.35">
      <c r="A605" s="41" t="s">
        <v>105</v>
      </c>
      <c r="B605" s="41" t="s">
        <v>28</v>
      </c>
      <c r="C605" s="41" t="s">
        <v>36</v>
      </c>
      <c r="D605" s="41" t="s">
        <v>63</v>
      </c>
      <c r="E605" s="41" t="s">
        <v>30</v>
      </c>
      <c r="F605" s="41">
        <v>33858.1</v>
      </c>
      <c r="G605" s="41">
        <v>869416</v>
      </c>
      <c r="H605" s="41">
        <v>31688</v>
      </c>
      <c r="I605" s="41">
        <v>9853.7099999999991</v>
      </c>
      <c r="J605" s="41">
        <v>45</v>
      </c>
      <c r="K605" s="42">
        <f t="shared" si="46"/>
        <v>3.6447454383172151E-2</v>
      </c>
      <c r="L605" s="43">
        <f t="shared" si="47"/>
        <v>0.29102962068160942</v>
      </c>
      <c r="M605" s="43">
        <f t="shared" si="48"/>
        <v>-0.70897037931839058</v>
      </c>
      <c r="N605" s="43">
        <f t="shared" si="49"/>
        <v>0.31096030042918454</v>
      </c>
      <c r="O605" s="1" t="str">
        <f t="shared" si="45"/>
        <v>Normal</v>
      </c>
      <c r="P605" s="51" t="str">
        <f>IF(Table4[[#This Row],[Sales]]&lt;=$B$3,"Normal","High Revenue")</f>
        <v>Normal</v>
      </c>
      <c r="Q605" s="51" t="str">
        <f>IF(Table4[[#This Row],[CTR]]&lt;=$B$4,"Normal","High CTR")</f>
        <v>Normal</v>
      </c>
      <c r="R605" s="51" t="str">
        <f>IF(Table4[[#This Row],[ROAS]]&lt;1,"Poor",IF(Table4[[#This Row],[ROAS]]&lt;3,"Average",IF(Table4[[#This Row],[ROAS]]&lt;5,"Good",
"Excellent")))</f>
        <v>Poor</v>
      </c>
      <c r="S605" s="51" t="str">
        <f>IF(AND(Table4[[#This Row],[USD_Spend]]&gt;=$B$5,Table4[[#This Row],[Sales]]&lt;=$B$6),"Wasted Budget","Spend Justified")</f>
        <v>Wasted Budget</v>
      </c>
      <c r="T605" s="51" t="str">
        <f>IF(AND(Table4[[#This Row],[Clicks]]&gt;=$B$7,Table4[[#This Row],[Sales]]&lt;=$B$6),"Poor Monetization","Normal Monitization")</f>
        <v>Normal Monitization</v>
      </c>
    </row>
    <row r="606" spans="1:20" x14ac:dyDescent="0.35">
      <c r="A606" s="38" t="s">
        <v>79</v>
      </c>
      <c r="B606" s="38" t="s">
        <v>19</v>
      </c>
      <c r="C606" s="38" t="s">
        <v>20</v>
      </c>
      <c r="D606" s="38" t="s">
        <v>63</v>
      </c>
      <c r="E606" s="38" t="s">
        <v>30</v>
      </c>
      <c r="F606" s="38">
        <v>12378.01</v>
      </c>
      <c r="G606" s="38">
        <v>453601</v>
      </c>
      <c r="H606" s="38">
        <v>43233</v>
      </c>
      <c r="I606" s="38">
        <v>5020.96</v>
      </c>
      <c r="J606" s="38">
        <v>25</v>
      </c>
      <c r="K606" s="39">
        <f t="shared" si="46"/>
        <v>9.5310636440395849E-2</v>
      </c>
      <c r="L606" s="40">
        <f t="shared" si="47"/>
        <v>0.40563547775450171</v>
      </c>
      <c r="M606" s="40">
        <f t="shared" si="48"/>
        <v>-0.59436452224549829</v>
      </c>
      <c r="N606" s="40">
        <f t="shared" si="49"/>
        <v>0.11613721000161914</v>
      </c>
      <c r="O606" s="1" t="str">
        <f t="shared" si="45"/>
        <v>Normal</v>
      </c>
      <c r="P606" s="51" t="str">
        <f>IF(Table4[[#This Row],[Sales]]&lt;=$B$3,"Normal","High Revenue")</f>
        <v>Normal</v>
      </c>
      <c r="Q606" s="51" t="str">
        <f>IF(Table4[[#This Row],[CTR]]&lt;=$B$4,"Normal","High CTR")</f>
        <v>Normal</v>
      </c>
      <c r="R606" s="51" t="str">
        <f>IF(Table4[[#This Row],[ROAS]]&lt;1,"Poor",IF(Table4[[#This Row],[ROAS]]&lt;3,"Average",IF(Table4[[#This Row],[ROAS]]&lt;5,"Good",
"Excellent")))</f>
        <v>Poor</v>
      </c>
      <c r="S606" s="51" t="str">
        <f>IF(AND(Table4[[#This Row],[USD_Spend]]&gt;=$B$5,Table4[[#This Row],[Sales]]&lt;=$B$6),"Wasted Budget","Spend Justified")</f>
        <v>Wasted Budget</v>
      </c>
      <c r="T606" s="51" t="str">
        <f>IF(AND(Table4[[#This Row],[Clicks]]&gt;=$B$7,Table4[[#This Row],[Sales]]&lt;=$B$6),"Poor Monetization","Normal Monitization")</f>
        <v>Poor Monetization</v>
      </c>
    </row>
    <row r="607" spans="1:20" x14ac:dyDescent="0.35">
      <c r="A607" s="41" t="s">
        <v>109</v>
      </c>
      <c r="B607" s="41" t="s">
        <v>35</v>
      </c>
      <c r="C607" s="41" t="s">
        <v>36</v>
      </c>
      <c r="D607" s="41" t="s">
        <v>21</v>
      </c>
      <c r="E607" s="41" t="s">
        <v>22</v>
      </c>
      <c r="F607" s="41">
        <v>11048.07</v>
      </c>
      <c r="G607" s="41">
        <v>547756</v>
      </c>
      <c r="H607" s="41">
        <v>44145</v>
      </c>
      <c r="I607" s="41">
        <v>195376.16</v>
      </c>
      <c r="J607" s="41">
        <v>27</v>
      </c>
      <c r="K607" s="42">
        <f t="shared" si="46"/>
        <v>8.0592453574219181E-2</v>
      </c>
      <c r="L607" s="43">
        <f t="shared" si="47"/>
        <v>17.684189184174251</v>
      </c>
      <c r="M607" s="43">
        <f t="shared" si="48"/>
        <v>16.684189184174251</v>
      </c>
      <c r="N607" s="43">
        <f t="shared" si="49"/>
        <v>4.4257823083021863</v>
      </c>
      <c r="O607" s="1" t="str">
        <f t="shared" si="45"/>
        <v>Normal</v>
      </c>
      <c r="P607" s="51" t="str">
        <f>IF(Table4[[#This Row],[Sales]]&lt;=$B$3,"Normal","High Revenue")</f>
        <v>Normal</v>
      </c>
      <c r="Q607" s="51" t="str">
        <f>IF(Table4[[#This Row],[CTR]]&lt;=$B$4,"Normal","High CTR")</f>
        <v>Normal</v>
      </c>
      <c r="R607" s="51" t="str">
        <f>IF(Table4[[#This Row],[ROAS]]&lt;1,"Poor",IF(Table4[[#This Row],[ROAS]]&lt;3,"Average",IF(Table4[[#This Row],[ROAS]]&lt;5,"Good",
"Excellent")))</f>
        <v>Excellent</v>
      </c>
      <c r="S607" s="51" t="str">
        <f>IF(AND(Table4[[#This Row],[USD_Spend]]&gt;=$B$5,Table4[[#This Row],[Sales]]&lt;=$B$6),"Wasted Budget","Spend Justified")</f>
        <v>Spend Justified</v>
      </c>
      <c r="T607" s="51" t="str">
        <f>IF(AND(Table4[[#This Row],[Clicks]]&gt;=$B$7,Table4[[#This Row],[Sales]]&lt;=$B$6),"Poor Monetization","Normal Monitization")</f>
        <v>Normal Monitization</v>
      </c>
    </row>
    <row r="608" spans="1:20" x14ac:dyDescent="0.35">
      <c r="A608" s="38" t="s">
        <v>66</v>
      </c>
      <c r="B608" s="38" t="s">
        <v>35</v>
      </c>
      <c r="C608" s="38" t="s">
        <v>29</v>
      </c>
      <c r="D608" s="38" t="s">
        <v>43</v>
      </c>
      <c r="E608" s="38" t="s">
        <v>30</v>
      </c>
      <c r="F608" s="38">
        <v>15938.59</v>
      </c>
      <c r="G608" s="38">
        <v>679987</v>
      </c>
      <c r="H608" s="38">
        <v>33370</v>
      </c>
      <c r="I608" s="38">
        <v>154197.70000000001</v>
      </c>
      <c r="J608" s="38">
        <v>12</v>
      </c>
      <c r="K608" s="39">
        <f t="shared" si="46"/>
        <v>4.9074467600115884E-2</v>
      </c>
      <c r="L608" s="40">
        <f t="shared" si="47"/>
        <v>9.6744881448108018</v>
      </c>
      <c r="M608" s="40">
        <f t="shared" si="48"/>
        <v>8.6744881448108035</v>
      </c>
      <c r="N608" s="40">
        <f t="shared" si="49"/>
        <v>4.6208480671261611</v>
      </c>
      <c r="O608" s="1" t="str">
        <f t="shared" si="45"/>
        <v>Normal</v>
      </c>
      <c r="P608" s="51" t="str">
        <f>IF(Table4[[#This Row],[Sales]]&lt;=$B$3,"Normal","High Revenue")</f>
        <v>Normal</v>
      </c>
      <c r="Q608" s="51" t="str">
        <f>IF(Table4[[#This Row],[CTR]]&lt;=$B$4,"Normal","High CTR")</f>
        <v>Normal</v>
      </c>
      <c r="R608" s="51" t="str">
        <f>IF(Table4[[#This Row],[ROAS]]&lt;1,"Poor",IF(Table4[[#This Row],[ROAS]]&lt;3,"Average",IF(Table4[[#This Row],[ROAS]]&lt;5,"Good",
"Excellent")))</f>
        <v>Excellent</v>
      </c>
      <c r="S608" s="51" t="str">
        <f>IF(AND(Table4[[#This Row],[USD_Spend]]&gt;=$B$5,Table4[[#This Row],[Sales]]&lt;=$B$6),"Wasted Budget","Spend Justified")</f>
        <v>Spend Justified</v>
      </c>
      <c r="T608" s="51" t="str">
        <f>IF(AND(Table4[[#This Row],[Clicks]]&gt;=$B$7,Table4[[#This Row],[Sales]]&lt;=$B$6),"Poor Monetization","Normal Monitization")</f>
        <v>Normal Monitization</v>
      </c>
    </row>
    <row r="609" spans="1:20" x14ac:dyDescent="0.35">
      <c r="A609" s="41" t="s">
        <v>102</v>
      </c>
      <c r="B609" s="41" t="s">
        <v>19</v>
      </c>
      <c r="C609" s="41" t="s">
        <v>20</v>
      </c>
      <c r="D609" s="41" t="s">
        <v>43</v>
      </c>
      <c r="E609" s="41" t="s">
        <v>30</v>
      </c>
      <c r="F609" s="41">
        <v>33820.239999999998</v>
      </c>
      <c r="G609" s="41">
        <v>111605</v>
      </c>
      <c r="H609" s="41">
        <v>15321</v>
      </c>
      <c r="I609" s="41">
        <v>77850.39</v>
      </c>
      <c r="J609" s="41">
        <v>52</v>
      </c>
      <c r="K609" s="42">
        <f t="shared" si="46"/>
        <v>0.13727879575287846</v>
      </c>
      <c r="L609" s="43">
        <f t="shared" si="47"/>
        <v>2.3018875679179098</v>
      </c>
      <c r="M609" s="43">
        <f t="shared" si="48"/>
        <v>1.3018875679179096</v>
      </c>
      <c r="N609" s="43">
        <f t="shared" si="49"/>
        <v>5.0812864695515962</v>
      </c>
      <c r="O609" s="1" t="str">
        <f t="shared" si="45"/>
        <v>Normal</v>
      </c>
      <c r="P609" s="51" t="str">
        <f>IF(Table4[[#This Row],[Sales]]&lt;=$B$3,"Normal","High Revenue")</f>
        <v>Normal</v>
      </c>
      <c r="Q609" s="51" t="str">
        <f>IF(Table4[[#This Row],[CTR]]&lt;=$B$4,"Normal","High CTR")</f>
        <v>Normal</v>
      </c>
      <c r="R609" s="51" t="str">
        <f>IF(Table4[[#This Row],[ROAS]]&lt;1,"Poor",IF(Table4[[#This Row],[ROAS]]&lt;3,"Average",IF(Table4[[#This Row],[ROAS]]&lt;5,"Good",
"Excellent")))</f>
        <v>Average</v>
      </c>
      <c r="S609" s="51" t="str">
        <f>IF(AND(Table4[[#This Row],[USD_Spend]]&gt;=$B$5,Table4[[#This Row],[Sales]]&lt;=$B$6),"Wasted Budget","Spend Justified")</f>
        <v>Spend Justified</v>
      </c>
      <c r="T609" s="51" t="str">
        <f>IF(AND(Table4[[#This Row],[Clicks]]&gt;=$B$7,Table4[[#This Row],[Sales]]&lt;=$B$6),"Poor Monetization","Normal Monitization")</f>
        <v>Normal Monitization</v>
      </c>
    </row>
    <row r="610" spans="1:20" x14ac:dyDescent="0.35">
      <c r="A610" s="38" t="s">
        <v>115</v>
      </c>
      <c r="B610" s="38" t="s">
        <v>28</v>
      </c>
      <c r="C610" s="38" t="s">
        <v>29</v>
      </c>
      <c r="D610" s="38" t="s">
        <v>63</v>
      </c>
      <c r="E610" s="38" t="s">
        <v>22</v>
      </c>
      <c r="F610" s="38">
        <v>1205.4100000000001</v>
      </c>
      <c r="G610" s="38">
        <v>112564</v>
      </c>
      <c r="H610" s="38">
        <v>3320</v>
      </c>
      <c r="I610" s="38">
        <v>163912.32999999999</v>
      </c>
      <c r="J610" s="38">
        <v>27</v>
      </c>
      <c r="K610" s="39">
        <f t="shared" si="46"/>
        <v>2.9494332113286663E-2</v>
      </c>
      <c r="L610" s="40">
        <f t="shared" si="47"/>
        <v>135.98056263014243</v>
      </c>
      <c r="M610" s="40">
        <f t="shared" si="48"/>
        <v>134.98056263014243</v>
      </c>
      <c r="N610" s="40">
        <f t="shared" si="49"/>
        <v>49.371183734939756</v>
      </c>
      <c r="O610" s="1" t="str">
        <f t="shared" si="45"/>
        <v>Normal</v>
      </c>
      <c r="P610" s="51" t="str">
        <f>IF(Table4[[#This Row],[Sales]]&lt;=$B$3,"Normal","High Revenue")</f>
        <v>Normal</v>
      </c>
      <c r="Q610" s="51" t="str">
        <f>IF(Table4[[#This Row],[CTR]]&lt;=$B$4,"Normal","High CTR")</f>
        <v>Normal</v>
      </c>
      <c r="R610" s="51" t="str">
        <f>IF(Table4[[#This Row],[ROAS]]&lt;1,"Poor",IF(Table4[[#This Row],[ROAS]]&lt;3,"Average",IF(Table4[[#This Row],[ROAS]]&lt;5,"Good",
"Excellent")))</f>
        <v>Excellent</v>
      </c>
      <c r="S610" s="51" t="str">
        <f>IF(AND(Table4[[#This Row],[USD_Spend]]&gt;=$B$5,Table4[[#This Row],[Sales]]&lt;=$B$6),"Wasted Budget","Spend Justified")</f>
        <v>Spend Justified</v>
      </c>
      <c r="T610" s="51" t="str">
        <f>IF(AND(Table4[[#This Row],[Clicks]]&gt;=$B$7,Table4[[#This Row],[Sales]]&lt;=$B$6),"Poor Monetization","Normal Monitization")</f>
        <v>Normal Monitization</v>
      </c>
    </row>
    <row r="611" spans="1:20" x14ac:dyDescent="0.35">
      <c r="A611" s="41" t="s">
        <v>42</v>
      </c>
      <c r="B611" s="41" t="s">
        <v>28</v>
      </c>
      <c r="C611" s="41" t="s">
        <v>58</v>
      </c>
      <c r="D611" s="41" t="s">
        <v>37</v>
      </c>
      <c r="E611" s="41" t="s">
        <v>22</v>
      </c>
      <c r="F611" s="41">
        <v>16140.44</v>
      </c>
      <c r="G611" s="41">
        <v>667233</v>
      </c>
      <c r="H611" s="41">
        <v>12522</v>
      </c>
      <c r="I611" s="41">
        <v>158044.97</v>
      </c>
      <c r="J611" s="41">
        <v>12</v>
      </c>
      <c r="K611" s="42">
        <f t="shared" si="46"/>
        <v>1.8767057384751654E-2</v>
      </c>
      <c r="L611" s="43">
        <f t="shared" si="47"/>
        <v>9.7918625514546065</v>
      </c>
      <c r="M611" s="43">
        <f t="shared" si="48"/>
        <v>8.7918625514546065</v>
      </c>
      <c r="N611" s="43">
        <f t="shared" si="49"/>
        <v>12.621383964222968</v>
      </c>
      <c r="O611" s="1" t="str">
        <f t="shared" si="45"/>
        <v>Normal</v>
      </c>
      <c r="P611" s="51" t="str">
        <f>IF(Table4[[#This Row],[Sales]]&lt;=$B$3,"Normal","High Revenue")</f>
        <v>Normal</v>
      </c>
      <c r="Q611" s="51" t="str">
        <f>IF(Table4[[#This Row],[CTR]]&lt;=$B$4,"Normal","High CTR")</f>
        <v>Normal</v>
      </c>
      <c r="R611" s="51" t="str">
        <f>IF(Table4[[#This Row],[ROAS]]&lt;1,"Poor",IF(Table4[[#This Row],[ROAS]]&lt;3,"Average",IF(Table4[[#This Row],[ROAS]]&lt;5,"Good",
"Excellent")))</f>
        <v>Excellent</v>
      </c>
      <c r="S611" s="51" t="str">
        <f>IF(AND(Table4[[#This Row],[USD_Spend]]&gt;=$B$5,Table4[[#This Row],[Sales]]&lt;=$B$6),"Wasted Budget","Spend Justified")</f>
        <v>Spend Justified</v>
      </c>
      <c r="T611" s="51" t="str">
        <f>IF(AND(Table4[[#This Row],[Clicks]]&gt;=$B$7,Table4[[#This Row],[Sales]]&lt;=$B$6),"Poor Monetization","Normal Monitization")</f>
        <v>Normal Monitization</v>
      </c>
    </row>
    <row r="612" spans="1:20" x14ac:dyDescent="0.35">
      <c r="A612" s="38" t="s">
        <v>42</v>
      </c>
      <c r="B612" s="38" t="s">
        <v>28</v>
      </c>
      <c r="C612" s="38" t="s">
        <v>20</v>
      </c>
      <c r="D612" s="38" t="s">
        <v>51</v>
      </c>
      <c r="E612" s="38" t="s">
        <v>30</v>
      </c>
      <c r="F612" s="38">
        <v>39682.61</v>
      </c>
      <c r="G612" s="38">
        <v>689068</v>
      </c>
      <c r="H612" s="38">
        <v>45073</v>
      </c>
      <c r="I612" s="38">
        <v>179840.69</v>
      </c>
      <c r="J612" s="38">
        <v>27</v>
      </c>
      <c r="K612" s="39">
        <f t="shared" si="46"/>
        <v>6.5411541386336328E-2</v>
      </c>
      <c r="L612" s="40">
        <f t="shared" si="47"/>
        <v>4.5319773573361228</v>
      </c>
      <c r="M612" s="40">
        <f t="shared" si="48"/>
        <v>3.5319773573361233</v>
      </c>
      <c r="N612" s="40">
        <f t="shared" si="49"/>
        <v>3.9899871319858895</v>
      </c>
      <c r="O612" s="1" t="str">
        <f t="shared" si="45"/>
        <v>Normal</v>
      </c>
      <c r="P612" s="51" t="str">
        <f>IF(Table4[[#This Row],[Sales]]&lt;=$B$3,"Normal","High Revenue")</f>
        <v>Normal</v>
      </c>
      <c r="Q612" s="51" t="str">
        <f>IF(Table4[[#This Row],[CTR]]&lt;=$B$4,"Normal","High CTR")</f>
        <v>Normal</v>
      </c>
      <c r="R612" s="51" t="str">
        <f>IF(Table4[[#This Row],[ROAS]]&lt;1,"Poor",IF(Table4[[#This Row],[ROAS]]&lt;3,"Average",IF(Table4[[#This Row],[ROAS]]&lt;5,"Good",
"Excellent")))</f>
        <v>Good</v>
      </c>
      <c r="S612" s="51" t="str">
        <f>IF(AND(Table4[[#This Row],[USD_Spend]]&gt;=$B$5,Table4[[#This Row],[Sales]]&lt;=$B$6),"Wasted Budget","Spend Justified")</f>
        <v>Spend Justified</v>
      </c>
      <c r="T612" s="51" t="str">
        <f>IF(AND(Table4[[#This Row],[Clicks]]&gt;=$B$7,Table4[[#This Row],[Sales]]&lt;=$B$6),"Poor Monetization","Normal Monitization")</f>
        <v>Normal Monitization</v>
      </c>
    </row>
    <row r="613" spans="1:20" x14ac:dyDescent="0.35">
      <c r="A613" s="41" t="s">
        <v>96</v>
      </c>
      <c r="B613" s="41" t="s">
        <v>48</v>
      </c>
      <c r="C613" s="41" t="s">
        <v>69</v>
      </c>
      <c r="D613" s="41" t="s">
        <v>59</v>
      </c>
      <c r="E613" s="41" t="s">
        <v>22</v>
      </c>
      <c r="F613" s="41">
        <v>1296.9100000000001</v>
      </c>
      <c r="G613" s="41">
        <v>476428</v>
      </c>
      <c r="H613" s="41">
        <v>38943</v>
      </c>
      <c r="I613" s="41">
        <v>147041.64000000001</v>
      </c>
      <c r="J613" s="41">
        <v>13</v>
      </c>
      <c r="K613" s="42">
        <f t="shared" si="46"/>
        <v>8.1739528323272345E-2</v>
      </c>
      <c r="L613" s="43">
        <f t="shared" si="47"/>
        <v>113.37844569014041</v>
      </c>
      <c r="M613" s="43">
        <f t="shared" si="48"/>
        <v>112.37844569014041</v>
      </c>
      <c r="N613" s="43">
        <f t="shared" si="49"/>
        <v>3.7758169632539871</v>
      </c>
      <c r="O613" s="1" t="str">
        <f t="shared" si="45"/>
        <v>Normal</v>
      </c>
      <c r="P613" s="51" t="str">
        <f>IF(Table4[[#This Row],[Sales]]&lt;=$B$3,"Normal","High Revenue")</f>
        <v>Normal</v>
      </c>
      <c r="Q613" s="51" t="str">
        <f>IF(Table4[[#This Row],[CTR]]&lt;=$B$4,"Normal","High CTR")</f>
        <v>Normal</v>
      </c>
      <c r="R613" s="51" t="str">
        <f>IF(Table4[[#This Row],[ROAS]]&lt;1,"Poor",IF(Table4[[#This Row],[ROAS]]&lt;3,"Average",IF(Table4[[#This Row],[ROAS]]&lt;5,"Good",
"Excellent")))</f>
        <v>Excellent</v>
      </c>
      <c r="S613" s="51" t="str">
        <f>IF(AND(Table4[[#This Row],[USD_Spend]]&gt;=$B$5,Table4[[#This Row],[Sales]]&lt;=$B$6),"Wasted Budget","Spend Justified")</f>
        <v>Spend Justified</v>
      </c>
      <c r="T613" s="51" t="str">
        <f>IF(AND(Table4[[#This Row],[Clicks]]&gt;=$B$7,Table4[[#This Row],[Sales]]&lt;=$B$6),"Poor Monetization","Normal Monitization")</f>
        <v>Normal Monitization</v>
      </c>
    </row>
    <row r="614" spans="1:20" x14ac:dyDescent="0.35">
      <c r="A614" s="38" t="s">
        <v>86</v>
      </c>
      <c r="B614" s="38" t="s">
        <v>35</v>
      </c>
      <c r="C614" s="38" t="s">
        <v>29</v>
      </c>
      <c r="D614" s="38" t="s">
        <v>59</v>
      </c>
      <c r="E614" s="38" t="s">
        <v>22</v>
      </c>
      <c r="F614" s="38">
        <v>10237.969999999999</v>
      </c>
      <c r="G614" s="38">
        <v>392615</v>
      </c>
      <c r="H614" s="38">
        <v>7622</v>
      </c>
      <c r="I614" s="38">
        <v>225150.23</v>
      </c>
      <c r="J614" s="38">
        <v>38</v>
      </c>
      <c r="K614" s="39">
        <f t="shared" si="46"/>
        <v>1.9413420271767508E-2</v>
      </c>
      <c r="L614" s="40">
        <f t="shared" si="47"/>
        <v>21.991686828541209</v>
      </c>
      <c r="M614" s="40">
        <f t="shared" si="48"/>
        <v>20.991686828541209</v>
      </c>
      <c r="N614" s="40">
        <f t="shared" si="49"/>
        <v>29.539521123064812</v>
      </c>
      <c r="O614" s="1" t="str">
        <f t="shared" si="45"/>
        <v>Normal</v>
      </c>
      <c r="P614" s="51" t="str">
        <f>IF(Table4[[#This Row],[Sales]]&lt;=$B$3,"Normal","High Revenue")</f>
        <v>Normal</v>
      </c>
      <c r="Q614" s="51" t="str">
        <f>IF(Table4[[#This Row],[CTR]]&lt;=$B$4,"Normal","High CTR")</f>
        <v>Normal</v>
      </c>
      <c r="R614" s="51" t="str">
        <f>IF(Table4[[#This Row],[ROAS]]&lt;1,"Poor",IF(Table4[[#This Row],[ROAS]]&lt;3,"Average",IF(Table4[[#This Row],[ROAS]]&lt;5,"Good",
"Excellent")))</f>
        <v>Excellent</v>
      </c>
      <c r="S614" s="51" t="str">
        <f>IF(AND(Table4[[#This Row],[USD_Spend]]&gt;=$B$5,Table4[[#This Row],[Sales]]&lt;=$B$6),"Wasted Budget","Spend Justified")</f>
        <v>Spend Justified</v>
      </c>
      <c r="T614" s="51" t="str">
        <f>IF(AND(Table4[[#This Row],[Clicks]]&gt;=$B$7,Table4[[#This Row],[Sales]]&lt;=$B$6),"Poor Monetization","Normal Monitization")</f>
        <v>Normal Monitization</v>
      </c>
    </row>
    <row r="615" spans="1:20" x14ac:dyDescent="0.35">
      <c r="A615" s="41" t="s">
        <v>34</v>
      </c>
      <c r="B615" s="41" t="s">
        <v>48</v>
      </c>
      <c r="C615" s="41" t="s">
        <v>36</v>
      </c>
      <c r="D615" s="41" t="s">
        <v>59</v>
      </c>
      <c r="E615" s="41" t="s">
        <v>30</v>
      </c>
      <c r="F615" s="41">
        <v>25482.38</v>
      </c>
      <c r="G615" s="41">
        <v>838446</v>
      </c>
      <c r="H615" s="41">
        <v>42809</v>
      </c>
      <c r="I615" s="41">
        <v>35401.89</v>
      </c>
      <c r="J615" s="41">
        <v>59</v>
      </c>
      <c r="K615" s="42">
        <f t="shared" si="46"/>
        <v>5.1057551708756435E-2</v>
      </c>
      <c r="L615" s="43">
        <f t="shared" si="47"/>
        <v>1.3892693696585641</v>
      </c>
      <c r="M615" s="43">
        <f t="shared" si="48"/>
        <v>0.38926936965856401</v>
      </c>
      <c r="N615" s="43">
        <f t="shared" si="49"/>
        <v>0.82697306641126866</v>
      </c>
      <c r="O615" s="1" t="str">
        <f t="shared" si="45"/>
        <v>Normal</v>
      </c>
      <c r="P615" s="51" t="str">
        <f>IF(Table4[[#This Row],[Sales]]&lt;=$B$3,"Normal","High Revenue")</f>
        <v>Normal</v>
      </c>
      <c r="Q615" s="51" t="str">
        <f>IF(Table4[[#This Row],[CTR]]&lt;=$B$4,"Normal","High CTR")</f>
        <v>Normal</v>
      </c>
      <c r="R615" s="51" t="str">
        <f>IF(Table4[[#This Row],[ROAS]]&lt;1,"Poor",IF(Table4[[#This Row],[ROAS]]&lt;3,"Average",IF(Table4[[#This Row],[ROAS]]&lt;5,"Good",
"Excellent")))</f>
        <v>Average</v>
      </c>
      <c r="S615" s="51" t="str">
        <f>IF(AND(Table4[[#This Row],[USD_Spend]]&gt;=$B$5,Table4[[#This Row],[Sales]]&lt;=$B$6),"Wasted Budget","Spend Justified")</f>
        <v>Wasted Budget</v>
      </c>
      <c r="T615" s="51" t="str">
        <f>IF(AND(Table4[[#This Row],[Clicks]]&gt;=$B$7,Table4[[#This Row],[Sales]]&lt;=$B$6),"Poor Monetization","Normal Monitization")</f>
        <v>Poor Monetization</v>
      </c>
    </row>
    <row r="616" spans="1:20" x14ac:dyDescent="0.35">
      <c r="A616" s="38" t="s">
        <v>99</v>
      </c>
      <c r="B616" s="38" t="s">
        <v>35</v>
      </c>
      <c r="C616" s="38" t="s">
        <v>20</v>
      </c>
      <c r="D616" s="38" t="s">
        <v>43</v>
      </c>
      <c r="E616" s="38" t="s">
        <v>22</v>
      </c>
      <c r="F616" s="38">
        <v>13083.32</v>
      </c>
      <c r="G616" s="38">
        <v>675905</v>
      </c>
      <c r="H616" s="38">
        <v>36199</v>
      </c>
      <c r="I616" s="38">
        <v>72240.5</v>
      </c>
      <c r="J616" s="38">
        <v>24</v>
      </c>
      <c r="K616" s="39">
        <f t="shared" si="46"/>
        <v>5.3556342977193541E-2</v>
      </c>
      <c r="L616" s="40">
        <f t="shared" si="47"/>
        <v>5.5215725060611529</v>
      </c>
      <c r="M616" s="40">
        <f t="shared" si="48"/>
        <v>4.5215725060611529</v>
      </c>
      <c r="N616" s="40">
        <f t="shared" si="49"/>
        <v>1.995649051078759</v>
      </c>
      <c r="O616" s="1" t="str">
        <f t="shared" si="45"/>
        <v>Normal</v>
      </c>
      <c r="P616" s="51" t="str">
        <f>IF(Table4[[#This Row],[Sales]]&lt;=$B$3,"Normal","High Revenue")</f>
        <v>Normal</v>
      </c>
      <c r="Q616" s="51" t="str">
        <f>IF(Table4[[#This Row],[CTR]]&lt;=$B$4,"Normal","High CTR")</f>
        <v>Normal</v>
      </c>
      <c r="R616" s="51" t="str">
        <f>IF(Table4[[#This Row],[ROAS]]&lt;1,"Poor",IF(Table4[[#This Row],[ROAS]]&lt;3,"Average",IF(Table4[[#This Row],[ROAS]]&lt;5,"Good",
"Excellent")))</f>
        <v>Excellent</v>
      </c>
      <c r="S616" s="51" t="str">
        <f>IF(AND(Table4[[#This Row],[USD_Spend]]&gt;=$B$5,Table4[[#This Row],[Sales]]&lt;=$B$6),"Wasted Budget","Spend Justified")</f>
        <v>Spend Justified</v>
      </c>
      <c r="T616" s="51" t="str">
        <f>IF(AND(Table4[[#This Row],[Clicks]]&gt;=$B$7,Table4[[#This Row],[Sales]]&lt;=$B$6),"Poor Monetization","Normal Monitization")</f>
        <v>Normal Monitization</v>
      </c>
    </row>
    <row r="617" spans="1:20" x14ac:dyDescent="0.35">
      <c r="A617" s="41" t="s">
        <v>120</v>
      </c>
      <c r="B617" s="41" t="s">
        <v>19</v>
      </c>
      <c r="C617" s="41" t="s">
        <v>36</v>
      </c>
      <c r="D617" s="41" t="s">
        <v>21</v>
      </c>
      <c r="E617" s="41" t="s">
        <v>22</v>
      </c>
      <c r="F617" s="41">
        <v>40772.74</v>
      </c>
      <c r="G617" s="41">
        <v>338487</v>
      </c>
      <c r="H617" s="41">
        <v>35988</v>
      </c>
      <c r="I617" s="41">
        <v>7591.61</v>
      </c>
      <c r="J617" s="41">
        <v>27</v>
      </c>
      <c r="K617" s="42">
        <f t="shared" si="46"/>
        <v>0.10632018364073066</v>
      </c>
      <c r="L617" s="43">
        <f t="shared" si="47"/>
        <v>0.18619327521280149</v>
      </c>
      <c r="M617" s="43">
        <f t="shared" si="48"/>
        <v>-0.81380672478719851</v>
      </c>
      <c r="N617" s="43">
        <f t="shared" si="49"/>
        <v>0.21094837167944869</v>
      </c>
      <c r="O617" s="1" t="str">
        <f t="shared" si="45"/>
        <v>Normal</v>
      </c>
      <c r="P617" s="51" t="str">
        <f>IF(Table4[[#This Row],[Sales]]&lt;=$B$3,"Normal","High Revenue")</f>
        <v>Normal</v>
      </c>
      <c r="Q617" s="51" t="str">
        <f>IF(Table4[[#This Row],[CTR]]&lt;=$B$4,"Normal","High CTR")</f>
        <v>Normal</v>
      </c>
      <c r="R617" s="51" t="str">
        <f>IF(Table4[[#This Row],[ROAS]]&lt;1,"Poor",IF(Table4[[#This Row],[ROAS]]&lt;3,"Average",IF(Table4[[#This Row],[ROAS]]&lt;5,"Good",
"Excellent")))</f>
        <v>Poor</v>
      </c>
      <c r="S617" s="51" t="str">
        <f>IF(AND(Table4[[#This Row],[USD_Spend]]&gt;=$B$5,Table4[[#This Row],[Sales]]&lt;=$B$6),"Wasted Budget","Spend Justified")</f>
        <v>Wasted Budget</v>
      </c>
      <c r="T617" s="51" t="str">
        <f>IF(AND(Table4[[#This Row],[Clicks]]&gt;=$B$7,Table4[[#This Row],[Sales]]&lt;=$B$6),"Poor Monetization","Normal Monitization")</f>
        <v>Normal Monitization</v>
      </c>
    </row>
    <row r="618" spans="1:20" x14ac:dyDescent="0.35">
      <c r="A618" s="38" t="s">
        <v>94</v>
      </c>
      <c r="B618" s="38" t="s">
        <v>48</v>
      </c>
      <c r="C618" s="38" t="s">
        <v>58</v>
      </c>
      <c r="D618" s="38" t="s">
        <v>51</v>
      </c>
      <c r="E618" s="38" t="s">
        <v>30</v>
      </c>
      <c r="F618" s="38">
        <v>4929.37</v>
      </c>
      <c r="G618" s="38">
        <v>853356</v>
      </c>
      <c r="H618" s="38">
        <v>20802</v>
      </c>
      <c r="I618" s="38">
        <v>105167.03999999999</v>
      </c>
      <c r="J618" s="38">
        <v>6</v>
      </c>
      <c r="K618" s="39">
        <f t="shared" si="46"/>
        <v>2.437669624400602E-2</v>
      </c>
      <c r="L618" s="40">
        <f t="shared" si="47"/>
        <v>21.334783146730718</v>
      </c>
      <c r="M618" s="40">
        <f t="shared" si="48"/>
        <v>20.334783146730718</v>
      </c>
      <c r="N618" s="40">
        <f t="shared" si="49"/>
        <v>5.0556215748485718</v>
      </c>
      <c r="O618" s="1" t="str">
        <f t="shared" si="45"/>
        <v>Normal</v>
      </c>
      <c r="P618" s="51" t="str">
        <f>IF(Table4[[#This Row],[Sales]]&lt;=$B$3,"Normal","High Revenue")</f>
        <v>Normal</v>
      </c>
      <c r="Q618" s="51" t="str">
        <f>IF(Table4[[#This Row],[CTR]]&lt;=$B$4,"Normal","High CTR")</f>
        <v>Normal</v>
      </c>
      <c r="R618" s="51" t="str">
        <f>IF(Table4[[#This Row],[ROAS]]&lt;1,"Poor",IF(Table4[[#This Row],[ROAS]]&lt;3,"Average",IF(Table4[[#This Row],[ROAS]]&lt;5,"Good",
"Excellent")))</f>
        <v>Excellent</v>
      </c>
      <c r="S618" s="51" t="str">
        <f>IF(AND(Table4[[#This Row],[USD_Spend]]&gt;=$B$5,Table4[[#This Row],[Sales]]&lt;=$B$6),"Wasted Budget","Spend Justified")</f>
        <v>Spend Justified</v>
      </c>
      <c r="T618" s="51" t="str">
        <f>IF(AND(Table4[[#This Row],[Clicks]]&gt;=$B$7,Table4[[#This Row],[Sales]]&lt;=$B$6),"Poor Monetization","Normal Monitization")</f>
        <v>Normal Monitization</v>
      </c>
    </row>
    <row r="619" spans="1:20" x14ac:dyDescent="0.35">
      <c r="A619" s="41" t="s">
        <v>98</v>
      </c>
      <c r="B619" s="41" t="s">
        <v>35</v>
      </c>
      <c r="C619" s="41" t="s">
        <v>36</v>
      </c>
      <c r="D619" s="41" t="s">
        <v>51</v>
      </c>
      <c r="E619" s="41" t="s">
        <v>22</v>
      </c>
      <c r="F619" s="41">
        <v>2280.02</v>
      </c>
      <c r="G619" s="41">
        <v>767065</v>
      </c>
      <c r="H619" s="41">
        <v>45763</v>
      </c>
      <c r="I619" s="41">
        <v>115849.56</v>
      </c>
      <c r="J619" s="41">
        <v>36</v>
      </c>
      <c r="K619" s="42">
        <f t="shared" si="46"/>
        <v>5.9659872370659589E-2</v>
      </c>
      <c r="L619" s="43">
        <f t="shared" si="47"/>
        <v>50.810764817852473</v>
      </c>
      <c r="M619" s="43">
        <f t="shared" si="48"/>
        <v>49.810764817852473</v>
      </c>
      <c r="N619" s="43">
        <f t="shared" si="49"/>
        <v>2.5315114830758474</v>
      </c>
      <c r="O619" s="1" t="str">
        <f t="shared" si="45"/>
        <v>Normal</v>
      </c>
      <c r="P619" s="51" t="str">
        <f>IF(Table4[[#This Row],[Sales]]&lt;=$B$3,"Normal","High Revenue")</f>
        <v>Normal</v>
      </c>
      <c r="Q619" s="51" t="str">
        <f>IF(Table4[[#This Row],[CTR]]&lt;=$B$4,"Normal","High CTR")</f>
        <v>Normal</v>
      </c>
      <c r="R619" s="51" t="str">
        <f>IF(Table4[[#This Row],[ROAS]]&lt;1,"Poor",IF(Table4[[#This Row],[ROAS]]&lt;3,"Average",IF(Table4[[#This Row],[ROAS]]&lt;5,"Good",
"Excellent")))</f>
        <v>Excellent</v>
      </c>
      <c r="S619" s="51" t="str">
        <f>IF(AND(Table4[[#This Row],[USD_Spend]]&gt;=$B$5,Table4[[#This Row],[Sales]]&lt;=$B$6),"Wasted Budget","Spend Justified")</f>
        <v>Spend Justified</v>
      </c>
      <c r="T619" s="51" t="str">
        <f>IF(AND(Table4[[#This Row],[Clicks]]&gt;=$B$7,Table4[[#This Row],[Sales]]&lt;=$B$6),"Poor Monetization","Normal Monitization")</f>
        <v>Normal Monitization</v>
      </c>
    </row>
    <row r="620" spans="1:20" x14ac:dyDescent="0.35">
      <c r="A620" s="38" t="s">
        <v>67</v>
      </c>
      <c r="B620" s="38" t="s">
        <v>35</v>
      </c>
      <c r="C620" s="38" t="s">
        <v>58</v>
      </c>
      <c r="D620" s="38" t="s">
        <v>43</v>
      </c>
      <c r="E620" s="38" t="s">
        <v>22</v>
      </c>
      <c r="F620" s="38">
        <v>7634.29</v>
      </c>
      <c r="G620" s="38">
        <v>39246</v>
      </c>
      <c r="H620" s="38">
        <v>35485</v>
      </c>
      <c r="I620" s="38">
        <v>150163.38</v>
      </c>
      <c r="J620" s="38">
        <v>27</v>
      </c>
      <c r="K620" s="39">
        <f t="shared" si="46"/>
        <v>0.90416857768944603</v>
      </c>
      <c r="L620" s="40">
        <f t="shared" si="47"/>
        <v>19.669593374105517</v>
      </c>
      <c r="M620" s="40">
        <f t="shared" si="48"/>
        <v>18.669593374105517</v>
      </c>
      <c r="N620" s="40">
        <f t="shared" si="49"/>
        <v>4.2317424263773429</v>
      </c>
      <c r="O620" s="1" t="str">
        <f t="shared" si="45"/>
        <v>Normal</v>
      </c>
      <c r="P620" s="51" t="str">
        <f>IF(Table4[[#This Row],[Sales]]&lt;=$B$3,"Normal","High Revenue")</f>
        <v>Normal</v>
      </c>
      <c r="Q620" s="51" t="str">
        <f>IF(Table4[[#This Row],[CTR]]&lt;=$B$4,"Normal","High CTR")</f>
        <v>High CTR</v>
      </c>
      <c r="R620" s="51" t="str">
        <f>IF(Table4[[#This Row],[ROAS]]&lt;1,"Poor",IF(Table4[[#This Row],[ROAS]]&lt;3,"Average",IF(Table4[[#This Row],[ROAS]]&lt;5,"Good",
"Excellent")))</f>
        <v>Excellent</v>
      </c>
      <c r="S620" s="51" t="str">
        <f>IF(AND(Table4[[#This Row],[USD_Spend]]&gt;=$B$5,Table4[[#This Row],[Sales]]&lt;=$B$6),"Wasted Budget","Spend Justified")</f>
        <v>Spend Justified</v>
      </c>
      <c r="T620" s="51" t="str">
        <f>IF(AND(Table4[[#This Row],[Clicks]]&gt;=$B$7,Table4[[#This Row],[Sales]]&lt;=$B$6),"Poor Monetization","Normal Monitization")</f>
        <v>Normal Monitization</v>
      </c>
    </row>
    <row r="621" spans="1:20" x14ac:dyDescent="0.35">
      <c r="A621" s="41" t="s">
        <v>75</v>
      </c>
      <c r="B621" s="41" t="s">
        <v>19</v>
      </c>
      <c r="C621" s="41" t="s">
        <v>20</v>
      </c>
      <c r="D621" s="41" t="s">
        <v>21</v>
      </c>
      <c r="E621" s="41" t="s">
        <v>30</v>
      </c>
      <c r="F621" s="41">
        <v>22992.41</v>
      </c>
      <c r="G621" s="41">
        <v>54476</v>
      </c>
      <c r="H621" s="41">
        <v>16203</v>
      </c>
      <c r="I621" s="41">
        <v>132082.15</v>
      </c>
      <c r="J621" s="41">
        <v>12</v>
      </c>
      <c r="K621" s="42">
        <f t="shared" si="46"/>
        <v>0.29743373228577724</v>
      </c>
      <c r="L621" s="43">
        <f t="shared" si="47"/>
        <v>5.7445978912171451</v>
      </c>
      <c r="M621" s="43">
        <f t="shared" si="48"/>
        <v>4.7445978912171451</v>
      </c>
      <c r="N621" s="43">
        <f t="shared" si="49"/>
        <v>8.1517095599580323</v>
      </c>
      <c r="O621" s="1" t="str">
        <f t="shared" si="45"/>
        <v>Normal</v>
      </c>
      <c r="P621" s="51" t="str">
        <f>IF(Table4[[#This Row],[Sales]]&lt;=$B$3,"Normal","High Revenue")</f>
        <v>Normal</v>
      </c>
      <c r="Q621" s="51" t="str">
        <f>IF(Table4[[#This Row],[CTR]]&lt;=$B$4,"Normal","High CTR")</f>
        <v>Normal</v>
      </c>
      <c r="R621" s="51" t="str">
        <f>IF(Table4[[#This Row],[ROAS]]&lt;1,"Poor",IF(Table4[[#This Row],[ROAS]]&lt;3,"Average",IF(Table4[[#This Row],[ROAS]]&lt;5,"Good",
"Excellent")))</f>
        <v>Excellent</v>
      </c>
      <c r="S621" s="51" t="str">
        <f>IF(AND(Table4[[#This Row],[USD_Spend]]&gt;=$B$5,Table4[[#This Row],[Sales]]&lt;=$B$6),"Wasted Budget","Spend Justified")</f>
        <v>Spend Justified</v>
      </c>
      <c r="T621" s="51" t="str">
        <f>IF(AND(Table4[[#This Row],[Clicks]]&gt;=$B$7,Table4[[#This Row],[Sales]]&lt;=$B$6),"Poor Monetization","Normal Monitization")</f>
        <v>Normal Monitization</v>
      </c>
    </row>
    <row r="622" spans="1:20" x14ac:dyDescent="0.35">
      <c r="A622" s="38" t="s">
        <v>115</v>
      </c>
      <c r="B622" s="38" t="s">
        <v>28</v>
      </c>
      <c r="C622" s="38" t="s">
        <v>29</v>
      </c>
      <c r="D622" s="38" t="s">
        <v>37</v>
      </c>
      <c r="E622" s="38" t="s">
        <v>38</v>
      </c>
      <c r="F622" s="38">
        <v>7399.06</v>
      </c>
      <c r="G622" s="38">
        <v>523911</v>
      </c>
      <c r="H622" s="38">
        <v>18485</v>
      </c>
      <c r="I622" s="38">
        <v>83868.28</v>
      </c>
      <c r="J622" s="38">
        <v>39</v>
      </c>
      <c r="K622" s="39">
        <f t="shared" si="46"/>
        <v>3.5282710231317918E-2</v>
      </c>
      <c r="L622" s="40">
        <f t="shared" si="47"/>
        <v>11.334991201585066</v>
      </c>
      <c r="M622" s="40">
        <f t="shared" si="48"/>
        <v>10.334991201585066</v>
      </c>
      <c r="N622" s="40">
        <f t="shared" si="49"/>
        <v>4.5370992696781176</v>
      </c>
      <c r="O622" s="1" t="str">
        <f t="shared" si="45"/>
        <v>Normal</v>
      </c>
      <c r="P622" s="51" t="str">
        <f>IF(Table4[[#This Row],[Sales]]&lt;=$B$3,"Normal","High Revenue")</f>
        <v>Normal</v>
      </c>
      <c r="Q622" s="51" t="str">
        <f>IF(Table4[[#This Row],[CTR]]&lt;=$B$4,"Normal","High CTR")</f>
        <v>Normal</v>
      </c>
      <c r="R622" s="51" t="str">
        <f>IF(Table4[[#This Row],[ROAS]]&lt;1,"Poor",IF(Table4[[#This Row],[ROAS]]&lt;3,"Average",IF(Table4[[#This Row],[ROAS]]&lt;5,"Good",
"Excellent")))</f>
        <v>Excellent</v>
      </c>
      <c r="S622" s="51" t="str">
        <f>IF(AND(Table4[[#This Row],[USD_Spend]]&gt;=$B$5,Table4[[#This Row],[Sales]]&lt;=$B$6),"Wasted Budget","Spend Justified")</f>
        <v>Spend Justified</v>
      </c>
      <c r="T622" s="51" t="str">
        <f>IF(AND(Table4[[#This Row],[Clicks]]&gt;=$B$7,Table4[[#This Row],[Sales]]&lt;=$B$6),"Poor Monetization","Normal Monitization")</f>
        <v>Normal Monitization</v>
      </c>
    </row>
    <row r="623" spans="1:20" x14ac:dyDescent="0.35">
      <c r="A623" s="41" t="s">
        <v>118</v>
      </c>
      <c r="B623" s="41" t="s">
        <v>19</v>
      </c>
      <c r="C623" s="41" t="s">
        <v>58</v>
      </c>
      <c r="D623" s="41" t="s">
        <v>63</v>
      </c>
      <c r="E623" s="41" t="s">
        <v>38</v>
      </c>
      <c r="F623" s="41">
        <v>12239.51</v>
      </c>
      <c r="G623" s="41">
        <v>374032</v>
      </c>
      <c r="H623" s="41">
        <v>31665</v>
      </c>
      <c r="I623" s="41">
        <v>137218.69</v>
      </c>
      <c r="J623" s="41">
        <v>46</v>
      </c>
      <c r="K623" s="42">
        <f t="shared" si="46"/>
        <v>8.4658531890319549E-2</v>
      </c>
      <c r="L623" s="43">
        <f t="shared" si="47"/>
        <v>11.21112609900233</v>
      </c>
      <c r="M623" s="43">
        <f t="shared" si="48"/>
        <v>10.21112609900233</v>
      </c>
      <c r="N623" s="43">
        <f t="shared" si="49"/>
        <v>4.3334498657824101</v>
      </c>
      <c r="O623" s="1" t="str">
        <f t="shared" si="45"/>
        <v>Normal</v>
      </c>
      <c r="P623" s="51" t="str">
        <f>IF(Table4[[#This Row],[Sales]]&lt;=$B$3,"Normal","High Revenue")</f>
        <v>Normal</v>
      </c>
      <c r="Q623" s="51" t="str">
        <f>IF(Table4[[#This Row],[CTR]]&lt;=$B$4,"Normal","High CTR")</f>
        <v>Normal</v>
      </c>
      <c r="R623" s="51" t="str">
        <f>IF(Table4[[#This Row],[ROAS]]&lt;1,"Poor",IF(Table4[[#This Row],[ROAS]]&lt;3,"Average",IF(Table4[[#This Row],[ROAS]]&lt;5,"Good",
"Excellent")))</f>
        <v>Excellent</v>
      </c>
      <c r="S623" s="51" t="str">
        <f>IF(AND(Table4[[#This Row],[USD_Spend]]&gt;=$B$5,Table4[[#This Row],[Sales]]&lt;=$B$6),"Wasted Budget","Spend Justified")</f>
        <v>Spend Justified</v>
      </c>
      <c r="T623" s="51" t="str">
        <f>IF(AND(Table4[[#This Row],[Clicks]]&gt;=$B$7,Table4[[#This Row],[Sales]]&lt;=$B$6),"Poor Monetization","Normal Monitization")</f>
        <v>Normal Monitization</v>
      </c>
    </row>
    <row r="624" spans="1:20" x14ac:dyDescent="0.35">
      <c r="A624" s="38" t="s">
        <v>115</v>
      </c>
      <c r="B624" s="38" t="s">
        <v>19</v>
      </c>
      <c r="C624" s="38" t="s">
        <v>58</v>
      </c>
      <c r="D624" s="38" t="s">
        <v>51</v>
      </c>
      <c r="E624" s="38" t="s">
        <v>30</v>
      </c>
      <c r="F624" s="38">
        <v>22381.02</v>
      </c>
      <c r="G624" s="38">
        <v>651784</v>
      </c>
      <c r="H624" s="38">
        <v>3913</v>
      </c>
      <c r="I624" s="38">
        <v>31779.05</v>
      </c>
      <c r="J624" s="38">
        <v>32</v>
      </c>
      <c r="K624" s="39">
        <f t="shared" si="46"/>
        <v>6.0035226394020104E-3</v>
      </c>
      <c r="L624" s="40">
        <f t="shared" si="47"/>
        <v>1.4199107100570036</v>
      </c>
      <c r="M624" s="40">
        <f t="shared" si="48"/>
        <v>0.41991071005700359</v>
      </c>
      <c r="N624" s="40">
        <f t="shared" si="49"/>
        <v>8.1214030155890615</v>
      </c>
      <c r="O624" s="1" t="str">
        <f t="shared" si="45"/>
        <v>Normal</v>
      </c>
      <c r="P624" s="51" t="str">
        <f>IF(Table4[[#This Row],[Sales]]&lt;=$B$3,"Normal","High Revenue")</f>
        <v>Normal</v>
      </c>
      <c r="Q624" s="51" t="str">
        <f>IF(Table4[[#This Row],[CTR]]&lt;=$B$4,"Normal","High CTR")</f>
        <v>Normal</v>
      </c>
      <c r="R624" s="51" t="str">
        <f>IF(Table4[[#This Row],[ROAS]]&lt;1,"Poor",IF(Table4[[#This Row],[ROAS]]&lt;3,"Average",IF(Table4[[#This Row],[ROAS]]&lt;5,"Good",
"Excellent")))</f>
        <v>Average</v>
      </c>
      <c r="S624" s="51" t="str">
        <f>IF(AND(Table4[[#This Row],[USD_Spend]]&gt;=$B$5,Table4[[#This Row],[Sales]]&lt;=$B$6),"Wasted Budget","Spend Justified")</f>
        <v>Wasted Budget</v>
      </c>
      <c r="T624" s="51" t="str">
        <f>IF(AND(Table4[[#This Row],[Clicks]]&gt;=$B$7,Table4[[#This Row],[Sales]]&lt;=$B$6),"Poor Monetization","Normal Monitization")</f>
        <v>Normal Monitization</v>
      </c>
    </row>
    <row r="625" spans="1:20" x14ac:dyDescent="0.35">
      <c r="A625" s="41" t="s">
        <v>115</v>
      </c>
      <c r="B625" s="41" t="s">
        <v>19</v>
      </c>
      <c r="C625" s="41" t="s">
        <v>29</v>
      </c>
      <c r="D625" s="41" t="s">
        <v>43</v>
      </c>
      <c r="E625" s="41" t="s">
        <v>30</v>
      </c>
      <c r="F625" s="41">
        <v>41756.550000000003</v>
      </c>
      <c r="G625" s="41">
        <v>190117</v>
      </c>
      <c r="H625" s="41">
        <v>49515</v>
      </c>
      <c r="I625" s="41">
        <v>136595.99</v>
      </c>
      <c r="J625" s="41">
        <v>19</v>
      </c>
      <c r="K625" s="42">
        <f t="shared" si="46"/>
        <v>0.26044488393988963</v>
      </c>
      <c r="L625" s="43">
        <f t="shared" si="47"/>
        <v>3.2712470259156943</v>
      </c>
      <c r="M625" s="43">
        <f t="shared" si="48"/>
        <v>2.2712470259156943</v>
      </c>
      <c r="N625" s="43">
        <f t="shared" si="49"/>
        <v>2.7586789861658083</v>
      </c>
      <c r="O625" s="1" t="str">
        <f t="shared" si="45"/>
        <v>Normal</v>
      </c>
      <c r="P625" s="51" t="str">
        <f>IF(Table4[[#This Row],[Sales]]&lt;=$B$3,"Normal","High Revenue")</f>
        <v>Normal</v>
      </c>
      <c r="Q625" s="51" t="str">
        <f>IF(Table4[[#This Row],[CTR]]&lt;=$B$4,"Normal","High CTR")</f>
        <v>Normal</v>
      </c>
      <c r="R625" s="51" t="str">
        <f>IF(Table4[[#This Row],[ROAS]]&lt;1,"Poor",IF(Table4[[#This Row],[ROAS]]&lt;3,"Average",IF(Table4[[#This Row],[ROAS]]&lt;5,"Good",
"Excellent")))</f>
        <v>Good</v>
      </c>
      <c r="S625" s="51" t="str">
        <f>IF(AND(Table4[[#This Row],[USD_Spend]]&gt;=$B$5,Table4[[#This Row],[Sales]]&lt;=$B$6),"Wasted Budget","Spend Justified")</f>
        <v>Spend Justified</v>
      </c>
      <c r="T625" s="51" t="str">
        <f>IF(AND(Table4[[#This Row],[Clicks]]&gt;=$B$7,Table4[[#This Row],[Sales]]&lt;=$B$6),"Poor Monetization","Normal Monitization")</f>
        <v>Normal Monitization</v>
      </c>
    </row>
    <row r="626" spans="1:20" x14ac:dyDescent="0.35">
      <c r="A626" s="38" t="s">
        <v>79</v>
      </c>
      <c r="B626" s="38" t="s">
        <v>28</v>
      </c>
      <c r="C626" s="38" t="s">
        <v>20</v>
      </c>
      <c r="D626" s="38" t="s">
        <v>21</v>
      </c>
      <c r="E626" s="38" t="s">
        <v>30</v>
      </c>
      <c r="F626" s="38">
        <v>10082.89</v>
      </c>
      <c r="G626" s="38">
        <v>13642</v>
      </c>
      <c r="H626" s="38">
        <v>49656</v>
      </c>
      <c r="I626" s="38">
        <v>10570.16</v>
      </c>
      <c r="J626" s="38">
        <v>14</v>
      </c>
      <c r="K626" s="39">
        <f t="shared" si="46"/>
        <v>3.6399354933294239</v>
      </c>
      <c r="L626" s="40">
        <f t="shared" si="47"/>
        <v>1.0483264222856741</v>
      </c>
      <c r="M626" s="40">
        <f t="shared" si="48"/>
        <v>4.8326422285674096E-2</v>
      </c>
      <c r="N626" s="40">
        <f t="shared" si="49"/>
        <v>0.21286772998227807</v>
      </c>
      <c r="O626" s="1" t="str">
        <f t="shared" si="45"/>
        <v>Normal</v>
      </c>
      <c r="P626" s="51" t="str">
        <f>IF(Table4[[#This Row],[Sales]]&lt;=$B$3,"Normal","High Revenue")</f>
        <v>Normal</v>
      </c>
      <c r="Q626" s="51" t="str">
        <f>IF(Table4[[#This Row],[CTR]]&lt;=$B$4,"Normal","High CTR")</f>
        <v>High CTR</v>
      </c>
      <c r="R626" s="51" t="str">
        <f>IF(Table4[[#This Row],[ROAS]]&lt;1,"Poor",IF(Table4[[#This Row],[ROAS]]&lt;3,"Average",IF(Table4[[#This Row],[ROAS]]&lt;5,"Good",
"Excellent")))</f>
        <v>Average</v>
      </c>
      <c r="S626" s="51" t="str">
        <f>IF(AND(Table4[[#This Row],[USD_Spend]]&gt;=$B$5,Table4[[#This Row],[Sales]]&lt;=$B$6),"Wasted Budget","Spend Justified")</f>
        <v>Wasted Budget</v>
      </c>
      <c r="T626" s="51" t="str">
        <f>IF(AND(Table4[[#This Row],[Clicks]]&gt;=$B$7,Table4[[#This Row],[Sales]]&lt;=$B$6),"Poor Monetization","Normal Monitization")</f>
        <v>Poor Monetization</v>
      </c>
    </row>
    <row r="627" spans="1:20" x14ac:dyDescent="0.35">
      <c r="A627" s="41" t="s">
        <v>99</v>
      </c>
      <c r="B627" s="41" t="s">
        <v>48</v>
      </c>
      <c r="C627" s="41" t="s">
        <v>58</v>
      </c>
      <c r="D627" s="41" t="s">
        <v>43</v>
      </c>
      <c r="E627" s="41" t="s">
        <v>30</v>
      </c>
      <c r="F627" s="41">
        <v>1108.8599999999999</v>
      </c>
      <c r="G627" s="41">
        <v>471477</v>
      </c>
      <c r="H627" s="41">
        <v>23115</v>
      </c>
      <c r="I627" s="41">
        <v>181995.85</v>
      </c>
      <c r="J627" s="41">
        <v>42</v>
      </c>
      <c r="K627" s="42">
        <f t="shared" si="46"/>
        <v>4.9026781794233865E-2</v>
      </c>
      <c r="L627" s="43">
        <f t="shared" si="47"/>
        <v>164.12878992839495</v>
      </c>
      <c r="M627" s="43">
        <f t="shared" si="48"/>
        <v>163.12878992839495</v>
      </c>
      <c r="N627" s="43">
        <f t="shared" si="49"/>
        <v>7.8734955656500114</v>
      </c>
      <c r="O627" s="1" t="str">
        <f t="shared" si="45"/>
        <v>Normal</v>
      </c>
      <c r="P627" s="51" t="str">
        <f>IF(Table4[[#This Row],[Sales]]&lt;=$B$3,"Normal","High Revenue")</f>
        <v>Normal</v>
      </c>
      <c r="Q627" s="51" t="str">
        <f>IF(Table4[[#This Row],[CTR]]&lt;=$B$4,"Normal","High CTR")</f>
        <v>Normal</v>
      </c>
      <c r="R627" s="51" t="str">
        <f>IF(Table4[[#This Row],[ROAS]]&lt;1,"Poor",IF(Table4[[#This Row],[ROAS]]&lt;3,"Average",IF(Table4[[#This Row],[ROAS]]&lt;5,"Good",
"Excellent")))</f>
        <v>Excellent</v>
      </c>
      <c r="S627" s="51" t="str">
        <f>IF(AND(Table4[[#This Row],[USD_Spend]]&gt;=$B$5,Table4[[#This Row],[Sales]]&lt;=$B$6),"Wasted Budget","Spend Justified")</f>
        <v>Spend Justified</v>
      </c>
      <c r="T627" s="51" t="str">
        <f>IF(AND(Table4[[#This Row],[Clicks]]&gt;=$B$7,Table4[[#This Row],[Sales]]&lt;=$B$6),"Poor Monetization","Normal Monitization")</f>
        <v>Normal Monitization</v>
      </c>
    </row>
    <row r="628" spans="1:20" x14ac:dyDescent="0.35">
      <c r="A628" s="38" t="s">
        <v>71</v>
      </c>
      <c r="B628" s="38" t="s">
        <v>48</v>
      </c>
      <c r="C628" s="38" t="s">
        <v>36</v>
      </c>
      <c r="D628" s="38" t="s">
        <v>43</v>
      </c>
      <c r="E628" s="38" t="s">
        <v>38</v>
      </c>
      <c r="F628" s="38">
        <v>14071.26</v>
      </c>
      <c r="G628" s="38">
        <v>741963</v>
      </c>
      <c r="H628" s="38">
        <v>40240</v>
      </c>
      <c r="I628" s="38">
        <v>137896.6</v>
      </c>
      <c r="J628" s="38">
        <v>8</v>
      </c>
      <c r="K628" s="39">
        <f t="shared" si="46"/>
        <v>5.4234510346203246E-2</v>
      </c>
      <c r="L628" s="40">
        <f t="shared" si="47"/>
        <v>9.7998757751615706</v>
      </c>
      <c r="M628" s="40">
        <f t="shared" si="48"/>
        <v>8.7998757751615706</v>
      </c>
      <c r="N628" s="40">
        <f t="shared" si="49"/>
        <v>3.4268538767395627</v>
      </c>
      <c r="O628" s="1" t="str">
        <f t="shared" si="45"/>
        <v>Normal</v>
      </c>
      <c r="P628" s="51" t="str">
        <f>IF(Table4[[#This Row],[Sales]]&lt;=$B$3,"Normal","High Revenue")</f>
        <v>Normal</v>
      </c>
      <c r="Q628" s="51" t="str">
        <f>IF(Table4[[#This Row],[CTR]]&lt;=$B$4,"Normal","High CTR")</f>
        <v>Normal</v>
      </c>
      <c r="R628" s="51" t="str">
        <f>IF(Table4[[#This Row],[ROAS]]&lt;1,"Poor",IF(Table4[[#This Row],[ROAS]]&lt;3,"Average",IF(Table4[[#This Row],[ROAS]]&lt;5,"Good",
"Excellent")))</f>
        <v>Excellent</v>
      </c>
      <c r="S628" s="51" t="str">
        <f>IF(AND(Table4[[#This Row],[USD_Spend]]&gt;=$B$5,Table4[[#This Row],[Sales]]&lt;=$B$6),"Wasted Budget","Spend Justified")</f>
        <v>Spend Justified</v>
      </c>
      <c r="T628" s="51" t="str">
        <f>IF(AND(Table4[[#This Row],[Clicks]]&gt;=$B$7,Table4[[#This Row],[Sales]]&lt;=$B$6),"Poor Monetization","Normal Monitization")</f>
        <v>Normal Monitization</v>
      </c>
    </row>
    <row r="629" spans="1:20" x14ac:dyDescent="0.35">
      <c r="A629" s="41" t="s">
        <v>117</v>
      </c>
      <c r="B629" s="41" t="s">
        <v>28</v>
      </c>
      <c r="C629" s="41" t="s">
        <v>36</v>
      </c>
      <c r="D629" s="41" t="s">
        <v>63</v>
      </c>
      <c r="E629" s="41" t="s">
        <v>22</v>
      </c>
      <c r="F629" s="41">
        <v>10361.290000000001</v>
      </c>
      <c r="G629" s="41">
        <v>661034</v>
      </c>
      <c r="H629" s="41">
        <v>16070</v>
      </c>
      <c r="I629" s="41">
        <v>139247.51</v>
      </c>
      <c r="J629" s="41">
        <v>35</v>
      </c>
      <c r="K629" s="42">
        <f t="shared" si="46"/>
        <v>2.4310398557411569E-2</v>
      </c>
      <c r="L629" s="43">
        <f t="shared" si="47"/>
        <v>13.439205928991466</v>
      </c>
      <c r="M629" s="43">
        <f t="shared" si="48"/>
        <v>12.439205928991466</v>
      </c>
      <c r="N629" s="43">
        <f t="shared" si="49"/>
        <v>8.6650597386434356</v>
      </c>
      <c r="O629" s="1" t="str">
        <f t="shared" si="45"/>
        <v>Normal</v>
      </c>
      <c r="P629" s="51" t="str">
        <f>IF(Table4[[#This Row],[Sales]]&lt;=$B$3,"Normal","High Revenue")</f>
        <v>Normal</v>
      </c>
      <c r="Q629" s="51" t="str">
        <f>IF(Table4[[#This Row],[CTR]]&lt;=$B$4,"Normal","High CTR")</f>
        <v>Normal</v>
      </c>
      <c r="R629" s="51" t="str">
        <f>IF(Table4[[#This Row],[ROAS]]&lt;1,"Poor",IF(Table4[[#This Row],[ROAS]]&lt;3,"Average",IF(Table4[[#This Row],[ROAS]]&lt;5,"Good",
"Excellent")))</f>
        <v>Excellent</v>
      </c>
      <c r="S629" s="51" t="str">
        <f>IF(AND(Table4[[#This Row],[USD_Spend]]&gt;=$B$5,Table4[[#This Row],[Sales]]&lt;=$B$6),"Wasted Budget","Spend Justified")</f>
        <v>Spend Justified</v>
      </c>
      <c r="T629" s="51" t="str">
        <f>IF(AND(Table4[[#This Row],[Clicks]]&gt;=$B$7,Table4[[#This Row],[Sales]]&lt;=$B$6),"Poor Monetization","Normal Monitization")</f>
        <v>Normal Monitization</v>
      </c>
    </row>
    <row r="630" spans="1:20" x14ac:dyDescent="0.35">
      <c r="A630" s="38" t="s">
        <v>96</v>
      </c>
      <c r="B630" s="38" t="s">
        <v>28</v>
      </c>
      <c r="C630" s="38" t="s">
        <v>36</v>
      </c>
      <c r="D630" s="38" t="s">
        <v>21</v>
      </c>
      <c r="E630" s="38" t="s">
        <v>38</v>
      </c>
      <c r="F630" s="38">
        <v>3077.48</v>
      </c>
      <c r="G630" s="38">
        <v>688998</v>
      </c>
      <c r="H630" s="38">
        <v>22462</v>
      </c>
      <c r="I630" s="38">
        <v>8099.78</v>
      </c>
      <c r="J630" s="38">
        <v>33</v>
      </c>
      <c r="K630" s="39">
        <f t="shared" si="46"/>
        <v>3.2600965459986822E-2</v>
      </c>
      <c r="L630" s="40">
        <f t="shared" si="47"/>
        <v>2.6319521166668833</v>
      </c>
      <c r="M630" s="40">
        <f t="shared" si="48"/>
        <v>1.6319521166668831</v>
      </c>
      <c r="N630" s="40">
        <f t="shared" si="49"/>
        <v>0.36059923426230966</v>
      </c>
      <c r="O630" s="1" t="str">
        <f t="shared" si="45"/>
        <v>Normal</v>
      </c>
      <c r="P630" s="51" t="str">
        <f>IF(Table4[[#This Row],[Sales]]&lt;=$B$3,"Normal","High Revenue")</f>
        <v>Normal</v>
      </c>
      <c r="Q630" s="51" t="str">
        <f>IF(Table4[[#This Row],[CTR]]&lt;=$B$4,"Normal","High CTR")</f>
        <v>Normal</v>
      </c>
      <c r="R630" s="51" t="str">
        <f>IF(Table4[[#This Row],[ROAS]]&lt;1,"Poor",IF(Table4[[#This Row],[ROAS]]&lt;3,"Average",IF(Table4[[#This Row],[ROAS]]&lt;5,"Good",
"Excellent")))</f>
        <v>Average</v>
      </c>
      <c r="S630" s="51" t="str">
        <f>IF(AND(Table4[[#This Row],[USD_Spend]]&gt;=$B$5,Table4[[#This Row],[Sales]]&lt;=$B$6),"Wasted Budget","Spend Justified")</f>
        <v>Spend Justified</v>
      </c>
      <c r="T630" s="51" t="str">
        <f>IF(AND(Table4[[#This Row],[Clicks]]&gt;=$B$7,Table4[[#This Row],[Sales]]&lt;=$B$6),"Poor Monetization","Normal Monitization")</f>
        <v>Normal Monitization</v>
      </c>
    </row>
    <row r="631" spans="1:20" x14ac:dyDescent="0.35">
      <c r="A631" s="41" t="s">
        <v>103</v>
      </c>
      <c r="B631" s="41" t="s">
        <v>35</v>
      </c>
      <c r="C631" s="41" t="s">
        <v>69</v>
      </c>
      <c r="D631" s="41" t="s">
        <v>37</v>
      </c>
      <c r="E631" s="41" t="s">
        <v>22</v>
      </c>
      <c r="F631" s="41">
        <v>6750.62</v>
      </c>
      <c r="G631" s="41">
        <v>18248</v>
      </c>
      <c r="H631" s="41">
        <v>25854</v>
      </c>
      <c r="I631" s="41">
        <v>232239.31</v>
      </c>
      <c r="J631" s="41">
        <v>61</v>
      </c>
      <c r="K631" s="42">
        <f t="shared" si="46"/>
        <v>1.4168128014028936</v>
      </c>
      <c r="L631" s="43">
        <f t="shared" si="47"/>
        <v>34.402663755329144</v>
      </c>
      <c r="M631" s="43">
        <f t="shared" si="48"/>
        <v>33.402663755329144</v>
      </c>
      <c r="N631" s="43">
        <f t="shared" si="49"/>
        <v>8.9827225961166555</v>
      </c>
      <c r="O631" s="1" t="str">
        <f t="shared" si="45"/>
        <v>Normal</v>
      </c>
      <c r="P631" s="51" t="str">
        <f>IF(Table4[[#This Row],[Sales]]&lt;=$B$3,"Normal","High Revenue")</f>
        <v>Normal</v>
      </c>
      <c r="Q631" s="51" t="str">
        <f>IF(Table4[[#This Row],[CTR]]&lt;=$B$4,"Normal","High CTR")</f>
        <v>High CTR</v>
      </c>
      <c r="R631" s="51" t="str">
        <f>IF(Table4[[#This Row],[ROAS]]&lt;1,"Poor",IF(Table4[[#This Row],[ROAS]]&lt;3,"Average",IF(Table4[[#This Row],[ROAS]]&lt;5,"Good",
"Excellent")))</f>
        <v>Excellent</v>
      </c>
      <c r="S631" s="51" t="str">
        <f>IF(AND(Table4[[#This Row],[USD_Spend]]&gt;=$B$5,Table4[[#This Row],[Sales]]&lt;=$B$6),"Wasted Budget","Spend Justified")</f>
        <v>Spend Justified</v>
      </c>
      <c r="T631" s="51" t="str">
        <f>IF(AND(Table4[[#This Row],[Clicks]]&gt;=$B$7,Table4[[#This Row],[Sales]]&lt;=$B$6),"Poor Monetization","Normal Monitization")</f>
        <v>Normal Monitization</v>
      </c>
    </row>
    <row r="632" spans="1:20" x14ac:dyDescent="0.35">
      <c r="A632" s="38" t="s">
        <v>111</v>
      </c>
      <c r="B632" s="38" t="s">
        <v>19</v>
      </c>
      <c r="C632" s="38" t="s">
        <v>36</v>
      </c>
      <c r="D632" s="38" t="s">
        <v>59</v>
      </c>
      <c r="E632" s="38" t="s">
        <v>30</v>
      </c>
      <c r="F632" s="38">
        <v>48327.97</v>
      </c>
      <c r="G632" s="38">
        <v>448620</v>
      </c>
      <c r="H632" s="38">
        <v>35728</v>
      </c>
      <c r="I632" s="38">
        <v>14007.47</v>
      </c>
      <c r="J632" s="38">
        <v>38</v>
      </c>
      <c r="K632" s="39">
        <f t="shared" si="46"/>
        <v>7.9639784227185595E-2</v>
      </c>
      <c r="L632" s="40">
        <f t="shared" si="47"/>
        <v>0.28984188659279503</v>
      </c>
      <c r="M632" s="40">
        <f t="shared" si="48"/>
        <v>-0.71015811340720492</v>
      </c>
      <c r="N632" s="40">
        <f t="shared" si="49"/>
        <v>0.39205860949395432</v>
      </c>
      <c r="O632" s="1" t="str">
        <f t="shared" si="45"/>
        <v>High Spend</v>
      </c>
      <c r="P632" s="51" t="str">
        <f>IF(Table4[[#This Row],[Sales]]&lt;=$B$3,"Normal","High Revenue")</f>
        <v>Normal</v>
      </c>
      <c r="Q632" s="51" t="str">
        <f>IF(Table4[[#This Row],[CTR]]&lt;=$B$4,"Normal","High CTR")</f>
        <v>Normal</v>
      </c>
      <c r="R632" s="51" t="str">
        <f>IF(Table4[[#This Row],[ROAS]]&lt;1,"Poor",IF(Table4[[#This Row],[ROAS]]&lt;3,"Average",IF(Table4[[#This Row],[ROAS]]&lt;5,"Good",
"Excellent")))</f>
        <v>Poor</v>
      </c>
      <c r="S632" s="51" t="str">
        <f>IF(AND(Table4[[#This Row],[USD_Spend]]&gt;=$B$5,Table4[[#This Row],[Sales]]&lt;=$B$6),"Wasted Budget","Spend Justified")</f>
        <v>Wasted Budget</v>
      </c>
      <c r="T632" s="51" t="str">
        <f>IF(AND(Table4[[#This Row],[Clicks]]&gt;=$B$7,Table4[[#This Row],[Sales]]&lt;=$B$6),"Poor Monetization","Normal Monitization")</f>
        <v>Normal Monitization</v>
      </c>
    </row>
    <row r="633" spans="1:20" x14ac:dyDescent="0.35">
      <c r="A633" s="41" t="s">
        <v>89</v>
      </c>
      <c r="B633" s="41" t="s">
        <v>19</v>
      </c>
      <c r="C633" s="41" t="s">
        <v>69</v>
      </c>
      <c r="D633" s="41" t="s">
        <v>43</v>
      </c>
      <c r="E633" s="41" t="s">
        <v>22</v>
      </c>
      <c r="F633" s="41">
        <v>24186.080000000002</v>
      </c>
      <c r="G633" s="41">
        <v>802682</v>
      </c>
      <c r="H633" s="41">
        <v>48986</v>
      </c>
      <c r="I633" s="41">
        <v>148473.96</v>
      </c>
      <c r="J633" s="41">
        <v>6</v>
      </c>
      <c r="K633" s="42">
        <f t="shared" si="46"/>
        <v>6.1027903952000917E-2</v>
      </c>
      <c r="L633" s="43">
        <f t="shared" si="47"/>
        <v>6.1388186924048869</v>
      </c>
      <c r="M633" s="43">
        <f t="shared" si="48"/>
        <v>5.1388186924048869</v>
      </c>
      <c r="N633" s="43">
        <f t="shared" si="49"/>
        <v>3.0309468011268526</v>
      </c>
      <c r="O633" s="1" t="str">
        <f t="shared" si="45"/>
        <v>Normal</v>
      </c>
      <c r="P633" s="51" t="str">
        <f>IF(Table4[[#This Row],[Sales]]&lt;=$B$3,"Normal","High Revenue")</f>
        <v>Normal</v>
      </c>
      <c r="Q633" s="51" t="str">
        <f>IF(Table4[[#This Row],[CTR]]&lt;=$B$4,"Normal","High CTR")</f>
        <v>Normal</v>
      </c>
      <c r="R633" s="51" t="str">
        <f>IF(Table4[[#This Row],[ROAS]]&lt;1,"Poor",IF(Table4[[#This Row],[ROAS]]&lt;3,"Average",IF(Table4[[#This Row],[ROAS]]&lt;5,"Good",
"Excellent")))</f>
        <v>Excellent</v>
      </c>
      <c r="S633" s="51" t="str">
        <f>IF(AND(Table4[[#This Row],[USD_Spend]]&gt;=$B$5,Table4[[#This Row],[Sales]]&lt;=$B$6),"Wasted Budget","Spend Justified")</f>
        <v>Spend Justified</v>
      </c>
      <c r="T633" s="51" t="str">
        <f>IF(AND(Table4[[#This Row],[Clicks]]&gt;=$B$7,Table4[[#This Row],[Sales]]&lt;=$B$6),"Poor Monetization","Normal Monitization")</f>
        <v>Normal Monitization</v>
      </c>
    </row>
    <row r="634" spans="1:20" x14ac:dyDescent="0.35">
      <c r="A634" s="38" t="s">
        <v>78</v>
      </c>
      <c r="B634" s="38" t="s">
        <v>28</v>
      </c>
      <c r="C634" s="38" t="s">
        <v>36</v>
      </c>
      <c r="D634" s="38" t="s">
        <v>43</v>
      </c>
      <c r="E634" s="38" t="s">
        <v>30</v>
      </c>
      <c r="F634" s="38">
        <v>24999.74</v>
      </c>
      <c r="G634" s="38">
        <v>934481</v>
      </c>
      <c r="H634" s="38">
        <v>15543</v>
      </c>
      <c r="I634" s="38">
        <v>121684.26</v>
      </c>
      <c r="J634" s="38">
        <v>49</v>
      </c>
      <c r="K634" s="39">
        <f t="shared" si="46"/>
        <v>1.6632761928813963E-2</v>
      </c>
      <c r="L634" s="40">
        <f t="shared" si="47"/>
        <v>4.86742102117862</v>
      </c>
      <c r="M634" s="40">
        <f t="shared" si="48"/>
        <v>3.8674210211786195</v>
      </c>
      <c r="N634" s="40">
        <f t="shared" si="49"/>
        <v>7.8288785948658557</v>
      </c>
      <c r="O634" s="1" t="str">
        <f t="shared" si="45"/>
        <v>Normal</v>
      </c>
      <c r="P634" s="51" t="str">
        <f>IF(Table4[[#This Row],[Sales]]&lt;=$B$3,"Normal","High Revenue")</f>
        <v>Normal</v>
      </c>
      <c r="Q634" s="51" t="str">
        <f>IF(Table4[[#This Row],[CTR]]&lt;=$B$4,"Normal","High CTR")</f>
        <v>Normal</v>
      </c>
      <c r="R634" s="51" t="str">
        <f>IF(Table4[[#This Row],[ROAS]]&lt;1,"Poor",IF(Table4[[#This Row],[ROAS]]&lt;3,"Average",IF(Table4[[#This Row],[ROAS]]&lt;5,"Good",
"Excellent")))</f>
        <v>Good</v>
      </c>
      <c r="S634" s="51" t="str">
        <f>IF(AND(Table4[[#This Row],[USD_Spend]]&gt;=$B$5,Table4[[#This Row],[Sales]]&lt;=$B$6),"Wasted Budget","Spend Justified")</f>
        <v>Spend Justified</v>
      </c>
      <c r="T634" s="51" t="str">
        <f>IF(AND(Table4[[#This Row],[Clicks]]&gt;=$B$7,Table4[[#This Row],[Sales]]&lt;=$B$6),"Poor Monetization","Normal Monitization")</f>
        <v>Normal Monitization</v>
      </c>
    </row>
    <row r="635" spans="1:20" x14ac:dyDescent="0.35">
      <c r="A635" s="41" t="s">
        <v>82</v>
      </c>
      <c r="B635" s="41" t="s">
        <v>28</v>
      </c>
      <c r="C635" s="41" t="s">
        <v>69</v>
      </c>
      <c r="D635" s="41" t="s">
        <v>63</v>
      </c>
      <c r="E635" s="41" t="s">
        <v>22</v>
      </c>
      <c r="F635" s="41">
        <v>7325.4</v>
      </c>
      <c r="G635" s="41">
        <v>846979</v>
      </c>
      <c r="H635" s="41">
        <v>3470</v>
      </c>
      <c r="I635" s="41">
        <v>153739.99</v>
      </c>
      <c r="J635" s="41">
        <v>52</v>
      </c>
      <c r="K635" s="42">
        <f t="shared" si="46"/>
        <v>4.0969138550070311E-3</v>
      </c>
      <c r="L635" s="43">
        <f t="shared" si="47"/>
        <v>20.987248477898817</v>
      </c>
      <c r="M635" s="43">
        <f t="shared" si="48"/>
        <v>19.987248477898817</v>
      </c>
      <c r="N635" s="43">
        <f t="shared" si="49"/>
        <v>44.305472622478383</v>
      </c>
      <c r="O635" s="1" t="str">
        <f t="shared" si="45"/>
        <v>Normal</v>
      </c>
      <c r="P635" s="51" t="str">
        <f>IF(Table4[[#This Row],[Sales]]&lt;=$B$3,"Normal","High Revenue")</f>
        <v>Normal</v>
      </c>
      <c r="Q635" s="51" t="str">
        <f>IF(Table4[[#This Row],[CTR]]&lt;=$B$4,"Normal","High CTR")</f>
        <v>Normal</v>
      </c>
      <c r="R635" s="51" t="str">
        <f>IF(Table4[[#This Row],[ROAS]]&lt;1,"Poor",IF(Table4[[#This Row],[ROAS]]&lt;3,"Average",IF(Table4[[#This Row],[ROAS]]&lt;5,"Good",
"Excellent")))</f>
        <v>Excellent</v>
      </c>
      <c r="S635" s="51" t="str">
        <f>IF(AND(Table4[[#This Row],[USD_Spend]]&gt;=$B$5,Table4[[#This Row],[Sales]]&lt;=$B$6),"Wasted Budget","Spend Justified")</f>
        <v>Spend Justified</v>
      </c>
      <c r="T635" s="51" t="str">
        <f>IF(AND(Table4[[#This Row],[Clicks]]&gt;=$B$7,Table4[[#This Row],[Sales]]&lt;=$B$6),"Poor Monetization","Normal Monitization")</f>
        <v>Normal Monitization</v>
      </c>
    </row>
    <row r="636" spans="1:20" x14ac:dyDescent="0.35">
      <c r="A636" s="38" t="s">
        <v>105</v>
      </c>
      <c r="B636" s="38" t="s">
        <v>19</v>
      </c>
      <c r="C636" s="38" t="s">
        <v>36</v>
      </c>
      <c r="D636" s="38" t="s">
        <v>21</v>
      </c>
      <c r="E636" s="38" t="s">
        <v>38</v>
      </c>
      <c r="F636" s="38">
        <v>155.11000000000001</v>
      </c>
      <c r="G636" s="38">
        <v>957170</v>
      </c>
      <c r="H636" s="38">
        <v>44369</v>
      </c>
      <c r="I636" s="38">
        <v>17361.72</v>
      </c>
      <c r="J636" s="38">
        <v>34</v>
      </c>
      <c r="K636" s="39">
        <f t="shared" si="46"/>
        <v>4.6354357115245985E-2</v>
      </c>
      <c r="L636" s="40">
        <f t="shared" si="47"/>
        <v>111.93166140158597</v>
      </c>
      <c r="M636" s="40">
        <f t="shared" si="48"/>
        <v>110.93166140158597</v>
      </c>
      <c r="N636" s="40">
        <f t="shared" si="49"/>
        <v>0.39130293673510785</v>
      </c>
      <c r="O636" s="1" t="str">
        <f t="shared" si="45"/>
        <v>Normal</v>
      </c>
      <c r="P636" s="51" t="str">
        <f>IF(Table4[[#This Row],[Sales]]&lt;=$B$3,"Normal","High Revenue")</f>
        <v>Normal</v>
      </c>
      <c r="Q636" s="51" t="str">
        <f>IF(Table4[[#This Row],[CTR]]&lt;=$B$4,"Normal","High CTR")</f>
        <v>Normal</v>
      </c>
      <c r="R636" s="51" t="str">
        <f>IF(Table4[[#This Row],[ROAS]]&lt;1,"Poor",IF(Table4[[#This Row],[ROAS]]&lt;3,"Average",IF(Table4[[#This Row],[ROAS]]&lt;5,"Good",
"Excellent")))</f>
        <v>Excellent</v>
      </c>
      <c r="S636" s="51" t="str">
        <f>IF(AND(Table4[[#This Row],[USD_Spend]]&gt;=$B$5,Table4[[#This Row],[Sales]]&lt;=$B$6),"Wasted Budget","Spend Justified")</f>
        <v>Spend Justified</v>
      </c>
      <c r="T636" s="51" t="str">
        <f>IF(AND(Table4[[#This Row],[Clicks]]&gt;=$B$7,Table4[[#This Row],[Sales]]&lt;=$B$6),"Poor Monetization","Normal Monitization")</f>
        <v>Poor Monetization</v>
      </c>
    </row>
    <row r="637" spans="1:20" x14ac:dyDescent="0.35">
      <c r="A637" s="41" t="s">
        <v>82</v>
      </c>
      <c r="B637" s="41" t="s">
        <v>28</v>
      </c>
      <c r="C637" s="41" t="s">
        <v>69</v>
      </c>
      <c r="D637" s="41" t="s">
        <v>37</v>
      </c>
      <c r="E637" s="41" t="s">
        <v>22</v>
      </c>
      <c r="F637" s="41">
        <v>26860.99</v>
      </c>
      <c r="G637" s="41">
        <v>20060</v>
      </c>
      <c r="H637" s="41">
        <v>22055</v>
      </c>
      <c r="I637" s="41">
        <v>5358.2</v>
      </c>
      <c r="J637" s="41">
        <v>28</v>
      </c>
      <c r="K637" s="42">
        <f t="shared" si="46"/>
        <v>1.0994516450648055</v>
      </c>
      <c r="L637" s="43">
        <f t="shared" si="47"/>
        <v>0.19947887252107982</v>
      </c>
      <c r="M637" s="43">
        <f t="shared" si="48"/>
        <v>-0.80052112747892012</v>
      </c>
      <c r="N637" s="43">
        <f t="shared" si="49"/>
        <v>0.24294717751076852</v>
      </c>
      <c r="O637" s="1" t="str">
        <f t="shared" si="45"/>
        <v>Normal</v>
      </c>
      <c r="P637" s="51" t="str">
        <f>IF(Table4[[#This Row],[Sales]]&lt;=$B$3,"Normal","High Revenue")</f>
        <v>Normal</v>
      </c>
      <c r="Q637" s="51" t="str">
        <f>IF(Table4[[#This Row],[CTR]]&lt;=$B$4,"Normal","High CTR")</f>
        <v>High CTR</v>
      </c>
      <c r="R637" s="51" t="str">
        <f>IF(Table4[[#This Row],[ROAS]]&lt;1,"Poor",IF(Table4[[#This Row],[ROAS]]&lt;3,"Average",IF(Table4[[#This Row],[ROAS]]&lt;5,"Good",
"Excellent")))</f>
        <v>Poor</v>
      </c>
      <c r="S637" s="51" t="str">
        <f>IF(AND(Table4[[#This Row],[USD_Spend]]&gt;=$B$5,Table4[[#This Row],[Sales]]&lt;=$B$6),"Wasted Budget","Spend Justified")</f>
        <v>Wasted Budget</v>
      </c>
      <c r="T637" s="51" t="str">
        <f>IF(AND(Table4[[#This Row],[Clicks]]&gt;=$B$7,Table4[[#This Row],[Sales]]&lt;=$B$6),"Poor Monetization","Normal Monitization")</f>
        <v>Normal Monitization</v>
      </c>
    </row>
    <row r="638" spans="1:20" x14ac:dyDescent="0.35">
      <c r="A638" s="38" t="s">
        <v>96</v>
      </c>
      <c r="B638" s="38" t="s">
        <v>48</v>
      </c>
      <c r="C638" s="38" t="s">
        <v>36</v>
      </c>
      <c r="D638" s="38" t="s">
        <v>43</v>
      </c>
      <c r="E638" s="38" t="s">
        <v>38</v>
      </c>
      <c r="F638" s="38">
        <v>3406.96</v>
      </c>
      <c r="G638" s="38">
        <v>815625</v>
      </c>
      <c r="H638" s="38">
        <v>5973</v>
      </c>
      <c r="I638" s="38">
        <v>42785.71</v>
      </c>
      <c r="J638" s="38">
        <v>16</v>
      </c>
      <c r="K638" s="39">
        <f t="shared" si="46"/>
        <v>7.3232183908045973E-3</v>
      </c>
      <c r="L638" s="40">
        <f t="shared" si="47"/>
        <v>12.558324723507173</v>
      </c>
      <c r="M638" s="40">
        <f t="shared" si="48"/>
        <v>11.558324723507173</v>
      </c>
      <c r="N638" s="40">
        <f t="shared" si="49"/>
        <v>7.1631860036832409</v>
      </c>
      <c r="O638" s="1" t="str">
        <f t="shared" si="45"/>
        <v>Normal</v>
      </c>
      <c r="P638" s="51" t="str">
        <f>IF(Table4[[#This Row],[Sales]]&lt;=$B$3,"Normal","High Revenue")</f>
        <v>Normal</v>
      </c>
      <c r="Q638" s="51" t="str">
        <f>IF(Table4[[#This Row],[CTR]]&lt;=$B$4,"Normal","High CTR")</f>
        <v>Normal</v>
      </c>
      <c r="R638" s="51" t="str">
        <f>IF(Table4[[#This Row],[ROAS]]&lt;1,"Poor",IF(Table4[[#This Row],[ROAS]]&lt;3,"Average",IF(Table4[[#This Row],[ROAS]]&lt;5,"Good",
"Excellent")))</f>
        <v>Excellent</v>
      </c>
      <c r="S638" s="51" t="str">
        <f>IF(AND(Table4[[#This Row],[USD_Spend]]&gt;=$B$5,Table4[[#This Row],[Sales]]&lt;=$B$6),"Wasted Budget","Spend Justified")</f>
        <v>Spend Justified</v>
      </c>
      <c r="T638" s="51" t="str">
        <f>IF(AND(Table4[[#This Row],[Clicks]]&gt;=$B$7,Table4[[#This Row],[Sales]]&lt;=$B$6),"Poor Monetization","Normal Monitization")</f>
        <v>Normal Monitization</v>
      </c>
    </row>
    <row r="639" spans="1:20" x14ac:dyDescent="0.35">
      <c r="A639" s="41" t="s">
        <v>90</v>
      </c>
      <c r="B639" s="41" t="s">
        <v>19</v>
      </c>
      <c r="C639" s="41" t="s">
        <v>20</v>
      </c>
      <c r="D639" s="41" t="s">
        <v>21</v>
      </c>
      <c r="E639" s="41" t="s">
        <v>38</v>
      </c>
      <c r="F639" s="41">
        <v>5473.61</v>
      </c>
      <c r="G639" s="41">
        <v>450552</v>
      </c>
      <c r="H639" s="41">
        <v>25624</v>
      </c>
      <c r="I639" s="41">
        <v>226685.43</v>
      </c>
      <c r="J639" s="41">
        <v>35</v>
      </c>
      <c r="K639" s="42">
        <f t="shared" si="46"/>
        <v>5.6872458672916779E-2</v>
      </c>
      <c r="L639" s="43">
        <f t="shared" si="47"/>
        <v>41.414245808524903</v>
      </c>
      <c r="M639" s="43">
        <f t="shared" si="48"/>
        <v>40.41424580852491</v>
      </c>
      <c r="N639" s="43">
        <f t="shared" si="49"/>
        <v>8.846605916328441</v>
      </c>
      <c r="O639" s="1" t="str">
        <f t="shared" si="45"/>
        <v>Normal</v>
      </c>
      <c r="P639" s="51" t="str">
        <f>IF(Table4[[#This Row],[Sales]]&lt;=$B$3,"Normal","High Revenue")</f>
        <v>Normal</v>
      </c>
      <c r="Q639" s="51" t="str">
        <f>IF(Table4[[#This Row],[CTR]]&lt;=$B$4,"Normal","High CTR")</f>
        <v>Normal</v>
      </c>
      <c r="R639" s="51" t="str">
        <f>IF(Table4[[#This Row],[ROAS]]&lt;1,"Poor",IF(Table4[[#This Row],[ROAS]]&lt;3,"Average",IF(Table4[[#This Row],[ROAS]]&lt;5,"Good",
"Excellent")))</f>
        <v>Excellent</v>
      </c>
      <c r="S639" s="51" t="str">
        <f>IF(AND(Table4[[#This Row],[USD_Spend]]&gt;=$B$5,Table4[[#This Row],[Sales]]&lt;=$B$6),"Wasted Budget","Spend Justified")</f>
        <v>Spend Justified</v>
      </c>
      <c r="T639" s="51" t="str">
        <f>IF(AND(Table4[[#This Row],[Clicks]]&gt;=$B$7,Table4[[#This Row],[Sales]]&lt;=$B$6),"Poor Monetization","Normal Monitization")</f>
        <v>Normal Monitization</v>
      </c>
    </row>
    <row r="640" spans="1:20" x14ac:dyDescent="0.35">
      <c r="A640" s="38" t="s">
        <v>95</v>
      </c>
      <c r="B640" s="38" t="s">
        <v>35</v>
      </c>
      <c r="C640" s="38" t="s">
        <v>29</v>
      </c>
      <c r="D640" s="38" t="s">
        <v>21</v>
      </c>
      <c r="E640" s="38" t="s">
        <v>30</v>
      </c>
      <c r="F640" s="38">
        <v>22504.11</v>
      </c>
      <c r="G640" s="38">
        <v>393588</v>
      </c>
      <c r="H640" s="38">
        <v>25822</v>
      </c>
      <c r="I640" s="38">
        <v>59710.13</v>
      </c>
      <c r="J640" s="38">
        <v>40</v>
      </c>
      <c r="K640" s="39">
        <f t="shared" si="46"/>
        <v>6.5606675000254078E-2</v>
      </c>
      <c r="L640" s="40">
        <f t="shared" si="47"/>
        <v>2.6532988862923261</v>
      </c>
      <c r="M640" s="40">
        <f t="shared" si="48"/>
        <v>1.6532988862923259</v>
      </c>
      <c r="N640" s="40">
        <f t="shared" si="49"/>
        <v>2.3123743319649912</v>
      </c>
      <c r="O640" s="1" t="str">
        <f t="shared" si="45"/>
        <v>Normal</v>
      </c>
      <c r="P640" s="51" t="str">
        <f>IF(Table4[[#This Row],[Sales]]&lt;=$B$3,"Normal","High Revenue")</f>
        <v>Normal</v>
      </c>
      <c r="Q640" s="51" t="str">
        <f>IF(Table4[[#This Row],[CTR]]&lt;=$B$4,"Normal","High CTR")</f>
        <v>Normal</v>
      </c>
      <c r="R640" s="51" t="str">
        <f>IF(Table4[[#This Row],[ROAS]]&lt;1,"Poor",IF(Table4[[#This Row],[ROAS]]&lt;3,"Average",IF(Table4[[#This Row],[ROAS]]&lt;5,"Good",
"Excellent")))</f>
        <v>Average</v>
      </c>
      <c r="S640" s="51" t="str">
        <f>IF(AND(Table4[[#This Row],[USD_Spend]]&gt;=$B$5,Table4[[#This Row],[Sales]]&lt;=$B$6),"Wasted Budget","Spend Justified")</f>
        <v>Wasted Budget</v>
      </c>
      <c r="T640" s="51" t="str">
        <f>IF(AND(Table4[[#This Row],[Clicks]]&gt;=$B$7,Table4[[#This Row],[Sales]]&lt;=$B$6),"Poor Monetization","Normal Monitization")</f>
        <v>Normal Monitization</v>
      </c>
    </row>
    <row r="641" spans="1:20" x14ac:dyDescent="0.35">
      <c r="A641" s="41" t="s">
        <v>96</v>
      </c>
      <c r="B641" s="41" t="s">
        <v>28</v>
      </c>
      <c r="C641" s="41" t="s">
        <v>69</v>
      </c>
      <c r="D641" s="41" t="s">
        <v>59</v>
      </c>
      <c r="E641" s="41" t="s">
        <v>30</v>
      </c>
      <c r="F641" s="41">
        <v>4186.1099999999997</v>
      </c>
      <c r="G641" s="41">
        <v>933685</v>
      </c>
      <c r="H641" s="41">
        <v>49577</v>
      </c>
      <c r="I641" s="41">
        <v>192164.47</v>
      </c>
      <c r="J641" s="41">
        <v>36</v>
      </c>
      <c r="K641" s="42">
        <f t="shared" si="46"/>
        <v>5.3098207639621503E-2</v>
      </c>
      <c r="L641" s="43">
        <f t="shared" si="47"/>
        <v>45.905260492438089</v>
      </c>
      <c r="M641" s="43">
        <f t="shared" si="48"/>
        <v>44.905260492438096</v>
      </c>
      <c r="N641" s="43">
        <f t="shared" si="49"/>
        <v>3.8760810456461665</v>
      </c>
      <c r="O641" s="1" t="str">
        <f t="shared" si="45"/>
        <v>Normal</v>
      </c>
      <c r="P641" s="51" t="str">
        <f>IF(Table4[[#This Row],[Sales]]&lt;=$B$3,"Normal","High Revenue")</f>
        <v>Normal</v>
      </c>
      <c r="Q641" s="51" t="str">
        <f>IF(Table4[[#This Row],[CTR]]&lt;=$B$4,"Normal","High CTR")</f>
        <v>Normal</v>
      </c>
      <c r="R641" s="51" t="str">
        <f>IF(Table4[[#This Row],[ROAS]]&lt;1,"Poor",IF(Table4[[#This Row],[ROAS]]&lt;3,"Average",IF(Table4[[#This Row],[ROAS]]&lt;5,"Good",
"Excellent")))</f>
        <v>Excellent</v>
      </c>
      <c r="S641" s="51" t="str">
        <f>IF(AND(Table4[[#This Row],[USD_Spend]]&gt;=$B$5,Table4[[#This Row],[Sales]]&lt;=$B$6),"Wasted Budget","Spend Justified")</f>
        <v>Spend Justified</v>
      </c>
      <c r="T641" s="51" t="str">
        <f>IF(AND(Table4[[#This Row],[Clicks]]&gt;=$B$7,Table4[[#This Row],[Sales]]&lt;=$B$6),"Poor Monetization","Normal Monitization")</f>
        <v>Normal Monitization</v>
      </c>
    </row>
    <row r="642" spans="1:20" x14ac:dyDescent="0.35">
      <c r="A642" s="38" t="s">
        <v>77</v>
      </c>
      <c r="B642" s="38" t="s">
        <v>19</v>
      </c>
      <c r="C642" s="38" t="s">
        <v>36</v>
      </c>
      <c r="D642" s="38" t="s">
        <v>21</v>
      </c>
      <c r="E642" s="38" t="s">
        <v>30</v>
      </c>
      <c r="F642" s="38">
        <v>12839.87</v>
      </c>
      <c r="G642" s="38">
        <v>347471</v>
      </c>
      <c r="H642" s="38">
        <v>30336</v>
      </c>
      <c r="I642" s="38">
        <v>178672.7</v>
      </c>
      <c r="J642" s="38">
        <v>37</v>
      </c>
      <c r="K642" s="39">
        <f t="shared" si="46"/>
        <v>8.7305127622161277E-2</v>
      </c>
      <c r="L642" s="40">
        <f t="shared" si="47"/>
        <v>13.91546020325751</v>
      </c>
      <c r="M642" s="40">
        <f t="shared" si="48"/>
        <v>12.91546020325751</v>
      </c>
      <c r="N642" s="40">
        <f t="shared" si="49"/>
        <v>5.889791007383967</v>
      </c>
      <c r="O642" s="1" t="str">
        <f t="shared" si="45"/>
        <v>Normal</v>
      </c>
      <c r="P642" s="51" t="str">
        <f>IF(Table4[[#This Row],[Sales]]&lt;=$B$3,"Normal","High Revenue")</f>
        <v>Normal</v>
      </c>
      <c r="Q642" s="51" t="str">
        <f>IF(Table4[[#This Row],[CTR]]&lt;=$B$4,"Normal","High CTR")</f>
        <v>Normal</v>
      </c>
      <c r="R642" s="51" t="str">
        <f>IF(Table4[[#This Row],[ROAS]]&lt;1,"Poor",IF(Table4[[#This Row],[ROAS]]&lt;3,"Average",IF(Table4[[#This Row],[ROAS]]&lt;5,"Good",
"Excellent")))</f>
        <v>Excellent</v>
      </c>
      <c r="S642" s="51" t="str">
        <f>IF(AND(Table4[[#This Row],[USD_Spend]]&gt;=$B$5,Table4[[#This Row],[Sales]]&lt;=$B$6),"Wasted Budget","Spend Justified")</f>
        <v>Spend Justified</v>
      </c>
      <c r="T642" s="51" t="str">
        <f>IF(AND(Table4[[#This Row],[Clicks]]&gt;=$B$7,Table4[[#This Row],[Sales]]&lt;=$B$6),"Poor Monetization","Normal Monitization")</f>
        <v>Normal Monitization</v>
      </c>
    </row>
    <row r="643" spans="1:20" x14ac:dyDescent="0.35">
      <c r="A643" s="41" t="s">
        <v>79</v>
      </c>
      <c r="B643" s="41" t="s">
        <v>35</v>
      </c>
      <c r="C643" s="41" t="s">
        <v>36</v>
      </c>
      <c r="D643" s="41" t="s">
        <v>63</v>
      </c>
      <c r="E643" s="41" t="s">
        <v>22</v>
      </c>
      <c r="F643" s="41">
        <v>29460.68</v>
      </c>
      <c r="G643" s="41">
        <v>165287</v>
      </c>
      <c r="H643" s="41">
        <v>28266</v>
      </c>
      <c r="I643" s="41">
        <v>36224.15</v>
      </c>
      <c r="J643" s="41">
        <v>8</v>
      </c>
      <c r="K643" s="42">
        <f t="shared" si="46"/>
        <v>0.17101163430880831</v>
      </c>
      <c r="L643" s="43">
        <f t="shared" si="47"/>
        <v>1.2295761672846655</v>
      </c>
      <c r="M643" s="43">
        <f t="shared" si="48"/>
        <v>0.22957616728466557</v>
      </c>
      <c r="N643" s="43">
        <f t="shared" si="49"/>
        <v>1.281544965683153</v>
      </c>
      <c r="O643" s="1" t="str">
        <f t="shared" si="45"/>
        <v>Normal</v>
      </c>
      <c r="P643" s="51" t="str">
        <f>IF(Table4[[#This Row],[Sales]]&lt;=$B$3,"Normal","High Revenue")</f>
        <v>Normal</v>
      </c>
      <c r="Q643" s="51" t="str">
        <f>IF(Table4[[#This Row],[CTR]]&lt;=$B$4,"Normal","High CTR")</f>
        <v>Normal</v>
      </c>
      <c r="R643" s="51" t="str">
        <f>IF(Table4[[#This Row],[ROAS]]&lt;1,"Poor",IF(Table4[[#This Row],[ROAS]]&lt;3,"Average",IF(Table4[[#This Row],[ROAS]]&lt;5,"Good",
"Excellent")))</f>
        <v>Average</v>
      </c>
      <c r="S643" s="51" t="str">
        <f>IF(AND(Table4[[#This Row],[USD_Spend]]&gt;=$B$5,Table4[[#This Row],[Sales]]&lt;=$B$6),"Wasted Budget","Spend Justified")</f>
        <v>Wasted Budget</v>
      </c>
      <c r="T643" s="51" t="str">
        <f>IF(AND(Table4[[#This Row],[Clicks]]&gt;=$B$7,Table4[[#This Row],[Sales]]&lt;=$B$6),"Poor Monetization","Normal Monitization")</f>
        <v>Normal Monitization</v>
      </c>
    </row>
    <row r="644" spans="1:20" x14ac:dyDescent="0.35">
      <c r="A644" s="38" t="s">
        <v>98</v>
      </c>
      <c r="B644" s="38" t="s">
        <v>19</v>
      </c>
      <c r="C644" s="38" t="s">
        <v>69</v>
      </c>
      <c r="D644" s="38" t="s">
        <v>37</v>
      </c>
      <c r="E644" s="38" t="s">
        <v>38</v>
      </c>
      <c r="F644" s="38">
        <v>41017.94</v>
      </c>
      <c r="G644" s="38">
        <v>705558</v>
      </c>
      <c r="H644" s="38">
        <v>4184</v>
      </c>
      <c r="I644" s="38">
        <v>62726.21</v>
      </c>
      <c r="J644" s="38">
        <v>58</v>
      </c>
      <c r="K644" s="39">
        <f t="shared" si="46"/>
        <v>5.9300581950739702E-3</v>
      </c>
      <c r="L644" s="40">
        <f t="shared" si="47"/>
        <v>1.5292384259180249</v>
      </c>
      <c r="M644" s="40">
        <f t="shared" si="48"/>
        <v>0.52923842591802506</v>
      </c>
      <c r="N644" s="40">
        <f t="shared" si="49"/>
        <v>14.991923996175908</v>
      </c>
      <c r="O644" s="1" t="str">
        <f t="shared" si="45"/>
        <v>Normal</v>
      </c>
      <c r="P644" s="51" t="str">
        <f>IF(Table4[[#This Row],[Sales]]&lt;=$B$3,"Normal","High Revenue")</f>
        <v>Normal</v>
      </c>
      <c r="Q644" s="51" t="str">
        <f>IF(Table4[[#This Row],[CTR]]&lt;=$B$4,"Normal","High CTR")</f>
        <v>Normal</v>
      </c>
      <c r="R644" s="51" t="str">
        <f>IF(Table4[[#This Row],[ROAS]]&lt;1,"Poor",IF(Table4[[#This Row],[ROAS]]&lt;3,"Average",IF(Table4[[#This Row],[ROAS]]&lt;5,"Good",
"Excellent")))</f>
        <v>Average</v>
      </c>
      <c r="S644" s="51" t="str">
        <f>IF(AND(Table4[[#This Row],[USD_Spend]]&gt;=$B$5,Table4[[#This Row],[Sales]]&lt;=$B$6),"Wasted Budget","Spend Justified")</f>
        <v>Wasted Budget</v>
      </c>
      <c r="T644" s="51" t="str">
        <f>IF(AND(Table4[[#This Row],[Clicks]]&gt;=$B$7,Table4[[#This Row],[Sales]]&lt;=$B$6),"Poor Monetization","Normal Monitization")</f>
        <v>Normal Monitization</v>
      </c>
    </row>
    <row r="645" spans="1:20" x14ac:dyDescent="0.35">
      <c r="A645" s="41" t="s">
        <v>34</v>
      </c>
      <c r="B645" s="41" t="s">
        <v>19</v>
      </c>
      <c r="C645" s="41" t="s">
        <v>36</v>
      </c>
      <c r="D645" s="41" t="s">
        <v>37</v>
      </c>
      <c r="E645" s="41" t="s">
        <v>30</v>
      </c>
      <c r="F645" s="41">
        <v>7579.66</v>
      </c>
      <c r="G645" s="41">
        <v>836596</v>
      </c>
      <c r="H645" s="41">
        <v>22627</v>
      </c>
      <c r="I645" s="41">
        <v>224067.89</v>
      </c>
      <c r="J645" s="41">
        <v>42</v>
      </c>
      <c r="K645" s="42">
        <f t="shared" si="46"/>
        <v>2.7046507513782042E-2</v>
      </c>
      <c r="L645" s="43">
        <f t="shared" si="47"/>
        <v>29.561733639767485</v>
      </c>
      <c r="M645" s="43">
        <f t="shared" si="48"/>
        <v>28.561733639767485</v>
      </c>
      <c r="N645" s="43">
        <f t="shared" si="49"/>
        <v>9.9026777743403898</v>
      </c>
      <c r="O645" s="1" t="str">
        <f t="shared" si="45"/>
        <v>Normal</v>
      </c>
      <c r="P645" s="51" t="str">
        <f>IF(Table4[[#This Row],[Sales]]&lt;=$B$3,"Normal","High Revenue")</f>
        <v>Normal</v>
      </c>
      <c r="Q645" s="51" t="str">
        <f>IF(Table4[[#This Row],[CTR]]&lt;=$B$4,"Normal","High CTR")</f>
        <v>Normal</v>
      </c>
      <c r="R645" s="51" t="str">
        <f>IF(Table4[[#This Row],[ROAS]]&lt;1,"Poor",IF(Table4[[#This Row],[ROAS]]&lt;3,"Average",IF(Table4[[#This Row],[ROAS]]&lt;5,"Good",
"Excellent")))</f>
        <v>Excellent</v>
      </c>
      <c r="S645" s="51" t="str">
        <f>IF(AND(Table4[[#This Row],[USD_Spend]]&gt;=$B$5,Table4[[#This Row],[Sales]]&lt;=$B$6),"Wasted Budget","Spend Justified")</f>
        <v>Spend Justified</v>
      </c>
      <c r="T645" s="51" t="str">
        <f>IF(AND(Table4[[#This Row],[Clicks]]&gt;=$B$7,Table4[[#This Row],[Sales]]&lt;=$B$6),"Poor Monetization","Normal Monitization")</f>
        <v>Normal Monitization</v>
      </c>
    </row>
    <row r="646" spans="1:20" x14ac:dyDescent="0.35">
      <c r="A646" s="38" t="s">
        <v>68</v>
      </c>
      <c r="B646" s="38" t="s">
        <v>48</v>
      </c>
      <c r="C646" s="38" t="s">
        <v>20</v>
      </c>
      <c r="D646" s="38" t="s">
        <v>21</v>
      </c>
      <c r="E646" s="38" t="s">
        <v>22</v>
      </c>
      <c r="F646" s="38">
        <v>20764.2</v>
      </c>
      <c r="G646" s="38">
        <v>946615</v>
      </c>
      <c r="H646" s="38">
        <v>31736</v>
      </c>
      <c r="I646" s="38">
        <v>177603.64</v>
      </c>
      <c r="J646" s="38">
        <v>11</v>
      </c>
      <c r="K646" s="39">
        <f t="shared" si="46"/>
        <v>3.3525773413689834E-2</v>
      </c>
      <c r="L646" s="40">
        <f t="shared" si="47"/>
        <v>8.553358183797112</v>
      </c>
      <c r="M646" s="40">
        <f t="shared" si="48"/>
        <v>7.553358183797112</v>
      </c>
      <c r="N646" s="40">
        <f t="shared" si="49"/>
        <v>5.5962830854550045</v>
      </c>
      <c r="O646" s="1" t="str">
        <f t="shared" si="45"/>
        <v>Normal</v>
      </c>
      <c r="P646" s="51" t="str">
        <f>IF(Table4[[#This Row],[Sales]]&lt;=$B$3,"Normal","High Revenue")</f>
        <v>Normal</v>
      </c>
      <c r="Q646" s="51" t="str">
        <f>IF(Table4[[#This Row],[CTR]]&lt;=$B$4,"Normal","High CTR")</f>
        <v>Normal</v>
      </c>
      <c r="R646" s="51" t="str">
        <f>IF(Table4[[#This Row],[ROAS]]&lt;1,"Poor",IF(Table4[[#This Row],[ROAS]]&lt;3,"Average",IF(Table4[[#This Row],[ROAS]]&lt;5,"Good",
"Excellent")))</f>
        <v>Excellent</v>
      </c>
      <c r="S646" s="51" t="str">
        <f>IF(AND(Table4[[#This Row],[USD_Spend]]&gt;=$B$5,Table4[[#This Row],[Sales]]&lt;=$B$6),"Wasted Budget","Spend Justified")</f>
        <v>Spend Justified</v>
      </c>
      <c r="T646" s="51" t="str">
        <f>IF(AND(Table4[[#This Row],[Clicks]]&gt;=$B$7,Table4[[#This Row],[Sales]]&lt;=$B$6),"Poor Monetization","Normal Monitization")</f>
        <v>Normal Monitization</v>
      </c>
    </row>
    <row r="647" spans="1:20" x14ac:dyDescent="0.35">
      <c r="A647" s="41" t="s">
        <v>57</v>
      </c>
      <c r="B647" s="41" t="s">
        <v>28</v>
      </c>
      <c r="C647" s="41" t="s">
        <v>29</v>
      </c>
      <c r="D647" s="41" t="s">
        <v>21</v>
      </c>
      <c r="E647" s="41" t="s">
        <v>30</v>
      </c>
      <c r="F647" s="41">
        <v>7204.66</v>
      </c>
      <c r="G647" s="41">
        <v>652865</v>
      </c>
      <c r="H647" s="41">
        <v>22585</v>
      </c>
      <c r="I647" s="41">
        <v>94651.42</v>
      </c>
      <c r="J647" s="41">
        <v>22</v>
      </c>
      <c r="K647" s="42">
        <f t="shared" si="46"/>
        <v>3.459367556845596E-2</v>
      </c>
      <c r="L647" s="43">
        <f t="shared" si="47"/>
        <v>13.13752765571172</v>
      </c>
      <c r="M647" s="43">
        <f t="shared" si="48"/>
        <v>12.13752765571172</v>
      </c>
      <c r="N647" s="43">
        <f t="shared" si="49"/>
        <v>4.1908974983396057</v>
      </c>
      <c r="O647" s="1" t="str">
        <f t="shared" si="45"/>
        <v>Normal</v>
      </c>
      <c r="P647" s="51" t="str">
        <f>IF(Table4[[#This Row],[Sales]]&lt;=$B$3,"Normal","High Revenue")</f>
        <v>Normal</v>
      </c>
      <c r="Q647" s="51" t="str">
        <f>IF(Table4[[#This Row],[CTR]]&lt;=$B$4,"Normal","High CTR")</f>
        <v>Normal</v>
      </c>
      <c r="R647" s="51" t="str">
        <f>IF(Table4[[#This Row],[ROAS]]&lt;1,"Poor",IF(Table4[[#This Row],[ROAS]]&lt;3,"Average",IF(Table4[[#This Row],[ROAS]]&lt;5,"Good",
"Excellent")))</f>
        <v>Excellent</v>
      </c>
      <c r="S647" s="51" t="str">
        <f>IF(AND(Table4[[#This Row],[USD_Spend]]&gt;=$B$5,Table4[[#This Row],[Sales]]&lt;=$B$6),"Wasted Budget","Spend Justified")</f>
        <v>Spend Justified</v>
      </c>
      <c r="T647" s="51" t="str">
        <f>IF(AND(Table4[[#This Row],[Clicks]]&gt;=$B$7,Table4[[#This Row],[Sales]]&lt;=$B$6),"Poor Monetization","Normal Monitization")</f>
        <v>Normal Monitization</v>
      </c>
    </row>
    <row r="648" spans="1:20" x14ac:dyDescent="0.35">
      <c r="A648" s="38" t="s">
        <v>72</v>
      </c>
      <c r="B648" s="38" t="s">
        <v>28</v>
      </c>
      <c r="C648" s="38" t="s">
        <v>58</v>
      </c>
      <c r="D648" s="38" t="s">
        <v>59</v>
      </c>
      <c r="E648" s="38" t="s">
        <v>30</v>
      </c>
      <c r="F648" s="38">
        <v>19444.490000000002</v>
      </c>
      <c r="G648" s="38">
        <v>810441</v>
      </c>
      <c r="H648" s="38">
        <v>32122</v>
      </c>
      <c r="I648" s="38">
        <v>241794.53</v>
      </c>
      <c r="J648" s="38">
        <v>47</v>
      </c>
      <c r="K648" s="39">
        <f t="shared" si="46"/>
        <v>3.9635210953049019E-2</v>
      </c>
      <c r="L648" s="40">
        <f t="shared" si="47"/>
        <v>12.435118123437539</v>
      </c>
      <c r="M648" s="40">
        <f t="shared" si="48"/>
        <v>11.435118123437539</v>
      </c>
      <c r="N648" s="40">
        <f t="shared" si="49"/>
        <v>7.5273809227320836</v>
      </c>
      <c r="O648" s="1" t="str">
        <f t="shared" si="45"/>
        <v>Normal</v>
      </c>
      <c r="P648" s="51" t="str">
        <f>IF(Table4[[#This Row],[Sales]]&lt;=$B$3,"Normal","High Revenue")</f>
        <v>High Revenue</v>
      </c>
      <c r="Q648" s="51" t="str">
        <f>IF(Table4[[#This Row],[CTR]]&lt;=$B$4,"Normal","High CTR")</f>
        <v>Normal</v>
      </c>
      <c r="R648" s="51" t="str">
        <f>IF(Table4[[#This Row],[ROAS]]&lt;1,"Poor",IF(Table4[[#This Row],[ROAS]]&lt;3,"Average",IF(Table4[[#This Row],[ROAS]]&lt;5,"Good",
"Excellent")))</f>
        <v>Excellent</v>
      </c>
      <c r="S648" s="51" t="str">
        <f>IF(AND(Table4[[#This Row],[USD_Spend]]&gt;=$B$5,Table4[[#This Row],[Sales]]&lt;=$B$6),"Wasted Budget","Spend Justified")</f>
        <v>Spend Justified</v>
      </c>
      <c r="T648" s="51" t="str">
        <f>IF(AND(Table4[[#This Row],[Clicks]]&gt;=$B$7,Table4[[#This Row],[Sales]]&lt;=$B$6),"Poor Monetization","Normal Monitization")</f>
        <v>Normal Monitization</v>
      </c>
    </row>
    <row r="649" spans="1:20" x14ac:dyDescent="0.35">
      <c r="A649" s="41" t="s">
        <v>114</v>
      </c>
      <c r="B649" s="41" t="s">
        <v>35</v>
      </c>
      <c r="C649" s="41" t="s">
        <v>69</v>
      </c>
      <c r="D649" s="41" t="s">
        <v>63</v>
      </c>
      <c r="E649" s="41" t="s">
        <v>30</v>
      </c>
      <c r="F649" s="41">
        <v>23507.62</v>
      </c>
      <c r="G649" s="41">
        <v>931068</v>
      </c>
      <c r="H649" s="41">
        <v>31275</v>
      </c>
      <c r="I649" s="41">
        <v>121974.89</v>
      </c>
      <c r="J649" s="41">
        <v>16</v>
      </c>
      <c r="K649" s="42">
        <f t="shared" si="46"/>
        <v>3.3590457410199899E-2</v>
      </c>
      <c r="L649" s="43">
        <f t="shared" si="47"/>
        <v>5.1887383750460492</v>
      </c>
      <c r="M649" s="43">
        <f t="shared" si="48"/>
        <v>4.1887383750460492</v>
      </c>
      <c r="N649" s="43">
        <f t="shared" si="49"/>
        <v>3.900076418864908</v>
      </c>
      <c r="O649" s="1" t="str">
        <f t="shared" si="45"/>
        <v>Normal</v>
      </c>
      <c r="P649" s="51" t="str">
        <f>IF(Table4[[#This Row],[Sales]]&lt;=$B$3,"Normal","High Revenue")</f>
        <v>Normal</v>
      </c>
      <c r="Q649" s="51" t="str">
        <f>IF(Table4[[#This Row],[CTR]]&lt;=$B$4,"Normal","High CTR")</f>
        <v>Normal</v>
      </c>
      <c r="R649" s="51" t="str">
        <f>IF(Table4[[#This Row],[ROAS]]&lt;1,"Poor",IF(Table4[[#This Row],[ROAS]]&lt;3,"Average",IF(Table4[[#This Row],[ROAS]]&lt;5,"Good",
"Excellent")))</f>
        <v>Excellent</v>
      </c>
      <c r="S649" s="51" t="str">
        <f>IF(AND(Table4[[#This Row],[USD_Spend]]&gt;=$B$5,Table4[[#This Row],[Sales]]&lt;=$B$6),"Wasted Budget","Spend Justified")</f>
        <v>Spend Justified</v>
      </c>
      <c r="T649" s="51" t="str">
        <f>IF(AND(Table4[[#This Row],[Clicks]]&gt;=$B$7,Table4[[#This Row],[Sales]]&lt;=$B$6),"Poor Monetization","Normal Monitization")</f>
        <v>Normal Monitization</v>
      </c>
    </row>
    <row r="650" spans="1:20" x14ac:dyDescent="0.35">
      <c r="A650" s="38" t="s">
        <v>77</v>
      </c>
      <c r="B650" s="38" t="s">
        <v>48</v>
      </c>
      <c r="C650" s="38" t="s">
        <v>69</v>
      </c>
      <c r="D650" s="38" t="s">
        <v>21</v>
      </c>
      <c r="E650" s="38" t="s">
        <v>38</v>
      </c>
      <c r="F650" s="38">
        <v>15726.56</v>
      </c>
      <c r="G650" s="38">
        <v>53768</v>
      </c>
      <c r="H650" s="38">
        <v>6919</v>
      </c>
      <c r="I650" s="38">
        <v>13722.02</v>
      </c>
      <c r="J650" s="38">
        <v>36</v>
      </c>
      <c r="K650" s="39">
        <f t="shared" si="46"/>
        <v>0.12868248772504093</v>
      </c>
      <c r="L650" s="40">
        <f t="shared" si="47"/>
        <v>0.87253792310587952</v>
      </c>
      <c r="M650" s="40">
        <f t="shared" si="48"/>
        <v>-0.12746207689412045</v>
      </c>
      <c r="N650" s="40">
        <f t="shared" si="49"/>
        <v>1.9832374620609916</v>
      </c>
      <c r="O650" s="1" t="str">
        <f t="shared" ref="O650:O713" si="50">IF(F650&lt;=$B$2,"Normal","High Spend")</f>
        <v>Normal</v>
      </c>
      <c r="P650" s="51" t="str">
        <f>IF(Table4[[#This Row],[Sales]]&lt;=$B$3,"Normal","High Revenue")</f>
        <v>Normal</v>
      </c>
      <c r="Q650" s="51" t="str">
        <f>IF(Table4[[#This Row],[CTR]]&lt;=$B$4,"Normal","High CTR")</f>
        <v>Normal</v>
      </c>
      <c r="R650" s="51" t="str">
        <f>IF(Table4[[#This Row],[ROAS]]&lt;1,"Poor",IF(Table4[[#This Row],[ROAS]]&lt;3,"Average",IF(Table4[[#This Row],[ROAS]]&lt;5,"Good",
"Excellent")))</f>
        <v>Poor</v>
      </c>
      <c r="S650" s="51" t="str">
        <f>IF(AND(Table4[[#This Row],[USD_Spend]]&gt;=$B$5,Table4[[#This Row],[Sales]]&lt;=$B$6),"Wasted Budget","Spend Justified")</f>
        <v>Wasted Budget</v>
      </c>
      <c r="T650" s="51" t="str">
        <f>IF(AND(Table4[[#This Row],[Clicks]]&gt;=$B$7,Table4[[#This Row],[Sales]]&lt;=$B$6),"Poor Monetization","Normal Monitization")</f>
        <v>Normal Monitization</v>
      </c>
    </row>
    <row r="651" spans="1:20" x14ac:dyDescent="0.35">
      <c r="A651" s="41" t="s">
        <v>91</v>
      </c>
      <c r="B651" s="41" t="s">
        <v>35</v>
      </c>
      <c r="C651" s="41" t="s">
        <v>69</v>
      </c>
      <c r="D651" s="41" t="s">
        <v>63</v>
      </c>
      <c r="E651" s="41" t="s">
        <v>30</v>
      </c>
      <c r="F651" s="41">
        <v>28533.58</v>
      </c>
      <c r="G651" s="41">
        <v>545456</v>
      </c>
      <c r="H651" s="41">
        <v>27947</v>
      </c>
      <c r="I651" s="41">
        <v>106189.75</v>
      </c>
      <c r="J651" s="41">
        <v>10</v>
      </c>
      <c r="K651" s="42">
        <f t="shared" ref="K651:K714" si="51">H651/G651</f>
        <v>5.1236030037253237E-2</v>
      </c>
      <c r="L651" s="43">
        <f t="shared" ref="L651:L714" si="52">I651/F651</f>
        <v>3.7215712153890257</v>
      </c>
      <c r="M651" s="43">
        <f t="shared" ref="M651:M714" si="53">(I651-F651)/F651</f>
        <v>2.7215712153890257</v>
      </c>
      <c r="N651" s="43">
        <f t="shared" ref="N651:N714" si="54">I651/H651</f>
        <v>3.7996833291587646</v>
      </c>
      <c r="O651" s="1" t="str">
        <f t="shared" si="50"/>
        <v>Normal</v>
      </c>
      <c r="P651" s="51" t="str">
        <f>IF(Table4[[#This Row],[Sales]]&lt;=$B$3,"Normal","High Revenue")</f>
        <v>Normal</v>
      </c>
      <c r="Q651" s="51" t="str">
        <f>IF(Table4[[#This Row],[CTR]]&lt;=$B$4,"Normal","High CTR")</f>
        <v>Normal</v>
      </c>
      <c r="R651" s="51" t="str">
        <f>IF(Table4[[#This Row],[ROAS]]&lt;1,"Poor",IF(Table4[[#This Row],[ROAS]]&lt;3,"Average",IF(Table4[[#This Row],[ROAS]]&lt;5,"Good",
"Excellent")))</f>
        <v>Good</v>
      </c>
      <c r="S651" s="51" t="str">
        <f>IF(AND(Table4[[#This Row],[USD_Spend]]&gt;=$B$5,Table4[[#This Row],[Sales]]&lt;=$B$6),"Wasted Budget","Spend Justified")</f>
        <v>Spend Justified</v>
      </c>
      <c r="T651" s="51" t="str">
        <f>IF(AND(Table4[[#This Row],[Clicks]]&gt;=$B$7,Table4[[#This Row],[Sales]]&lt;=$B$6),"Poor Monetization","Normal Monitization")</f>
        <v>Normal Monitization</v>
      </c>
    </row>
    <row r="652" spans="1:20" x14ac:dyDescent="0.35">
      <c r="A652" s="38" t="s">
        <v>67</v>
      </c>
      <c r="B652" s="38" t="s">
        <v>28</v>
      </c>
      <c r="C652" s="38" t="s">
        <v>29</v>
      </c>
      <c r="D652" s="38" t="s">
        <v>21</v>
      </c>
      <c r="E652" s="38" t="s">
        <v>22</v>
      </c>
      <c r="F652" s="38">
        <v>15247.93</v>
      </c>
      <c r="G652" s="38">
        <v>347408</v>
      </c>
      <c r="H652" s="38">
        <v>12463</v>
      </c>
      <c r="I652" s="38">
        <v>245289.78</v>
      </c>
      <c r="J652" s="38">
        <v>54</v>
      </c>
      <c r="K652" s="39">
        <f t="shared" si="51"/>
        <v>3.5874245843503891E-2</v>
      </c>
      <c r="L652" s="40">
        <f t="shared" si="52"/>
        <v>16.086759317494241</v>
      </c>
      <c r="M652" s="40">
        <f t="shared" si="53"/>
        <v>15.086759317494243</v>
      </c>
      <c r="N652" s="40">
        <f t="shared" si="54"/>
        <v>19.681439460803979</v>
      </c>
      <c r="O652" s="1" t="str">
        <f t="shared" si="50"/>
        <v>Normal</v>
      </c>
      <c r="P652" s="51" t="str">
        <f>IF(Table4[[#This Row],[Sales]]&lt;=$B$3,"Normal","High Revenue")</f>
        <v>High Revenue</v>
      </c>
      <c r="Q652" s="51" t="str">
        <f>IF(Table4[[#This Row],[CTR]]&lt;=$B$4,"Normal","High CTR")</f>
        <v>Normal</v>
      </c>
      <c r="R652" s="51" t="str">
        <f>IF(Table4[[#This Row],[ROAS]]&lt;1,"Poor",IF(Table4[[#This Row],[ROAS]]&lt;3,"Average",IF(Table4[[#This Row],[ROAS]]&lt;5,"Good",
"Excellent")))</f>
        <v>Excellent</v>
      </c>
      <c r="S652" s="51" t="str">
        <f>IF(AND(Table4[[#This Row],[USD_Spend]]&gt;=$B$5,Table4[[#This Row],[Sales]]&lt;=$B$6),"Wasted Budget","Spend Justified")</f>
        <v>Spend Justified</v>
      </c>
      <c r="T652" s="51" t="str">
        <f>IF(AND(Table4[[#This Row],[Clicks]]&gt;=$B$7,Table4[[#This Row],[Sales]]&lt;=$B$6),"Poor Monetization","Normal Monitization")</f>
        <v>Normal Monitization</v>
      </c>
    </row>
    <row r="653" spans="1:20" x14ac:dyDescent="0.35">
      <c r="A653" s="41" t="s">
        <v>68</v>
      </c>
      <c r="B653" s="41" t="s">
        <v>35</v>
      </c>
      <c r="C653" s="41" t="s">
        <v>20</v>
      </c>
      <c r="D653" s="41" t="s">
        <v>37</v>
      </c>
      <c r="E653" s="41" t="s">
        <v>30</v>
      </c>
      <c r="F653" s="41">
        <v>79.489999999999995</v>
      </c>
      <c r="G653" s="41">
        <v>189708</v>
      </c>
      <c r="H653" s="41">
        <v>5518</v>
      </c>
      <c r="I653" s="41">
        <v>127465.31</v>
      </c>
      <c r="J653" s="41">
        <v>36</v>
      </c>
      <c r="K653" s="42">
        <f t="shared" si="51"/>
        <v>2.9086807093006095E-2</v>
      </c>
      <c r="L653" s="43">
        <f t="shared" si="52"/>
        <v>1603.5389357151844</v>
      </c>
      <c r="M653" s="43">
        <f t="shared" si="53"/>
        <v>1602.5389357151844</v>
      </c>
      <c r="N653" s="43">
        <f t="shared" si="54"/>
        <v>23.099911199710039</v>
      </c>
      <c r="O653" s="1" t="str">
        <f t="shared" si="50"/>
        <v>Normal</v>
      </c>
      <c r="P653" s="51" t="str">
        <f>IF(Table4[[#This Row],[Sales]]&lt;=$B$3,"Normal","High Revenue")</f>
        <v>Normal</v>
      </c>
      <c r="Q653" s="51" t="str">
        <f>IF(Table4[[#This Row],[CTR]]&lt;=$B$4,"Normal","High CTR")</f>
        <v>Normal</v>
      </c>
      <c r="R653" s="51" t="str">
        <f>IF(Table4[[#This Row],[ROAS]]&lt;1,"Poor",IF(Table4[[#This Row],[ROAS]]&lt;3,"Average",IF(Table4[[#This Row],[ROAS]]&lt;5,"Good",
"Excellent")))</f>
        <v>Excellent</v>
      </c>
      <c r="S653" s="51" t="str">
        <f>IF(AND(Table4[[#This Row],[USD_Spend]]&gt;=$B$5,Table4[[#This Row],[Sales]]&lt;=$B$6),"Wasted Budget","Spend Justified")</f>
        <v>Spend Justified</v>
      </c>
      <c r="T653" s="51" t="str">
        <f>IF(AND(Table4[[#This Row],[Clicks]]&gt;=$B$7,Table4[[#This Row],[Sales]]&lt;=$B$6),"Poor Monetization","Normal Monitization")</f>
        <v>Normal Monitization</v>
      </c>
    </row>
    <row r="654" spans="1:20" x14ac:dyDescent="0.35">
      <c r="A654" s="38" t="s">
        <v>84</v>
      </c>
      <c r="B654" s="38" t="s">
        <v>28</v>
      </c>
      <c r="C654" s="38" t="s">
        <v>36</v>
      </c>
      <c r="D654" s="38" t="s">
        <v>63</v>
      </c>
      <c r="E654" s="38" t="s">
        <v>22</v>
      </c>
      <c r="F654" s="38">
        <v>4446.21</v>
      </c>
      <c r="G654" s="38">
        <v>330704</v>
      </c>
      <c r="H654" s="38">
        <v>29827</v>
      </c>
      <c r="I654" s="38">
        <v>74390.31</v>
      </c>
      <c r="J654" s="38">
        <v>52</v>
      </c>
      <c r="K654" s="39">
        <f t="shared" si="51"/>
        <v>9.0192437950553969E-2</v>
      </c>
      <c r="L654" s="40">
        <f t="shared" si="52"/>
        <v>16.731173291409988</v>
      </c>
      <c r="M654" s="40">
        <f t="shared" si="53"/>
        <v>15.731173291409986</v>
      </c>
      <c r="N654" s="40">
        <f t="shared" si="54"/>
        <v>2.4940594092600663</v>
      </c>
      <c r="O654" s="1" t="str">
        <f t="shared" si="50"/>
        <v>Normal</v>
      </c>
      <c r="P654" s="51" t="str">
        <f>IF(Table4[[#This Row],[Sales]]&lt;=$B$3,"Normal","High Revenue")</f>
        <v>Normal</v>
      </c>
      <c r="Q654" s="51" t="str">
        <f>IF(Table4[[#This Row],[CTR]]&lt;=$B$4,"Normal","High CTR")</f>
        <v>Normal</v>
      </c>
      <c r="R654" s="51" t="str">
        <f>IF(Table4[[#This Row],[ROAS]]&lt;1,"Poor",IF(Table4[[#This Row],[ROAS]]&lt;3,"Average",IF(Table4[[#This Row],[ROAS]]&lt;5,"Good",
"Excellent")))</f>
        <v>Excellent</v>
      </c>
      <c r="S654" s="51" t="str">
        <f>IF(AND(Table4[[#This Row],[USD_Spend]]&gt;=$B$5,Table4[[#This Row],[Sales]]&lt;=$B$6),"Wasted Budget","Spend Justified")</f>
        <v>Spend Justified</v>
      </c>
      <c r="T654" s="51" t="str">
        <f>IF(AND(Table4[[#This Row],[Clicks]]&gt;=$B$7,Table4[[#This Row],[Sales]]&lt;=$B$6),"Poor Monetization","Normal Monitization")</f>
        <v>Normal Monitization</v>
      </c>
    </row>
    <row r="655" spans="1:20" x14ac:dyDescent="0.35">
      <c r="A655" s="41" t="s">
        <v>47</v>
      </c>
      <c r="B655" s="41" t="s">
        <v>35</v>
      </c>
      <c r="C655" s="41" t="s">
        <v>29</v>
      </c>
      <c r="D655" s="41" t="s">
        <v>43</v>
      </c>
      <c r="E655" s="41" t="s">
        <v>30</v>
      </c>
      <c r="F655" s="41">
        <v>22283.49</v>
      </c>
      <c r="G655" s="41">
        <v>826808</v>
      </c>
      <c r="H655" s="41">
        <v>45351</v>
      </c>
      <c r="I655" s="41">
        <v>11571.98</v>
      </c>
      <c r="J655" s="41">
        <v>44</v>
      </c>
      <c r="K655" s="42">
        <f t="shared" si="51"/>
        <v>5.4850702944335326E-2</v>
      </c>
      <c r="L655" s="43">
        <f t="shared" si="52"/>
        <v>0.51930734368808473</v>
      </c>
      <c r="M655" s="43">
        <f t="shared" si="53"/>
        <v>-0.48069265631191527</v>
      </c>
      <c r="N655" s="43">
        <f t="shared" si="54"/>
        <v>0.25516482547242619</v>
      </c>
      <c r="O655" s="1" t="str">
        <f t="shared" si="50"/>
        <v>Normal</v>
      </c>
      <c r="P655" s="51" t="str">
        <f>IF(Table4[[#This Row],[Sales]]&lt;=$B$3,"Normal","High Revenue")</f>
        <v>Normal</v>
      </c>
      <c r="Q655" s="51" t="str">
        <f>IF(Table4[[#This Row],[CTR]]&lt;=$B$4,"Normal","High CTR")</f>
        <v>Normal</v>
      </c>
      <c r="R655" s="51" t="str">
        <f>IF(Table4[[#This Row],[ROAS]]&lt;1,"Poor",IF(Table4[[#This Row],[ROAS]]&lt;3,"Average",IF(Table4[[#This Row],[ROAS]]&lt;5,"Good",
"Excellent")))</f>
        <v>Poor</v>
      </c>
      <c r="S655" s="51" t="str">
        <f>IF(AND(Table4[[#This Row],[USD_Spend]]&gt;=$B$5,Table4[[#This Row],[Sales]]&lt;=$B$6),"Wasted Budget","Spend Justified")</f>
        <v>Wasted Budget</v>
      </c>
      <c r="T655" s="51" t="str">
        <f>IF(AND(Table4[[#This Row],[Clicks]]&gt;=$B$7,Table4[[#This Row],[Sales]]&lt;=$B$6),"Poor Monetization","Normal Monitization")</f>
        <v>Poor Monetization</v>
      </c>
    </row>
    <row r="656" spans="1:20" x14ac:dyDescent="0.35">
      <c r="A656" s="38" t="s">
        <v>115</v>
      </c>
      <c r="B656" s="38" t="s">
        <v>48</v>
      </c>
      <c r="C656" s="38" t="s">
        <v>58</v>
      </c>
      <c r="D656" s="38" t="s">
        <v>21</v>
      </c>
      <c r="E656" s="38" t="s">
        <v>30</v>
      </c>
      <c r="F656" s="38">
        <v>921.82</v>
      </c>
      <c r="G656" s="38">
        <v>454579</v>
      </c>
      <c r="H656" s="38">
        <v>44470</v>
      </c>
      <c r="I656" s="38">
        <v>129627.18</v>
      </c>
      <c r="J656" s="38">
        <v>37</v>
      </c>
      <c r="K656" s="39">
        <f t="shared" si="51"/>
        <v>9.7826780383607689E-2</v>
      </c>
      <c r="L656" s="40">
        <f t="shared" si="52"/>
        <v>140.62092382460781</v>
      </c>
      <c r="M656" s="40">
        <f t="shared" si="53"/>
        <v>139.62092382460781</v>
      </c>
      <c r="N656" s="40">
        <f t="shared" si="54"/>
        <v>2.9149354621092871</v>
      </c>
      <c r="O656" s="1" t="str">
        <f t="shared" si="50"/>
        <v>Normal</v>
      </c>
      <c r="P656" s="51" t="str">
        <f>IF(Table4[[#This Row],[Sales]]&lt;=$B$3,"Normal","High Revenue")</f>
        <v>Normal</v>
      </c>
      <c r="Q656" s="51" t="str">
        <f>IF(Table4[[#This Row],[CTR]]&lt;=$B$4,"Normal","High CTR")</f>
        <v>Normal</v>
      </c>
      <c r="R656" s="51" t="str">
        <f>IF(Table4[[#This Row],[ROAS]]&lt;1,"Poor",IF(Table4[[#This Row],[ROAS]]&lt;3,"Average",IF(Table4[[#This Row],[ROAS]]&lt;5,"Good",
"Excellent")))</f>
        <v>Excellent</v>
      </c>
      <c r="S656" s="51" t="str">
        <f>IF(AND(Table4[[#This Row],[USD_Spend]]&gt;=$B$5,Table4[[#This Row],[Sales]]&lt;=$B$6),"Wasted Budget","Spend Justified")</f>
        <v>Spend Justified</v>
      </c>
      <c r="T656" s="51" t="str">
        <f>IF(AND(Table4[[#This Row],[Clicks]]&gt;=$B$7,Table4[[#This Row],[Sales]]&lt;=$B$6),"Poor Monetization","Normal Monitization")</f>
        <v>Normal Monitization</v>
      </c>
    </row>
    <row r="657" spans="1:20" x14ac:dyDescent="0.35">
      <c r="A657" s="41" t="s">
        <v>87</v>
      </c>
      <c r="B657" s="41" t="s">
        <v>48</v>
      </c>
      <c r="C657" s="41" t="s">
        <v>58</v>
      </c>
      <c r="D657" s="41" t="s">
        <v>51</v>
      </c>
      <c r="E657" s="41" t="s">
        <v>22</v>
      </c>
      <c r="F657" s="41">
        <v>10488.07</v>
      </c>
      <c r="G657" s="41">
        <v>947758</v>
      </c>
      <c r="H657" s="41">
        <v>37698</v>
      </c>
      <c r="I657" s="41">
        <v>70923.570000000007</v>
      </c>
      <c r="J657" s="41">
        <v>17</v>
      </c>
      <c r="K657" s="42">
        <f t="shared" si="51"/>
        <v>3.9775976567858043E-2</v>
      </c>
      <c r="L657" s="43">
        <f t="shared" si="52"/>
        <v>6.7623089853519289</v>
      </c>
      <c r="M657" s="43">
        <f t="shared" si="53"/>
        <v>5.7623089853519289</v>
      </c>
      <c r="N657" s="43">
        <f t="shared" si="54"/>
        <v>1.8813616106955278</v>
      </c>
      <c r="O657" s="1" t="str">
        <f t="shared" si="50"/>
        <v>Normal</v>
      </c>
      <c r="P657" s="51" t="str">
        <f>IF(Table4[[#This Row],[Sales]]&lt;=$B$3,"Normal","High Revenue")</f>
        <v>Normal</v>
      </c>
      <c r="Q657" s="51" t="str">
        <f>IF(Table4[[#This Row],[CTR]]&lt;=$B$4,"Normal","High CTR")</f>
        <v>Normal</v>
      </c>
      <c r="R657" s="51" t="str">
        <f>IF(Table4[[#This Row],[ROAS]]&lt;1,"Poor",IF(Table4[[#This Row],[ROAS]]&lt;3,"Average",IF(Table4[[#This Row],[ROAS]]&lt;5,"Good",
"Excellent")))</f>
        <v>Excellent</v>
      </c>
      <c r="S657" s="51" t="str">
        <f>IF(AND(Table4[[#This Row],[USD_Spend]]&gt;=$B$5,Table4[[#This Row],[Sales]]&lt;=$B$6),"Wasted Budget","Spend Justified")</f>
        <v>Spend Justified</v>
      </c>
      <c r="T657" s="51" t="str">
        <f>IF(AND(Table4[[#This Row],[Clicks]]&gt;=$B$7,Table4[[#This Row],[Sales]]&lt;=$B$6),"Poor Monetization","Normal Monitization")</f>
        <v>Normal Monitization</v>
      </c>
    </row>
    <row r="658" spans="1:20" x14ac:dyDescent="0.35">
      <c r="A658" s="38" t="s">
        <v>64</v>
      </c>
      <c r="B658" s="38" t="s">
        <v>19</v>
      </c>
      <c r="C658" s="38" t="s">
        <v>20</v>
      </c>
      <c r="D658" s="38" t="s">
        <v>63</v>
      </c>
      <c r="E658" s="38" t="s">
        <v>22</v>
      </c>
      <c r="F658" s="38">
        <v>6291.21</v>
      </c>
      <c r="G658" s="38">
        <v>145073</v>
      </c>
      <c r="H658" s="38">
        <v>37788</v>
      </c>
      <c r="I658" s="38">
        <v>55526.33</v>
      </c>
      <c r="J658" s="38">
        <v>34</v>
      </c>
      <c r="K658" s="39">
        <f t="shared" si="51"/>
        <v>0.26047576047920701</v>
      </c>
      <c r="L658" s="40">
        <f t="shared" si="52"/>
        <v>8.826017570546842</v>
      </c>
      <c r="M658" s="40">
        <f t="shared" si="53"/>
        <v>7.8260175705468429</v>
      </c>
      <c r="N658" s="40">
        <f t="shared" si="54"/>
        <v>1.4694170106912248</v>
      </c>
      <c r="O658" s="1" t="str">
        <f t="shared" si="50"/>
        <v>Normal</v>
      </c>
      <c r="P658" s="51" t="str">
        <f>IF(Table4[[#This Row],[Sales]]&lt;=$B$3,"Normal","High Revenue")</f>
        <v>Normal</v>
      </c>
      <c r="Q658" s="51" t="str">
        <f>IF(Table4[[#This Row],[CTR]]&lt;=$B$4,"Normal","High CTR")</f>
        <v>Normal</v>
      </c>
      <c r="R658" s="51" t="str">
        <f>IF(Table4[[#This Row],[ROAS]]&lt;1,"Poor",IF(Table4[[#This Row],[ROAS]]&lt;3,"Average",IF(Table4[[#This Row],[ROAS]]&lt;5,"Good",
"Excellent")))</f>
        <v>Excellent</v>
      </c>
      <c r="S658" s="51" t="str">
        <f>IF(AND(Table4[[#This Row],[USD_Spend]]&gt;=$B$5,Table4[[#This Row],[Sales]]&lt;=$B$6),"Wasted Budget","Spend Justified")</f>
        <v>Wasted Budget</v>
      </c>
      <c r="T658" s="51" t="str">
        <f>IF(AND(Table4[[#This Row],[Clicks]]&gt;=$B$7,Table4[[#This Row],[Sales]]&lt;=$B$6),"Poor Monetization","Normal Monitization")</f>
        <v>Normal Monitization</v>
      </c>
    </row>
    <row r="659" spans="1:20" x14ac:dyDescent="0.35">
      <c r="A659" s="41" t="s">
        <v>113</v>
      </c>
      <c r="B659" s="41" t="s">
        <v>35</v>
      </c>
      <c r="C659" s="41" t="s">
        <v>36</v>
      </c>
      <c r="D659" s="41" t="s">
        <v>21</v>
      </c>
      <c r="E659" s="41" t="s">
        <v>22</v>
      </c>
      <c r="F659" s="41">
        <v>4423.67</v>
      </c>
      <c r="G659" s="41">
        <v>339861</v>
      </c>
      <c r="H659" s="41">
        <v>29656</v>
      </c>
      <c r="I659" s="41">
        <v>156755.44</v>
      </c>
      <c r="J659" s="41">
        <v>16</v>
      </c>
      <c r="K659" s="42">
        <f t="shared" si="51"/>
        <v>8.7259203027119911E-2</v>
      </c>
      <c r="L659" s="43">
        <f t="shared" si="52"/>
        <v>35.435608894876879</v>
      </c>
      <c r="M659" s="43">
        <f t="shared" si="53"/>
        <v>34.435608894876879</v>
      </c>
      <c r="N659" s="43">
        <f t="shared" si="54"/>
        <v>5.2857917453466419</v>
      </c>
      <c r="O659" s="1" t="str">
        <f t="shared" si="50"/>
        <v>Normal</v>
      </c>
      <c r="P659" s="51" t="str">
        <f>IF(Table4[[#This Row],[Sales]]&lt;=$B$3,"Normal","High Revenue")</f>
        <v>Normal</v>
      </c>
      <c r="Q659" s="51" t="str">
        <f>IF(Table4[[#This Row],[CTR]]&lt;=$B$4,"Normal","High CTR")</f>
        <v>Normal</v>
      </c>
      <c r="R659" s="51" t="str">
        <f>IF(Table4[[#This Row],[ROAS]]&lt;1,"Poor",IF(Table4[[#This Row],[ROAS]]&lt;3,"Average",IF(Table4[[#This Row],[ROAS]]&lt;5,"Good",
"Excellent")))</f>
        <v>Excellent</v>
      </c>
      <c r="S659" s="51" t="str">
        <f>IF(AND(Table4[[#This Row],[USD_Spend]]&gt;=$B$5,Table4[[#This Row],[Sales]]&lt;=$B$6),"Wasted Budget","Spend Justified")</f>
        <v>Spend Justified</v>
      </c>
      <c r="T659" s="51" t="str">
        <f>IF(AND(Table4[[#This Row],[Clicks]]&gt;=$B$7,Table4[[#This Row],[Sales]]&lt;=$B$6),"Poor Monetization","Normal Monitization")</f>
        <v>Normal Monitization</v>
      </c>
    </row>
    <row r="660" spans="1:20" x14ac:dyDescent="0.35">
      <c r="A660" s="38" t="s">
        <v>47</v>
      </c>
      <c r="B660" s="38" t="s">
        <v>48</v>
      </c>
      <c r="C660" s="38" t="s">
        <v>69</v>
      </c>
      <c r="D660" s="38" t="s">
        <v>21</v>
      </c>
      <c r="E660" s="38" t="s">
        <v>22</v>
      </c>
      <c r="F660" s="38">
        <v>52998.23</v>
      </c>
      <c r="G660" s="38">
        <v>72471</v>
      </c>
      <c r="H660" s="38">
        <v>22994</v>
      </c>
      <c r="I660" s="38">
        <v>93410.34</v>
      </c>
      <c r="J660" s="38">
        <v>36</v>
      </c>
      <c r="K660" s="39">
        <f t="shared" si="51"/>
        <v>0.31728553490361661</v>
      </c>
      <c r="L660" s="40">
        <f t="shared" si="52"/>
        <v>1.7625181067367719</v>
      </c>
      <c r="M660" s="40">
        <f t="shared" si="53"/>
        <v>0.76251810673677201</v>
      </c>
      <c r="N660" s="40">
        <f t="shared" si="54"/>
        <v>4.0623788814473336</v>
      </c>
      <c r="O660" s="1" t="str">
        <f t="shared" si="50"/>
        <v>High Spend</v>
      </c>
      <c r="P660" s="51" t="str">
        <f>IF(Table4[[#This Row],[Sales]]&lt;=$B$3,"Normal","High Revenue")</f>
        <v>Normal</v>
      </c>
      <c r="Q660" s="51" t="str">
        <f>IF(Table4[[#This Row],[CTR]]&lt;=$B$4,"Normal","High CTR")</f>
        <v>Normal</v>
      </c>
      <c r="R660" s="51" t="str">
        <f>IF(Table4[[#This Row],[ROAS]]&lt;1,"Poor",IF(Table4[[#This Row],[ROAS]]&lt;3,"Average",IF(Table4[[#This Row],[ROAS]]&lt;5,"Good",
"Excellent")))</f>
        <v>Average</v>
      </c>
      <c r="S660" s="51" t="str">
        <f>IF(AND(Table4[[#This Row],[USD_Spend]]&gt;=$B$5,Table4[[#This Row],[Sales]]&lt;=$B$6),"Wasted Budget","Spend Justified")</f>
        <v>Spend Justified</v>
      </c>
      <c r="T660" s="51" t="str">
        <f>IF(AND(Table4[[#This Row],[Clicks]]&gt;=$B$7,Table4[[#This Row],[Sales]]&lt;=$B$6),"Poor Monetization","Normal Monitization")</f>
        <v>Normal Monitization</v>
      </c>
    </row>
    <row r="661" spans="1:20" x14ac:dyDescent="0.35">
      <c r="A661" s="41" t="s">
        <v>95</v>
      </c>
      <c r="B661" s="41" t="s">
        <v>35</v>
      </c>
      <c r="C661" s="41" t="s">
        <v>58</v>
      </c>
      <c r="D661" s="41" t="s">
        <v>59</v>
      </c>
      <c r="E661" s="41" t="s">
        <v>30</v>
      </c>
      <c r="F661" s="41">
        <v>7308.87</v>
      </c>
      <c r="G661" s="41">
        <v>918211</v>
      </c>
      <c r="H661" s="41">
        <v>24065</v>
      </c>
      <c r="I661" s="41">
        <v>214566.22</v>
      </c>
      <c r="J661" s="41">
        <v>33</v>
      </c>
      <c r="K661" s="42">
        <f t="shared" si="51"/>
        <v>2.620857297505693E-2</v>
      </c>
      <c r="L661" s="43">
        <f t="shared" si="52"/>
        <v>29.356962156940813</v>
      </c>
      <c r="M661" s="43">
        <f t="shared" si="53"/>
        <v>28.356962156940813</v>
      </c>
      <c r="N661" s="43">
        <f t="shared" si="54"/>
        <v>8.9161113650529824</v>
      </c>
      <c r="O661" s="1" t="str">
        <f t="shared" si="50"/>
        <v>Normal</v>
      </c>
      <c r="P661" s="51" t="str">
        <f>IF(Table4[[#This Row],[Sales]]&lt;=$B$3,"Normal","High Revenue")</f>
        <v>Normal</v>
      </c>
      <c r="Q661" s="51" t="str">
        <f>IF(Table4[[#This Row],[CTR]]&lt;=$B$4,"Normal","High CTR")</f>
        <v>Normal</v>
      </c>
      <c r="R661" s="51" t="str">
        <f>IF(Table4[[#This Row],[ROAS]]&lt;1,"Poor",IF(Table4[[#This Row],[ROAS]]&lt;3,"Average",IF(Table4[[#This Row],[ROAS]]&lt;5,"Good",
"Excellent")))</f>
        <v>Excellent</v>
      </c>
      <c r="S661" s="51" t="str">
        <f>IF(AND(Table4[[#This Row],[USD_Spend]]&gt;=$B$5,Table4[[#This Row],[Sales]]&lt;=$B$6),"Wasted Budget","Spend Justified")</f>
        <v>Spend Justified</v>
      </c>
      <c r="T661" s="51" t="str">
        <f>IF(AND(Table4[[#This Row],[Clicks]]&gt;=$B$7,Table4[[#This Row],[Sales]]&lt;=$B$6),"Poor Monetization","Normal Monitization")</f>
        <v>Normal Monitization</v>
      </c>
    </row>
    <row r="662" spans="1:20" x14ac:dyDescent="0.35">
      <c r="A662" s="38" t="s">
        <v>99</v>
      </c>
      <c r="B662" s="38" t="s">
        <v>28</v>
      </c>
      <c r="C662" s="38" t="s">
        <v>58</v>
      </c>
      <c r="D662" s="38" t="s">
        <v>63</v>
      </c>
      <c r="E662" s="38" t="s">
        <v>22</v>
      </c>
      <c r="F662" s="38">
        <v>8194.74</v>
      </c>
      <c r="G662" s="38">
        <v>281212</v>
      </c>
      <c r="H662" s="38">
        <v>26814</v>
      </c>
      <c r="I662" s="38">
        <v>100067.99</v>
      </c>
      <c r="J662" s="38">
        <v>10</v>
      </c>
      <c r="K662" s="39">
        <f t="shared" si="51"/>
        <v>9.5351549720495574E-2</v>
      </c>
      <c r="L662" s="40">
        <f t="shared" si="52"/>
        <v>12.211246482499751</v>
      </c>
      <c r="M662" s="40">
        <f t="shared" si="53"/>
        <v>11.21124648249975</v>
      </c>
      <c r="N662" s="40">
        <f t="shared" si="54"/>
        <v>3.7319307078391888</v>
      </c>
      <c r="O662" s="1" t="str">
        <f t="shared" si="50"/>
        <v>Normal</v>
      </c>
      <c r="P662" s="51" t="str">
        <f>IF(Table4[[#This Row],[Sales]]&lt;=$B$3,"Normal","High Revenue")</f>
        <v>Normal</v>
      </c>
      <c r="Q662" s="51" t="str">
        <f>IF(Table4[[#This Row],[CTR]]&lt;=$B$4,"Normal","High CTR")</f>
        <v>Normal</v>
      </c>
      <c r="R662" s="51" t="str">
        <f>IF(Table4[[#This Row],[ROAS]]&lt;1,"Poor",IF(Table4[[#This Row],[ROAS]]&lt;3,"Average",IF(Table4[[#This Row],[ROAS]]&lt;5,"Good",
"Excellent")))</f>
        <v>Excellent</v>
      </c>
      <c r="S662" s="51" t="str">
        <f>IF(AND(Table4[[#This Row],[USD_Spend]]&gt;=$B$5,Table4[[#This Row],[Sales]]&lt;=$B$6),"Wasted Budget","Spend Justified")</f>
        <v>Spend Justified</v>
      </c>
      <c r="T662" s="51" t="str">
        <f>IF(AND(Table4[[#This Row],[Clicks]]&gt;=$B$7,Table4[[#This Row],[Sales]]&lt;=$B$6),"Poor Monetization","Normal Monitization")</f>
        <v>Normal Monitization</v>
      </c>
    </row>
    <row r="663" spans="1:20" x14ac:dyDescent="0.35">
      <c r="A663" s="41" t="s">
        <v>75</v>
      </c>
      <c r="B663" s="41" t="s">
        <v>48</v>
      </c>
      <c r="C663" s="41" t="s">
        <v>36</v>
      </c>
      <c r="D663" s="41" t="s">
        <v>51</v>
      </c>
      <c r="E663" s="41" t="s">
        <v>22</v>
      </c>
      <c r="F663" s="41">
        <v>29306.65</v>
      </c>
      <c r="G663" s="41">
        <v>615711</v>
      </c>
      <c r="H663" s="41">
        <v>22667</v>
      </c>
      <c r="I663" s="41">
        <v>194677.65</v>
      </c>
      <c r="J663" s="41">
        <v>41</v>
      </c>
      <c r="K663" s="42">
        <f t="shared" si="51"/>
        <v>3.6814349589336555E-2</v>
      </c>
      <c r="L663" s="43">
        <f t="shared" si="52"/>
        <v>6.6427807340654761</v>
      </c>
      <c r="M663" s="43">
        <f t="shared" si="53"/>
        <v>5.6427807340654761</v>
      </c>
      <c r="N663" s="43">
        <f t="shared" si="54"/>
        <v>8.5885935500948509</v>
      </c>
      <c r="O663" s="1" t="str">
        <f t="shared" si="50"/>
        <v>Normal</v>
      </c>
      <c r="P663" s="51" t="str">
        <f>IF(Table4[[#This Row],[Sales]]&lt;=$B$3,"Normal","High Revenue")</f>
        <v>Normal</v>
      </c>
      <c r="Q663" s="51" t="str">
        <f>IF(Table4[[#This Row],[CTR]]&lt;=$B$4,"Normal","High CTR")</f>
        <v>Normal</v>
      </c>
      <c r="R663" s="51" t="str">
        <f>IF(Table4[[#This Row],[ROAS]]&lt;1,"Poor",IF(Table4[[#This Row],[ROAS]]&lt;3,"Average",IF(Table4[[#This Row],[ROAS]]&lt;5,"Good",
"Excellent")))</f>
        <v>Excellent</v>
      </c>
      <c r="S663" s="51" t="str">
        <f>IF(AND(Table4[[#This Row],[USD_Spend]]&gt;=$B$5,Table4[[#This Row],[Sales]]&lt;=$B$6),"Wasted Budget","Spend Justified")</f>
        <v>Spend Justified</v>
      </c>
      <c r="T663" s="51" t="str">
        <f>IF(AND(Table4[[#This Row],[Clicks]]&gt;=$B$7,Table4[[#This Row],[Sales]]&lt;=$B$6),"Poor Monetization","Normal Monitization")</f>
        <v>Normal Monitization</v>
      </c>
    </row>
    <row r="664" spans="1:20" x14ac:dyDescent="0.35">
      <c r="A664" s="38" t="s">
        <v>81</v>
      </c>
      <c r="B664" s="38" t="s">
        <v>35</v>
      </c>
      <c r="C664" s="38" t="s">
        <v>58</v>
      </c>
      <c r="D664" s="38" t="s">
        <v>21</v>
      </c>
      <c r="E664" s="38" t="s">
        <v>30</v>
      </c>
      <c r="F664" s="38">
        <v>10636.68</v>
      </c>
      <c r="G664" s="38">
        <v>132692</v>
      </c>
      <c r="H664" s="38">
        <v>33738</v>
      </c>
      <c r="I664" s="38">
        <v>239393.79</v>
      </c>
      <c r="J664" s="38">
        <v>10</v>
      </c>
      <c r="K664" s="39">
        <f t="shared" si="51"/>
        <v>0.25425798088807161</v>
      </c>
      <c r="L664" s="40">
        <f t="shared" si="52"/>
        <v>22.506439039249088</v>
      </c>
      <c r="M664" s="40">
        <f t="shared" si="53"/>
        <v>21.506439039249091</v>
      </c>
      <c r="N664" s="40">
        <f t="shared" si="54"/>
        <v>7.0956722390183176</v>
      </c>
      <c r="O664" s="1" t="str">
        <f t="shared" si="50"/>
        <v>Normal</v>
      </c>
      <c r="P664" s="51" t="str">
        <f>IF(Table4[[#This Row],[Sales]]&lt;=$B$3,"Normal","High Revenue")</f>
        <v>High Revenue</v>
      </c>
      <c r="Q664" s="51" t="str">
        <f>IF(Table4[[#This Row],[CTR]]&lt;=$B$4,"Normal","High CTR")</f>
        <v>Normal</v>
      </c>
      <c r="R664" s="51" t="str">
        <f>IF(Table4[[#This Row],[ROAS]]&lt;1,"Poor",IF(Table4[[#This Row],[ROAS]]&lt;3,"Average",IF(Table4[[#This Row],[ROAS]]&lt;5,"Good",
"Excellent")))</f>
        <v>Excellent</v>
      </c>
      <c r="S664" s="51" t="str">
        <f>IF(AND(Table4[[#This Row],[USD_Spend]]&gt;=$B$5,Table4[[#This Row],[Sales]]&lt;=$B$6),"Wasted Budget","Spend Justified")</f>
        <v>Spend Justified</v>
      </c>
      <c r="T664" s="51" t="str">
        <f>IF(AND(Table4[[#This Row],[Clicks]]&gt;=$B$7,Table4[[#This Row],[Sales]]&lt;=$B$6),"Poor Monetization","Normal Monitization")</f>
        <v>Normal Monitization</v>
      </c>
    </row>
    <row r="665" spans="1:20" x14ac:dyDescent="0.35">
      <c r="A665" s="41" t="s">
        <v>102</v>
      </c>
      <c r="B665" s="41" t="s">
        <v>35</v>
      </c>
      <c r="C665" s="41" t="s">
        <v>69</v>
      </c>
      <c r="D665" s="41" t="s">
        <v>63</v>
      </c>
      <c r="E665" s="41" t="s">
        <v>38</v>
      </c>
      <c r="F665" s="41">
        <v>10424.86</v>
      </c>
      <c r="G665" s="41">
        <v>727659</v>
      </c>
      <c r="H665" s="41">
        <v>7184</v>
      </c>
      <c r="I665" s="41">
        <v>123025.91</v>
      </c>
      <c r="J665" s="41">
        <v>47</v>
      </c>
      <c r="K665" s="42">
        <f t="shared" si="51"/>
        <v>9.8727563322930107E-3</v>
      </c>
      <c r="L665" s="43">
        <f t="shared" si="52"/>
        <v>11.801205004191903</v>
      </c>
      <c r="M665" s="43">
        <f t="shared" si="53"/>
        <v>10.801205004191903</v>
      </c>
      <c r="N665" s="43">
        <f t="shared" si="54"/>
        <v>17.124987472160356</v>
      </c>
      <c r="O665" s="1" t="str">
        <f t="shared" si="50"/>
        <v>Normal</v>
      </c>
      <c r="P665" s="51" t="str">
        <f>IF(Table4[[#This Row],[Sales]]&lt;=$B$3,"Normal","High Revenue")</f>
        <v>Normal</v>
      </c>
      <c r="Q665" s="51" t="str">
        <f>IF(Table4[[#This Row],[CTR]]&lt;=$B$4,"Normal","High CTR")</f>
        <v>Normal</v>
      </c>
      <c r="R665" s="51" t="str">
        <f>IF(Table4[[#This Row],[ROAS]]&lt;1,"Poor",IF(Table4[[#This Row],[ROAS]]&lt;3,"Average",IF(Table4[[#This Row],[ROAS]]&lt;5,"Good",
"Excellent")))</f>
        <v>Excellent</v>
      </c>
      <c r="S665" s="51" t="str">
        <f>IF(AND(Table4[[#This Row],[USD_Spend]]&gt;=$B$5,Table4[[#This Row],[Sales]]&lt;=$B$6),"Wasted Budget","Spend Justified")</f>
        <v>Spend Justified</v>
      </c>
      <c r="T665" s="51" t="str">
        <f>IF(AND(Table4[[#This Row],[Clicks]]&gt;=$B$7,Table4[[#This Row],[Sales]]&lt;=$B$6),"Poor Monetization","Normal Monitization")</f>
        <v>Normal Monitization</v>
      </c>
    </row>
    <row r="666" spans="1:20" x14ac:dyDescent="0.35">
      <c r="A666" s="38" t="s">
        <v>34</v>
      </c>
      <c r="B666" s="38" t="s">
        <v>19</v>
      </c>
      <c r="C666" s="38" t="s">
        <v>20</v>
      </c>
      <c r="D666" s="38" t="s">
        <v>43</v>
      </c>
      <c r="E666" s="38" t="s">
        <v>22</v>
      </c>
      <c r="F666" s="38">
        <v>4773.32</v>
      </c>
      <c r="G666" s="38">
        <v>211774</v>
      </c>
      <c r="H666" s="38">
        <v>40647</v>
      </c>
      <c r="I666" s="38">
        <v>137749.41</v>
      </c>
      <c r="J666" s="38">
        <v>47</v>
      </c>
      <c r="K666" s="39">
        <f t="shared" si="51"/>
        <v>0.19193574282017623</v>
      </c>
      <c r="L666" s="40">
        <f t="shared" si="52"/>
        <v>28.858197229601203</v>
      </c>
      <c r="M666" s="40">
        <f t="shared" si="53"/>
        <v>27.858197229601203</v>
      </c>
      <c r="N666" s="40">
        <f t="shared" si="54"/>
        <v>3.3889194774522107</v>
      </c>
      <c r="O666" s="1" t="str">
        <f t="shared" si="50"/>
        <v>Normal</v>
      </c>
      <c r="P666" s="51" t="str">
        <f>IF(Table4[[#This Row],[Sales]]&lt;=$B$3,"Normal","High Revenue")</f>
        <v>Normal</v>
      </c>
      <c r="Q666" s="51" t="str">
        <f>IF(Table4[[#This Row],[CTR]]&lt;=$B$4,"Normal","High CTR")</f>
        <v>Normal</v>
      </c>
      <c r="R666" s="51" t="str">
        <f>IF(Table4[[#This Row],[ROAS]]&lt;1,"Poor",IF(Table4[[#This Row],[ROAS]]&lt;3,"Average",IF(Table4[[#This Row],[ROAS]]&lt;5,"Good",
"Excellent")))</f>
        <v>Excellent</v>
      </c>
      <c r="S666" s="51" t="str">
        <f>IF(AND(Table4[[#This Row],[USD_Spend]]&gt;=$B$5,Table4[[#This Row],[Sales]]&lt;=$B$6),"Wasted Budget","Spend Justified")</f>
        <v>Spend Justified</v>
      </c>
      <c r="T666" s="51" t="str">
        <f>IF(AND(Table4[[#This Row],[Clicks]]&gt;=$B$7,Table4[[#This Row],[Sales]]&lt;=$B$6),"Poor Monetization","Normal Monitization")</f>
        <v>Normal Monitization</v>
      </c>
    </row>
    <row r="667" spans="1:20" x14ac:dyDescent="0.35">
      <c r="A667" s="41" t="s">
        <v>91</v>
      </c>
      <c r="B667" s="41" t="s">
        <v>35</v>
      </c>
      <c r="C667" s="41" t="s">
        <v>20</v>
      </c>
      <c r="D667" s="41" t="s">
        <v>63</v>
      </c>
      <c r="E667" s="41" t="s">
        <v>30</v>
      </c>
      <c r="F667" s="41">
        <v>28911.72</v>
      </c>
      <c r="G667" s="41">
        <v>405129</v>
      </c>
      <c r="H667" s="41">
        <v>20662</v>
      </c>
      <c r="I667" s="41">
        <v>239387.95</v>
      </c>
      <c r="J667" s="41">
        <v>26</v>
      </c>
      <c r="K667" s="42">
        <f t="shared" si="51"/>
        <v>5.1001039175176302E-2</v>
      </c>
      <c r="L667" s="43">
        <f t="shared" si="52"/>
        <v>8.2799622436852598</v>
      </c>
      <c r="M667" s="43">
        <f t="shared" si="53"/>
        <v>7.2799622436852598</v>
      </c>
      <c r="N667" s="43">
        <f t="shared" si="54"/>
        <v>11.585904075113737</v>
      </c>
      <c r="O667" s="1" t="str">
        <f t="shared" si="50"/>
        <v>Normal</v>
      </c>
      <c r="P667" s="51" t="str">
        <f>IF(Table4[[#This Row],[Sales]]&lt;=$B$3,"Normal","High Revenue")</f>
        <v>High Revenue</v>
      </c>
      <c r="Q667" s="51" t="str">
        <f>IF(Table4[[#This Row],[CTR]]&lt;=$B$4,"Normal","High CTR")</f>
        <v>Normal</v>
      </c>
      <c r="R667" s="51" t="str">
        <f>IF(Table4[[#This Row],[ROAS]]&lt;1,"Poor",IF(Table4[[#This Row],[ROAS]]&lt;3,"Average",IF(Table4[[#This Row],[ROAS]]&lt;5,"Good",
"Excellent")))</f>
        <v>Excellent</v>
      </c>
      <c r="S667" s="51" t="str">
        <f>IF(AND(Table4[[#This Row],[USD_Spend]]&gt;=$B$5,Table4[[#This Row],[Sales]]&lt;=$B$6),"Wasted Budget","Spend Justified")</f>
        <v>Spend Justified</v>
      </c>
      <c r="T667" s="51" t="str">
        <f>IF(AND(Table4[[#This Row],[Clicks]]&gt;=$B$7,Table4[[#This Row],[Sales]]&lt;=$B$6),"Poor Monetization","Normal Monitization")</f>
        <v>Normal Monitization</v>
      </c>
    </row>
    <row r="668" spans="1:20" x14ac:dyDescent="0.35">
      <c r="A668" s="38" t="s">
        <v>75</v>
      </c>
      <c r="B668" s="38" t="s">
        <v>28</v>
      </c>
      <c r="C668" s="38" t="s">
        <v>20</v>
      </c>
      <c r="D668" s="38" t="s">
        <v>51</v>
      </c>
      <c r="E668" s="38" t="s">
        <v>30</v>
      </c>
      <c r="F668" s="38">
        <v>12641.64</v>
      </c>
      <c r="G668" s="38">
        <v>632234</v>
      </c>
      <c r="H668" s="38">
        <v>16481</v>
      </c>
      <c r="I668" s="38">
        <v>25552.75</v>
      </c>
      <c r="J668" s="38">
        <v>16</v>
      </c>
      <c r="K668" s="39">
        <f t="shared" si="51"/>
        <v>2.6067879930532049E-2</v>
      </c>
      <c r="L668" s="40">
        <f t="shared" si="52"/>
        <v>2.0213160634221512</v>
      </c>
      <c r="M668" s="40">
        <f t="shared" si="53"/>
        <v>1.021316063422151</v>
      </c>
      <c r="N668" s="40">
        <f t="shared" si="54"/>
        <v>1.5504368666949822</v>
      </c>
      <c r="O668" s="1" t="str">
        <f t="shared" si="50"/>
        <v>Normal</v>
      </c>
      <c r="P668" s="51" t="str">
        <f>IF(Table4[[#This Row],[Sales]]&lt;=$B$3,"Normal","High Revenue")</f>
        <v>Normal</v>
      </c>
      <c r="Q668" s="51" t="str">
        <f>IF(Table4[[#This Row],[CTR]]&lt;=$B$4,"Normal","High CTR")</f>
        <v>Normal</v>
      </c>
      <c r="R668" s="51" t="str">
        <f>IF(Table4[[#This Row],[ROAS]]&lt;1,"Poor",IF(Table4[[#This Row],[ROAS]]&lt;3,"Average",IF(Table4[[#This Row],[ROAS]]&lt;5,"Good",
"Excellent")))</f>
        <v>Average</v>
      </c>
      <c r="S668" s="51" t="str">
        <f>IF(AND(Table4[[#This Row],[USD_Spend]]&gt;=$B$5,Table4[[#This Row],[Sales]]&lt;=$B$6),"Wasted Budget","Spend Justified")</f>
        <v>Wasted Budget</v>
      </c>
      <c r="T668" s="51" t="str">
        <f>IF(AND(Table4[[#This Row],[Clicks]]&gt;=$B$7,Table4[[#This Row],[Sales]]&lt;=$B$6),"Poor Monetization","Normal Monitization")</f>
        <v>Normal Monitization</v>
      </c>
    </row>
    <row r="669" spans="1:20" x14ac:dyDescent="0.35">
      <c r="A669" s="41" t="s">
        <v>119</v>
      </c>
      <c r="B669" s="41" t="s">
        <v>28</v>
      </c>
      <c r="C669" s="41" t="s">
        <v>29</v>
      </c>
      <c r="D669" s="41" t="s">
        <v>37</v>
      </c>
      <c r="E669" s="41" t="s">
        <v>30</v>
      </c>
      <c r="F669" s="41">
        <v>16397.91</v>
      </c>
      <c r="G669" s="41">
        <v>525611</v>
      </c>
      <c r="H669" s="41">
        <v>27338</v>
      </c>
      <c r="I669" s="41">
        <v>178984.88</v>
      </c>
      <c r="J669" s="41">
        <v>38</v>
      </c>
      <c r="K669" s="42">
        <f t="shared" si="51"/>
        <v>5.2011849067085732E-2</v>
      </c>
      <c r="L669" s="43">
        <f t="shared" si="52"/>
        <v>10.915103205225545</v>
      </c>
      <c r="M669" s="43">
        <f t="shared" si="53"/>
        <v>9.9151032052255434</v>
      </c>
      <c r="N669" s="43">
        <f t="shared" si="54"/>
        <v>6.5471095178871899</v>
      </c>
      <c r="O669" s="1" t="str">
        <f t="shared" si="50"/>
        <v>Normal</v>
      </c>
      <c r="P669" s="51" t="str">
        <f>IF(Table4[[#This Row],[Sales]]&lt;=$B$3,"Normal","High Revenue")</f>
        <v>Normal</v>
      </c>
      <c r="Q669" s="51" t="str">
        <f>IF(Table4[[#This Row],[CTR]]&lt;=$B$4,"Normal","High CTR")</f>
        <v>Normal</v>
      </c>
      <c r="R669" s="51" t="str">
        <f>IF(Table4[[#This Row],[ROAS]]&lt;1,"Poor",IF(Table4[[#This Row],[ROAS]]&lt;3,"Average",IF(Table4[[#This Row],[ROAS]]&lt;5,"Good",
"Excellent")))</f>
        <v>Excellent</v>
      </c>
      <c r="S669" s="51" t="str">
        <f>IF(AND(Table4[[#This Row],[USD_Spend]]&gt;=$B$5,Table4[[#This Row],[Sales]]&lt;=$B$6),"Wasted Budget","Spend Justified")</f>
        <v>Spend Justified</v>
      </c>
      <c r="T669" s="51" t="str">
        <f>IF(AND(Table4[[#This Row],[Clicks]]&gt;=$B$7,Table4[[#This Row],[Sales]]&lt;=$B$6),"Poor Monetization","Normal Monitization")</f>
        <v>Normal Monitization</v>
      </c>
    </row>
    <row r="670" spans="1:20" x14ac:dyDescent="0.35">
      <c r="A670" s="38" t="s">
        <v>112</v>
      </c>
      <c r="B670" s="38" t="s">
        <v>35</v>
      </c>
      <c r="C670" s="38" t="s">
        <v>58</v>
      </c>
      <c r="D670" s="38" t="s">
        <v>43</v>
      </c>
      <c r="E670" s="38" t="s">
        <v>22</v>
      </c>
      <c r="F670" s="38">
        <v>1660.28</v>
      </c>
      <c r="G670" s="38">
        <v>107738</v>
      </c>
      <c r="H670" s="38">
        <v>20324</v>
      </c>
      <c r="I670" s="38">
        <v>7077.29</v>
      </c>
      <c r="J670" s="38">
        <v>56</v>
      </c>
      <c r="K670" s="39">
        <f t="shared" si="51"/>
        <v>0.18864281868978447</v>
      </c>
      <c r="L670" s="40">
        <f t="shared" si="52"/>
        <v>4.2627086997373933</v>
      </c>
      <c r="M670" s="40">
        <f t="shared" si="53"/>
        <v>3.2627086997373937</v>
      </c>
      <c r="N670" s="40">
        <f t="shared" si="54"/>
        <v>0.34822328281834286</v>
      </c>
      <c r="O670" s="1" t="str">
        <f t="shared" si="50"/>
        <v>Normal</v>
      </c>
      <c r="P670" s="51" t="str">
        <f>IF(Table4[[#This Row],[Sales]]&lt;=$B$3,"Normal","High Revenue")</f>
        <v>Normal</v>
      </c>
      <c r="Q670" s="51" t="str">
        <f>IF(Table4[[#This Row],[CTR]]&lt;=$B$4,"Normal","High CTR")</f>
        <v>Normal</v>
      </c>
      <c r="R670" s="51" t="str">
        <f>IF(Table4[[#This Row],[ROAS]]&lt;1,"Poor",IF(Table4[[#This Row],[ROAS]]&lt;3,"Average",IF(Table4[[#This Row],[ROAS]]&lt;5,"Good",
"Excellent")))</f>
        <v>Good</v>
      </c>
      <c r="S670" s="51" t="str">
        <f>IF(AND(Table4[[#This Row],[USD_Spend]]&gt;=$B$5,Table4[[#This Row],[Sales]]&lt;=$B$6),"Wasted Budget","Spend Justified")</f>
        <v>Spend Justified</v>
      </c>
      <c r="T670" s="51" t="str">
        <f>IF(AND(Table4[[#This Row],[Clicks]]&gt;=$B$7,Table4[[#This Row],[Sales]]&lt;=$B$6),"Poor Monetization","Normal Monitization")</f>
        <v>Normal Monitization</v>
      </c>
    </row>
    <row r="671" spans="1:20" x14ac:dyDescent="0.35">
      <c r="A671" s="41" t="s">
        <v>102</v>
      </c>
      <c r="B671" s="41" t="s">
        <v>35</v>
      </c>
      <c r="C671" s="41" t="s">
        <v>36</v>
      </c>
      <c r="D671" s="41" t="s">
        <v>59</v>
      </c>
      <c r="E671" s="41" t="s">
        <v>38</v>
      </c>
      <c r="F671" s="41">
        <v>22959.19</v>
      </c>
      <c r="G671" s="41">
        <v>29627</v>
      </c>
      <c r="H671" s="41">
        <v>13748</v>
      </c>
      <c r="I671" s="41">
        <v>146462.42000000001</v>
      </c>
      <c r="J671" s="41">
        <v>52</v>
      </c>
      <c r="K671" s="42">
        <f t="shared" si="51"/>
        <v>0.46403618321126</v>
      </c>
      <c r="L671" s="43">
        <f t="shared" si="52"/>
        <v>6.3792503132732481</v>
      </c>
      <c r="M671" s="43">
        <f t="shared" si="53"/>
        <v>5.3792503132732481</v>
      </c>
      <c r="N671" s="43">
        <f t="shared" si="54"/>
        <v>10.653361943555428</v>
      </c>
      <c r="O671" s="1" t="str">
        <f t="shared" si="50"/>
        <v>Normal</v>
      </c>
      <c r="P671" s="51" t="str">
        <f>IF(Table4[[#This Row],[Sales]]&lt;=$B$3,"Normal","High Revenue")</f>
        <v>Normal</v>
      </c>
      <c r="Q671" s="51" t="str">
        <f>IF(Table4[[#This Row],[CTR]]&lt;=$B$4,"Normal","High CTR")</f>
        <v>High CTR</v>
      </c>
      <c r="R671" s="51" t="str">
        <f>IF(Table4[[#This Row],[ROAS]]&lt;1,"Poor",IF(Table4[[#This Row],[ROAS]]&lt;3,"Average",IF(Table4[[#This Row],[ROAS]]&lt;5,"Good",
"Excellent")))</f>
        <v>Excellent</v>
      </c>
      <c r="S671" s="51" t="str">
        <f>IF(AND(Table4[[#This Row],[USD_Spend]]&gt;=$B$5,Table4[[#This Row],[Sales]]&lt;=$B$6),"Wasted Budget","Spend Justified")</f>
        <v>Spend Justified</v>
      </c>
      <c r="T671" s="51" t="str">
        <f>IF(AND(Table4[[#This Row],[Clicks]]&gt;=$B$7,Table4[[#This Row],[Sales]]&lt;=$B$6),"Poor Monetization","Normal Monitization")</f>
        <v>Normal Monitization</v>
      </c>
    </row>
    <row r="672" spans="1:20" x14ac:dyDescent="0.35">
      <c r="A672" s="38" t="s">
        <v>87</v>
      </c>
      <c r="B672" s="38" t="s">
        <v>48</v>
      </c>
      <c r="C672" s="38" t="s">
        <v>36</v>
      </c>
      <c r="D672" s="38" t="s">
        <v>43</v>
      </c>
      <c r="E672" s="38" t="s">
        <v>30</v>
      </c>
      <c r="F672" s="38">
        <v>34767.32</v>
      </c>
      <c r="G672" s="38">
        <v>576820</v>
      </c>
      <c r="H672" s="38">
        <v>21840</v>
      </c>
      <c r="I672" s="38">
        <v>99042.32</v>
      </c>
      <c r="J672" s="38">
        <v>59</v>
      </c>
      <c r="K672" s="39">
        <f t="shared" si="51"/>
        <v>3.7862764813980099E-2</v>
      </c>
      <c r="L672" s="40">
        <f t="shared" si="52"/>
        <v>2.8487188543724398</v>
      </c>
      <c r="M672" s="40">
        <f t="shared" si="53"/>
        <v>1.8487188543724395</v>
      </c>
      <c r="N672" s="40">
        <f t="shared" si="54"/>
        <v>4.5349047619047624</v>
      </c>
      <c r="O672" s="1" t="str">
        <f t="shared" si="50"/>
        <v>Normal</v>
      </c>
      <c r="P672" s="51" t="str">
        <f>IF(Table4[[#This Row],[Sales]]&lt;=$B$3,"Normal","High Revenue")</f>
        <v>Normal</v>
      </c>
      <c r="Q672" s="51" t="str">
        <f>IF(Table4[[#This Row],[CTR]]&lt;=$B$4,"Normal","High CTR")</f>
        <v>Normal</v>
      </c>
      <c r="R672" s="51" t="str">
        <f>IF(Table4[[#This Row],[ROAS]]&lt;1,"Poor",IF(Table4[[#This Row],[ROAS]]&lt;3,"Average",IF(Table4[[#This Row],[ROAS]]&lt;5,"Good",
"Excellent")))</f>
        <v>Average</v>
      </c>
      <c r="S672" s="51" t="str">
        <f>IF(AND(Table4[[#This Row],[USD_Spend]]&gt;=$B$5,Table4[[#This Row],[Sales]]&lt;=$B$6),"Wasted Budget","Spend Justified")</f>
        <v>Spend Justified</v>
      </c>
      <c r="T672" s="51" t="str">
        <f>IF(AND(Table4[[#This Row],[Clicks]]&gt;=$B$7,Table4[[#This Row],[Sales]]&lt;=$B$6),"Poor Monetization","Normal Monitization")</f>
        <v>Normal Monitization</v>
      </c>
    </row>
    <row r="673" spans="1:20" x14ac:dyDescent="0.35">
      <c r="A673" s="41" t="s">
        <v>116</v>
      </c>
      <c r="B673" s="41" t="s">
        <v>28</v>
      </c>
      <c r="C673" s="41" t="s">
        <v>36</v>
      </c>
      <c r="D673" s="41" t="s">
        <v>43</v>
      </c>
      <c r="E673" s="41" t="s">
        <v>38</v>
      </c>
      <c r="F673" s="41">
        <v>44069.54</v>
      </c>
      <c r="G673" s="41">
        <v>611755</v>
      </c>
      <c r="H673" s="41">
        <v>25717</v>
      </c>
      <c r="I673" s="41">
        <v>245142.17</v>
      </c>
      <c r="J673" s="41">
        <v>46</v>
      </c>
      <c r="K673" s="42">
        <f t="shared" si="51"/>
        <v>4.2038070796315517E-2</v>
      </c>
      <c r="L673" s="43">
        <f t="shared" si="52"/>
        <v>5.5626214841362085</v>
      </c>
      <c r="M673" s="43">
        <f t="shared" si="53"/>
        <v>4.5626214841362085</v>
      </c>
      <c r="N673" s="43">
        <f t="shared" si="54"/>
        <v>9.5323004238441502</v>
      </c>
      <c r="O673" s="1" t="str">
        <f t="shared" si="50"/>
        <v>High Spend</v>
      </c>
      <c r="P673" s="51" t="str">
        <f>IF(Table4[[#This Row],[Sales]]&lt;=$B$3,"Normal","High Revenue")</f>
        <v>High Revenue</v>
      </c>
      <c r="Q673" s="51" t="str">
        <f>IF(Table4[[#This Row],[CTR]]&lt;=$B$4,"Normal","High CTR")</f>
        <v>Normal</v>
      </c>
      <c r="R673" s="51" t="str">
        <f>IF(Table4[[#This Row],[ROAS]]&lt;1,"Poor",IF(Table4[[#This Row],[ROAS]]&lt;3,"Average",IF(Table4[[#This Row],[ROAS]]&lt;5,"Good",
"Excellent")))</f>
        <v>Excellent</v>
      </c>
      <c r="S673" s="51" t="str">
        <f>IF(AND(Table4[[#This Row],[USD_Spend]]&gt;=$B$5,Table4[[#This Row],[Sales]]&lt;=$B$6),"Wasted Budget","Spend Justified")</f>
        <v>Spend Justified</v>
      </c>
      <c r="T673" s="51" t="str">
        <f>IF(AND(Table4[[#This Row],[Clicks]]&gt;=$B$7,Table4[[#This Row],[Sales]]&lt;=$B$6),"Poor Monetization","Normal Monitization")</f>
        <v>Normal Monitization</v>
      </c>
    </row>
    <row r="674" spans="1:20" x14ac:dyDescent="0.35">
      <c r="A674" s="38" t="s">
        <v>100</v>
      </c>
      <c r="B674" s="38" t="s">
        <v>19</v>
      </c>
      <c r="C674" s="38" t="s">
        <v>20</v>
      </c>
      <c r="D674" s="38" t="s">
        <v>51</v>
      </c>
      <c r="E674" s="38" t="s">
        <v>38</v>
      </c>
      <c r="F674" s="38">
        <v>32212.43</v>
      </c>
      <c r="G674" s="38">
        <v>841420</v>
      </c>
      <c r="H674" s="38">
        <v>31723</v>
      </c>
      <c r="I674" s="38">
        <v>47361.11</v>
      </c>
      <c r="J674" s="38">
        <v>19</v>
      </c>
      <c r="K674" s="39">
        <f t="shared" si="51"/>
        <v>3.770174229279076E-2</v>
      </c>
      <c r="L674" s="40">
        <f t="shared" si="52"/>
        <v>1.4702743630331521</v>
      </c>
      <c r="M674" s="40">
        <f t="shared" si="53"/>
        <v>0.47027436303315212</v>
      </c>
      <c r="N674" s="40">
        <f t="shared" si="54"/>
        <v>1.49295810610598</v>
      </c>
      <c r="O674" s="1" t="str">
        <f t="shared" si="50"/>
        <v>Normal</v>
      </c>
      <c r="P674" s="51" t="str">
        <f>IF(Table4[[#This Row],[Sales]]&lt;=$B$3,"Normal","High Revenue")</f>
        <v>Normal</v>
      </c>
      <c r="Q674" s="51" t="str">
        <f>IF(Table4[[#This Row],[CTR]]&lt;=$B$4,"Normal","High CTR")</f>
        <v>Normal</v>
      </c>
      <c r="R674" s="51" t="str">
        <f>IF(Table4[[#This Row],[ROAS]]&lt;1,"Poor",IF(Table4[[#This Row],[ROAS]]&lt;3,"Average",IF(Table4[[#This Row],[ROAS]]&lt;5,"Good",
"Excellent")))</f>
        <v>Average</v>
      </c>
      <c r="S674" s="51" t="str">
        <f>IF(AND(Table4[[#This Row],[USD_Spend]]&gt;=$B$5,Table4[[#This Row],[Sales]]&lt;=$B$6),"Wasted Budget","Spend Justified")</f>
        <v>Wasted Budget</v>
      </c>
      <c r="T674" s="51" t="str">
        <f>IF(AND(Table4[[#This Row],[Clicks]]&gt;=$B$7,Table4[[#This Row],[Sales]]&lt;=$B$6),"Poor Monetization","Normal Monitization")</f>
        <v>Normal Monitization</v>
      </c>
    </row>
    <row r="675" spans="1:20" x14ac:dyDescent="0.35">
      <c r="A675" s="41" t="s">
        <v>112</v>
      </c>
      <c r="B675" s="41" t="s">
        <v>28</v>
      </c>
      <c r="C675" s="41" t="s">
        <v>58</v>
      </c>
      <c r="D675" s="41" t="s">
        <v>51</v>
      </c>
      <c r="E675" s="41" t="s">
        <v>30</v>
      </c>
      <c r="F675" s="41">
        <v>11797.48</v>
      </c>
      <c r="G675" s="41">
        <v>926622</v>
      </c>
      <c r="H675" s="41">
        <v>30395</v>
      </c>
      <c r="I675" s="41">
        <v>168941.89</v>
      </c>
      <c r="J675" s="41">
        <v>31</v>
      </c>
      <c r="K675" s="42">
        <f t="shared" si="51"/>
        <v>3.2801940812974439E-2</v>
      </c>
      <c r="L675" s="43">
        <f t="shared" si="52"/>
        <v>14.320167527302443</v>
      </c>
      <c r="M675" s="43">
        <f t="shared" si="53"/>
        <v>13.320167527302441</v>
      </c>
      <c r="N675" s="43">
        <f t="shared" si="54"/>
        <v>5.5582131929593688</v>
      </c>
      <c r="O675" s="1" t="str">
        <f t="shared" si="50"/>
        <v>Normal</v>
      </c>
      <c r="P675" s="51" t="str">
        <f>IF(Table4[[#This Row],[Sales]]&lt;=$B$3,"Normal","High Revenue")</f>
        <v>Normal</v>
      </c>
      <c r="Q675" s="51" t="str">
        <f>IF(Table4[[#This Row],[CTR]]&lt;=$B$4,"Normal","High CTR")</f>
        <v>Normal</v>
      </c>
      <c r="R675" s="51" t="str">
        <f>IF(Table4[[#This Row],[ROAS]]&lt;1,"Poor",IF(Table4[[#This Row],[ROAS]]&lt;3,"Average",IF(Table4[[#This Row],[ROAS]]&lt;5,"Good",
"Excellent")))</f>
        <v>Excellent</v>
      </c>
      <c r="S675" s="51" t="str">
        <f>IF(AND(Table4[[#This Row],[USD_Spend]]&gt;=$B$5,Table4[[#This Row],[Sales]]&lt;=$B$6),"Wasted Budget","Spend Justified")</f>
        <v>Spend Justified</v>
      </c>
      <c r="T675" s="51" t="str">
        <f>IF(AND(Table4[[#This Row],[Clicks]]&gt;=$B$7,Table4[[#This Row],[Sales]]&lt;=$B$6),"Poor Monetization","Normal Monitization")</f>
        <v>Normal Monitization</v>
      </c>
    </row>
    <row r="676" spans="1:20" x14ac:dyDescent="0.35">
      <c r="A676" s="38" t="s">
        <v>116</v>
      </c>
      <c r="B676" s="38" t="s">
        <v>28</v>
      </c>
      <c r="C676" s="38" t="s">
        <v>36</v>
      </c>
      <c r="D676" s="38" t="s">
        <v>43</v>
      </c>
      <c r="E676" s="38" t="s">
        <v>38</v>
      </c>
      <c r="F676" s="38">
        <v>3341.28</v>
      </c>
      <c r="G676" s="38">
        <v>555617</v>
      </c>
      <c r="H676" s="38">
        <v>29056</v>
      </c>
      <c r="I676" s="38">
        <v>33478.81</v>
      </c>
      <c r="J676" s="38">
        <v>40</v>
      </c>
      <c r="K676" s="39">
        <f t="shared" si="51"/>
        <v>5.2295016171211461E-2</v>
      </c>
      <c r="L676" s="40">
        <f t="shared" si="52"/>
        <v>10.019755901929798</v>
      </c>
      <c r="M676" s="40">
        <f t="shared" si="53"/>
        <v>9.0197559019297984</v>
      </c>
      <c r="N676" s="40">
        <f t="shared" si="54"/>
        <v>1.1522167538546255</v>
      </c>
      <c r="O676" s="1" t="str">
        <f t="shared" si="50"/>
        <v>Normal</v>
      </c>
      <c r="P676" s="51" t="str">
        <f>IF(Table4[[#This Row],[Sales]]&lt;=$B$3,"Normal","High Revenue")</f>
        <v>Normal</v>
      </c>
      <c r="Q676" s="51" t="str">
        <f>IF(Table4[[#This Row],[CTR]]&lt;=$B$4,"Normal","High CTR")</f>
        <v>Normal</v>
      </c>
      <c r="R676" s="51" t="str">
        <f>IF(Table4[[#This Row],[ROAS]]&lt;1,"Poor",IF(Table4[[#This Row],[ROAS]]&lt;3,"Average",IF(Table4[[#This Row],[ROAS]]&lt;5,"Good",
"Excellent")))</f>
        <v>Excellent</v>
      </c>
      <c r="S676" s="51" t="str">
        <f>IF(AND(Table4[[#This Row],[USD_Spend]]&gt;=$B$5,Table4[[#This Row],[Sales]]&lt;=$B$6),"Wasted Budget","Spend Justified")</f>
        <v>Spend Justified</v>
      </c>
      <c r="T676" s="51" t="str">
        <f>IF(AND(Table4[[#This Row],[Clicks]]&gt;=$B$7,Table4[[#This Row],[Sales]]&lt;=$B$6),"Poor Monetization","Normal Monitization")</f>
        <v>Normal Monitization</v>
      </c>
    </row>
    <row r="677" spans="1:20" x14ac:dyDescent="0.35">
      <c r="A677" s="41" t="s">
        <v>106</v>
      </c>
      <c r="B677" s="41" t="s">
        <v>19</v>
      </c>
      <c r="C677" s="41" t="s">
        <v>36</v>
      </c>
      <c r="D677" s="41" t="s">
        <v>21</v>
      </c>
      <c r="E677" s="41" t="s">
        <v>22</v>
      </c>
      <c r="F677" s="41">
        <v>25566.05</v>
      </c>
      <c r="G677" s="41">
        <v>125674</v>
      </c>
      <c r="H677" s="41">
        <v>40293</v>
      </c>
      <c r="I677" s="41">
        <v>154634.09</v>
      </c>
      <c r="J677" s="41">
        <v>16</v>
      </c>
      <c r="K677" s="42">
        <f t="shared" si="51"/>
        <v>0.32061524261183699</v>
      </c>
      <c r="L677" s="43">
        <f t="shared" si="52"/>
        <v>6.048415378988933</v>
      </c>
      <c r="M677" s="43">
        <f t="shared" si="53"/>
        <v>5.0484153789889321</v>
      </c>
      <c r="N677" s="43">
        <f t="shared" si="54"/>
        <v>3.8377407986498895</v>
      </c>
      <c r="O677" s="1" t="str">
        <f t="shared" si="50"/>
        <v>Normal</v>
      </c>
      <c r="P677" s="51" t="str">
        <f>IF(Table4[[#This Row],[Sales]]&lt;=$B$3,"Normal","High Revenue")</f>
        <v>Normal</v>
      </c>
      <c r="Q677" s="51" t="str">
        <f>IF(Table4[[#This Row],[CTR]]&lt;=$B$4,"Normal","High CTR")</f>
        <v>Normal</v>
      </c>
      <c r="R677" s="51" t="str">
        <f>IF(Table4[[#This Row],[ROAS]]&lt;1,"Poor",IF(Table4[[#This Row],[ROAS]]&lt;3,"Average",IF(Table4[[#This Row],[ROAS]]&lt;5,"Good",
"Excellent")))</f>
        <v>Excellent</v>
      </c>
      <c r="S677" s="51" t="str">
        <f>IF(AND(Table4[[#This Row],[USD_Spend]]&gt;=$B$5,Table4[[#This Row],[Sales]]&lt;=$B$6),"Wasted Budget","Spend Justified")</f>
        <v>Spend Justified</v>
      </c>
      <c r="T677" s="51" t="str">
        <f>IF(AND(Table4[[#This Row],[Clicks]]&gt;=$B$7,Table4[[#This Row],[Sales]]&lt;=$B$6),"Poor Monetization","Normal Monitization")</f>
        <v>Normal Monitization</v>
      </c>
    </row>
    <row r="678" spans="1:20" x14ac:dyDescent="0.35">
      <c r="A678" s="38" t="s">
        <v>57</v>
      </c>
      <c r="B678" s="38" t="s">
        <v>19</v>
      </c>
      <c r="C678" s="38" t="s">
        <v>29</v>
      </c>
      <c r="D678" s="38" t="s">
        <v>43</v>
      </c>
      <c r="E678" s="38" t="s">
        <v>22</v>
      </c>
      <c r="F678" s="38">
        <v>11844.63</v>
      </c>
      <c r="G678" s="38">
        <v>783199</v>
      </c>
      <c r="H678" s="38">
        <v>41015</v>
      </c>
      <c r="I678" s="38">
        <v>11688.03</v>
      </c>
      <c r="J678" s="38">
        <v>9</v>
      </c>
      <c r="K678" s="39">
        <f t="shared" si="51"/>
        <v>5.2368555118175585E-2</v>
      </c>
      <c r="L678" s="40">
        <f t="shared" si="52"/>
        <v>0.98677881875584139</v>
      </c>
      <c r="M678" s="40">
        <f t="shared" si="53"/>
        <v>-1.3221181244158624E-2</v>
      </c>
      <c r="N678" s="40">
        <f t="shared" si="54"/>
        <v>0.28496964525173718</v>
      </c>
      <c r="O678" s="1" t="str">
        <f t="shared" si="50"/>
        <v>Normal</v>
      </c>
      <c r="P678" s="51" t="str">
        <f>IF(Table4[[#This Row],[Sales]]&lt;=$B$3,"Normal","High Revenue")</f>
        <v>Normal</v>
      </c>
      <c r="Q678" s="51" t="str">
        <f>IF(Table4[[#This Row],[CTR]]&lt;=$B$4,"Normal","High CTR")</f>
        <v>Normal</v>
      </c>
      <c r="R678" s="51" t="str">
        <f>IF(Table4[[#This Row],[ROAS]]&lt;1,"Poor",IF(Table4[[#This Row],[ROAS]]&lt;3,"Average",IF(Table4[[#This Row],[ROAS]]&lt;5,"Good",
"Excellent")))</f>
        <v>Poor</v>
      </c>
      <c r="S678" s="51" t="str">
        <f>IF(AND(Table4[[#This Row],[USD_Spend]]&gt;=$B$5,Table4[[#This Row],[Sales]]&lt;=$B$6),"Wasted Budget","Spend Justified")</f>
        <v>Wasted Budget</v>
      </c>
      <c r="T678" s="51" t="str">
        <f>IF(AND(Table4[[#This Row],[Clicks]]&gt;=$B$7,Table4[[#This Row],[Sales]]&lt;=$B$6),"Poor Monetization","Normal Monitization")</f>
        <v>Poor Monetization</v>
      </c>
    </row>
    <row r="679" spans="1:20" x14ac:dyDescent="0.35">
      <c r="A679" s="41" t="s">
        <v>47</v>
      </c>
      <c r="B679" s="41" t="s">
        <v>19</v>
      </c>
      <c r="C679" s="41" t="s">
        <v>20</v>
      </c>
      <c r="D679" s="41" t="s">
        <v>59</v>
      </c>
      <c r="E679" s="41" t="s">
        <v>22</v>
      </c>
      <c r="F679" s="41">
        <v>29627.38</v>
      </c>
      <c r="G679" s="41">
        <v>524514</v>
      </c>
      <c r="H679" s="41">
        <v>31435</v>
      </c>
      <c r="I679" s="41">
        <v>111834.13</v>
      </c>
      <c r="J679" s="41">
        <v>6</v>
      </c>
      <c r="K679" s="42">
        <f t="shared" si="51"/>
        <v>5.9931670079349644E-2</v>
      </c>
      <c r="L679" s="43">
        <f t="shared" si="52"/>
        <v>3.7746884807228991</v>
      </c>
      <c r="M679" s="43">
        <f t="shared" si="53"/>
        <v>2.7746884807228986</v>
      </c>
      <c r="N679" s="43">
        <f t="shared" si="54"/>
        <v>3.5576309845713379</v>
      </c>
      <c r="O679" s="1" t="str">
        <f t="shared" si="50"/>
        <v>Normal</v>
      </c>
      <c r="P679" s="51" t="str">
        <f>IF(Table4[[#This Row],[Sales]]&lt;=$B$3,"Normal","High Revenue")</f>
        <v>Normal</v>
      </c>
      <c r="Q679" s="51" t="str">
        <f>IF(Table4[[#This Row],[CTR]]&lt;=$B$4,"Normal","High CTR")</f>
        <v>Normal</v>
      </c>
      <c r="R679" s="51" t="str">
        <f>IF(Table4[[#This Row],[ROAS]]&lt;1,"Poor",IF(Table4[[#This Row],[ROAS]]&lt;3,"Average",IF(Table4[[#This Row],[ROAS]]&lt;5,"Good",
"Excellent")))</f>
        <v>Good</v>
      </c>
      <c r="S679" s="51" t="str">
        <f>IF(AND(Table4[[#This Row],[USD_Spend]]&gt;=$B$5,Table4[[#This Row],[Sales]]&lt;=$B$6),"Wasted Budget","Spend Justified")</f>
        <v>Spend Justified</v>
      </c>
      <c r="T679" s="51" t="str">
        <f>IF(AND(Table4[[#This Row],[Clicks]]&gt;=$B$7,Table4[[#This Row],[Sales]]&lt;=$B$6),"Poor Monetization","Normal Monitization")</f>
        <v>Normal Monitization</v>
      </c>
    </row>
    <row r="680" spans="1:20" x14ac:dyDescent="0.35">
      <c r="A680" s="38" t="s">
        <v>82</v>
      </c>
      <c r="B680" s="38" t="s">
        <v>28</v>
      </c>
      <c r="C680" s="38" t="s">
        <v>29</v>
      </c>
      <c r="D680" s="38" t="s">
        <v>59</v>
      </c>
      <c r="E680" s="38" t="s">
        <v>22</v>
      </c>
      <c r="F680" s="38">
        <v>31243.279999999999</v>
      </c>
      <c r="G680" s="38">
        <v>856514</v>
      </c>
      <c r="H680" s="38">
        <v>48417</v>
      </c>
      <c r="I680" s="38">
        <v>218477.46</v>
      </c>
      <c r="J680" s="38">
        <v>55</v>
      </c>
      <c r="K680" s="39">
        <f t="shared" si="51"/>
        <v>5.652797268929638E-2</v>
      </c>
      <c r="L680" s="40">
        <f t="shared" si="52"/>
        <v>6.9927824479376044</v>
      </c>
      <c r="M680" s="40">
        <f t="shared" si="53"/>
        <v>5.9927824479376044</v>
      </c>
      <c r="N680" s="40">
        <f t="shared" si="54"/>
        <v>4.5124121692793855</v>
      </c>
      <c r="O680" s="1" t="str">
        <f t="shared" si="50"/>
        <v>Normal</v>
      </c>
      <c r="P680" s="51" t="str">
        <f>IF(Table4[[#This Row],[Sales]]&lt;=$B$3,"Normal","High Revenue")</f>
        <v>Normal</v>
      </c>
      <c r="Q680" s="51" t="str">
        <f>IF(Table4[[#This Row],[CTR]]&lt;=$B$4,"Normal","High CTR")</f>
        <v>Normal</v>
      </c>
      <c r="R680" s="51" t="str">
        <f>IF(Table4[[#This Row],[ROAS]]&lt;1,"Poor",IF(Table4[[#This Row],[ROAS]]&lt;3,"Average",IF(Table4[[#This Row],[ROAS]]&lt;5,"Good",
"Excellent")))</f>
        <v>Excellent</v>
      </c>
      <c r="S680" s="51" t="str">
        <f>IF(AND(Table4[[#This Row],[USD_Spend]]&gt;=$B$5,Table4[[#This Row],[Sales]]&lt;=$B$6),"Wasted Budget","Spend Justified")</f>
        <v>Spend Justified</v>
      </c>
      <c r="T680" s="51" t="str">
        <f>IF(AND(Table4[[#This Row],[Clicks]]&gt;=$B$7,Table4[[#This Row],[Sales]]&lt;=$B$6),"Poor Monetization","Normal Monitization")</f>
        <v>Normal Monitization</v>
      </c>
    </row>
    <row r="681" spans="1:20" x14ac:dyDescent="0.35">
      <c r="A681" s="41" t="s">
        <v>120</v>
      </c>
      <c r="B681" s="41" t="s">
        <v>48</v>
      </c>
      <c r="C681" s="41" t="s">
        <v>36</v>
      </c>
      <c r="D681" s="41" t="s">
        <v>21</v>
      </c>
      <c r="E681" s="41" t="s">
        <v>38</v>
      </c>
      <c r="F681" s="41">
        <v>29739.74</v>
      </c>
      <c r="G681" s="41">
        <v>953584</v>
      </c>
      <c r="H681" s="41">
        <v>11890</v>
      </c>
      <c r="I681" s="41">
        <v>219719.4</v>
      </c>
      <c r="J681" s="41">
        <v>37</v>
      </c>
      <c r="K681" s="42">
        <f t="shared" si="51"/>
        <v>1.2468749475662344E-2</v>
      </c>
      <c r="L681" s="43">
        <f t="shared" si="52"/>
        <v>7.3880740046819504</v>
      </c>
      <c r="M681" s="43">
        <f t="shared" si="53"/>
        <v>6.3880740046819504</v>
      </c>
      <c r="N681" s="43">
        <f t="shared" si="54"/>
        <v>18.479343986543313</v>
      </c>
      <c r="O681" s="1" t="str">
        <f t="shared" si="50"/>
        <v>Normal</v>
      </c>
      <c r="P681" s="51" t="str">
        <f>IF(Table4[[#This Row],[Sales]]&lt;=$B$3,"Normal","High Revenue")</f>
        <v>Normal</v>
      </c>
      <c r="Q681" s="51" t="str">
        <f>IF(Table4[[#This Row],[CTR]]&lt;=$B$4,"Normal","High CTR")</f>
        <v>Normal</v>
      </c>
      <c r="R681" s="51" t="str">
        <f>IF(Table4[[#This Row],[ROAS]]&lt;1,"Poor",IF(Table4[[#This Row],[ROAS]]&lt;3,"Average",IF(Table4[[#This Row],[ROAS]]&lt;5,"Good",
"Excellent")))</f>
        <v>Excellent</v>
      </c>
      <c r="S681" s="51" t="str">
        <f>IF(AND(Table4[[#This Row],[USD_Spend]]&gt;=$B$5,Table4[[#This Row],[Sales]]&lt;=$B$6),"Wasted Budget","Spend Justified")</f>
        <v>Spend Justified</v>
      </c>
      <c r="T681" s="51" t="str">
        <f>IF(AND(Table4[[#This Row],[Clicks]]&gt;=$B$7,Table4[[#This Row],[Sales]]&lt;=$B$6),"Poor Monetization","Normal Monitization")</f>
        <v>Normal Monitization</v>
      </c>
    </row>
    <row r="682" spans="1:20" x14ac:dyDescent="0.35">
      <c r="A682" s="38" t="s">
        <v>89</v>
      </c>
      <c r="B682" s="38" t="s">
        <v>28</v>
      </c>
      <c r="C682" s="38" t="s">
        <v>58</v>
      </c>
      <c r="D682" s="38" t="s">
        <v>21</v>
      </c>
      <c r="E682" s="38" t="s">
        <v>22</v>
      </c>
      <c r="F682" s="38">
        <v>8168.38</v>
      </c>
      <c r="G682" s="38">
        <v>298840</v>
      </c>
      <c r="H682" s="38">
        <v>14941</v>
      </c>
      <c r="I682" s="38">
        <v>221237.07</v>
      </c>
      <c r="J682" s="38">
        <v>23</v>
      </c>
      <c r="K682" s="39">
        <f t="shared" si="51"/>
        <v>4.9996653727747288E-2</v>
      </c>
      <c r="L682" s="40">
        <f t="shared" si="52"/>
        <v>27.084571236891527</v>
      </c>
      <c r="M682" s="40">
        <f t="shared" si="53"/>
        <v>26.084571236891527</v>
      </c>
      <c r="N682" s="40">
        <f t="shared" si="54"/>
        <v>14.80738036276019</v>
      </c>
      <c r="O682" s="1" t="str">
        <f t="shared" si="50"/>
        <v>Normal</v>
      </c>
      <c r="P682" s="51" t="str">
        <f>IF(Table4[[#This Row],[Sales]]&lt;=$B$3,"Normal","High Revenue")</f>
        <v>Normal</v>
      </c>
      <c r="Q682" s="51" t="str">
        <f>IF(Table4[[#This Row],[CTR]]&lt;=$B$4,"Normal","High CTR")</f>
        <v>Normal</v>
      </c>
      <c r="R682" s="51" t="str">
        <f>IF(Table4[[#This Row],[ROAS]]&lt;1,"Poor",IF(Table4[[#This Row],[ROAS]]&lt;3,"Average",IF(Table4[[#This Row],[ROAS]]&lt;5,"Good",
"Excellent")))</f>
        <v>Excellent</v>
      </c>
      <c r="S682" s="51" t="str">
        <f>IF(AND(Table4[[#This Row],[USD_Spend]]&gt;=$B$5,Table4[[#This Row],[Sales]]&lt;=$B$6),"Wasted Budget","Spend Justified")</f>
        <v>Spend Justified</v>
      </c>
      <c r="T682" s="51" t="str">
        <f>IF(AND(Table4[[#This Row],[Clicks]]&gt;=$B$7,Table4[[#This Row],[Sales]]&lt;=$B$6),"Poor Monetization","Normal Monitization")</f>
        <v>Normal Monitization</v>
      </c>
    </row>
    <row r="683" spans="1:20" x14ac:dyDescent="0.35">
      <c r="A683" s="41" t="s">
        <v>47</v>
      </c>
      <c r="B683" s="41" t="s">
        <v>28</v>
      </c>
      <c r="C683" s="41" t="s">
        <v>69</v>
      </c>
      <c r="D683" s="41" t="s">
        <v>21</v>
      </c>
      <c r="E683" s="41" t="s">
        <v>38</v>
      </c>
      <c r="F683" s="41">
        <v>1974.19</v>
      </c>
      <c r="G683" s="41">
        <v>758226</v>
      </c>
      <c r="H683" s="41">
        <v>42644</v>
      </c>
      <c r="I683" s="41">
        <v>191974.86</v>
      </c>
      <c r="J683" s="41">
        <v>11</v>
      </c>
      <c r="K683" s="42">
        <f t="shared" si="51"/>
        <v>5.6241806532616921E-2</v>
      </c>
      <c r="L683" s="43">
        <f t="shared" si="52"/>
        <v>97.242342429046843</v>
      </c>
      <c r="M683" s="43">
        <f t="shared" si="53"/>
        <v>96.242342429046843</v>
      </c>
      <c r="N683" s="43">
        <f t="shared" si="54"/>
        <v>4.5018023637557452</v>
      </c>
      <c r="O683" s="1" t="str">
        <f t="shared" si="50"/>
        <v>Normal</v>
      </c>
      <c r="P683" s="51" t="str">
        <f>IF(Table4[[#This Row],[Sales]]&lt;=$B$3,"Normal","High Revenue")</f>
        <v>Normal</v>
      </c>
      <c r="Q683" s="51" t="str">
        <f>IF(Table4[[#This Row],[CTR]]&lt;=$B$4,"Normal","High CTR")</f>
        <v>Normal</v>
      </c>
      <c r="R683" s="51" t="str">
        <f>IF(Table4[[#This Row],[ROAS]]&lt;1,"Poor",IF(Table4[[#This Row],[ROAS]]&lt;3,"Average",IF(Table4[[#This Row],[ROAS]]&lt;5,"Good",
"Excellent")))</f>
        <v>Excellent</v>
      </c>
      <c r="S683" s="51" t="str">
        <f>IF(AND(Table4[[#This Row],[USD_Spend]]&gt;=$B$5,Table4[[#This Row],[Sales]]&lt;=$B$6),"Wasted Budget","Spend Justified")</f>
        <v>Spend Justified</v>
      </c>
      <c r="T683" s="51" t="str">
        <f>IF(AND(Table4[[#This Row],[Clicks]]&gt;=$B$7,Table4[[#This Row],[Sales]]&lt;=$B$6),"Poor Monetization","Normal Monitization")</f>
        <v>Normal Monitization</v>
      </c>
    </row>
    <row r="684" spans="1:20" x14ac:dyDescent="0.35">
      <c r="A684" s="38" t="s">
        <v>99</v>
      </c>
      <c r="B684" s="38" t="s">
        <v>28</v>
      </c>
      <c r="C684" s="38" t="s">
        <v>20</v>
      </c>
      <c r="D684" s="38" t="s">
        <v>51</v>
      </c>
      <c r="E684" s="38" t="s">
        <v>30</v>
      </c>
      <c r="F684" s="38">
        <v>13205.92</v>
      </c>
      <c r="G684" s="38">
        <v>788261</v>
      </c>
      <c r="H684" s="38">
        <v>30724</v>
      </c>
      <c r="I684" s="38">
        <v>70644.31</v>
      </c>
      <c r="J684" s="38">
        <v>37</v>
      </c>
      <c r="K684" s="39">
        <f t="shared" si="51"/>
        <v>3.8976937841653972E-2</v>
      </c>
      <c r="L684" s="40">
        <f t="shared" si="52"/>
        <v>5.3494425227473741</v>
      </c>
      <c r="M684" s="40">
        <f t="shared" si="53"/>
        <v>4.3494425227473741</v>
      </c>
      <c r="N684" s="40">
        <f t="shared" si="54"/>
        <v>2.2993200755110013</v>
      </c>
      <c r="O684" s="1" t="str">
        <f t="shared" si="50"/>
        <v>Normal</v>
      </c>
      <c r="P684" s="51" t="str">
        <f>IF(Table4[[#This Row],[Sales]]&lt;=$B$3,"Normal","High Revenue")</f>
        <v>Normal</v>
      </c>
      <c r="Q684" s="51" t="str">
        <f>IF(Table4[[#This Row],[CTR]]&lt;=$B$4,"Normal","High CTR")</f>
        <v>Normal</v>
      </c>
      <c r="R684" s="51" t="str">
        <f>IF(Table4[[#This Row],[ROAS]]&lt;1,"Poor",IF(Table4[[#This Row],[ROAS]]&lt;3,"Average",IF(Table4[[#This Row],[ROAS]]&lt;5,"Good",
"Excellent")))</f>
        <v>Excellent</v>
      </c>
      <c r="S684" s="51" t="str">
        <f>IF(AND(Table4[[#This Row],[USD_Spend]]&gt;=$B$5,Table4[[#This Row],[Sales]]&lt;=$B$6),"Wasted Budget","Spend Justified")</f>
        <v>Spend Justified</v>
      </c>
      <c r="T684" s="51" t="str">
        <f>IF(AND(Table4[[#This Row],[Clicks]]&gt;=$B$7,Table4[[#This Row],[Sales]]&lt;=$B$6),"Poor Monetization","Normal Monitization")</f>
        <v>Normal Monitization</v>
      </c>
    </row>
    <row r="685" spans="1:20" x14ac:dyDescent="0.35">
      <c r="A685" s="41" t="s">
        <v>111</v>
      </c>
      <c r="B685" s="41" t="s">
        <v>28</v>
      </c>
      <c r="C685" s="41" t="s">
        <v>58</v>
      </c>
      <c r="D685" s="41" t="s">
        <v>59</v>
      </c>
      <c r="E685" s="41" t="s">
        <v>38</v>
      </c>
      <c r="F685" s="41">
        <v>12090.11</v>
      </c>
      <c r="G685" s="41">
        <v>914318</v>
      </c>
      <c r="H685" s="41">
        <v>31634</v>
      </c>
      <c r="I685" s="41">
        <v>24603.91</v>
      </c>
      <c r="J685" s="41">
        <v>34</v>
      </c>
      <c r="K685" s="42">
        <f t="shared" si="51"/>
        <v>3.4598465741678498E-2</v>
      </c>
      <c r="L685" s="43">
        <f t="shared" si="52"/>
        <v>2.0350443461639305</v>
      </c>
      <c r="M685" s="43">
        <f t="shared" si="53"/>
        <v>1.0350443461639305</v>
      </c>
      <c r="N685" s="43">
        <f t="shared" si="54"/>
        <v>0.77776790794714545</v>
      </c>
      <c r="O685" s="1" t="str">
        <f t="shared" si="50"/>
        <v>Normal</v>
      </c>
      <c r="P685" s="51" t="str">
        <f>IF(Table4[[#This Row],[Sales]]&lt;=$B$3,"Normal","High Revenue")</f>
        <v>Normal</v>
      </c>
      <c r="Q685" s="51" t="str">
        <f>IF(Table4[[#This Row],[CTR]]&lt;=$B$4,"Normal","High CTR")</f>
        <v>Normal</v>
      </c>
      <c r="R685" s="51" t="str">
        <f>IF(Table4[[#This Row],[ROAS]]&lt;1,"Poor",IF(Table4[[#This Row],[ROAS]]&lt;3,"Average",IF(Table4[[#This Row],[ROAS]]&lt;5,"Good",
"Excellent")))</f>
        <v>Average</v>
      </c>
      <c r="S685" s="51" t="str">
        <f>IF(AND(Table4[[#This Row],[USD_Spend]]&gt;=$B$5,Table4[[#This Row],[Sales]]&lt;=$B$6),"Wasted Budget","Spend Justified")</f>
        <v>Wasted Budget</v>
      </c>
      <c r="T685" s="51" t="str">
        <f>IF(AND(Table4[[#This Row],[Clicks]]&gt;=$B$7,Table4[[#This Row],[Sales]]&lt;=$B$6),"Poor Monetization","Normal Monitization")</f>
        <v>Normal Monitization</v>
      </c>
    </row>
    <row r="686" spans="1:20" x14ac:dyDescent="0.35">
      <c r="A686" s="38" t="s">
        <v>103</v>
      </c>
      <c r="B686" s="38" t="s">
        <v>28</v>
      </c>
      <c r="C686" s="38" t="s">
        <v>69</v>
      </c>
      <c r="D686" s="38" t="s">
        <v>59</v>
      </c>
      <c r="E686" s="38" t="s">
        <v>38</v>
      </c>
      <c r="F686" s="38">
        <v>11614.24</v>
      </c>
      <c r="G686" s="38">
        <v>907689</v>
      </c>
      <c r="H686" s="38">
        <v>37832</v>
      </c>
      <c r="I686" s="38">
        <v>247048.92</v>
      </c>
      <c r="J686" s="38">
        <v>7</v>
      </c>
      <c r="K686" s="39">
        <f t="shared" si="51"/>
        <v>4.1679473916726988E-2</v>
      </c>
      <c r="L686" s="40">
        <f t="shared" si="52"/>
        <v>21.271208447560927</v>
      </c>
      <c r="M686" s="40">
        <f t="shared" si="53"/>
        <v>20.271208447560927</v>
      </c>
      <c r="N686" s="40">
        <f t="shared" si="54"/>
        <v>6.530157538591669</v>
      </c>
      <c r="O686" s="1" t="str">
        <f t="shared" si="50"/>
        <v>Normal</v>
      </c>
      <c r="P686" s="51" t="str">
        <f>IF(Table4[[#This Row],[Sales]]&lt;=$B$3,"Normal","High Revenue")</f>
        <v>High Revenue</v>
      </c>
      <c r="Q686" s="51" t="str">
        <f>IF(Table4[[#This Row],[CTR]]&lt;=$B$4,"Normal","High CTR")</f>
        <v>Normal</v>
      </c>
      <c r="R686" s="51" t="str">
        <f>IF(Table4[[#This Row],[ROAS]]&lt;1,"Poor",IF(Table4[[#This Row],[ROAS]]&lt;3,"Average",IF(Table4[[#This Row],[ROAS]]&lt;5,"Good",
"Excellent")))</f>
        <v>Excellent</v>
      </c>
      <c r="S686" s="51" t="str">
        <f>IF(AND(Table4[[#This Row],[USD_Spend]]&gt;=$B$5,Table4[[#This Row],[Sales]]&lt;=$B$6),"Wasted Budget","Spend Justified")</f>
        <v>Spend Justified</v>
      </c>
      <c r="T686" s="51" t="str">
        <f>IF(AND(Table4[[#This Row],[Clicks]]&gt;=$B$7,Table4[[#This Row],[Sales]]&lt;=$B$6),"Poor Monetization","Normal Monitization")</f>
        <v>Normal Monitization</v>
      </c>
    </row>
    <row r="687" spans="1:20" x14ac:dyDescent="0.35">
      <c r="A687" s="41" t="s">
        <v>116</v>
      </c>
      <c r="B687" s="41" t="s">
        <v>28</v>
      </c>
      <c r="C687" s="41" t="s">
        <v>58</v>
      </c>
      <c r="D687" s="41" t="s">
        <v>63</v>
      </c>
      <c r="E687" s="41" t="s">
        <v>22</v>
      </c>
      <c r="F687" s="41">
        <v>4842.87</v>
      </c>
      <c r="G687" s="41">
        <v>908602</v>
      </c>
      <c r="H687" s="41">
        <v>34294</v>
      </c>
      <c r="I687" s="41">
        <v>124857.28</v>
      </c>
      <c r="J687" s="41">
        <v>41</v>
      </c>
      <c r="K687" s="42">
        <f t="shared" si="51"/>
        <v>3.7743698561086149E-2</v>
      </c>
      <c r="L687" s="43">
        <f t="shared" si="52"/>
        <v>25.781670786124756</v>
      </c>
      <c r="M687" s="43">
        <f t="shared" si="53"/>
        <v>24.781670786124756</v>
      </c>
      <c r="N687" s="43">
        <f t="shared" si="54"/>
        <v>3.6407908088878522</v>
      </c>
      <c r="O687" s="1" t="str">
        <f t="shared" si="50"/>
        <v>Normal</v>
      </c>
      <c r="P687" s="51" t="str">
        <f>IF(Table4[[#This Row],[Sales]]&lt;=$B$3,"Normal","High Revenue")</f>
        <v>Normal</v>
      </c>
      <c r="Q687" s="51" t="str">
        <f>IF(Table4[[#This Row],[CTR]]&lt;=$B$4,"Normal","High CTR")</f>
        <v>Normal</v>
      </c>
      <c r="R687" s="51" t="str">
        <f>IF(Table4[[#This Row],[ROAS]]&lt;1,"Poor",IF(Table4[[#This Row],[ROAS]]&lt;3,"Average",IF(Table4[[#This Row],[ROAS]]&lt;5,"Good",
"Excellent")))</f>
        <v>Excellent</v>
      </c>
      <c r="S687" s="51" t="str">
        <f>IF(AND(Table4[[#This Row],[USD_Spend]]&gt;=$B$5,Table4[[#This Row],[Sales]]&lt;=$B$6),"Wasted Budget","Spend Justified")</f>
        <v>Spend Justified</v>
      </c>
      <c r="T687" s="51" t="str">
        <f>IF(AND(Table4[[#This Row],[Clicks]]&gt;=$B$7,Table4[[#This Row],[Sales]]&lt;=$B$6),"Poor Monetization","Normal Monitization")</f>
        <v>Normal Monitization</v>
      </c>
    </row>
    <row r="688" spans="1:20" x14ac:dyDescent="0.35">
      <c r="A688" s="38" t="s">
        <v>47</v>
      </c>
      <c r="B688" s="38" t="s">
        <v>48</v>
      </c>
      <c r="C688" s="38" t="s">
        <v>36</v>
      </c>
      <c r="D688" s="38" t="s">
        <v>21</v>
      </c>
      <c r="E688" s="38" t="s">
        <v>38</v>
      </c>
      <c r="F688" s="38">
        <v>2291.3000000000002</v>
      </c>
      <c r="G688" s="38">
        <v>248968</v>
      </c>
      <c r="H688" s="38">
        <v>19065</v>
      </c>
      <c r="I688" s="38">
        <v>246379.27</v>
      </c>
      <c r="J688" s="38">
        <v>18</v>
      </c>
      <c r="K688" s="39">
        <f t="shared" si="51"/>
        <v>7.6576106166254293E-2</v>
      </c>
      <c r="L688" s="40">
        <f t="shared" si="52"/>
        <v>107.52815868720812</v>
      </c>
      <c r="M688" s="40">
        <f t="shared" si="53"/>
        <v>106.52815868720813</v>
      </c>
      <c r="N688" s="40">
        <f t="shared" si="54"/>
        <v>12.923119328612641</v>
      </c>
      <c r="O688" s="1" t="str">
        <f t="shared" si="50"/>
        <v>Normal</v>
      </c>
      <c r="P688" s="51" t="str">
        <f>IF(Table4[[#This Row],[Sales]]&lt;=$B$3,"Normal","High Revenue")</f>
        <v>High Revenue</v>
      </c>
      <c r="Q688" s="51" t="str">
        <f>IF(Table4[[#This Row],[CTR]]&lt;=$B$4,"Normal","High CTR")</f>
        <v>Normal</v>
      </c>
      <c r="R688" s="51" t="str">
        <f>IF(Table4[[#This Row],[ROAS]]&lt;1,"Poor",IF(Table4[[#This Row],[ROAS]]&lt;3,"Average",IF(Table4[[#This Row],[ROAS]]&lt;5,"Good",
"Excellent")))</f>
        <v>Excellent</v>
      </c>
      <c r="S688" s="51" t="str">
        <f>IF(AND(Table4[[#This Row],[USD_Spend]]&gt;=$B$5,Table4[[#This Row],[Sales]]&lt;=$B$6),"Wasted Budget","Spend Justified")</f>
        <v>Spend Justified</v>
      </c>
      <c r="T688" s="51" t="str">
        <f>IF(AND(Table4[[#This Row],[Clicks]]&gt;=$B$7,Table4[[#This Row],[Sales]]&lt;=$B$6),"Poor Monetization","Normal Monitization")</f>
        <v>Normal Monitization</v>
      </c>
    </row>
    <row r="689" spans="1:20" x14ac:dyDescent="0.35">
      <c r="A689" s="41" t="s">
        <v>78</v>
      </c>
      <c r="B689" s="41" t="s">
        <v>48</v>
      </c>
      <c r="C689" s="41" t="s">
        <v>69</v>
      </c>
      <c r="D689" s="41" t="s">
        <v>37</v>
      </c>
      <c r="E689" s="41" t="s">
        <v>22</v>
      </c>
      <c r="F689" s="41">
        <v>15119.3</v>
      </c>
      <c r="G689" s="41">
        <v>737186</v>
      </c>
      <c r="H689" s="41">
        <v>49139</v>
      </c>
      <c r="I689" s="41">
        <v>58736.83</v>
      </c>
      <c r="J689" s="41">
        <v>51</v>
      </c>
      <c r="K689" s="42">
        <f t="shared" si="51"/>
        <v>6.6657532834318606E-2</v>
      </c>
      <c r="L689" s="43">
        <f t="shared" si="52"/>
        <v>3.8848908348931501</v>
      </c>
      <c r="M689" s="43">
        <f t="shared" si="53"/>
        <v>2.8848908348931497</v>
      </c>
      <c r="N689" s="43">
        <f t="shared" si="54"/>
        <v>1.1953200105822259</v>
      </c>
      <c r="O689" s="1" t="str">
        <f t="shared" si="50"/>
        <v>Normal</v>
      </c>
      <c r="P689" s="51" t="str">
        <f>IF(Table4[[#This Row],[Sales]]&lt;=$B$3,"Normal","High Revenue")</f>
        <v>Normal</v>
      </c>
      <c r="Q689" s="51" t="str">
        <f>IF(Table4[[#This Row],[CTR]]&lt;=$B$4,"Normal","High CTR")</f>
        <v>Normal</v>
      </c>
      <c r="R689" s="51" t="str">
        <f>IF(Table4[[#This Row],[ROAS]]&lt;1,"Poor",IF(Table4[[#This Row],[ROAS]]&lt;3,"Average",IF(Table4[[#This Row],[ROAS]]&lt;5,"Good",
"Excellent")))</f>
        <v>Good</v>
      </c>
      <c r="S689" s="51" t="str">
        <f>IF(AND(Table4[[#This Row],[USD_Spend]]&gt;=$B$5,Table4[[#This Row],[Sales]]&lt;=$B$6),"Wasted Budget","Spend Justified")</f>
        <v>Wasted Budget</v>
      </c>
      <c r="T689" s="51" t="str">
        <f>IF(AND(Table4[[#This Row],[Clicks]]&gt;=$B$7,Table4[[#This Row],[Sales]]&lt;=$B$6),"Poor Monetization","Normal Monitization")</f>
        <v>Poor Monetization</v>
      </c>
    </row>
    <row r="690" spans="1:20" x14ac:dyDescent="0.35">
      <c r="A690" s="38" t="s">
        <v>96</v>
      </c>
      <c r="B690" s="38" t="s">
        <v>35</v>
      </c>
      <c r="C690" s="38" t="s">
        <v>29</v>
      </c>
      <c r="D690" s="38" t="s">
        <v>63</v>
      </c>
      <c r="E690" s="38" t="s">
        <v>22</v>
      </c>
      <c r="F690" s="38">
        <v>55451.63</v>
      </c>
      <c r="G690" s="38">
        <v>694963</v>
      </c>
      <c r="H690" s="38">
        <v>2064</v>
      </c>
      <c r="I690" s="38">
        <v>12907.31</v>
      </c>
      <c r="J690" s="38">
        <v>36</v>
      </c>
      <c r="K690" s="39">
        <f t="shared" si="51"/>
        <v>2.9699422846971709E-3</v>
      </c>
      <c r="L690" s="40">
        <f t="shared" si="52"/>
        <v>0.23276700793105631</v>
      </c>
      <c r="M690" s="40">
        <f t="shared" si="53"/>
        <v>-0.76723299206894369</v>
      </c>
      <c r="N690" s="40">
        <f t="shared" si="54"/>
        <v>6.2535416666666661</v>
      </c>
      <c r="O690" s="1" t="str">
        <f t="shared" si="50"/>
        <v>High Spend</v>
      </c>
      <c r="P690" s="51" t="str">
        <f>IF(Table4[[#This Row],[Sales]]&lt;=$B$3,"Normal","High Revenue")</f>
        <v>Normal</v>
      </c>
      <c r="Q690" s="51" t="str">
        <f>IF(Table4[[#This Row],[CTR]]&lt;=$B$4,"Normal","High CTR")</f>
        <v>Normal</v>
      </c>
      <c r="R690" s="51" t="str">
        <f>IF(Table4[[#This Row],[ROAS]]&lt;1,"Poor",IF(Table4[[#This Row],[ROAS]]&lt;3,"Average",IF(Table4[[#This Row],[ROAS]]&lt;5,"Good",
"Excellent")))</f>
        <v>Poor</v>
      </c>
      <c r="S690" s="51" t="str">
        <f>IF(AND(Table4[[#This Row],[USD_Spend]]&gt;=$B$5,Table4[[#This Row],[Sales]]&lt;=$B$6),"Wasted Budget","Spend Justified")</f>
        <v>Wasted Budget</v>
      </c>
      <c r="T690" s="51" t="str">
        <f>IF(AND(Table4[[#This Row],[Clicks]]&gt;=$B$7,Table4[[#This Row],[Sales]]&lt;=$B$6),"Poor Monetization","Normal Monitization")</f>
        <v>Normal Monitization</v>
      </c>
    </row>
    <row r="691" spans="1:20" x14ac:dyDescent="0.35">
      <c r="A691" s="41" t="s">
        <v>27</v>
      </c>
      <c r="B691" s="41" t="s">
        <v>28</v>
      </c>
      <c r="C691" s="41" t="s">
        <v>36</v>
      </c>
      <c r="D691" s="41" t="s">
        <v>43</v>
      </c>
      <c r="E691" s="41" t="s">
        <v>38</v>
      </c>
      <c r="F691" s="41">
        <v>13351.67</v>
      </c>
      <c r="G691" s="41">
        <v>301427</v>
      </c>
      <c r="H691" s="41">
        <v>12926</v>
      </c>
      <c r="I691" s="41">
        <v>10524.42</v>
      </c>
      <c r="J691" s="41">
        <v>39</v>
      </c>
      <c r="K691" s="42">
        <f t="shared" si="51"/>
        <v>4.2882688014013341E-2</v>
      </c>
      <c r="L691" s="43">
        <f t="shared" si="52"/>
        <v>0.78824746267695356</v>
      </c>
      <c r="M691" s="43">
        <f t="shared" si="53"/>
        <v>-0.21175253732304647</v>
      </c>
      <c r="N691" s="43">
        <f t="shared" si="54"/>
        <v>0.81420547733250814</v>
      </c>
      <c r="O691" s="1" t="str">
        <f t="shared" si="50"/>
        <v>Normal</v>
      </c>
      <c r="P691" s="51" t="str">
        <f>IF(Table4[[#This Row],[Sales]]&lt;=$B$3,"Normal","High Revenue")</f>
        <v>Normal</v>
      </c>
      <c r="Q691" s="51" t="str">
        <f>IF(Table4[[#This Row],[CTR]]&lt;=$B$4,"Normal","High CTR")</f>
        <v>Normal</v>
      </c>
      <c r="R691" s="51" t="str">
        <f>IF(Table4[[#This Row],[ROAS]]&lt;1,"Poor",IF(Table4[[#This Row],[ROAS]]&lt;3,"Average",IF(Table4[[#This Row],[ROAS]]&lt;5,"Good",
"Excellent")))</f>
        <v>Poor</v>
      </c>
      <c r="S691" s="51" t="str">
        <f>IF(AND(Table4[[#This Row],[USD_Spend]]&gt;=$B$5,Table4[[#This Row],[Sales]]&lt;=$B$6),"Wasted Budget","Spend Justified")</f>
        <v>Wasted Budget</v>
      </c>
      <c r="T691" s="51" t="str">
        <f>IF(AND(Table4[[#This Row],[Clicks]]&gt;=$B$7,Table4[[#This Row],[Sales]]&lt;=$B$6),"Poor Monetization","Normal Monitization")</f>
        <v>Normal Monitization</v>
      </c>
    </row>
    <row r="692" spans="1:20" x14ac:dyDescent="0.35">
      <c r="A692" s="38" t="s">
        <v>94</v>
      </c>
      <c r="B692" s="38" t="s">
        <v>19</v>
      </c>
      <c r="C692" s="38" t="s">
        <v>58</v>
      </c>
      <c r="D692" s="38" t="s">
        <v>51</v>
      </c>
      <c r="E692" s="38" t="s">
        <v>38</v>
      </c>
      <c r="F692" s="38">
        <v>3766.46</v>
      </c>
      <c r="G692" s="38">
        <v>40955</v>
      </c>
      <c r="H692" s="38">
        <v>48129</v>
      </c>
      <c r="I692" s="38">
        <v>43999.02</v>
      </c>
      <c r="J692" s="38">
        <v>45</v>
      </c>
      <c r="K692" s="39">
        <f t="shared" si="51"/>
        <v>1.1751678671712855</v>
      </c>
      <c r="L692" s="40">
        <f t="shared" si="52"/>
        <v>11.681796700349929</v>
      </c>
      <c r="M692" s="40">
        <f t="shared" si="53"/>
        <v>10.681796700349929</v>
      </c>
      <c r="N692" s="40">
        <f t="shared" si="54"/>
        <v>0.91418936607866352</v>
      </c>
      <c r="O692" s="1" t="str">
        <f t="shared" si="50"/>
        <v>Normal</v>
      </c>
      <c r="P692" s="51" t="str">
        <f>IF(Table4[[#This Row],[Sales]]&lt;=$B$3,"Normal","High Revenue")</f>
        <v>Normal</v>
      </c>
      <c r="Q692" s="51" t="str">
        <f>IF(Table4[[#This Row],[CTR]]&lt;=$B$4,"Normal","High CTR")</f>
        <v>High CTR</v>
      </c>
      <c r="R692" s="51" t="str">
        <f>IF(Table4[[#This Row],[ROAS]]&lt;1,"Poor",IF(Table4[[#This Row],[ROAS]]&lt;3,"Average",IF(Table4[[#This Row],[ROAS]]&lt;5,"Good",
"Excellent")))</f>
        <v>Excellent</v>
      </c>
      <c r="S692" s="51" t="str">
        <f>IF(AND(Table4[[#This Row],[USD_Spend]]&gt;=$B$5,Table4[[#This Row],[Sales]]&lt;=$B$6),"Wasted Budget","Spend Justified")</f>
        <v>Spend Justified</v>
      </c>
      <c r="T692" s="51" t="str">
        <f>IF(AND(Table4[[#This Row],[Clicks]]&gt;=$B$7,Table4[[#This Row],[Sales]]&lt;=$B$6),"Poor Monetization","Normal Monitization")</f>
        <v>Poor Monetization</v>
      </c>
    </row>
    <row r="693" spans="1:20" x14ac:dyDescent="0.35">
      <c r="A693" s="41" t="s">
        <v>96</v>
      </c>
      <c r="B693" s="41" t="s">
        <v>48</v>
      </c>
      <c r="C693" s="41" t="s">
        <v>29</v>
      </c>
      <c r="D693" s="41" t="s">
        <v>43</v>
      </c>
      <c r="E693" s="41" t="s">
        <v>22</v>
      </c>
      <c r="F693" s="41">
        <v>38488.74</v>
      </c>
      <c r="G693" s="41">
        <v>732487</v>
      </c>
      <c r="H693" s="41">
        <v>32182</v>
      </c>
      <c r="I693" s="41">
        <v>184270.66</v>
      </c>
      <c r="J693" s="41">
        <v>37</v>
      </c>
      <c r="K693" s="42">
        <f t="shared" si="51"/>
        <v>4.3935250727999267E-2</v>
      </c>
      <c r="L693" s="43">
        <f t="shared" si="52"/>
        <v>4.7876511416066103</v>
      </c>
      <c r="M693" s="43">
        <f t="shared" si="53"/>
        <v>3.7876511416066108</v>
      </c>
      <c r="N693" s="43">
        <f t="shared" si="54"/>
        <v>5.7258921136038783</v>
      </c>
      <c r="O693" s="1" t="str">
        <f t="shared" si="50"/>
        <v>Normal</v>
      </c>
      <c r="P693" s="51" t="str">
        <f>IF(Table4[[#This Row],[Sales]]&lt;=$B$3,"Normal","High Revenue")</f>
        <v>Normal</v>
      </c>
      <c r="Q693" s="51" t="str">
        <f>IF(Table4[[#This Row],[CTR]]&lt;=$B$4,"Normal","High CTR")</f>
        <v>Normal</v>
      </c>
      <c r="R693" s="51" t="str">
        <f>IF(Table4[[#This Row],[ROAS]]&lt;1,"Poor",IF(Table4[[#This Row],[ROAS]]&lt;3,"Average",IF(Table4[[#This Row],[ROAS]]&lt;5,"Good",
"Excellent")))</f>
        <v>Good</v>
      </c>
      <c r="S693" s="51" t="str">
        <f>IF(AND(Table4[[#This Row],[USD_Spend]]&gt;=$B$5,Table4[[#This Row],[Sales]]&lt;=$B$6),"Wasted Budget","Spend Justified")</f>
        <v>Spend Justified</v>
      </c>
      <c r="T693" s="51" t="str">
        <f>IF(AND(Table4[[#This Row],[Clicks]]&gt;=$B$7,Table4[[#This Row],[Sales]]&lt;=$B$6),"Poor Monetization","Normal Monitization")</f>
        <v>Normal Monitization</v>
      </c>
    </row>
    <row r="694" spans="1:20" x14ac:dyDescent="0.35">
      <c r="A694" s="38" t="s">
        <v>107</v>
      </c>
      <c r="B694" s="38" t="s">
        <v>28</v>
      </c>
      <c r="C694" s="38" t="s">
        <v>69</v>
      </c>
      <c r="D694" s="38" t="s">
        <v>37</v>
      </c>
      <c r="E694" s="38" t="s">
        <v>30</v>
      </c>
      <c r="F694" s="38">
        <v>38931.33</v>
      </c>
      <c r="G694" s="38">
        <v>696735</v>
      </c>
      <c r="H694" s="38">
        <v>6589</v>
      </c>
      <c r="I694" s="38">
        <v>209254.81</v>
      </c>
      <c r="J694" s="38">
        <v>53</v>
      </c>
      <c r="K694" s="39">
        <f t="shared" si="51"/>
        <v>9.4569671395867867E-3</v>
      </c>
      <c r="L694" s="40">
        <f t="shared" si="52"/>
        <v>5.3749720340918223</v>
      </c>
      <c r="M694" s="40">
        <f t="shared" si="53"/>
        <v>4.3749720340918223</v>
      </c>
      <c r="N694" s="40">
        <f t="shared" si="54"/>
        <v>31.758204583396569</v>
      </c>
      <c r="O694" s="1" t="str">
        <f t="shared" si="50"/>
        <v>Normal</v>
      </c>
      <c r="P694" s="51" t="str">
        <f>IF(Table4[[#This Row],[Sales]]&lt;=$B$3,"Normal","High Revenue")</f>
        <v>Normal</v>
      </c>
      <c r="Q694" s="51" t="str">
        <f>IF(Table4[[#This Row],[CTR]]&lt;=$B$4,"Normal","High CTR")</f>
        <v>Normal</v>
      </c>
      <c r="R694" s="51" t="str">
        <f>IF(Table4[[#This Row],[ROAS]]&lt;1,"Poor",IF(Table4[[#This Row],[ROAS]]&lt;3,"Average",IF(Table4[[#This Row],[ROAS]]&lt;5,"Good",
"Excellent")))</f>
        <v>Excellent</v>
      </c>
      <c r="S694" s="51" t="str">
        <f>IF(AND(Table4[[#This Row],[USD_Spend]]&gt;=$B$5,Table4[[#This Row],[Sales]]&lt;=$B$6),"Wasted Budget","Spend Justified")</f>
        <v>Spend Justified</v>
      </c>
      <c r="T694" s="51" t="str">
        <f>IF(AND(Table4[[#This Row],[Clicks]]&gt;=$B$7,Table4[[#This Row],[Sales]]&lt;=$B$6),"Poor Monetization","Normal Monitization")</f>
        <v>Normal Monitization</v>
      </c>
    </row>
    <row r="695" spans="1:20" x14ac:dyDescent="0.35">
      <c r="A695" s="41" t="s">
        <v>97</v>
      </c>
      <c r="B695" s="41" t="s">
        <v>35</v>
      </c>
      <c r="C695" s="41" t="s">
        <v>20</v>
      </c>
      <c r="D695" s="41" t="s">
        <v>37</v>
      </c>
      <c r="E695" s="41" t="s">
        <v>22</v>
      </c>
      <c r="F695" s="41">
        <v>5013.95</v>
      </c>
      <c r="G695" s="41">
        <v>375848</v>
      </c>
      <c r="H695" s="41">
        <v>46005</v>
      </c>
      <c r="I695" s="41">
        <v>145178.73000000001</v>
      </c>
      <c r="J695" s="41">
        <v>58</v>
      </c>
      <c r="K695" s="42">
        <f t="shared" si="51"/>
        <v>0.12240320555118027</v>
      </c>
      <c r="L695" s="43">
        <f t="shared" si="52"/>
        <v>28.954961656977037</v>
      </c>
      <c r="M695" s="43">
        <f t="shared" si="53"/>
        <v>27.954961656977034</v>
      </c>
      <c r="N695" s="43">
        <f t="shared" si="54"/>
        <v>3.155716335180959</v>
      </c>
      <c r="O695" s="1" t="str">
        <f t="shared" si="50"/>
        <v>Normal</v>
      </c>
      <c r="P695" s="51" t="str">
        <f>IF(Table4[[#This Row],[Sales]]&lt;=$B$3,"Normal","High Revenue")</f>
        <v>Normal</v>
      </c>
      <c r="Q695" s="51" t="str">
        <f>IF(Table4[[#This Row],[CTR]]&lt;=$B$4,"Normal","High CTR")</f>
        <v>Normal</v>
      </c>
      <c r="R695" s="51" t="str">
        <f>IF(Table4[[#This Row],[ROAS]]&lt;1,"Poor",IF(Table4[[#This Row],[ROAS]]&lt;3,"Average",IF(Table4[[#This Row],[ROAS]]&lt;5,"Good",
"Excellent")))</f>
        <v>Excellent</v>
      </c>
      <c r="S695" s="51" t="str">
        <f>IF(AND(Table4[[#This Row],[USD_Spend]]&gt;=$B$5,Table4[[#This Row],[Sales]]&lt;=$B$6),"Wasted Budget","Spend Justified")</f>
        <v>Spend Justified</v>
      </c>
      <c r="T695" s="51" t="str">
        <f>IF(AND(Table4[[#This Row],[Clicks]]&gt;=$B$7,Table4[[#This Row],[Sales]]&lt;=$B$6),"Poor Monetization","Normal Monitization")</f>
        <v>Normal Monitization</v>
      </c>
    </row>
    <row r="696" spans="1:20" x14ac:dyDescent="0.35">
      <c r="A696" s="38" t="s">
        <v>91</v>
      </c>
      <c r="B696" s="38" t="s">
        <v>28</v>
      </c>
      <c r="C696" s="38" t="s">
        <v>58</v>
      </c>
      <c r="D696" s="38" t="s">
        <v>59</v>
      </c>
      <c r="E696" s="38" t="s">
        <v>22</v>
      </c>
      <c r="F696" s="38">
        <v>6412.38</v>
      </c>
      <c r="G696" s="38">
        <v>414562</v>
      </c>
      <c r="H696" s="38">
        <v>45821</v>
      </c>
      <c r="I696" s="38">
        <v>200964.52</v>
      </c>
      <c r="J696" s="38">
        <v>37</v>
      </c>
      <c r="K696" s="39">
        <f t="shared" si="51"/>
        <v>0.11052870258248465</v>
      </c>
      <c r="L696" s="40">
        <f t="shared" si="52"/>
        <v>31.340082777377507</v>
      </c>
      <c r="M696" s="40">
        <f t="shared" si="53"/>
        <v>30.340082777377507</v>
      </c>
      <c r="N696" s="40">
        <f t="shared" si="54"/>
        <v>4.3858606315881365</v>
      </c>
      <c r="O696" s="1" t="str">
        <f t="shared" si="50"/>
        <v>Normal</v>
      </c>
      <c r="P696" s="51" t="str">
        <f>IF(Table4[[#This Row],[Sales]]&lt;=$B$3,"Normal","High Revenue")</f>
        <v>Normal</v>
      </c>
      <c r="Q696" s="51" t="str">
        <f>IF(Table4[[#This Row],[CTR]]&lt;=$B$4,"Normal","High CTR")</f>
        <v>Normal</v>
      </c>
      <c r="R696" s="51" t="str">
        <f>IF(Table4[[#This Row],[ROAS]]&lt;1,"Poor",IF(Table4[[#This Row],[ROAS]]&lt;3,"Average",IF(Table4[[#This Row],[ROAS]]&lt;5,"Good",
"Excellent")))</f>
        <v>Excellent</v>
      </c>
      <c r="S696" s="51" t="str">
        <f>IF(AND(Table4[[#This Row],[USD_Spend]]&gt;=$B$5,Table4[[#This Row],[Sales]]&lt;=$B$6),"Wasted Budget","Spend Justified")</f>
        <v>Spend Justified</v>
      </c>
      <c r="T696" s="51" t="str">
        <f>IF(AND(Table4[[#This Row],[Clicks]]&gt;=$B$7,Table4[[#This Row],[Sales]]&lt;=$B$6),"Poor Monetization","Normal Monitization")</f>
        <v>Normal Monitization</v>
      </c>
    </row>
    <row r="697" spans="1:20" x14ac:dyDescent="0.35">
      <c r="A697" s="41" t="s">
        <v>70</v>
      </c>
      <c r="B697" s="41" t="s">
        <v>35</v>
      </c>
      <c r="C697" s="41" t="s">
        <v>36</v>
      </c>
      <c r="D697" s="41" t="s">
        <v>43</v>
      </c>
      <c r="E697" s="41" t="s">
        <v>22</v>
      </c>
      <c r="F697" s="41">
        <v>1152.6099999999999</v>
      </c>
      <c r="G697" s="41">
        <v>71733</v>
      </c>
      <c r="H697" s="41">
        <v>15103</v>
      </c>
      <c r="I697" s="41">
        <v>21513.08</v>
      </c>
      <c r="J697" s="41">
        <v>20</v>
      </c>
      <c r="K697" s="42">
        <f t="shared" si="51"/>
        <v>0.21054465866477073</v>
      </c>
      <c r="L697" s="43">
        <f t="shared" si="52"/>
        <v>18.664665411544238</v>
      </c>
      <c r="M697" s="43">
        <f t="shared" si="53"/>
        <v>17.664665411544238</v>
      </c>
      <c r="N697" s="43">
        <f t="shared" si="54"/>
        <v>1.4244242865655832</v>
      </c>
      <c r="O697" s="1" t="str">
        <f t="shared" si="50"/>
        <v>Normal</v>
      </c>
      <c r="P697" s="51" t="str">
        <f>IF(Table4[[#This Row],[Sales]]&lt;=$B$3,"Normal","High Revenue")</f>
        <v>Normal</v>
      </c>
      <c r="Q697" s="51" t="str">
        <f>IF(Table4[[#This Row],[CTR]]&lt;=$B$4,"Normal","High CTR")</f>
        <v>Normal</v>
      </c>
      <c r="R697" s="51" t="str">
        <f>IF(Table4[[#This Row],[ROAS]]&lt;1,"Poor",IF(Table4[[#This Row],[ROAS]]&lt;3,"Average",IF(Table4[[#This Row],[ROAS]]&lt;5,"Good",
"Excellent")))</f>
        <v>Excellent</v>
      </c>
      <c r="S697" s="51" t="str">
        <f>IF(AND(Table4[[#This Row],[USD_Spend]]&gt;=$B$5,Table4[[#This Row],[Sales]]&lt;=$B$6),"Wasted Budget","Spend Justified")</f>
        <v>Spend Justified</v>
      </c>
      <c r="T697" s="51" t="str">
        <f>IF(AND(Table4[[#This Row],[Clicks]]&gt;=$B$7,Table4[[#This Row],[Sales]]&lt;=$B$6),"Poor Monetization","Normal Monitization")</f>
        <v>Normal Monitization</v>
      </c>
    </row>
    <row r="698" spans="1:20" x14ac:dyDescent="0.35">
      <c r="A698" s="38" t="s">
        <v>86</v>
      </c>
      <c r="B698" s="38" t="s">
        <v>35</v>
      </c>
      <c r="C698" s="38" t="s">
        <v>58</v>
      </c>
      <c r="D698" s="38" t="s">
        <v>63</v>
      </c>
      <c r="E698" s="38" t="s">
        <v>22</v>
      </c>
      <c r="F698" s="38">
        <v>28124.65</v>
      </c>
      <c r="G698" s="38">
        <v>366470</v>
      </c>
      <c r="H698" s="38">
        <v>28740</v>
      </c>
      <c r="I698" s="38">
        <v>49224.46</v>
      </c>
      <c r="J698" s="38">
        <v>8</v>
      </c>
      <c r="K698" s="39">
        <f t="shared" si="51"/>
        <v>7.8423881900291981E-2</v>
      </c>
      <c r="L698" s="40">
        <f t="shared" si="52"/>
        <v>1.7502248027975458</v>
      </c>
      <c r="M698" s="40">
        <f t="shared" si="53"/>
        <v>0.75022480279754578</v>
      </c>
      <c r="N698" s="40">
        <f t="shared" si="54"/>
        <v>1.71275086986778</v>
      </c>
      <c r="O698" s="1" t="str">
        <f t="shared" si="50"/>
        <v>Normal</v>
      </c>
      <c r="P698" s="51" t="str">
        <f>IF(Table4[[#This Row],[Sales]]&lt;=$B$3,"Normal","High Revenue")</f>
        <v>Normal</v>
      </c>
      <c r="Q698" s="51" t="str">
        <f>IF(Table4[[#This Row],[CTR]]&lt;=$B$4,"Normal","High CTR")</f>
        <v>Normal</v>
      </c>
      <c r="R698" s="51" t="str">
        <f>IF(Table4[[#This Row],[ROAS]]&lt;1,"Poor",IF(Table4[[#This Row],[ROAS]]&lt;3,"Average",IF(Table4[[#This Row],[ROAS]]&lt;5,"Good",
"Excellent")))</f>
        <v>Average</v>
      </c>
      <c r="S698" s="51" t="str">
        <f>IF(AND(Table4[[#This Row],[USD_Spend]]&gt;=$B$5,Table4[[#This Row],[Sales]]&lt;=$B$6),"Wasted Budget","Spend Justified")</f>
        <v>Wasted Budget</v>
      </c>
      <c r="T698" s="51" t="str">
        <f>IF(AND(Table4[[#This Row],[Clicks]]&gt;=$B$7,Table4[[#This Row],[Sales]]&lt;=$B$6),"Poor Monetization","Normal Monitization")</f>
        <v>Normal Monitization</v>
      </c>
    </row>
    <row r="699" spans="1:20" x14ac:dyDescent="0.35">
      <c r="A699" s="41" t="s">
        <v>42</v>
      </c>
      <c r="B699" s="41" t="s">
        <v>19</v>
      </c>
      <c r="C699" s="41" t="s">
        <v>36</v>
      </c>
      <c r="D699" s="41" t="s">
        <v>37</v>
      </c>
      <c r="E699" s="41" t="s">
        <v>22</v>
      </c>
      <c r="F699" s="41">
        <v>6792.23</v>
      </c>
      <c r="G699" s="41">
        <v>765638</v>
      </c>
      <c r="H699" s="41">
        <v>39758</v>
      </c>
      <c r="I699" s="41">
        <v>87716.800000000003</v>
      </c>
      <c r="J699" s="41">
        <v>43</v>
      </c>
      <c r="K699" s="42">
        <f t="shared" si="51"/>
        <v>5.1927934611395984E-2</v>
      </c>
      <c r="L699" s="43">
        <f t="shared" si="52"/>
        <v>12.914285882545204</v>
      </c>
      <c r="M699" s="43">
        <f t="shared" si="53"/>
        <v>11.914285882545204</v>
      </c>
      <c r="N699" s="43">
        <f t="shared" si="54"/>
        <v>2.2062679209215754</v>
      </c>
      <c r="O699" s="1" t="str">
        <f t="shared" si="50"/>
        <v>Normal</v>
      </c>
      <c r="P699" s="51" t="str">
        <f>IF(Table4[[#This Row],[Sales]]&lt;=$B$3,"Normal","High Revenue")</f>
        <v>Normal</v>
      </c>
      <c r="Q699" s="51" t="str">
        <f>IF(Table4[[#This Row],[CTR]]&lt;=$B$4,"Normal","High CTR")</f>
        <v>Normal</v>
      </c>
      <c r="R699" s="51" t="str">
        <f>IF(Table4[[#This Row],[ROAS]]&lt;1,"Poor",IF(Table4[[#This Row],[ROAS]]&lt;3,"Average",IF(Table4[[#This Row],[ROAS]]&lt;5,"Good",
"Excellent")))</f>
        <v>Excellent</v>
      </c>
      <c r="S699" s="51" t="str">
        <f>IF(AND(Table4[[#This Row],[USD_Spend]]&gt;=$B$5,Table4[[#This Row],[Sales]]&lt;=$B$6),"Wasted Budget","Spend Justified")</f>
        <v>Spend Justified</v>
      </c>
      <c r="T699" s="51" t="str">
        <f>IF(AND(Table4[[#This Row],[Clicks]]&gt;=$B$7,Table4[[#This Row],[Sales]]&lt;=$B$6),"Poor Monetization","Normal Monitization")</f>
        <v>Normal Monitization</v>
      </c>
    </row>
    <row r="700" spans="1:20" x14ac:dyDescent="0.35">
      <c r="A700" s="38" t="s">
        <v>72</v>
      </c>
      <c r="B700" s="38" t="s">
        <v>48</v>
      </c>
      <c r="C700" s="38" t="s">
        <v>36</v>
      </c>
      <c r="D700" s="38" t="s">
        <v>59</v>
      </c>
      <c r="E700" s="38" t="s">
        <v>22</v>
      </c>
      <c r="F700" s="38">
        <v>16099.08</v>
      </c>
      <c r="G700" s="38">
        <v>464626</v>
      </c>
      <c r="H700" s="38">
        <v>7255</v>
      </c>
      <c r="I700" s="38">
        <v>171884.33</v>
      </c>
      <c r="J700" s="38">
        <v>23</v>
      </c>
      <c r="K700" s="39">
        <f t="shared" si="51"/>
        <v>1.5614709465247317E-2</v>
      </c>
      <c r="L700" s="40">
        <f t="shared" si="52"/>
        <v>10.676655436211261</v>
      </c>
      <c r="M700" s="40">
        <f t="shared" si="53"/>
        <v>9.6766554362112611</v>
      </c>
      <c r="N700" s="40">
        <f t="shared" si="54"/>
        <v>23.691844245348033</v>
      </c>
      <c r="O700" s="1" t="str">
        <f t="shared" si="50"/>
        <v>Normal</v>
      </c>
      <c r="P700" s="51" t="str">
        <f>IF(Table4[[#This Row],[Sales]]&lt;=$B$3,"Normal","High Revenue")</f>
        <v>Normal</v>
      </c>
      <c r="Q700" s="51" t="str">
        <f>IF(Table4[[#This Row],[CTR]]&lt;=$B$4,"Normal","High CTR")</f>
        <v>Normal</v>
      </c>
      <c r="R700" s="51" t="str">
        <f>IF(Table4[[#This Row],[ROAS]]&lt;1,"Poor",IF(Table4[[#This Row],[ROAS]]&lt;3,"Average",IF(Table4[[#This Row],[ROAS]]&lt;5,"Good",
"Excellent")))</f>
        <v>Excellent</v>
      </c>
      <c r="S700" s="51" t="str">
        <f>IF(AND(Table4[[#This Row],[USD_Spend]]&gt;=$B$5,Table4[[#This Row],[Sales]]&lt;=$B$6),"Wasted Budget","Spend Justified")</f>
        <v>Spend Justified</v>
      </c>
      <c r="T700" s="51" t="str">
        <f>IF(AND(Table4[[#This Row],[Clicks]]&gt;=$B$7,Table4[[#This Row],[Sales]]&lt;=$B$6),"Poor Monetization","Normal Monitization")</f>
        <v>Normal Monitization</v>
      </c>
    </row>
    <row r="701" spans="1:20" x14ac:dyDescent="0.35">
      <c r="A701" s="41" t="s">
        <v>96</v>
      </c>
      <c r="B701" s="41" t="s">
        <v>28</v>
      </c>
      <c r="C701" s="41" t="s">
        <v>58</v>
      </c>
      <c r="D701" s="41" t="s">
        <v>37</v>
      </c>
      <c r="E701" s="41" t="s">
        <v>30</v>
      </c>
      <c r="F701" s="41">
        <v>26337.95</v>
      </c>
      <c r="G701" s="41">
        <v>30700</v>
      </c>
      <c r="H701" s="41">
        <v>3261</v>
      </c>
      <c r="I701" s="41">
        <v>173988.69</v>
      </c>
      <c r="J701" s="41">
        <v>9</v>
      </c>
      <c r="K701" s="42">
        <f t="shared" si="51"/>
        <v>0.1062214983713355</v>
      </c>
      <c r="L701" s="43">
        <f t="shared" si="52"/>
        <v>6.6060073012516156</v>
      </c>
      <c r="M701" s="43">
        <f t="shared" si="53"/>
        <v>5.6060073012516156</v>
      </c>
      <c r="N701" s="43">
        <f t="shared" si="54"/>
        <v>53.354397424103034</v>
      </c>
      <c r="O701" s="1" t="str">
        <f t="shared" si="50"/>
        <v>Normal</v>
      </c>
      <c r="P701" s="51" t="str">
        <f>IF(Table4[[#This Row],[Sales]]&lt;=$B$3,"Normal","High Revenue")</f>
        <v>Normal</v>
      </c>
      <c r="Q701" s="51" t="str">
        <f>IF(Table4[[#This Row],[CTR]]&lt;=$B$4,"Normal","High CTR")</f>
        <v>Normal</v>
      </c>
      <c r="R701" s="51" t="str">
        <f>IF(Table4[[#This Row],[ROAS]]&lt;1,"Poor",IF(Table4[[#This Row],[ROAS]]&lt;3,"Average",IF(Table4[[#This Row],[ROAS]]&lt;5,"Good",
"Excellent")))</f>
        <v>Excellent</v>
      </c>
      <c r="S701" s="51" t="str">
        <f>IF(AND(Table4[[#This Row],[USD_Spend]]&gt;=$B$5,Table4[[#This Row],[Sales]]&lt;=$B$6),"Wasted Budget","Spend Justified")</f>
        <v>Spend Justified</v>
      </c>
      <c r="T701" s="51" t="str">
        <f>IF(AND(Table4[[#This Row],[Clicks]]&gt;=$B$7,Table4[[#This Row],[Sales]]&lt;=$B$6),"Poor Monetization","Normal Monitization")</f>
        <v>Normal Monitization</v>
      </c>
    </row>
    <row r="702" spans="1:20" x14ac:dyDescent="0.35">
      <c r="A702" s="38" t="s">
        <v>95</v>
      </c>
      <c r="B702" s="38" t="s">
        <v>19</v>
      </c>
      <c r="C702" s="38" t="s">
        <v>20</v>
      </c>
      <c r="D702" s="38" t="s">
        <v>59</v>
      </c>
      <c r="E702" s="38" t="s">
        <v>30</v>
      </c>
      <c r="F702" s="38">
        <v>40928.239999999998</v>
      </c>
      <c r="G702" s="38">
        <v>22940</v>
      </c>
      <c r="H702" s="38">
        <v>19226</v>
      </c>
      <c r="I702" s="38">
        <v>106383.47</v>
      </c>
      <c r="J702" s="38">
        <v>44</v>
      </c>
      <c r="K702" s="39">
        <f t="shared" si="51"/>
        <v>0.83809938971229292</v>
      </c>
      <c r="L702" s="40">
        <f t="shared" si="52"/>
        <v>2.5992681336895993</v>
      </c>
      <c r="M702" s="40">
        <f t="shared" si="53"/>
        <v>1.5992681336895993</v>
      </c>
      <c r="N702" s="40">
        <f t="shared" si="54"/>
        <v>5.5333127015499848</v>
      </c>
      <c r="O702" s="1" t="str">
        <f t="shared" si="50"/>
        <v>Normal</v>
      </c>
      <c r="P702" s="51" t="str">
        <f>IF(Table4[[#This Row],[Sales]]&lt;=$B$3,"Normal","High Revenue")</f>
        <v>Normal</v>
      </c>
      <c r="Q702" s="51" t="str">
        <f>IF(Table4[[#This Row],[CTR]]&lt;=$B$4,"Normal","High CTR")</f>
        <v>High CTR</v>
      </c>
      <c r="R702" s="51" t="str">
        <f>IF(Table4[[#This Row],[ROAS]]&lt;1,"Poor",IF(Table4[[#This Row],[ROAS]]&lt;3,"Average",IF(Table4[[#This Row],[ROAS]]&lt;5,"Good",
"Excellent")))</f>
        <v>Average</v>
      </c>
      <c r="S702" s="51" t="str">
        <f>IF(AND(Table4[[#This Row],[USD_Spend]]&gt;=$B$5,Table4[[#This Row],[Sales]]&lt;=$B$6),"Wasted Budget","Spend Justified")</f>
        <v>Spend Justified</v>
      </c>
      <c r="T702" s="51" t="str">
        <f>IF(AND(Table4[[#This Row],[Clicks]]&gt;=$B$7,Table4[[#This Row],[Sales]]&lt;=$B$6),"Poor Monetization","Normal Monitization")</f>
        <v>Normal Monitization</v>
      </c>
    </row>
    <row r="703" spans="1:20" x14ac:dyDescent="0.35">
      <c r="A703" s="41" t="s">
        <v>106</v>
      </c>
      <c r="B703" s="41" t="s">
        <v>48</v>
      </c>
      <c r="C703" s="41" t="s">
        <v>69</v>
      </c>
      <c r="D703" s="41" t="s">
        <v>59</v>
      </c>
      <c r="E703" s="41" t="s">
        <v>38</v>
      </c>
      <c r="F703" s="41">
        <v>5017.37</v>
      </c>
      <c r="G703" s="41">
        <v>928481</v>
      </c>
      <c r="H703" s="41">
        <v>21234</v>
      </c>
      <c r="I703" s="41">
        <v>202073.16</v>
      </c>
      <c r="J703" s="41">
        <v>25</v>
      </c>
      <c r="K703" s="42">
        <f t="shared" si="51"/>
        <v>2.2869611763730223E-2</v>
      </c>
      <c r="L703" s="43">
        <f t="shared" si="52"/>
        <v>40.274717630950079</v>
      </c>
      <c r="M703" s="43">
        <f t="shared" si="53"/>
        <v>39.274717630950079</v>
      </c>
      <c r="N703" s="43">
        <f t="shared" si="54"/>
        <v>9.5164905340491668</v>
      </c>
      <c r="O703" s="1" t="str">
        <f t="shared" si="50"/>
        <v>Normal</v>
      </c>
      <c r="P703" s="51" t="str">
        <f>IF(Table4[[#This Row],[Sales]]&lt;=$B$3,"Normal","High Revenue")</f>
        <v>Normal</v>
      </c>
      <c r="Q703" s="51" t="str">
        <f>IF(Table4[[#This Row],[CTR]]&lt;=$B$4,"Normal","High CTR")</f>
        <v>Normal</v>
      </c>
      <c r="R703" s="51" t="str">
        <f>IF(Table4[[#This Row],[ROAS]]&lt;1,"Poor",IF(Table4[[#This Row],[ROAS]]&lt;3,"Average",IF(Table4[[#This Row],[ROAS]]&lt;5,"Good",
"Excellent")))</f>
        <v>Excellent</v>
      </c>
      <c r="S703" s="51" t="str">
        <f>IF(AND(Table4[[#This Row],[USD_Spend]]&gt;=$B$5,Table4[[#This Row],[Sales]]&lt;=$B$6),"Wasted Budget","Spend Justified")</f>
        <v>Spend Justified</v>
      </c>
      <c r="T703" s="51" t="str">
        <f>IF(AND(Table4[[#This Row],[Clicks]]&gt;=$B$7,Table4[[#This Row],[Sales]]&lt;=$B$6),"Poor Monetization","Normal Monitization")</f>
        <v>Normal Monitization</v>
      </c>
    </row>
    <row r="704" spans="1:20" x14ac:dyDescent="0.35">
      <c r="A704" s="38" t="s">
        <v>117</v>
      </c>
      <c r="B704" s="38" t="s">
        <v>19</v>
      </c>
      <c r="C704" s="38" t="s">
        <v>69</v>
      </c>
      <c r="D704" s="38" t="s">
        <v>43</v>
      </c>
      <c r="E704" s="38" t="s">
        <v>30</v>
      </c>
      <c r="F704" s="38">
        <v>10894.91</v>
      </c>
      <c r="G704" s="38">
        <v>467250</v>
      </c>
      <c r="H704" s="38">
        <v>17002</v>
      </c>
      <c r="I704" s="38">
        <v>158859.03</v>
      </c>
      <c r="J704" s="38">
        <v>53</v>
      </c>
      <c r="K704" s="39">
        <f t="shared" si="51"/>
        <v>3.6387372926698767E-2</v>
      </c>
      <c r="L704" s="40">
        <f t="shared" si="52"/>
        <v>14.58103187635327</v>
      </c>
      <c r="M704" s="40">
        <f t="shared" si="53"/>
        <v>13.581031876353268</v>
      </c>
      <c r="N704" s="40">
        <f t="shared" si="54"/>
        <v>9.3435495824020709</v>
      </c>
      <c r="O704" s="1" t="str">
        <f t="shared" si="50"/>
        <v>Normal</v>
      </c>
      <c r="P704" s="51" t="str">
        <f>IF(Table4[[#This Row],[Sales]]&lt;=$B$3,"Normal","High Revenue")</f>
        <v>Normal</v>
      </c>
      <c r="Q704" s="51" t="str">
        <f>IF(Table4[[#This Row],[CTR]]&lt;=$B$4,"Normal","High CTR")</f>
        <v>Normal</v>
      </c>
      <c r="R704" s="51" t="str">
        <f>IF(Table4[[#This Row],[ROAS]]&lt;1,"Poor",IF(Table4[[#This Row],[ROAS]]&lt;3,"Average",IF(Table4[[#This Row],[ROAS]]&lt;5,"Good",
"Excellent")))</f>
        <v>Excellent</v>
      </c>
      <c r="S704" s="51" t="str">
        <f>IF(AND(Table4[[#This Row],[USD_Spend]]&gt;=$B$5,Table4[[#This Row],[Sales]]&lt;=$B$6),"Wasted Budget","Spend Justified")</f>
        <v>Spend Justified</v>
      </c>
      <c r="T704" s="51" t="str">
        <f>IF(AND(Table4[[#This Row],[Clicks]]&gt;=$B$7,Table4[[#This Row],[Sales]]&lt;=$B$6),"Poor Monetization","Normal Monitization")</f>
        <v>Normal Monitization</v>
      </c>
    </row>
    <row r="705" spans="1:20" x14ac:dyDescent="0.35">
      <c r="A705" s="41" t="s">
        <v>109</v>
      </c>
      <c r="B705" s="41" t="s">
        <v>28</v>
      </c>
      <c r="C705" s="41" t="s">
        <v>58</v>
      </c>
      <c r="D705" s="41" t="s">
        <v>51</v>
      </c>
      <c r="E705" s="41" t="s">
        <v>38</v>
      </c>
      <c r="F705" s="41">
        <v>9561.14</v>
      </c>
      <c r="G705" s="41">
        <v>188386</v>
      </c>
      <c r="H705" s="41">
        <v>37274</v>
      </c>
      <c r="I705" s="41">
        <v>33750.879999999997</v>
      </c>
      <c r="J705" s="41">
        <v>22</v>
      </c>
      <c r="K705" s="42">
        <f t="shared" si="51"/>
        <v>0.19785971356682555</v>
      </c>
      <c r="L705" s="43">
        <f t="shared" si="52"/>
        <v>3.5300058361241442</v>
      </c>
      <c r="M705" s="43">
        <f t="shared" si="53"/>
        <v>2.5300058361241442</v>
      </c>
      <c r="N705" s="43">
        <f t="shared" si="54"/>
        <v>0.90548049578794865</v>
      </c>
      <c r="O705" s="1" t="str">
        <f t="shared" si="50"/>
        <v>Normal</v>
      </c>
      <c r="P705" s="51" t="str">
        <f>IF(Table4[[#This Row],[Sales]]&lt;=$B$3,"Normal","High Revenue")</f>
        <v>Normal</v>
      </c>
      <c r="Q705" s="51" t="str">
        <f>IF(Table4[[#This Row],[CTR]]&lt;=$B$4,"Normal","High CTR")</f>
        <v>Normal</v>
      </c>
      <c r="R705" s="51" t="str">
        <f>IF(Table4[[#This Row],[ROAS]]&lt;1,"Poor",IF(Table4[[#This Row],[ROAS]]&lt;3,"Average",IF(Table4[[#This Row],[ROAS]]&lt;5,"Good",
"Excellent")))</f>
        <v>Good</v>
      </c>
      <c r="S705" s="51" t="str">
        <f>IF(AND(Table4[[#This Row],[USD_Spend]]&gt;=$B$5,Table4[[#This Row],[Sales]]&lt;=$B$6),"Wasted Budget","Spend Justified")</f>
        <v>Wasted Budget</v>
      </c>
      <c r="T705" s="51" t="str">
        <f>IF(AND(Table4[[#This Row],[Clicks]]&gt;=$B$7,Table4[[#This Row],[Sales]]&lt;=$B$6),"Poor Monetization","Normal Monitization")</f>
        <v>Normal Monitization</v>
      </c>
    </row>
    <row r="706" spans="1:20" x14ac:dyDescent="0.35">
      <c r="A706" s="38" t="s">
        <v>67</v>
      </c>
      <c r="B706" s="38" t="s">
        <v>48</v>
      </c>
      <c r="C706" s="38" t="s">
        <v>69</v>
      </c>
      <c r="D706" s="38" t="s">
        <v>43</v>
      </c>
      <c r="E706" s="38" t="s">
        <v>38</v>
      </c>
      <c r="F706" s="38">
        <v>1853.58</v>
      </c>
      <c r="G706" s="38">
        <v>475371</v>
      </c>
      <c r="H706" s="38">
        <v>7517</v>
      </c>
      <c r="I706" s="38">
        <v>130203.7</v>
      </c>
      <c r="J706" s="38">
        <v>21</v>
      </c>
      <c r="K706" s="39">
        <f t="shared" si="51"/>
        <v>1.581291244101975E-2</v>
      </c>
      <c r="L706" s="40">
        <f t="shared" si="52"/>
        <v>70.244445883101889</v>
      </c>
      <c r="M706" s="40">
        <f t="shared" si="53"/>
        <v>69.244445883101889</v>
      </c>
      <c r="N706" s="40">
        <f t="shared" si="54"/>
        <v>17.321231874417986</v>
      </c>
      <c r="O706" s="1" t="str">
        <f t="shared" si="50"/>
        <v>Normal</v>
      </c>
      <c r="P706" s="51" t="str">
        <f>IF(Table4[[#This Row],[Sales]]&lt;=$B$3,"Normal","High Revenue")</f>
        <v>Normal</v>
      </c>
      <c r="Q706" s="51" t="str">
        <f>IF(Table4[[#This Row],[CTR]]&lt;=$B$4,"Normal","High CTR")</f>
        <v>Normal</v>
      </c>
      <c r="R706" s="51" t="str">
        <f>IF(Table4[[#This Row],[ROAS]]&lt;1,"Poor",IF(Table4[[#This Row],[ROAS]]&lt;3,"Average",IF(Table4[[#This Row],[ROAS]]&lt;5,"Good",
"Excellent")))</f>
        <v>Excellent</v>
      </c>
      <c r="S706" s="51" t="str">
        <f>IF(AND(Table4[[#This Row],[USD_Spend]]&gt;=$B$5,Table4[[#This Row],[Sales]]&lt;=$B$6),"Wasted Budget","Spend Justified")</f>
        <v>Spend Justified</v>
      </c>
      <c r="T706" s="51" t="str">
        <f>IF(AND(Table4[[#This Row],[Clicks]]&gt;=$B$7,Table4[[#This Row],[Sales]]&lt;=$B$6),"Poor Monetization","Normal Monitization")</f>
        <v>Normal Monitization</v>
      </c>
    </row>
    <row r="707" spans="1:20" x14ac:dyDescent="0.35">
      <c r="A707" s="41" t="s">
        <v>72</v>
      </c>
      <c r="B707" s="41" t="s">
        <v>19</v>
      </c>
      <c r="C707" s="41" t="s">
        <v>29</v>
      </c>
      <c r="D707" s="41" t="s">
        <v>59</v>
      </c>
      <c r="E707" s="41" t="s">
        <v>22</v>
      </c>
      <c r="F707" s="41">
        <v>677.2</v>
      </c>
      <c r="G707" s="41">
        <v>876713</v>
      </c>
      <c r="H707" s="41">
        <v>988</v>
      </c>
      <c r="I707" s="41">
        <v>192044.21</v>
      </c>
      <c r="J707" s="41">
        <v>12</v>
      </c>
      <c r="K707" s="42">
        <f t="shared" si="51"/>
        <v>1.1269366371891372E-3</v>
      </c>
      <c r="L707" s="43">
        <f t="shared" si="52"/>
        <v>283.58566154754868</v>
      </c>
      <c r="M707" s="43">
        <f t="shared" si="53"/>
        <v>282.58566154754868</v>
      </c>
      <c r="N707" s="43">
        <f t="shared" si="54"/>
        <v>194.37673076923076</v>
      </c>
      <c r="O707" s="1" t="str">
        <f t="shared" si="50"/>
        <v>Normal</v>
      </c>
      <c r="P707" s="51" t="str">
        <f>IF(Table4[[#This Row],[Sales]]&lt;=$B$3,"Normal","High Revenue")</f>
        <v>Normal</v>
      </c>
      <c r="Q707" s="51" t="str">
        <f>IF(Table4[[#This Row],[CTR]]&lt;=$B$4,"Normal","High CTR")</f>
        <v>Normal</v>
      </c>
      <c r="R707" s="51" t="str">
        <f>IF(Table4[[#This Row],[ROAS]]&lt;1,"Poor",IF(Table4[[#This Row],[ROAS]]&lt;3,"Average",IF(Table4[[#This Row],[ROAS]]&lt;5,"Good",
"Excellent")))</f>
        <v>Excellent</v>
      </c>
      <c r="S707" s="51" t="str">
        <f>IF(AND(Table4[[#This Row],[USD_Spend]]&gt;=$B$5,Table4[[#This Row],[Sales]]&lt;=$B$6),"Wasted Budget","Spend Justified")</f>
        <v>Spend Justified</v>
      </c>
      <c r="T707" s="51" t="str">
        <f>IF(AND(Table4[[#This Row],[Clicks]]&gt;=$B$7,Table4[[#This Row],[Sales]]&lt;=$B$6),"Poor Monetization","Normal Monitization")</f>
        <v>Normal Monitization</v>
      </c>
    </row>
    <row r="708" spans="1:20" x14ac:dyDescent="0.35">
      <c r="A708" s="38" t="s">
        <v>55</v>
      </c>
      <c r="B708" s="38" t="s">
        <v>28</v>
      </c>
      <c r="C708" s="38" t="s">
        <v>20</v>
      </c>
      <c r="D708" s="38" t="s">
        <v>21</v>
      </c>
      <c r="E708" s="38" t="s">
        <v>38</v>
      </c>
      <c r="F708" s="38">
        <v>2384.62</v>
      </c>
      <c r="G708" s="38">
        <v>674555</v>
      </c>
      <c r="H708" s="38">
        <v>18301</v>
      </c>
      <c r="I708" s="38">
        <v>179280.18</v>
      </c>
      <c r="J708" s="38">
        <v>59</v>
      </c>
      <c r="K708" s="39">
        <f t="shared" si="51"/>
        <v>2.7130478611825572E-2</v>
      </c>
      <c r="L708" s="40">
        <f t="shared" si="52"/>
        <v>75.181865454453956</v>
      </c>
      <c r="M708" s="40">
        <f t="shared" si="53"/>
        <v>74.181865454453956</v>
      </c>
      <c r="N708" s="40">
        <f t="shared" si="54"/>
        <v>9.7961958362930979</v>
      </c>
      <c r="O708" s="1" t="str">
        <f t="shared" si="50"/>
        <v>Normal</v>
      </c>
      <c r="P708" s="51" t="str">
        <f>IF(Table4[[#This Row],[Sales]]&lt;=$B$3,"Normal","High Revenue")</f>
        <v>Normal</v>
      </c>
      <c r="Q708" s="51" t="str">
        <f>IF(Table4[[#This Row],[CTR]]&lt;=$B$4,"Normal","High CTR")</f>
        <v>Normal</v>
      </c>
      <c r="R708" s="51" t="str">
        <f>IF(Table4[[#This Row],[ROAS]]&lt;1,"Poor",IF(Table4[[#This Row],[ROAS]]&lt;3,"Average",IF(Table4[[#This Row],[ROAS]]&lt;5,"Good",
"Excellent")))</f>
        <v>Excellent</v>
      </c>
      <c r="S708" s="51" t="str">
        <f>IF(AND(Table4[[#This Row],[USD_Spend]]&gt;=$B$5,Table4[[#This Row],[Sales]]&lt;=$B$6),"Wasted Budget","Spend Justified")</f>
        <v>Spend Justified</v>
      </c>
      <c r="T708" s="51" t="str">
        <f>IF(AND(Table4[[#This Row],[Clicks]]&gt;=$B$7,Table4[[#This Row],[Sales]]&lt;=$B$6),"Poor Monetization","Normal Monitization")</f>
        <v>Normal Monitization</v>
      </c>
    </row>
    <row r="709" spans="1:20" x14ac:dyDescent="0.35">
      <c r="A709" s="41" t="s">
        <v>55</v>
      </c>
      <c r="B709" s="41" t="s">
        <v>35</v>
      </c>
      <c r="C709" s="41" t="s">
        <v>36</v>
      </c>
      <c r="D709" s="41" t="s">
        <v>43</v>
      </c>
      <c r="E709" s="41" t="s">
        <v>30</v>
      </c>
      <c r="F709" s="41">
        <v>29394.38</v>
      </c>
      <c r="G709" s="41">
        <v>482407</v>
      </c>
      <c r="H709" s="41">
        <v>6883</v>
      </c>
      <c r="I709" s="41">
        <v>203686.87</v>
      </c>
      <c r="J709" s="41">
        <v>36</v>
      </c>
      <c r="K709" s="42">
        <f t="shared" si="51"/>
        <v>1.4268035082409666E-2</v>
      </c>
      <c r="L709" s="43">
        <f t="shared" si="52"/>
        <v>6.9294494389743884</v>
      </c>
      <c r="M709" s="43">
        <f t="shared" si="53"/>
        <v>5.9294494389743884</v>
      </c>
      <c r="N709" s="43">
        <f t="shared" si="54"/>
        <v>29.59274589568502</v>
      </c>
      <c r="O709" s="1" t="str">
        <f t="shared" si="50"/>
        <v>Normal</v>
      </c>
      <c r="P709" s="51" t="str">
        <f>IF(Table4[[#This Row],[Sales]]&lt;=$B$3,"Normal","High Revenue")</f>
        <v>Normal</v>
      </c>
      <c r="Q709" s="51" t="str">
        <f>IF(Table4[[#This Row],[CTR]]&lt;=$B$4,"Normal","High CTR")</f>
        <v>Normal</v>
      </c>
      <c r="R709" s="51" t="str">
        <f>IF(Table4[[#This Row],[ROAS]]&lt;1,"Poor",IF(Table4[[#This Row],[ROAS]]&lt;3,"Average",IF(Table4[[#This Row],[ROAS]]&lt;5,"Good",
"Excellent")))</f>
        <v>Excellent</v>
      </c>
      <c r="S709" s="51" t="str">
        <f>IF(AND(Table4[[#This Row],[USD_Spend]]&gt;=$B$5,Table4[[#This Row],[Sales]]&lt;=$B$6),"Wasted Budget","Spend Justified")</f>
        <v>Spend Justified</v>
      </c>
      <c r="T709" s="51" t="str">
        <f>IF(AND(Table4[[#This Row],[Clicks]]&gt;=$B$7,Table4[[#This Row],[Sales]]&lt;=$B$6),"Poor Monetization","Normal Monitization")</f>
        <v>Normal Monitization</v>
      </c>
    </row>
    <row r="710" spans="1:20" x14ac:dyDescent="0.35">
      <c r="A710" s="38" t="s">
        <v>94</v>
      </c>
      <c r="B710" s="38" t="s">
        <v>19</v>
      </c>
      <c r="C710" s="38" t="s">
        <v>69</v>
      </c>
      <c r="D710" s="38" t="s">
        <v>43</v>
      </c>
      <c r="E710" s="38" t="s">
        <v>30</v>
      </c>
      <c r="F710" s="38">
        <v>41703.25</v>
      </c>
      <c r="G710" s="38">
        <v>825573</v>
      </c>
      <c r="H710" s="38">
        <v>10832</v>
      </c>
      <c r="I710" s="38">
        <v>241356.59</v>
      </c>
      <c r="J710" s="38">
        <v>44</v>
      </c>
      <c r="K710" s="39">
        <f t="shared" si="51"/>
        <v>1.3120584127630144E-2</v>
      </c>
      <c r="L710" s="40">
        <f t="shared" si="52"/>
        <v>5.7874767554087514</v>
      </c>
      <c r="M710" s="40">
        <f t="shared" si="53"/>
        <v>4.7874767554087514</v>
      </c>
      <c r="N710" s="40">
        <f t="shared" si="54"/>
        <v>22.281812223042834</v>
      </c>
      <c r="O710" s="1" t="str">
        <f t="shared" si="50"/>
        <v>Normal</v>
      </c>
      <c r="P710" s="51" t="str">
        <f>IF(Table4[[#This Row],[Sales]]&lt;=$B$3,"Normal","High Revenue")</f>
        <v>High Revenue</v>
      </c>
      <c r="Q710" s="51" t="str">
        <f>IF(Table4[[#This Row],[CTR]]&lt;=$B$4,"Normal","High CTR")</f>
        <v>Normal</v>
      </c>
      <c r="R710" s="51" t="str">
        <f>IF(Table4[[#This Row],[ROAS]]&lt;1,"Poor",IF(Table4[[#This Row],[ROAS]]&lt;3,"Average",IF(Table4[[#This Row],[ROAS]]&lt;5,"Good",
"Excellent")))</f>
        <v>Excellent</v>
      </c>
      <c r="S710" s="51" t="str">
        <f>IF(AND(Table4[[#This Row],[USD_Spend]]&gt;=$B$5,Table4[[#This Row],[Sales]]&lt;=$B$6),"Wasted Budget","Spend Justified")</f>
        <v>Spend Justified</v>
      </c>
      <c r="T710" s="51" t="str">
        <f>IF(AND(Table4[[#This Row],[Clicks]]&gt;=$B$7,Table4[[#This Row],[Sales]]&lt;=$B$6),"Poor Monetization","Normal Monitization")</f>
        <v>Normal Monitization</v>
      </c>
    </row>
    <row r="711" spans="1:20" x14ac:dyDescent="0.35">
      <c r="A711" s="41" t="s">
        <v>93</v>
      </c>
      <c r="B711" s="41" t="s">
        <v>35</v>
      </c>
      <c r="C711" s="41" t="s">
        <v>20</v>
      </c>
      <c r="D711" s="41" t="s">
        <v>21</v>
      </c>
      <c r="E711" s="41" t="s">
        <v>30</v>
      </c>
      <c r="F711" s="41">
        <v>5675.12</v>
      </c>
      <c r="G711" s="41">
        <v>547234</v>
      </c>
      <c r="H711" s="41">
        <v>7559</v>
      </c>
      <c r="I711" s="41">
        <v>89567.35</v>
      </c>
      <c r="J711" s="41">
        <v>34</v>
      </c>
      <c r="K711" s="42">
        <f t="shared" si="51"/>
        <v>1.381310371797074E-2</v>
      </c>
      <c r="L711" s="43">
        <f t="shared" si="52"/>
        <v>15.782459225531797</v>
      </c>
      <c r="M711" s="43">
        <f t="shared" si="53"/>
        <v>14.782459225531797</v>
      </c>
      <c r="N711" s="43">
        <f t="shared" si="54"/>
        <v>11.849100410107157</v>
      </c>
      <c r="O711" s="1" t="str">
        <f t="shared" si="50"/>
        <v>Normal</v>
      </c>
      <c r="P711" s="51" t="str">
        <f>IF(Table4[[#This Row],[Sales]]&lt;=$B$3,"Normal","High Revenue")</f>
        <v>Normal</v>
      </c>
      <c r="Q711" s="51" t="str">
        <f>IF(Table4[[#This Row],[CTR]]&lt;=$B$4,"Normal","High CTR")</f>
        <v>Normal</v>
      </c>
      <c r="R711" s="51" t="str">
        <f>IF(Table4[[#This Row],[ROAS]]&lt;1,"Poor",IF(Table4[[#This Row],[ROAS]]&lt;3,"Average",IF(Table4[[#This Row],[ROAS]]&lt;5,"Good",
"Excellent")))</f>
        <v>Excellent</v>
      </c>
      <c r="S711" s="51" t="str">
        <f>IF(AND(Table4[[#This Row],[USD_Spend]]&gt;=$B$5,Table4[[#This Row],[Sales]]&lt;=$B$6),"Wasted Budget","Spend Justified")</f>
        <v>Spend Justified</v>
      </c>
      <c r="T711" s="51" t="str">
        <f>IF(AND(Table4[[#This Row],[Clicks]]&gt;=$B$7,Table4[[#This Row],[Sales]]&lt;=$B$6),"Poor Monetization","Normal Monitization")</f>
        <v>Normal Monitization</v>
      </c>
    </row>
    <row r="712" spans="1:20" x14ac:dyDescent="0.35">
      <c r="A712" s="38" t="s">
        <v>110</v>
      </c>
      <c r="B712" s="38" t="s">
        <v>19</v>
      </c>
      <c r="C712" s="38" t="s">
        <v>69</v>
      </c>
      <c r="D712" s="38" t="s">
        <v>59</v>
      </c>
      <c r="E712" s="38" t="s">
        <v>30</v>
      </c>
      <c r="F712" s="38">
        <v>39227.18</v>
      </c>
      <c r="G712" s="38">
        <v>934771</v>
      </c>
      <c r="H712" s="38">
        <v>34409</v>
      </c>
      <c r="I712" s="38">
        <v>226430.66</v>
      </c>
      <c r="J712" s="38">
        <v>34</v>
      </c>
      <c r="K712" s="39">
        <f t="shared" si="51"/>
        <v>3.6810085036869993E-2</v>
      </c>
      <c r="L712" s="40">
        <f t="shared" si="52"/>
        <v>5.7722900295152497</v>
      </c>
      <c r="M712" s="40">
        <f t="shared" si="53"/>
        <v>4.7722900295152497</v>
      </c>
      <c r="N712" s="40">
        <f t="shared" si="54"/>
        <v>6.5805649684675522</v>
      </c>
      <c r="O712" s="1" t="str">
        <f t="shared" si="50"/>
        <v>Normal</v>
      </c>
      <c r="P712" s="51" t="str">
        <f>IF(Table4[[#This Row],[Sales]]&lt;=$B$3,"Normal","High Revenue")</f>
        <v>Normal</v>
      </c>
      <c r="Q712" s="51" t="str">
        <f>IF(Table4[[#This Row],[CTR]]&lt;=$B$4,"Normal","High CTR")</f>
        <v>Normal</v>
      </c>
      <c r="R712" s="51" t="str">
        <f>IF(Table4[[#This Row],[ROAS]]&lt;1,"Poor",IF(Table4[[#This Row],[ROAS]]&lt;3,"Average",IF(Table4[[#This Row],[ROAS]]&lt;5,"Good",
"Excellent")))</f>
        <v>Excellent</v>
      </c>
      <c r="S712" s="51" t="str">
        <f>IF(AND(Table4[[#This Row],[USD_Spend]]&gt;=$B$5,Table4[[#This Row],[Sales]]&lt;=$B$6),"Wasted Budget","Spend Justified")</f>
        <v>Spend Justified</v>
      </c>
      <c r="T712" s="51" t="str">
        <f>IF(AND(Table4[[#This Row],[Clicks]]&gt;=$B$7,Table4[[#This Row],[Sales]]&lt;=$B$6),"Poor Monetization","Normal Monitization")</f>
        <v>Normal Monitization</v>
      </c>
    </row>
    <row r="713" spans="1:20" x14ac:dyDescent="0.35">
      <c r="A713" s="41" t="s">
        <v>86</v>
      </c>
      <c r="B713" s="41" t="s">
        <v>28</v>
      </c>
      <c r="C713" s="41" t="s">
        <v>29</v>
      </c>
      <c r="D713" s="41" t="s">
        <v>43</v>
      </c>
      <c r="E713" s="41" t="s">
        <v>22</v>
      </c>
      <c r="F713" s="41">
        <v>16463.150000000001</v>
      </c>
      <c r="G713" s="41">
        <v>409941</v>
      </c>
      <c r="H713" s="41">
        <v>25994</v>
      </c>
      <c r="I713" s="41">
        <v>206419.98</v>
      </c>
      <c r="J713" s="41">
        <v>11</v>
      </c>
      <c r="K713" s="42">
        <f t="shared" si="51"/>
        <v>6.3409124727704713E-2</v>
      </c>
      <c r="L713" s="43">
        <f t="shared" si="52"/>
        <v>12.538304030516638</v>
      </c>
      <c r="M713" s="43">
        <f t="shared" si="53"/>
        <v>11.538304030516638</v>
      </c>
      <c r="N713" s="43">
        <f t="shared" si="54"/>
        <v>7.9410625528968231</v>
      </c>
      <c r="O713" s="1" t="str">
        <f t="shared" si="50"/>
        <v>Normal</v>
      </c>
      <c r="P713" s="51" t="str">
        <f>IF(Table4[[#This Row],[Sales]]&lt;=$B$3,"Normal","High Revenue")</f>
        <v>Normal</v>
      </c>
      <c r="Q713" s="51" t="str">
        <f>IF(Table4[[#This Row],[CTR]]&lt;=$B$4,"Normal","High CTR")</f>
        <v>Normal</v>
      </c>
      <c r="R713" s="51" t="str">
        <f>IF(Table4[[#This Row],[ROAS]]&lt;1,"Poor",IF(Table4[[#This Row],[ROAS]]&lt;3,"Average",IF(Table4[[#This Row],[ROAS]]&lt;5,"Good",
"Excellent")))</f>
        <v>Excellent</v>
      </c>
      <c r="S713" s="51" t="str">
        <f>IF(AND(Table4[[#This Row],[USD_Spend]]&gt;=$B$5,Table4[[#This Row],[Sales]]&lt;=$B$6),"Wasted Budget","Spend Justified")</f>
        <v>Spend Justified</v>
      </c>
      <c r="T713" s="51" t="str">
        <f>IF(AND(Table4[[#This Row],[Clicks]]&gt;=$B$7,Table4[[#This Row],[Sales]]&lt;=$B$6),"Poor Monetization","Normal Monitization")</f>
        <v>Normal Monitization</v>
      </c>
    </row>
    <row r="714" spans="1:20" x14ac:dyDescent="0.35">
      <c r="A714" s="38" t="s">
        <v>79</v>
      </c>
      <c r="B714" s="38" t="s">
        <v>35</v>
      </c>
      <c r="C714" s="38" t="s">
        <v>69</v>
      </c>
      <c r="D714" s="38" t="s">
        <v>37</v>
      </c>
      <c r="E714" s="38" t="s">
        <v>22</v>
      </c>
      <c r="F714" s="38">
        <v>13671.59</v>
      </c>
      <c r="G714" s="38">
        <v>199179</v>
      </c>
      <c r="H714" s="38">
        <v>18009</v>
      </c>
      <c r="I714" s="38">
        <v>177161.2</v>
      </c>
      <c r="J714" s="38">
        <v>48</v>
      </c>
      <c r="K714" s="39">
        <f t="shared" si="51"/>
        <v>9.0416158329944415E-2</v>
      </c>
      <c r="L714" s="40">
        <f t="shared" si="52"/>
        <v>12.958346468845248</v>
      </c>
      <c r="M714" s="40">
        <f t="shared" si="53"/>
        <v>11.958346468845249</v>
      </c>
      <c r="N714" s="40">
        <f t="shared" si="54"/>
        <v>9.8373702037869961</v>
      </c>
      <c r="O714" s="1" t="str">
        <f t="shared" ref="O714:O777" si="55">IF(F714&lt;=$B$2,"Normal","High Spend")</f>
        <v>Normal</v>
      </c>
      <c r="P714" s="51" t="str">
        <f>IF(Table4[[#This Row],[Sales]]&lt;=$B$3,"Normal","High Revenue")</f>
        <v>Normal</v>
      </c>
      <c r="Q714" s="51" t="str">
        <f>IF(Table4[[#This Row],[CTR]]&lt;=$B$4,"Normal","High CTR")</f>
        <v>Normal</v>
      </c>
      <c r="R714" s="51" t="str">
        <f>IF(Table4[[#This Row],[ROAS]]&lt;1,"Poor",IF(Table4[[#This Row],[ROAS]]&lt;3,"Average",IF(Table4[[#This Row],[ROAS]]&lt;5,"Good",
"Excellent")))</f>
        <v>Excellent</v>
      </c>
      <c r="S714" s="51" t="str">
        <f>IF(AND(Table4[[#This Row],[USD_Spend]]&gt;=$B$5,Table4[[#This Row],[Sales]]&lt;=$B$6),"Wasted Budget","Spend Justified")</f>
        <v>Spend Justified</v>
      </c>
      <c r="T714" s="51" t="str">
        <f>IF(AND(Table4[[#This Row],[Clicks]]&gt;=$B$7,Table4[[#This Row],[Sales]]&lt;=$B$6),"Poor Monetization","Normal Monitization")</f>
        <v>Normal Monitization</v>
      </c>
    </row>
    <row r="715" spans="1:20" x14ac:dyDescent="0.35">
      <c r="A715" s="41" t="s">
        <v>83</v>
      </c>
      <c r="B715" s="41" t="s">
        <v>35</v>
      </c>
      <c r="C715" s="41" t="s">
        <v>58</v>
      </c>
      <c r="D715" s="41" t="s">
        <v>21</v>
      </c>
      <c r="E715" s="41" t="s">
        <v>38</v>
      </c>
      <c r="F715" s="41">
        <v>7566</v>
      </c>
      <c r="G715" s="41">
        <v>812903</v>
      </c>
      <c r="H715" s="41">
        <v>36160</v>
      </c>
      <c r="I715" s="41">
        <v>231906</v>
      </c>
      <c r="J715" s="41">
        <v>21</v>
      </c>
      <c r="K715" s="42">
        <f t="shared" ref="K715:K778" si="56">H715/G715</f>
        <v>4.4482552038804135E-2</v>
      </c>
      <c r="L715" s="43">
        <f t="shared" ref="L715:L778" si="57">I715/F715</f>
        <v>30.651070578905632</v>
      </c>
      <c r="M715" s="43">
        <f t="shared" ref="M715:M778" si="58">(I715-F715)/F715</f>
        <v>29.651070578905632</v>
      </c>
      <c r="N715" s="43">
        <f t="shared" ref="N715:N778" si="59">I715/H715</f>
        <v>6.4133296460176989</v>
      </c>
      <c r="O715" s="1" t="str">
        <f t="shared" si="55"/>
        <v>Normal</v>
      </c>
      <c r="P715" s="51" t="str">
        <f>IF(Table4[[#This Row],[Sales]]&lt;=$B$3,"Normal","High Revenue")</f>
        <v>Normal</v>
      </c>
      <c r="Q715" s="51" t="str">
        <f>IF(Table4[[#This Row],[CTR]]&lt;=$B$4,"Normal","High CTR")</f>
        <v>Normal</v>
      </c>
      <c r="R715" s="51" t="str">
        <f>IF(Table4[[#This Row],[ROAS]]&lt;1,"Poor",IF(Table4[[#This Row],[ROAS]]&lt;3,"Average",IF(Table4[[#This Row],[ROAS]]&lt;5,"Good",
"Excellent")))</f>
        <v>Excellent</v>
      </c>
      <c r="S715" s="51" t="str">
        <f>IF(AND(Table4[[#This Row],[USD_Spend]]&gt;=$B$5,Table4[[#This Row],[Sales]]&lt;=$B$6),"Wasted Budget","Spend Justified")</f>
        <v>Spend Justified</v>
      </c>
      <c r="T715" s="51" t="str">
        <f>IF(AND(Table4[[#This Row],[Clicks]]&gt;=$B$7,Table4[[#This Row],[Sales]]&lt;=$B$6),"Poor Monetization","Normal Monitization")</f>
        <v>Normal Monitization</v>
      </c>
    </row>
    <row r="716" spans="1:20" x14ac:dyDescent="0.35">
      <c r="A716" s="38" t="s">
        <v>90</v>
      </c>
      <c r="B716" s="38" t="s">
        <v>28</v>
      </c>
      <c r="C716" s="38" t="s">
        <v>58</v>
      </c>
      <c r="D716" s="38" t="s">
        <v>51</v>
      </c>
      <c r="E716" s="38" t="s">
        <v>30</v>
      </c>
      <c r="F716" s="38">
        <v>17594.080000000002</v>
      </c>
      <c r="G716" s="38">
        <v>290061</v>
      </c>
      <c r="H716" s="38">
        <v>6540</v>
      </c>
      <c r="I716" s="38">
        <v>67559.259999999995</v>
      </c>
      <c r="J716" s="38">
        <v>47</v>
      </c>
      <c r="K716" s="39">
        <f t="shared" si="56"/>
        <v>2.2546981496995459E-2</v>
      </c>
      <c r="L716" s="40">
        <f t="shared" si="57"/>
        <v>3.8398859161718026</v>
      </c>
      <c r="M716" s="40">
        <f t="shared" si="58"/>
        <v>2.8398859161718026</v>
      </c>
      <c r="N716" s="40">
        <f t="shared" si="59"/>
        <v>10.330162079510703</v>
      </c>
      <c r="O716" s="1" t="str">
        <f t="shared" si="55"/>
        <v>Normal</v>
      </c>
      <c r="P716" s="51" t="str">
        <f>IF(Table4[[#This Row],[Sales]]&lt;=$B$3,"Normal","High Revenue")</f>
        <v>Normal</v>
      </c>
      <c r="Q716" s="51" t="str">
        <f>IF(Table4[[#This Row],[CTR]]&lt;=$B$4,"Normal","High CTR")</f>
        <v>Normal</v>
      </c>
      <c r="R716" s="51" t="str">
        <f>IF(Table4[[#This Row],[ROAS]]&lt;1,"Poor",IF(Table4[[#This Row],[ROAS]]&lt;3,"Average",IF(Table4[[#This Row],[ROAS]]&lt;5,"Good",
"Excellent")))</f>
        <v>Good</v>
      </c>
      <c r="S716" s="51" t="str">
        <f>IF(AND(Table4[[#This Row],[USD_Spend]]&gt;=$B$5,Table4[[#This Row],[Sales]]&lt;=$B$6),"Wasted Budget","Spend Justified")</f>
        <v>Wasted Budget</v>
      </c>
      <c r="T716" s="51" t="str">
        <f>IF(AND(Table4[[#This Row],[Clicks]]&gt;=$B$7,Table4[[#This Row],[Sales]]&lt;=$B$6),"Poor Monetization","Normal Monitization")</f>
        <v>Normal Monitization</v>
      </c>
    </row>
    <row r="717" spans="1:20" x14ac:dyDescent="0.35">
      <c r="A717" s="41" t="s">
        <v>113</v>
      </c>
      <c r="B717" s="41" t="s">
        <v>28</v>
      </c>
      <c r="C717" s="41" t="s">
        <v>29</v>
      </c>
      <c r="D717" s="41" t="s">
        <v>37</v>
      </c>
      <c r="E717" s="41" t="s">
        <v>30</v>
      </c>
      <c r="F717" s="41">
        <v>51180.66</v>
      </c>
      <c r="G717" s="41">
        <v>855435</v>
      </c>
      <c r="H717" s="41">
        <v>6665</v>
      </c>
      <c r="I717" s="41">
        <v>5755.74</v>
      </c>
      <c r="J717" s="41">
        <v>9</v>
      </c>
      <c r="K717" s="42">
        <f t="shared" si="56"/>
        <v>7.7913576133779886E-3</v>
      </c>
      <c r="L717" s="43">
        <f t="shared" si="57"/>
        <v>0.11245927660956305</v>
      </c>
      <c r="M717" s="43">
        <f t="shared" si="58"/>
        <v>-0.88754072339043699</v>
      </c>
      <c r="N717" s="43">
        <f t="shared" si="59"/>
        <v>0.86357689422355588</v>
      </c>
      <c r="O717" s="1" t="str">
        <f t="shared" si="55"/>
        <v>High Spend</v>
      </c>
      <c r="P717" s="51" t="str">
        <f>IF(Table4[[#This Row],[Sales]]&lt;=$B$3,"Normal","High Revenue")</f>
        <v>Normal</v>
      </c>
      <c r="Q717" s="51" t="str">
        <f>IF(Table4[[#This Row],[CTR]]&lt;=$B$4,"Normal","High CTR")</f>
        <v>Normal</v>
      </c>
      <c r="R717" s="51" t="str">
        <f>IF(Table4[[#This Row],[ROAS]]&lt;1,"Poor",IF(Table4[[#This Row],[ROAS]]&lt;3,"Average",IF(Table4[[#This Row],[ROAS]]&lt;5,"Good",
"Excellent")))</f>
        <v>Poor</v>
      </c>
      <c r="S717" s="51" t="str">
        <f>IF(AND(Table4[[#This Row],[USD_Spend]]&gt;=$B$5,Table4[[#This Row],[Sales]]&lt;=$B$6),"Wasted Budget","Spend Justified")</f>
        <v>Wasted Budget</v>
      </c>
      <c r="T717" s="51" t="str">
        <f>IF(AND(Table4[[#This Row],[Clicks]]&gt;=$B$7,Table4[[#This Row],[Sales]]&lt;=$B$6),"Poor Monetization","Normal Monitization")</f>
        <v>Normal Monitization</v>
      </c>
    </row>
    <row r="718" spans="1:20" x14ac:dyDescent="0.35">
      <c r="A718" s="38" t="s">
        <v>82</v>
      </c>
      <c r="B718" s="38" t="s">
        <v>19</v>
      </c>
      <c r="C718" s="38" t="s">
        <v>29</v>
      </c>
      <c r="D718" s="38" t="s">
        <v>63</v>
      </c>
      <c r="E718" s="38" t="s">
        <v>22</v>
      </c>
      <c r="F718" s="38">
        <v>637.77</v>
      </c>
      <c r="G718" s="38">
        <v>866795</v>
      </c>
      <c r="H718" s="38">
        <v>36446</v>
      </c>
      <c r="I718" s="38">
        <v>78347.789999999994</v>
      </c>
      <c r="J718" s="38">
        <v>57</v>
      </c>
      <c r="K718" s="39">
        <f t="shared" si="56"/>
        <v>4.204685075479208E-2</v>
      </c>
      <c r="L718" s="40">
        <f t="shared" si="57"/>
        <v>122.84646502657698</v>
      </c>
      <c r="M718" s="40">
        <f t="shared" si="58"/>
        <v>121.84646502657696</v>
      </c>
      <c r="N718" s="40">
        <f t="shared" si="59"/>
        <v>2.1496951654502552</v>
      </c>
      <c r="O718" s="1" t="str">
        <f t="shared" si="55"/>
        <v>Normal</v>
      </c>
      <c r="P718" s="51" t="str">
        <f>IF(Table4[[#This Row],[Sales]]&lt;=$B$3,"Normal","High Revenue")</f>
        <v>Normal</v>
      </c>
      <c r="Q718" s="51" t="str">
        <f>IF(Table4[[#This Row],[CTR]]&lt;=$B$4,"Normal","High CTR")</f>
        <v>Normal</v>
      </c>
      <c r="R718" s="51" t="str">
        <f>IF(Table4[[#This Row],[ROAS]]&lt;1,"Poor",IF(Table4[[#This Row],[ROAS]]&lt;3,"Average",IF(Table4[[#This Row],[ROAS]]&lt;5,"Good",
"Excellent")))</f>
        <v>Excellent</v>
      </c>
      <c r="S718" s="51" t="str">
        <f>IF(AND(Table4[[#This Row],[USD_Spend]]&gt;=$B$5,Table4[[#This Row],[Sales]]&lt;=$B$6),"Wasted Budget","Spend Justified")</f>
        <v>Spend Justified</v>
      </c>
      <c r="T718" s="51" t="str">
        <f>IF(AND(Table4[[#This Row],[Clicks]]&gt;=$B$7,Table4[[#This Row],[Sales]]&lt;=$B$6),"Poor Monetization","Normal Monitization")</f>
        <v>Normal Monitization</v>
      </c>
    </row>
    <row r="719" spans="1:20" x14ac:dyDescent="0.35">
      <c r="A719" s="41" t="s">
        <v>84</v>
      </c>
      <c r="B719" s="41" t="s">
        <v>19</v>
      </c>
      <c r="C719" s="41" t="s">
        <v>36</v>
      </c>
      <c r="D719" s="41" t="s">
        <v>51</v>
      </c>
      <c r="E719" s="41" t="s">
        <v>30</v>
      </c>
      <c r="F719" s="41">
        <v>3366.36</v>
      </c>
      <c r="G719" s="41">
        <v>318474</v>
      </c>
      <c r="H719" s="41">
        <v>4190</v>
      </c>
      <c r="I719" s="41">
        <v>95459.61</v>
      </c>
      <c r="J719" s="41">
        <v>38</v>
      </c>
      <c r="K719" s="42">
        <f t="shared" si="56"/>
        <v>1.3156490011743502E-2</v>
      </c>
      <c r="L719" s="43">
        <f t="shared" si="57"/>
        <v>28.356922610772465</v>
      </c>
      <c r="M719" s="43">
        <f t="shared" si="58"/>
        <v>27.356922610772465</v>
      </c>
      <c r="N719" s="43">
        <f t="shared" si="59"/>
        <v>22.782723150357995</v>
      </c>
      <c r="O719" s="1" t="str">
        <f t="shared" si="55"/>
        <v>Normal</v>
      </c>
      <c r="P719" s="51" t="str">
        <f>IF(Table4[[#This Row],[Sales]]&lt;=$B$3,"Normal","High Revenue")</f>
        <v>Normal</v>
      </c>
      <c r="Q719" s="51" t="str">
        <f>IF(Table4[[#This Row],[CTR]]&lt;=$B$4,"Normal","High CTR")</f>
        <v>Normal</v>
      </c>
      <c r="R719" s="51" t="str">
        <f>IF(Table4[[#This Row],[ROAS]]&lt;1,"Poor",IF(Table4[[#This Row],[ROAS]]&lt;3,"Average",IF(Table4[[#This Row],[ROAS]]&lt;5,"Good",
"Excellent")))</f>
        <v>Excellent</v>
      </c>
      <c r="S719" s="51" t="str">
        <f>IF(AND(Table4[[#This Row],[USD_Spend]]&gt;=$B$5,Table4[[#This Row],[Sales]]&lt;=$B$6),"Wasted Budget","Spend Justified")</f>
        <v>Spend Justified</v>
      </c>
      <c r="T719" s="51" t="str">
        <f>IF(AND(Table4[[#This Row],[Clicks]]&gt;=$B$7,Table4[[#This Row],[Sales]]&lt;=$B$6),"Poor Monetization","Normal Monitization")</f>
        <v>Normal Monitization</v>
      </c>
    </row>
    <row r="720" spans="1:20" x14ac:dyDescent="0.35">
      <c r="A720" s="38" t="s">
        <v>108</v>
      </c>
      <c r="B720" s="38" t="s">
        <v>28</v>
      </c>
      <c r="C720" s="38" t="s">
        <v>20</v>
      </c>
      <c r="D720" s="38" t="s">
        <v>51</v>
      </c>
      <c r="E720" s="38" t="s">
        <v>38</v>
      </c>
      <c r="F720" s="38">
        <v>29279.78</v>
      </c>
      <c r="G720" s="38">
        <v>21307</v>
      </c>
      <c r="H720" s="38">
        <v>30827</v>
      </c>
      <c r="I720" s="38">
        <v>116238.52</v>
      </c>
      <c r="J720" s="38">
        <v>9</v>
      </c>
      <c r="K720" s="39">
        <f t="shared" si="56"/>
        <v>1.4468015206270239</v>
      </c>
      <c r="L720" s="40">
        <f t="shared" si="57"/>
        <v>3.9699246374118933</v>
      </c>
      <c r="M720" s="40">
        <f t="shared" si="58"/>
        <v>2.9699246374118933</v>
      </c>
      <c r="N720" s="40">
        <f t="shared" si="59"/>
        <v>3.7706724624517469</v>
      </c>
      <c r="O720" s="1" t="str">
        <f t="shared" si="55"/>
        <v>Normal</v>
      </c>
      <c r="P720" s="51" t="str">
        <f>IF(Table4[[#This Row],[Sales]]&lt;=$B$3,"Normal","High Revenue")</f>
        <v>Normal</v>
      </c>
      <c r="Q720" s="51" t="str">
        <f>IF(Table4[[#This Row],[CTR]]&lt;=$B$4,"Normal","High CTR")</f>
        <v>High CTR</v>
      </c>
      <c r="R720" s="51" t="str">
        <f>IF(Table4[[#This Row],[ROAS]]&lt;1,"Poor",IF(Table4[[#This Row],[ROAS]]&lt;3,"Average",IF(Table4[[#This Row],[ROAS]]&lt;5,"Good",
"Excellent")))</f>
        <v>Good</v>
      </c>
      <c r="S720" s="51" t="str">
        <f>IF(AND(Table4[[#This Row],[USD_Spend]]&gt;=$B$5,Table4[[#This Row],[Sales]]&lt;=$B$6),"Wasted Budget","Spend Justified")</f>
        <v>Spend Justified</v>
      </c>
      <c r="T720" s="51" t="str">
        <f>IF(AND(Table4[[#This Row],[Clicks]]&gt;=$B$7,Table4[[#This Row],[Sales]]&lt;=$B$6),"Poor Monetization","Normal Monitization")</f>
        <v>Normal Monitization</v>
      </c>
    </row>
    <row r="721" spans="1:20" x14ac:dyDescent="0.35">
      <c r="A721" s="41" t="s">
        <v>100</v>
      </c>
      <c r="B721" s="41" t="s">
        <v>48</v>
      </c>
      <c r="C721" s="41" t="s">
        <v>58</v>
      </c>
      <c r="D721" s="41" t="s">
        <v>21</v>
      </c>
      <c r="E721" s="41" t="s">
        <v>22</v>
      </c>
      <c r="F721" s="41">
        <v>22730.28</v>
      </c>
      <c r="G721" s="41">
        <v>636495</v>
      </c>
      <c r="H721" s="41">
        <v>3865</v>
      </c>
      <c r="I721" s="41">
        <v>236700.39</v>
      </c>
      <c r="J721" s="41">
        <v>47</v>
      </c>
      <c r="K721" s="42">
        <f t="shared" si="56"/>
        <v>6.0723179286561561E-3</v>
      </c>
      <c r="L721" s="43">
        <f t="shared" si="57"/>
        <v>10.413439253717948</v>
      </c>
      <c r="M721" s="43">
        <f t="shared" si="58"/>
        <v>9.4134392537179483</v>
      </c>
      <c r="N721" s="43">
        <f t="shared" si="59"/>
        <v>61.242015523932736</v>
      </c>
      <c r="O721" s="1" t="str">
        <f t="shared" si="55"/>
        <v>Normal</v>
      </c>
      <c r="P721" s="51" t="str">
        <f>IF(Table4[[#This Row],[Sales]]&lt;=$B$3,"Normal","High Revenue")</f>
        <v>High Revenue</v>
      </c>
      <c r="Q721" s="51" t="str">
        <f>IF(Table4[[#This Row],[CTR]]&lt;=$B$4,"Normal","High CTR")</f>
        <v>Normal</v>
      </c>
      <c r="R721" s="51" t="str">
        <f>IF(Table4[[#This Row],[ROAS]]&lt;1,"Poor",IF(Table4[[#This Row],[ROAS]]&lt;3,"Average",IF(Table4[[#This Row],[ROAS]]&lt;5,"Good",
"Excellent")))</f>
        <v>Excellent</v>
      </c>
      <c r="S721" s="51" t="str">
        <f>IF(AND(Table4[[#This Row],[USD_Spend]]&gt;=$B$5,Table4[[#This Row],[Sales]]&lt;=$B$6),"Wasted Budget","Spend Justified")</f>
        <v>Spend Justified</v>
      </c>
      <c r="T721" s="51" t="str">
        <f>IF(AND(Table4[[#This Row],[Clicks]]&gt;=$B$7,Table4[[#This Row],[Sales]]&lt;=$B$6),"Poor Monetization","Normal Monitization")</f>
        <v>Normal Monitization</v>
      </c>
    </row>
    <row r="722" spans="1:20" x14ac:dyDescent="0.35">
      <c r="A722" s="38" t="s">
        <v>75</v>
      </c>
      <c r="B722" s="38" t="s">
        <v>35</v>
      </c>
      <c r="C722" s="38" t="s">
        <v>20</v>
      </c>
      <c r="D722" s="38" t="s">
        <v>51</v>
      </c>
      <c r="E722" s="38" t="s">
        <v>30</v>
      </c>
      <c r="F722" s="38">
        <v>16999.87</v>
      </c>
      <c r="G722" s="38">
        <v>70144</v>
      </c>
      <c r="H722" s="38">
        <v>5017</v>
      </c>
      <c r="I722" s="38">
        <v>169440.05</v>
      </c>
      <c r="J722" s="38">
        <v>33</v>
      </c>
      <c r="K722" s="39">
        <f t="shared" si="56"/>
        <v>7.1524292883211674E-2</v>
      </c>
      <c r="L722" s="40">
        <f t="shared" si="57"/>
        <v>9.9671379839963485</v>
      </c>
      <c r="M722" s="40">
        <f t="shared" si="58"/>
        <v>8.9671379839963485</v>
      </c>
      <c r="N722" s="40">
        <f t="shared" si="59"/>
        <v>33.773181183974486</v>
      </c>
      <c r="O722" s="1" t="str">
        <f t="shared" si="55"/>
        <v>Normal</v>
      </c>
      <c r="P722" s="51" t="str">
        <f>IF(Table4[[#This Row],[Sales]]&lt;=$B$3,"Normal","High Revenue")</f>
        <v>Normal</v>
      </c>
      <c r="Q722" s="51" t="str">
        <f>IF(Table4[[#This Row],[CTR]]&lt;=$B$4,"Normal","High CTR")</f>
        <v>Normal</v>
      </c>
      <c r="R722" s="51" t="str">
        <f>IF(Table4[[#This Row],[ROAS]]&lt;1,"Poor",IF(Table4[[#This Row],[ROAS]]&lt;3,"Average",IF(Table4[[#This Row],[ROAS]]&lt;5,"Good",
"Excellent")))</f>
        <v>Excellent</v>
      </c>
      <c r="S722" s="51" t="str">
        <f>IF(AND(Table4[[#This Row],[USD_Spend]]&gt;=$B$5,Table4[[#This Row],[Sales]]&lt;=$B$6),"Wasted Budget","Spend Justified")</f>
        <v>Spend Justified</v>
      </c>
      <c r="T722" s="51" t="str">
        <f>IF(AND(Table4[[#This Row],[Clicks]]&gt;=$B$7,Table4[[#This Row],[Sales]]&lt;=$B$6),"Poor Monetization","Normal Monitization")</f>
        <v>Normal Monitization</v>
      </c>
    </row>
    <row r="723" spans="1:20" x14ac:dyDescent="0.35">
      <c r="A723" s="41" t="s">
        <v>72</v>
      </c>
      <c r="B723" s="41" t="s">
        <v>19</v>
      </c>
      <c r="C723" s="41" t="s">
        <v>36</v>
      </c>
      <c r="D723" s="41" t="s">
        <v>21</v>
      </c>
      <c r="E723" s="41" t="s">
        <v>38</v>
      </c>
      <c r="F723" s="41">
        <v>39983.339999999997</v>
      </c>
      <c r="G723" s="41">
        <v>700909</v>
      </c>
      <c r="H723" s="41">
        <v>34273</v>
      </c>
      <c r="I723" s="41">
        <v>78899.429999999993</v>
      </c>
      <c r="J723" s="41">
        <v>8</v>
      </c>
      <c r="K723" s="42">
        <f t="shared" si="56"/>
        <v>4.889793111516616E-2</v>
      </c>
      <c r="L723" s="43">
        <f t="shared" si="57"/>
        <v>1.97330763262899</v>
      </c>
      <c r="M723" s="43">
        <f t="shared" si="58"/>
        <v>0.97330763262899</v>
      </c>
      <c r="N723" s="43">
        <f t="shared" si="59"/>
        <v>2.3020870656201673</v>
      </c>
      <c r="O723" s="1" t="str">
        <f t="shared" si="55"/>
        <v>Normal</v>
      </c>
      <c r="P723" s="51" t="str">
        <f>IF(Table4[[#This Row],[Sales]]&lt;=$B$3,"Normal","High Revenue")</f>
        <v>Normal</v>
      </c>
      <c r="Q723" s="51" t="str">
        <f>IF(Table4[[#This Row],[CTR]]&lt;=$B$4,"Normal","High CTR")</f>
        <v>Normal</v>
      </c>
      <c r="R723" s="51" t="str">
        <f>IF(Table4[[#This Row],[ROAS]]&lt;1,"Poor",IF(Table4[[#This Row],[ROAS]]&lt;3,"Average",IF(Table4[[#This Row],[ROAS]]&lt;5,"Good",
"Excellent")))</f>
        <v>Average</v>
      </c>
      <c r="S723" s="51" t="str">
        <f>IF(AND(Table4[[#This Row],[USD_Spend]]&gt;=$B$5,Table4[[#This Row],[Sales]]&lt;=$B$6),"Wasted Budget","Spend Justified")</f>
        <v>Spend Justified</v>
      </c>
      <c r="T723" s="51" t="str">
        <f>IF(AND(Table4[[#This Row],[Clicks]]&gt;=$B$7,Table4[[#This Row],[Sales]]&lt;=$B$6),"Poor Monetization","Normal Monitization")</f>
        <v>Normal Monitization</v>
      </c>
    </row>
    <row r="724" spans="1:20" x14ac:dyDescent="0.35">
      <c r="A724" s="38" t="s">
        <v>71</v>
      </c>
      <c r="B724" s="38" t="s">
        <v>35</v>
      </c>
      <c r="C724" s="38" t="s">
        <v>58</v>
      </c>
      <c r="D724" s="38" t="s">
        <v>51</v>
      </c>
      <c r="E724" s="38" t="s">
        <v>38</v>
      </c>
      <c r="F724" s="38">
        <v>5835.39</v>
      </c>
      <c r="G724" s="38">
        <v>930047</v>
      </c>
      <c r="H724" s="38">
        <v>20848</v>
      </c>
      <c r="I724" s="38">
        <v>78435.16</v>
      </c>
      <c r="J724" s="38">
        <v>42</v>
      </c>
      <c r="K724" s="39">
        <f t="shared" si="56"/>
        <v>2.241607144585166E-2</v>
      </c>
      <c r="L724" s="40">
        <f t="shared" si="57"/>
        <v>13.441288414313354</v>
      </c>
      <c r="M724" s="40">
        <f t="shared" si="58"/>
        <v>12.441288414313354</v>
      </c>
      <c r="N724" s="40">
        <f t="shared" si="59"/>
        <v>3.7622390636991558</v>
      </c>
      <c r="O724" s="1" t="str">
        <f t="shared" si="55"/>
        <v>Normal</v>
      </c>
      <c r="P724" s="51" t="str">
        <f>IF(Table4[[#This Row],[Sales]]&lt;=$B$3,"Normal","High Revenue")</f>
        <v>Normal</v>
      </c>
      <c r="Q724" s="51" t="str">
        <f>IF(Table4[[#This Row],[CTR]]&lt;=$B$4,"Normal","High CTR")</f>
        <v>Normal</v>
      </c>
      <c r="R724" s="51" t="str">
        <f>IF(Table4[[#This Row],[ROAS]]&lt;1,"Poor",IF(Table4[[#This Row],[ROAS]]&lt;3,"Average",IF(Table4[[#This Row],[ROAS]]&lt;5,"Good",
"Excellent")))</f>
        <v>Excellent</v>
      </c>
      <c r="S724" s="51" t="str">
        <f>IF(AND(Table4[[#This Row],[USD_Spend]]&gt;=$B$5,Table4[[#This Row],[Sales]]&lt;=$B$6),"Wasted Budget","Spend Justified")</f>
        <v>Spend Justified</v>
      </c>
      <c r="T724" s="51" t="str">
        <f>IF(AND(Table4[[#This Row],[Clicks]]&gt;=$B$7,Table4[[#This Row],[Sales]]&lt;=$B$6),"Poor Monetization","Normal Monitization")</f>
        <v>Normal Monitization</v>
      </c>
    </row>
    <row r="725" spans="1:20" x14ac:dyDescent="0.35">
      <c r="A725" s="41" t="s">
        <v>109</v>
      </c>
      <c r="B725" s="41" t="s">
        <v>35</v>
      </c>
      <c r="C725" s="41" t="s">
        <v>58</v>
      </c>
      <c r="D725" s="41" t="s">
        <v>37</v>
      </c>
      <c r="E725" s="41" t="s">
        <v>38</v>
      </c>
      <c r="F725" s="41">
        <v>30298.99</v>
      </c>
      <c r="G725" s="41">
        <v>541958</v>
      </c>
      <c r="H725" s="41">
        <v>33504</v>
      </c>
      <c r="I725" s="41">
        <v>135423.26</v>
      </c>
      <c r="J725" s="41">
        <v>53</v>
      </c>
      <c r="K725" s="42">
        <f t="shared" si="56"/>
        <v>6.1820288657054606E-2</v>
      </c>
      <c r="L725" s="43">
        <f t="shared" si="57"/>
        <v>4.4695635069023751</v>
      </c>
      <c r="M725" s="43">
        <f t="shared" si="58"/>
        <v>3.4695635069023751</v>
      </c>
      <c r="N725" s="43">
        <f t="shared" si="59"/>
        <v>4.0420027459407839</v>
      </c>
      <c r="O725" s="1" t="str">
        <f t="shared" si="55"/>
        <v>Normal</v>
      </c>
      <c r="P725" s="51" t="str">
        <f>IF(Table4[[#This Row],[Sales]]&lt;=$B$3,"Normal","High Revenue")</f>
        <v>Normal</v>
      </c>
      <c r="Q725" s="51" t="str">
        <f>IF(Table4[[#This Row],[CTR]]&lt;=$B$4,"Normal","High CTR")</f>
        <v>Normal</v>
      </c>
      <c r="R725" s="51" t="str">
        <f>IF(Table4[[#This Row],[ROAS]]&lt;1,"Poor",IF(Table4[[#This Row],[ROAS]]&lt;3,"Average",IF(Table4[[#This Row],[ROAS]]&lt;5,"Good",
"Excellent")))</f>
        <v>Good</v>
      </c>
      <c r="S725" s="51" t="str">
        <f>IF(AND(Table4[[#This Row],[USD_Spend]]&gt;=$B$5,Table4[[#This Row],[Sales]]&lt;=$B$6),"Wasted Budget","Spend Justified")</f>
        <v>Spend Justified</v>
      </c>
      <c r="T725" s="51" t="str">
        <f>IF(AND(Table4[[#This Row],[Clicks]]&gt;=$B$7,Table4[[#This Row],[Sales]]&lt;=$B$6),"Poor Monetization","Normal Monitization")</f>
        <v>Normal Monitization</v>
      </c>
    </row>
    <row r="726" spans="1:20" x14ac:dyDescent="0.35">
      <c r="A726" s="38" t="s">
        <v>27</v>
      </c>
      <c r="B726" s="38" t="s">
        <v>19</v>
      </c>
      <c r="C726" s="38" t="s">
        <v>58</v>
      </c>
      <c r="D726" s="38" t="s">
        <v>43</v>
      </c>
      <c r="E726" s="38" t="s">
        <v>22</v>
      </c>
      <c r="F726" s="38">
        <v>16029.07</v>
      </c>
      <c r="G726" s="38">
        <v>757528</v>
      </c>
      <c r="H726" s="38">
        <v>49802</v>
      </c>
      <c r="I726" s="38">
        <v>169363.22</v>
      </c>
      <c r="J726" s="38">
        <v>28</v>
      </c>
      <c r="K726" s="39">
        <f t="shared" si="56"/>
        <v>6.5742784425130166E-2</v>
      </c>
      <c r="L726" s="40">
        <f t="shared" si="57"/>
        <v>10.56600414122591</v>
      </c>
      <c r="M726" s="40">
        <f t="shared" si="58"/>
        <v>9.5660041412259105</v>
      </c>
      <c r="N726" s="40">
        <f t="shared" si="59"/>
        <v>3.4007312959318905</v>
      </c>
      <c r="O726" s="1" t="str">
        <f t="shared" si="55"/>
        <v>Normal</v>
      </c>
      <c r="P726" s="51" t="str">
        <f>IF(Table4[[#This Row],[Sales]]&lt;=$B$3,"Normal","High Revenue")</f>
        <v>Normal</v>
      </c>
      <c r="Q726" s="51" t="str">
        <f>IF(Table4[[#This Row],[CTR]]&lt;=$B$4,"Normal","High CTR")</f>
        <v>Normal</v>
      </c>
      <c r="R726" s="51" t="str">
        <f>IF(Table4[[#This Row],[ROAS]]&lt;1,"Poor",IF(Table4[[#This Row],[ROAS]]&lt;3,"Average",IF(Table4[[#This Row],[ROAS]]&lt;5,"Good",
"Excellent")))</f>
        <v>Excellent</v>
      </c>
      <c r="S726" s="51" t="str">
        <f>IF(AND(Table4[[#This Row],[USD_Spend]]&gt;=$B$5,Table4[[#This Row],[Sales]]&lt;=$B$6),"Wasted Budget","Spend Justified")</f>
        <v>Spend Justified</v>
      </c>
      <c r="T726" s="51" t="str">
        <f>IF(AND(Table4[[#This Row],[Clicks]]&gt;=$B$7,Table4[[#This Row],[Sales]]&lt;=$B$6),"Poor Monetization","Normal Monitization")</f>
        <v>Normal Monitization</v>
      </c>
    </row>
    <row r="727" spans="1:20" x14ac:dyDescent="0.35">
      <c r="A727" s="41" t="s">
        <v>18</v>
      </c>
      <c r="B727" s="41" t="s">
        <v>48</v>
      </c>
      <c r="C727" s="41" t="s">
        <v>69</v>
      </c>
      <c r="D727" s="41" t="s">
        <v>37</v>
      </c>
      <c r="E727" s="41" t="s">
        <v>22</v>
      </c>
      <c r="F727" s="41">
        <v>34746.28</v>
      </c>
      <c r="G727" s="41">
        <v>321893</v>
      </c>
      <c r="H727" s="41">
        <v>40370</v>
      </c>
      <c r="I727" s="41">
        <v>149591.25</v>
      </c>
      <c r="J727" s="41">
        <v>17</v>
      </c>
      <c r="K727" s="42">
        <f t="shared" si="56"/>
        <v>0.12541434576085841</v>
      </c>
      <c r="L727" s="43">
        <f t="shared" si="57"/>
        <v>4.3052450506931965</v>
      </c>
      <c r="M727" s="43">
        <f t="shared" si="58"/>
        <v>3.3052450506931965</v>
      </c>
      <c r="N727" s="43">
        <f t="shared" si="59"/>
        <v>3.7055053257369335</v>
      </c>
      <c r="O727" s="1" t="str">
        <f t="shared" si="55"/>
        <v>Normal</v>
      </c>
      <c r="P727" s="51" t="str">
        <f>IF(Table4[[#This Row],[Sales]]&lt;=$B$3,"Normal","High Revenue")</f>
        <v>Normal</v>
      </c>
      <c r="Q727" s="51" t="str">
        <f>IF(Table4[[#This Row],[CTR]]&lt;=$B$4,"Normal","High CTR")</f>
        <v>Normal</v>
      </c>
      <c r="R727" s="51" t="str">
        <f>IF(Table4[[#This Row],[ROAS]]&lt;1,"Poor",IF(Table4[[#This Row],[ROAS]]&lt;3,"Average",IF(Table4[[#This Row],[ROAS]]&lt;5,"Good",
"Excellent")))</f>
        <v>Good</v>
      </c>
      <c r="S727" s="51" t="str">
        <f>IF(AND(Table4[[#This Row],[USD_Spend]]&gt;=$B$5,Table4[[#This Row],[Sales]]&lt;=$B$6),"Wasted Budget","Spend Justified")</f>
        <v>Spend Justified</v>
      </c>
      <c r="T727" s="51" t="str">
        <f>IF(AND(Table4[[#This Row],[Clicks]]&gt;=$B$7,Table4[[#This Row],[Sales]]&lt;=$B$6),"Poor Monetization","Normal Monitization")</f>
        <v>Normal Monitization</v>
      </c>
    </row>
    <row r="728" spans="1:20" x14ac:dyDescent="0.35">
      <c r="A728" s="38" t="s">
        <v>113</v>
      </c>
      <c r="B728" s="38" t="s">
        <v>19</v>
      </c>
      <c r="C728" s="38" t="s">
        <v>20</v>
      </c>
      <c r="D728" s="38" t="s">
        <v>37</v>
      </c>
      <c r="E728" s="38" t="s">
        <v>22</v>
      </c>
      <c r="F728" s="38">
        <v>41271.94</v>
      </c>
      <c r="G728" s="38">
        <v>470197</v>
      </c>
      <c r="H728" s="38">
        <v>28117</v>
      </c>
      <c r="I728" s="38">
        <v>158240.32000000001</v>
      </c>
      <c r="J728" s="38">
        <v>41</v>
      </c>
      <c r="K728" s="39">
        <f t="shared" si="56"/>
        <v>5.979833984478846E-2</v>
      </c>
      <c r="L728" s="40">
        <f t="shared" si="57"/>
        <v>3.8340896987153985</v>
      </c>
      <c r="M728" s="40">
        <f t="shared" si="58"/>
        <v>2.8340896987153985</v>
      </c>
      <c r="N728" s="40">
        <f t="shared" si="59"/>
        <v>5.6279233204111394</v>
      </c>
      <c r="O728" s="1" t="str">
        <f t="shared" si="55"/>
        <v>Normal</v>
      </c>
      <c r="P728" s="51" t="str">
        <f>IF(Table4[[#This Row],[Sales]]&lt;=$B$3,"Normal","High Revenue")</f>
        <v>Normal</v>
      </c>
      <c r="Q728" s="51" t="str">
        <f>IF(Table4[[#This Row],[CTR]]&lt;=$B$4,"Normal","High CTR")</f>
        <v>Normal</v>
      </c>
      <c r="R728" s="51" t="str">
        <f>IF(Table4[[#This Row],[ROAS]]&lt;1,"Poor",IF(Table4[[#This Row],[ROAS]]&lt;3,"Average",IF(Table4[[#This Row],[ROAS]]&lt;5,"Good",
"Excellent")))</f>
        <v>Good</v>
      </c>
      <c r="S728" s="51" t="str">
        <f>IF(AND(Table4[[#This Row],[USD_Spend]]&gt;=$B$5,Table4[[#This Row],[Sales]]&lt;=$B$6),"Wasted Budget","Spend Justified")</f>
        <v>Spend Justified</v>
      </c>
      <c r="T728" s="51" t="str">
        <f>IF(AND(Table4[[#This Row],[Clicks]]&gt;=$B$7,Table4[[#This Row],[Sales]]&lt;=$B$6),"Poor Monetization","Normal Monitization")</f>
        <v>Normal Monitization</v>
      </c>
    </row>
    <row r="729" spans="1:20" x14ac:dyDescent="0.35">
      <c r="A729" s="41" t="s">
        <v>81</v>
      </c>
      <c r="B729" s="41" t="s">
        <v>28</v>
      </c>
      <c r="C729" s="41" t="s">
        <v>36</v>
      </c>
      <c r="D729" s="41" t="s">
        <v>37</v>
      </c>
      <c r="E729" s="41" t="s">
        <v>38</v>
      </c>
      <c r="F729" s="41">
        <v>45621.65</v>
      </c>
      <c r="G729" s="41">
        <v>858083</v>
      </c>
      <c r="H729" s="41">
        <v>4400</v>
      </c>
      <c r="I729" s="41">
        <v>51146.63</v>
      </c>
      <c r="J729" s="41">
        <v>29</v>
      </c>
      <c r="K729" s="42">
        <f t="shared" si="56"/>
        <v>5.1277090910786024E-3</v>
      </c>
      <c r="L729" s="43">
        <f t="shared" si="57"/>
        <v>1.1211043440997859</v>
      </c>
      <c r="M729" s="43">
        <f t="shared" si="58"/>
        <v>0.12110434409978586</v>
      </c>
      <c r="N729" s="43">
        <f t="shared" si="59"/>
        <v>11.62423409090909</v>
      </c>
      <c r="O729" s="1" t="str">
        <f t="shared" si="55"/>
        <v>High Spend</v>
      </c>
      <c r="P729" s="51" t="str">
        <f>IF(Table4[[#This Row],[Sales]]&lt;=$B$3,"Normal","High Revenue")</f>
        <v>Normal</v>
      </c>
      <c r="Q729" s="51" t="str">
        <f>IF(Table4[[#This Row],[CTR]]&lt;=$B$4,"Normal","High CTR")</f>
        <v>Normal</v>
      </c>
      <c r="R729" s="51" t="str">
        <f>IF(Table4[[#This Row],[ROAS]]&lt;1,"Poor",IF(Table4[[#This Row],[ROAS]]&lt;3,"Average",IF(Table4[[#This Row],[ROAS]]&lt;5,"Good",
"Excellent")))</f>
        <v>Average</v>
      </c>
      <c r="S729" s="51" t="str">
        <f>IF(AND(Table4[[#This Row],[USD_Spend]]&gt;=$B$5,Table4[[#This Row],[Sales]]&lt;=$B$6),"Wasted Budget","Spend Justified")</f>
        <v>Wasted Budget</v>
      </c>
      <c r="T729" s="51" t="str">
        <f>IF(AND(Table4[[#This Row],[Clicks]]&gt;=$B$7,Table4[[#This Row],[Sales]]&lt;=$B$6),"Poor Monetization","Normal Monitization")</f>
        <v>Normal Monitization</v>
      </c>
    </row>
    <row r="730" spans="1:20" x14ac:dyDescent="0.35">
      <c r="A730" s="38" t="s">
        <v>78</v>
      </c>
      <c r="B730" s="38" t="s">
        <v>35</v>
      </c>
      <c r="C730" s="38" t="s">
        <v>36</v>
      </c>
      <c r="D730" s="38" t="s">
        <v>21</v>
      </c>
      <c r="E730" s="38" t="s">
        <v>30</v>
      </c>
      <c r="F730" s="38">
        <v>16232.43</v>
      </c>
      <c r="G730" s="38">
        <v>923671</v>
      </c>
      <c r="H730" s="38">
        <v>12367</v>
      </c>
      <c r="I730" s="38">
        <v>56711.75</v>
      </c>
      <c r="J730" s="38">
        <v>57</v>
      </c>
      <c r="K730" s="39">
        <f t="shared" si="56"/>
        <v>1.3388966417696345E-2</v>
      </c>
      <c r="L730" s="40">
        <f t="shared" si="57"/>
        <v>3.4937313760170228</v>
      </c>
      <c r="M730" s="40">
        <f t="shared" si="58"/>
        <v>2.4937313760170228</v>
      </c>
      <c r="N730" s="40">
        <f t="shared" si="59"/>
        <v>4.5857321905069943</v>
      </c>
      <c r="O730" s="1" t="str">
        <f t="shared" si="55"/>
        <v>Normal</v>
      </c>
      <c r="P730" s="51" t="str">
        <f>IF(Table4[[#This Row],[Sales]]&lt;=$B$3,"Normal","High Revenue")</f>
        <v>Normal</v>
      </c>
      <c r="Q730" s="51" t="str">
        <f>IF(Table4[[#This Row],[CTR]]&lt;=$B$4,"Normal","High CTR")</f>
        <v>Normal</v>
      </c>
      <c r="R730" s="51" t="str">
        <f>IF(Table4[[#This Row],[ROAS]]&lt;1,"Poor",IF(Table4[[#This Row],[ROAS]]&lt;3,"Average",IF(Table4[[#This Row],[ROAS]]&lt;5,"Good",
"Excellent")))</f>
        <v>Good</v>
      </c>
      <c r="S730" s="51" t="str">
        <f>IF(AND(Table4[[#This Row],[USD_Spend]]&gt;=$B$5,Table4[[#This Row],[Sales]]&lt;=$B$6),"Wasted Budget","Spend Justified")</f>
        <v>Wasted Budget</v>
      </c>
      <c r="T730" s="51" t="str">
        <f>IF(AND(Table4[[#This Row],[Clicks]]&gt;=$B$7,Table4[[#This Row],[Sales]]&lt;=$B$6),"Poor Monetization","Normal Monitization")</f>
        <v>Normal Monitization</v>
      </c>
    </row>
    <row r="731" spans="1:20" x14ac:dyDescent="0.35">
      <c r="A731" s="41" t="s">
        <v>72</v>
      </c>
      <c r="B731" s="41" t="s">
        <v>48</v>
      </c>
      <c r="C731" s="41" t="s">
        <v>20</v>
      </c>
      <c r="D731" s="41" t="s">
        <v>43</v>
      </c>
      <c r="E731" s="41" t="s">
        <v>30</v>
      </c>
      <c r="F731" s="41">
        <v>6413.84</v>
      </c>
      <c r="G731" s="41">
        <v>715034</v>
      </c>
      <c r="H731" s="41">
        <v>8794</v>
      </c>
      <c r="I731" s="41">
        <v>245427.20000000001</v>
      </c>
      <c r="J731" s="41">
        <v>51</v>
      </c>
      <c r="K731" s="42">
        <f t="shared" si="56"/>
        <v>1.2298715865259553E-2</v>
      </c>
      <c r="L731" s="43">
        <f t="shared" si="57"/>
        <v>38.26525139386078</v>
      </c>
      <c r="M731" s="43">
        <f t="shared" si="58"/>
        <v>37.26525139386078</v>
      </c>
      <c r="N731" s="43">
        <f t="shared" si="59"/>
        <v>27.908483056629521</v>
      </c>
      <c r="O731" s="1" t="str">
        <f t="shared" si="55"/>
        <v>Normal</v>
      </c>
      <c r="P731" s="51" t="str">
        <f>IF(Table4[[#This Row],[Sales]]&lt;=$B$3,"Normal","High Revenue")</f>
        <v>High Revenue</v>
      </c>
      <c r="Q731" s="51" t="str">
        <f>IF(Table4[[#This Row],[CTR]]&lt;=$B$4,"Normal","High CTR")</f>
        <v>Normal</v>
      </c>
      <c r="R731" s="51" t="str">
        <f>IF(Table4[[#This Row],[ROAS]]&lt;1,"Poor",IF(Table4[[#This Row],[ROAS]]&lt;3,"Average",IF(Table4[[#This Row],[ROAS]]&lt;5,"Good",
"Excellent")))</f>
        <v>Excellent</v>
      </c>
      <c r="S731" s="51" t="str">
        <f>IF(AND(Table4[[#This Row],[USD_Spend]]&gt;=$B$5,Table4[[#This Row],[Sales]]&lt;=$B$6),"Wasted Budget","Spend Justified")</f>
        <v>Spend Justified</v>
      </c>
      <c r="T731" s="51" t="str">
        <f>IF(AND(Table4[[#This Row],[Clicks]]&gt;=$B$7,Table4[[#This Row],[Sales]]&lt;=$B$6),"Poor Monetization","Normal Monitization")</f>
        <v>Normal Monitization</v>
      </c>
    </row>
    <row r="732" spans="1:20" x14ac:dyDescent="0.35">
      <c r="A732" s="38" t="s">
        <v>50</v>
      </c>
      <c r="B732" s="38" t="s">
        <v>28</v>
      </c>
      <c r="C732" s="38" t="s">
        <v>58</v>
      </c>
      <c r="D732" s="38" t="s">
        <v>59</v>
      </c>
      <c r="E732" s="38" t="s">
        <v>38</v>
      </c>
      <c r="F732" s="38">
        <v>48090.31</v>
      </c>
      <c r="G732" s="38">
        <v>915115</v>
      </c>
      <c r="H732" s="38">
        <v>47156</v>
      </c>
      <c r="I732" s="38">
        <v>232255.84</v>
      </c>
      <c r="J732" s="38">
        <v>9</v>
      </c>
      <c r="K732" s="39">
        <f t="shared" si="56"/>
        <v>5.153013555673331E-2</v>
      </c>
      <c r="L732" s="40">
        <f t="shared" si="57"/>
        <v>4.8295766860309284</v>
      </c>
      <c r="M732" s="40">
        <f t="shared" si="58"/>
        <v>3.8295766860309284</v>
      </c>
      <c r="N732" s="40">
        <f t="shared" si="59"/>
        <v>4.9252659258630924</v>
      </c>
      <c r="O732" s="1" t="str">
        <f t="shared" si="55"/>
        <v>High Spend</v>
      </c>
      <c r="P732" s="51" t="str">
        <f>IF(Table4[[#This Row],[Sales]]&lt;=$B$3,"Normal","High Revenue")</f>
        <v>Normal</v>
      </c>
      <c r="Q732" s="51" t="str">
        <f>IF(Table4[[#This Row],[CTR]]&lt;=$B$4,"Normal","High CTR")</f>
        <v>Normal</v>
      </c>
      <c r="R732" s="51" t="str">
        <f>IF(Table4[[#This Row],[ROAS]]&lt;1,"Poor",IF(Table4[[#This Row],[ROAS]]&lt;3,"Average",IF(Table4[[#This Row],[ROAS]]&lt;5,"Good",
"Excellent")))</f>
        <v>Good</v>
      </c>
      <c r="S732" s="51" t="str">
        <f>IF(AND(Table4[[#This Row],[USD_Spend]]&gt;=$B$5,Table4[[#This Row],[Sales]]&lt;=$B$6),"Wasted Budget","Spend Justified")</f>
        <v>Spend Justified</v>
      </c>
      <c r="T732" s="51" t="str">
        <f>IF(AND(Table4[[#This Row],[Clicks]]&gt;=$B$7,Table4[[#This Row],[Sales]]&lt;=$B$6),"Poor Monetization","Normal Monitization")</f>
        <v>Normal Monitization</v>
      </c>
    </row>
    <row r="733" spans="1:20" x14ac:dyDescent="0.35">
      <c r="A733" s="41" t="s">
        <v>99</v>
      </c>
      <c r="B733" s="41" t="s">
        <v>35</v>
      </c>
      <c r="C733" s="41" t="s">
        <v>69</v>
      </c>
      <c r="D733" s="41" t="s">
        <v>59</v>
      </c>
      <c r="E733" s="41" t="s">
        <v>22</v>
      </c>
      <c r="F733" s="41">
        <v>3335.84</v>
      </c>
      <c r="G733" s="41">
        <v>857311</v>
      </c>
      <c r="H733" s="41">
        <v>1674</v>
      </c>
      <c r="I733" s="41">
        <v>150170.04</v>
      </c>
      <c r="J733" s="41">
        <v>46</v>
      </c>
      <c r="K733" s="42">
        <f t="shared" si="56"/>
        <v>1.9526169616393583E-3</v>
      </c>
      <c r="L733" s="43">
        <f t="shared" si="57"/>
        <v>45.017159096359535</v>
      </c>
      <c r="M733" s="43">
        <f t="shared" si="58"/>
        <v>44.017159096359542</v>
      </c>
      <c r="N733" s="43">
        <f t="shared" si="59"/>
        <v>89.707311827957</v>
      </c>
      <c r="O733" s="1" t="str">
        <f t="shared" si="55"/>
        <v>Normal</v>
      </c>
      <c r="P733" s="51" t="str">
        <f>IF(Table4[[#This Row],[Sales]]&lt;=$B$3,"Normal","High Revenue")</f>
        <v>Normal</v>
      </c>
      <c r="Q733" s="51" t="str">
        <f>IF(Table4[[#This Row],[CTR]]&lt;=$B$4,"Normal","High CTR")</f>
        <v>Normal</v>
      </c>
      <c r="R733" s="51" t="str">
        <f>IF(Table4[[#This Row],[ROAS]]&lt;1,"Poor",IF(Table4[[#This Row],[ROAS]]&lt;3,"Average",IF(Table4[[#This Row],[ROAS]]&lt;5,"Good",
"Excellent")))</f>
        <v>Excellent</v>
      </c>
      <c r="S733" s="51" t="str">
        <f>IF(AND(Table4[[#This Row],[USD_Spend]]&gt;=$B$5,Table4[[#This Row],[Sales]]&lt;=$B$6),"Wasted Budget","Spend Justified")</f>
        <v>Spend Justified</v>
      </c>
      <c r="T733" s="51" t="str">
        <f>IF(AND(Table4[[#This Row],[Clicks]]&gt;=$B$7,Table4[[#This Row],[Sales]]&lt;=$B$6),"Poor Monetization","Normal Monitization")</f>
        <v>Normal Monitization</v>
      </c>
    </row>
    <row r="734" spans="1:20" x14ac:dyDescent="0.35">
      <c r="A734" s="38" t="s">
        <v>100</v>
      </c>
      <c r="B734" s="38" t="s">
        <v>35</v>
      </c>
      <c r="C734" s="38" t="s">
        <v>36</v>
      </c>
      <c r="D734" s="38" t="s">
        <v>59</v>
      </c>
      <c r="E734" s="38" t="s">
        <v>22</v>
      </c>
      <c r="F734" s="38">
        <v>1927.17</v>
      </c>
      <c r="G734" s="38">
        <v>840116</v>
      </c>
      <c r="H734" s="38">
        <v>7069</v>
      </c>
      <c r="I734" s="38">
        <v>137880.69</v>
      </c>
      <c r="J734" s="38">
        <v>44</v>
      </c>
      <c r="K734" s="39">
        <f t="shared" si="56"/>
        <v>8.4143142137514341E-3</v>
      </c>
      <c r="L734" s="40">
        <f t="shared" si="57"/>
        <v>71.545680972617873</v>
      </c>
      <c r="M734" s="40">
        <f t="shared" si="58"/>
        <v>70.545680972617873</v>
      </c>
      <c r="N734" s="40">
        <f t="shared" si="59"/>
        <v>19.504978073277691</v>
      </c>
      <c r="O734" s="1" t="str">
        <f t="shared" si="55"/>
        <v>Normal</v>
      </c>
      <c r="P734" s="51" t="str">
        <f>IF(Table4[[#This Row],[Sales]]&lt;=$B$3,"Normal","High Revenue")</f>
        <v>Normal</v>
      </c>
      <c r="Q734" s="51" t="str">
        <f>IF(Table4[[#This Row],[CTR]]&lt;=$B$4,"Normal","High CTR")</f>
        <v>Normal</v>
      </c>
      <c r="R734" s="51" t="str">
        <f>IF(Table4[[#This Row],[ROAS]]&lt;1,"Poor",IF(Table4[[#This Row],[ROAS]]&lt;3,"Average",IF(Table4[[#This Row],[ROAS]]&lt;5,"Good",
"Excellent")))</f>
        <v>Excellent</v>
      </c>
      <c r="S734" s="51" t="str">
        <f>IF(AND(Table4[[#This Row],[USD_Spend]]&gt;=$B$5,Table4[[#This Row],[Sales]]&lt;=$B$6),"Wasted Budget","Spend Justified")</f>
        <v>Spend Justified</v>
      </c>
      <c r="T734" s="51" t="str">
        <f>IF(AND(Table4[[#This Row],[Clicks]]&gt;=$B$7,Table4[[#This Row],[Sales]]&lt;=$B$6),"Poor Monetization","Normal Monitization")</f>
        <v>Normal Monitization</v>
      </c>
    </row>
    <row r="735" spans="1:20" x14ac:dyDescent="0.35">
      <c r="A735" s="41" t="s">
        <v>79</v>
      </c>
      <c r="B735" s="41" t="s">
        <v>35</v>
      </c>
      <c r="C735" s="41" t="s">
        <v>20</v>
      </c>
      <c r="D735" s="41" t="s">
        <v>21</v>
      </c>
      <c r="E735" s="41" t="s">
        <v>38</v>
      </c>
      <c r="F735" s="41">
        <v>15649.78</v>
      </c>
      <c r="G735" s="41">
        <v>870623</v>
      </c>
      <c r="H735" s="41">
        <v>28029</v>
      </c>
      <c r="I735" s="41">
        <v>148194.75</v>
      </c>
      <c r="J735" s="41">
        <v>6</v>
      </c>
      <c r="K735" s="42">
        <f t="shared" si="56"/>
        <v>3.2194187380760672E-2</v>
      </c>
      <c r="L735" s="43">
        <f t="shared" si="57"/>
        <v>9.4694462158573476</v>
      </c>
      <c r="M735" s="43">
        <f t="shared" si="58"/>
        <v>8.4694462158573476</v>
      </c>
      <c r="N735" s="43">
        <f t="shared" si="59"/>
        <v>5.2871936208926469</v>
      </c>
      <c r="O735" s="1" t="str">
        <f t="shared" si="55"/>
        <v>Normal</v>
      </c>
      <c r="P735" s="51" t="str">
        <f>IF(Table4[[#This Row],[Sales]]&lt;=$B$3,"Normal","High Revenue")</f>
        <v>Normal</v>
      </c>
      <c r="Q735" s="51" t="str">
        <f>IF(Table4[[#This Row],[CTR]]&lt;=$B$4,"Normal","High CTR")</f>
        <v>Normal</v>
      </c>
      <c r="R735" s="51" t="str">
        <f>IF(Table4[[#This Row],[ROAS]]&lt;1,"Poor",IF(Table4[[#This Row],[ROAS]]&lt;3,"Average",IF(Table4[[#This Row],[ROAS]]&lt;5,"Good",
"Excellent")))</f>
        <v>Excellent</v>
      </c>
      <c r="S735" s="51" t="str">
        <f>IF(AND(Table4[[#This Row],[USD_Spend]]&gt;=$B$5,Table4[[#This Row],[Sales]]&lt;=$B$6),"Wasted Budget","Spend Justified")</f>
        <v>Spend Justified</v>
      </c>
      <c r="T735" s="51" t="str">
        <f>IF(AND(Table4[[#This Row],[Clicks]]&gt;=$B$7,Table4[[#This Row],[Sales]]&lt;=$B$6),"Poor Monetization","Normal Monitization")</f>
        <v>Normal Monitization</v>
      </c>
    </row>
    <row r="736" spans="1:20" x14ac:dyDescent="0.35">
      <c r="A736" s="38" t="s">
        <v>119</v>
      </c>
      <c r="B736" s="38" t="s">
        <v>28</v>
      </c>
      <c r="C736" s="38" t="s">
        <v>36</v>
      </c>
      <c r="D736" s="38" t="s">
        <v>59</v>
      </c>
      <c r="E736" s="38" t="s">
        <v>30</v>
      </c>
      <c r="F736" s="38">
        <v>47782.19</v>
      </c>
      <c r="G736" s="38">
        <v>174660</v>
      </c>
      <c r="H736" s="38">
        <v>47833</v>
      </c>
      <c r="I736" s="38">
        <v>76570.13</v>
      </c>
      <c r="J736" s="38">
        <v>13</v>
      </c>
      <c r="K736" s="39">
        <f t="shared" si="56"/>
        <v>0.27386350624069622</v>
      </c>
      <c r="L736" s="40">
        <f t="shared" si="57"/>
        <v>1.6024826404984787</v>
      </c>
      <c r="M736" s="40">
        <f t="shared" si="58"/>
        <v>0.60248264049847866</v>
      </c>
      <c r="N736" s="40">
        <f t="shared" si="59"/>
        <v>1.6007804235569587</v>
      </c>
      <c r="O736" s="1" t="str">
        <f t="shared" si="55"/>
        <v>High Spend</v>
      </c>
      <c r="P736" s="51" t="str">
        <f>IF(Table4[[#This Row],[Sales]]&lt;=$B$3,"Normal","High Revenue")</f>
        <v>Normal</v>
      </c>
      <c r="Q736" s="51" t="str">
        <f>IF(Table4[[#This Row],[CTR]]&lt;=$B$4,"Normal","High CTR")</f>
        <v>Normal</v>
      </c>
      <c r="R736" s="51" t="str">
        <f>IF(Table4[[#This Row],[ROAS]]&lt;1,"Poor",IF(Table4[[#This Row],[ROAS]]&lt;3,"Average",IF(Table4[[#This Row],[ROAS]]&lt;5,"Good",
"Excellent")))</f>
        <v>Average</v>
      </c>
      <c r="S736" s="51" t="str">
        <f>IF(AND(Table4[[#This Row],[USD_Spend]]&gt;=$B$5,Table4[[#This Row],[Sales]]&lt;=$B$6),"Wasted Budget","Spend Justified")</f>
        <v>Spend Justified</v>
      </c>
      <c r="T736" s="51" t="str">
        <f>IF(AND(Table4[[#This Row],[Clicks]]&gt;=$B$7,Table4[[#This Row],[Sales]]&lt;=$B$6),"Poor Monetization","Normal Monitization")</f>
        <v>Normal Monitization</v>
      </c>
    </row>
    <row r="737" spans="1:20" x14ac:dyDescent="0.35">
      <c r="A737" s="41" t="s">
        <v>94</v>
      </c>
      <c r="B737" s="41" t="s">
        <v>19</v>
      </c>
      <c r="C737" s="41" t="s">
        <v>58</v>
      </c>
      <c r="D737" s="41" t="s">
        <v>59</v>
      </c>
      <c r="E737" s="41" t="s">
        <v>30</v>
      </c>
      <c r="F737" s="41">
        <v>55207.65</v>
      </c>
      <c r="G737" s="41">
        <v>793041</v>
      </c>
      <c r="H737" s="41">
        <v>6023</v>
      </c>
      <c r="I737" s="41">
        <v>111323.01</v>
      </c>
      <c r="J737" s="41">
        <v>49</v>
      </c>
      <c r="K737" s="42">
        <f t="shared" si="56"/>
        <v>7.5948154004647928E-3</v>
      </c>
      <c r="L737" s="43">
        <f t="shared" si="57"/>
        <v>2.0164417431279902</v>
      </c>
      <c r="M737" s="43">
        <f t="shared" si="58"/>
        <v>1.0164417431279902</v>
      </c>
      <c r="N737" s="43">
        <f t="shared" si="59"/>
        <v>18.482983563008467</v>
      </c>
      <c r="O737" s="1" t="str">
        <f t="shared" si="55"/>
        <v>High Spend</v>
      </c>
      <c r="P737" s="51" t="str">
        <f>IF(Table4[[#This Row],[Sales]]&lt;=$B$3,"Normal","High Revenue")</f>
        <v>Normal</v>
      </c>
      <c r="Q737" s="51" t="str">
        <f>IF(Table4[[#This Row],[CTR]]&lt;=$B$4,"Normal","High CTR")</f>
        <v>Normal</v>
      </c>
      <c r="R737" s="51" t="str">
        <f>IF(Table4[[#This Row],[ROAS]]&lt;1,"Poor",IF(Table4[[#This Row],[ROAS]]&lt;3,"Average",IF(Table4[[#This Row],[ROAS]]&lt;5,"Good",
"Excellent")))</f>
        <v>Average</v>
      </c>
      <c r="S737" s="51" t="str">
        <f>IF(AND(Table4[[#This Row],[USD_Spend]]&gt;=$B$5,Table4[[#This Row],[Sales]]&lt;=$B$6),"Wasted Budget","Spend Justified")</f>
        <v>Spend Justified</v>
      </c>
      <c r="T737" s="51" t="str">
        <f>IF(AND(Table4[[#This Row],[Clicks]]&gt;=$B$7,Table4[[#This Row],[Sales]]&lt;=$B$6),"Poor Monetization","Normal Monitization")</f>
        <v>Normal Monitization</v>
      </c>
    </row>
    <row r="738" spans="1:20" x14ac:dyDescent="0.35">
      <c r="A738" s="38" t="s">
        <v>72</v>
      </c>
      <c r="B738" s="38" t="s">
        <v>48</v>
      </c>
      <c r="C738" s="38" t="s">
        <v>36</v>
      </c>
      <c r="D738" s="38" t="s">
        <v>43</v>
      </c>
      <c r="E738" s="38" t="s">
        <v>30</v>
      </c>
      <c r="F738" s="38">
        <v>542.9</v>
      </c>
      <c r="G738" s="38">
        <v>132292</v>
      </c>
      <c r="H738" s="38">
        <v>5515</v>
      </c>
      <c r="I738" s="38">
        <v>34902.629999999997</v>
      </c>
      <c r="J738" s="38">
        <v>47</v>
      </c>
      <c r="K738" s="39">
        <f t="shared" si="56"/>
        <v>4.1688083935536538E-2</v>
      </c>
      <c r="L738" s="40">
        <f t="shared" si="57"/>
        <v>64.289242954503592</v>
      </c>
      <c r="M738" s="40">
        <f t="shared" si="58"/>
        <v>63.289242954503585</v>
      </c>
      <c r="N738" s="40">
        <f t="shared" si="59"/>
        <v>6.3286727107887577</v>
      </c>
      <c r="O738" s="1" t="str">
        <f t="shared" si="55"/>
        <v>Normal</v>
      </c>
      <c r="P738" s="51" t="str">
        <f>IF(Table4[[#This Row],[Sales]]&lt;=$B$3,"Normal","High Revenue")</f>
        <v>Normal</v>
      </c>
      <c r="Q738" s="51" t="str">
        <f>IF(Table4[[#This Row],[CTR]]&lt;=$B$4,"Normal","High CTR")</f>
        <v>Normal</v>
      </c>
      <c r="R738" s="51" t="str">
        <f>IF(Table4[[#This Row],[ROAS]]&lt;1,"Poor",IF(Table4[[#This Row],[ROAS]]&lt;3,"Average",IF(Table4[[#This Row],[ROAS]]&lt;5,"Good",
"Excellent")))</f>
        <v>Excellent</v>
      </c>
      <c r="S738" s="51" t="str">
        <f>IF(AND(Table4[[#This Row],[USD_Spend]]&gt;=$B$5,Table4[[#This Row],[Sales]]&lt;=$B$6),"Wasted Budget","Spend Justified")</f>
        <v>Spend Justified</v>
      </c>
      <c r="T738" s="51" t="str">
        <f>IF(AND(Table4[[#This Row],[Clicks]]&gt;=$B$7,Table4[[#This Row],[Sales]]&lt;=$B$6),"Poor Monetization","Normal Monitization")</f>
        <v>Normal Monitization</v>
      </c>
    </row>
    <row r="739" spans="1:20" x14ac:dyDescent="0.35">
      <c r="A739" s="41" t="s">
        <v>112</v>
      </c>
      <c r="B739" s="41" t="s">
        <v>48</v>
      </c>
      <c r="C739" s="41" t="s">
        <v>20</v>
      </c>
      <c r="D739" s="41" t="s">
        <v>21</v>
      </c>
      <c r="E739" s="41" t="s">
        <v>22</v>
      </c>
      <c r="F739" s="41">
        <v>25241.31</v>
      </c>
      <c r="G739" s="41">
        <v>315420</v>
      </c>
      <c r="H739" s="41">
        <v>28230</v>
      </c>
      <c r="I739" s="41">
        <v>5383.26</v>
      </c>
      <c r="J739" s="41">
        <v>38</v>
      </c>
      <c r="K739" s="42">
        <f t="shared" si="56"/>
        <v>8.9499714666159413E-2</v>
      </c>
      <c r="L739" s="43">
        <f t="shared" si="57"/>
        <v>0.21327181513162352</v>
      </c>
      <c r="M739" s="43">
        <f t="shared" si="58"/>
        <v>-0.78672818486837659</v>
      </c>
      <c r="N739" s="43">
        <f t="shared" si="59"/>
        <v>0.19069287991498407</v>
      </c>
      <c r="O739" s="1" t="str">
        <f t="shared" si="55"/>
        <v>Normal</v>
      </c>
      <c r="P739" s="51" t="str">
        <f>IF(Table4[[#This Row],[Sales]]&lt;=$B$3,"Normal","High Revenue")</f>
        <v>Normal</v>
      </c>
      <c r="Q739" s="51" t="str">
        <f>IF(Table4[[#This Row],[CTR]]&lt;=$B$4,"Normal","High CTR")</f>
        <v>Normal</v>
      </c>
      <c r="R739" s="51" t="str">
        <f>IF(Table4[[#This Row],[ROAS]]&lt;1,"Poor",IF(Table4[[#This Row],[ROAS]]&lt;3,"Average",IF(Table4[[#This Row],[ROAS]]&lt;5,"Good",
"Excellent")))</f>
        <v>Poor</v>
      </c>
      <c r="S739" s="51" t="str">
        <f>IF(AND(Table4[[#This Row],[USD_Spend]]&gt;=$B$5,Table4[[#This Row],[Sales]]&lt;=$B$6),"Wasted Budget","Spend Justified")</f>
        <v>Wasted Budget</v>
      </c>
      <c r="T739" s="51" t="str">
        <f>IF(AND(Table4[[#This Row],[Clicks]]&gt;=$B$7,Table4[[#This Row],[Sales]]&lt;=$B$6),"Poor Monetization","Normal Monitization")</f>
        <v>Normal Monitization</v>
      </c>
    </row>
    <row r="740" spans="1:20" x14ac:dyDescent="0.35">
      <c r="A740" s="38" t="s">
        <v>62</v>
      </c>
      <c r="B740" s="38" t="s">
        <v>28</v>
      </c>
      <c r="C740" s="38" t="s">
        <v>58</v>
      </c>
      <c r="D740" s="38" t="s">
        <v>51</v>
      </c>
      <c r="E740" s="38" t="s">
        <v>30</v>
      </c>
      <c r="F740" s="38">
        <v>50972.45</v>
      </c>
      <c r="G740" s="38">
        <v>781555</v>
      </c>
      <c r="H740" s="38">
        <v>21433</v>
      </c>
      <c r="I740" s="38">
        <v>171092.71</v>
      </c>
      <c r="J740" s="38">
        <v>29</v>
      </c>
      <c r="K740" s="39">
        <f t="shared" si="56"/>
        <v>2.7423533852384028E-2</v>
      </c>
      <c r="L740" s="40">
        <f t="shared" si="57"/>
        <v>3.3565722267617115</v>
      </c>
      <c r="M740" s="40">
        <f t="shared" si="58"/>
        <v>2.3565722267617115</v>
      </c>
      <c r="N740" s="40">
        <f t="shared" si="59"/>
        <v>7.982676713479214</v>
      </c>
      <c r="O740" s="1" t="str">
        <f t="shared" si="55"/>
        <v>High Spend</v>
      </c>
      <c r="P740" s="51" t="str">
        <f>IF(Table4[[#This Row],[Sales]]&lt;=$B$3,"Normal","High Revenue")</f>
        <v>Normal</v>
      </c>
      <c r="Q740" s="51" t="str">
        <f>IF(Table4[[#This Row],[CTR]]&lt;=$B$4,"Normal","High CTR")</f>
        <v>Normal</v>
      </c>
      <c r="R740" s="51" t="str">
        <f>IF(Table4[[#This Row],[ROAS]]&lt;1,"Poor",IF(Table4[[#This Row],[ROAS]]&lt;3,"Average",IF(Table4[[#This Row],[ROAS]]&lt;5,"Good",
"Excellent")))</f>
        <v>Good</v>
      </c>
      <c r="S740" s="51" t="str">
        <f>IF(AND(Table4[[#This Row],[USD_Spend]]&gt;=$B$5,Table4[[#This Row],[Sales]]&lt;=$B$6),"Wasted Budget","Spend Justified")</f>
        <v>Spend Justified</v>
      </c>
      <c r="T740" s="51" t="str">
        <f>IF(AND(Table4[[#This Row],[Clicks]]&gt;=$B$7,Table4[[#This Row],[Sales]]&lt;=$B$6),"Poor Monetization","Normal Monitization")</f>
        <v>Normal Monitization</v>
      </c>
    </row>
    <row r="741" spans="1:20" x14ac:dyDescent="0.35">
      <c r="A741" s="41" t="s">
        <v>101</v>
      </c>
      <c r="B741" s="41" t="s">
        <v>48</v>
      </c>
      <c r="C741" s="41" t="s">
        <v>69</v>
      </c>
      <c r="D741" s="41" t="s">
        <v>43</v>
      </c>
      <c r="E741" s="41" t="s">
        <v>30</v>
      </c>
      <c r="F741" s="41">
        <v>2379.13</v>
      </c>
      <c r="G741" s="41">
        <v>559855</v>
      </c>
      <c r="H741" s="41">
        <v>2798</v>
      </c>
      <c r="I741" s="41">
        <v>83232.55</v>
      </c>
      <c r="J741" s="41">
        <v>55</v>
      </c>
      <c r="K741" s="42">
        <f t="shared" si="56"/>
        <v>4.9977226246081573E-3</v>
      </c>
      <c r="L741" s="43">
        <f t="shared" si="57"/>
        <v>34.984448096573118</v>
      </c>
      <c r="M741" s="43">
        <f t="shared" si="58"/>
        <v>33.984448096573118</v>
      </c>
      <c r="N741" s="43">
        <f t="shared" si="59"/>
        <v>29.747158684774842</v>
      </c>
      <c r="O741" s="1" t="str">
        <f t="shared" si="55"/>
        <v>Normal</v>
      </c>
      <c r="P741" s="51" t="str">
        <f>IF(Table4[[#This Row],[Sales]]&lt;=$B$3,"Normal","High Revenue")</f>
        <v>Normal</v>
      </c>
      <c r="Q741" s="51" t="str">
        <f>IF(Table4[[#This Row],[CTR]]&lt;=$B$4,"Normal","High CTR")</f>
        <v>Normal</v>
      </c>
      <c r="R741" s="51" t="str">
        <f>IF(Table4[[#This Row],[ROAS]]&lt;1,"Poor",IF(Table4[[#This Row],[ROAS]]&lt;3,"Average",IF(Table4[[#This Row],[ROAS]]&lt;5,"Good",
"Excellent")))</f>
        <v>Excellent</v>
      </c>
      <c r="S741" s="51" t="str">
        <f>IF(AND(Table4[[#This Row],[USD_Spend]]&gt;=$B$5,Table4[[#This Row],[Sales]]&lt;=$B$6),"Wasted Budget","Spend Justified")</f>
        <v>Spend Justified</v>
      </c>
      <c r="T741" s="51" t="str">
        <f>IF(AND(Table4[[#This Row],[Clicks]]&gt;=$B$7,Table4[[#This Row],[Sales]]&lt;=$B$6),"Poor Monetization","Normal Monitization")</f>
        <v>Normal Monitization</v>
      </c>
    </row>
    <row r="742" spans="1:20" x14ac:dyDescent="0.35">
      <c r="A742" s="38" t="s">
        <v>27</v>
      </c>
      <c r="B742" s="38" t="s">
        <v>48</v>
      </c>
      <c r="C742" s="38" t="s">
        <v>58</v>
      </c>
      <c r="D742" s="38" t="s">
        <v>63</v>
      </c>
      <c r="E742" s="38" t="s">
        <v>30</v>
      </c>
      <c r="F742" s="38">
        <v>9071.64</v>
      </c>
      <c r="G742" s="38">
        <v>694219</v>
      </c>
      <c r="H742" s="38">
        <v>14632</v>
      </c>
      <c r="I742" s="38">
        <v>77746.009999999995</v>
      </c>
      <c r="J742" s="38">
        <v>46</v>
      </c>
      <c r="K742" s="39">
        <f t="shared" si="56"/>
        <v>2.1076922412091862E-2</v>
      </c>
      <c r="L742" s="40">
        <f t="shared" si="57"/>
        <v>8.5702265522000438</v>
      </c>
      <c r="M742" s="40">
        <f t="shared" si="58"/>
        <v>7.5702265522000429</v>
      </c>
      <c r="N742" s="40">
        <f t="shared" si="59"/>
        <v>5.3134233187534168</v>
      </c>
      <c r="O742" s="1" t="str">
        <f t="shared" si="55"/>
        <v>Normal</v>
      </c>
      <c r="P742" s="51" t="str">
        <f>IF(Table4[[#This Row],[Sales]]&lt;=$B$3,"Normal","High Revenue")</f>
        <v>Normal</v>
      </c>
      <c r="Q742" s="51" t="str">
        <f>IF(Table4[[#This Row],[CTR]]&lt;=$B$4,"Normal","High CTR")</f>
        <v>Normal</v>
      </c>
      <c r="R742" s="51" t="str">
        <f>IF(Table4[[#This Row],[ROAS]]&lt;1,"Poor",IF(Table4[[#This Row],[ROAS]]&lt;3,"Average",IF(Table4[[#This Row],[ROAS]]&lt;5,"Good",
"Excellent")))</f>
        <v>Excellent</v>
      </c>
      <c r="S742" s="51" t="str">
        <f>IF(AND(Table4[[#This Row],[USD_Spend]]&gt;=$B$5,Table4[[#This Row],[Sales]]&lt;=$B$6),"Wasted Budget","Spend Justified")</f>
        <v>Spend Justified</v>
      </c>
      <c r="T742" s="51" t="str">
        <f>IF(AND(Table4[[#This Row],[Clicks]]&gt;=$B$7,Table4[[#This Row],[Sales]]&lt;=$B$6),"Poor Monetization","Normal Monitization")</f>
        <v>Normal Monitization</v>
      </c>
    </row>
    <row r="743" spans="1:20" x14ac:dyDescent="0.35">
      <c r="A743" s="41" t="s">
        <v>68</v>
      </c>
      <c r="B743" s="41" t="s">
        <v>48</v>
      </c>
      <c r="C743" s="41" t="s">
        <v>58</v>
      </c>
      <c r="D743" s="41" t="s">
        <v>63</v>
      </c>
      <c r="E743" s="41" t="s">
        <v>38</v>
      </c>
      <c r="F743" s="41">
        <v>35926.769999999997</v>
      </c>
      <c r="G743" s="41">
        <v>844328</v>
      </c>
      <c r="H743" s="41">
        <v>35124</v>
      </c>
      <c r="I743" s="41">
        <v>102440.39</v>
      </c>
      <c r="J743" s="41">
        <v>48</v>
      </c>
      <c r="K743" s="42">
        <f t="shared" si="56"/>
        <v>4.1599946940051737E-2</v>
      </c>
      <c r="L743" s="43">
        <f t="shared" si="57"/>
        <v>2.8513665436664639</v>
      </c>
      <c r="M743" s="43">
        <f t="shared" si="58"/>
        <v>1.8513665436664637</v>
      </c>
      <c r="N743" s="43">
        <f t="shared" si="59"/>
        <v>2.9165354173784306</v>
      </c>
      <c r="O743" s="1" t="str">
        <f t="shared" si="55"/>
        <v>Normal</v>
      </c>
      <c r="P743" s="51" t="str">
        <f>IF(Table4[[#This Row],[Sales]]&lt;=$B$3,"Normal","High Revenue")</f>
        <v>Normal</v>
      </c>
      <c r="Q743" s="51" t="str">
        <f>IF(Table4[[#This Row],[CTR]]&lt;=$B$4,"Normal","High CTR")</f>
        <v>Normal</v>
      </c>
      <c r="R743" s="51" t="str">
        <f>IF(Table4[[#This Row],[ROAS]]&lt;1,"Poor",IF(Table4[[#This Row],[ROAS]]&lt;3,"Average",IF(Table4[[#This Row],[ROAS]]&lt;5,"Good",
"Excellent")))</f>
        <v>Average</v>
      </c>
      <c r="S743" s="51" t="str">
        <f>IF(AND(Table4[[#This Row],[USD_Spend]]&gt;=$B$5,Table4[[#This Row],[Sales]]&lt;=$B$6),"Wasted Budget","Spend Justified")</f>
        <v>Spend Justified</v>
      </c>
      <c r="T743" s="51" t="str">
        <f>IF(AND(Table4[[#This Row],[Clicks]]&gt;=$B$7,Table4[[#This Row],[Sales]]&lt;=$B$6),"Poor Monetization","Normal Monitization")</f>
        <v>Normal Monitization</v>
      </c>
    </row>
    <row r="744" spans="1:20" x14ac:dyDescent="0.35">
      <c r="A744" s="38" t="s">
        <v>95</v>
      </c>
      <c r="B744" s="38" t="s">
        <v>48</v>
      </c>
      <c r="C744" s="38" t="s">
        <v>36</v>
      </c>
      <c r="D744" s="38" t="s">
        <v>43</v>
      </c>
      <c r="E744" s="38" t="s">
        <v>22</v>
      </c>
      <c r="F744" s="38">
        <v>1209.51</v>
      </c>
      <c r="G744" s="38">
        <v>679983</v>
      </c>
      <c r="H744" s="38">
        <v>5134</v>
      </c>
      <c r="I744" s="38">
        <v>130897.29</v>
      </c>
      <c r="J744" s="38">
        <v>28</v>
      </c>
      <c r="K744" s="39">
        <f t="shared" si="56"/>
        <v>7.5501887547188683E-3</v>
      </c>
      <c r="L744" s="40">
        <f t="shared" si="57"/>
        <v>108.22340451918545</v>
      </c>
      <c r="M744" s="40">
        <f t="shared" si="58"/>
        <v>107.22340451918545</v>
      </c>
      <c r="N744" s="40">
        <f t="shared" si="59"/>
        <v>25.496160888196336</v>
      </c>
      <c r="O744" s="1" t="str">
        <f t="shared" si="55"/>
        <v>Normal</v>
      </c>
      <c r="P744" s="51" t="str">
        <f>IF(Table4[[#This Row],[Sales]]&lt;=$B$3,"Normal","High Revenue")</f>
        <v>Normal</v>
      </c>
      <c r="Q744" s="51" t="str">
        <f>IF(Table4[[#This Row],[CTR]]&lt;=$B$4,"Normal","High CTR")</f>
        <v>Normal</v>
      </c>
      <c r="R744" s="51" t="str">
        <f>IF(Table4[[#This Row],[ROAS]]&lt;1,"Poor",IF(Table4[[#This Row],[ROAS]]&lt;3,"Average",IF(Table4[[#This Row],[ROAS]]&lt;5,"Good",
"Excellent")))</f>
        <v>Excellent</v>
      </c>
      <c r="S744" s="51" t="str">
        <f>IF(AND(Table4[[#This Row],[USD_Spend]]&gt;=$B$5,Table4[[#This Row],[Sales]]&lt;=$B$6),"Wasted Budget","Spend Justified")</f>
        <v>Spend Justified</v>
      </c>
      <c r="T744" s="51" t="str">
        <f>IF(AND(Table4[[#This Row],[Clicks]]&gt;=$B$7,Table4[[#This Row],[Sales]]&lt;=$B$6),"Poor Monetization","Normal Monitization")</f>
        <v>Normal Monitization</v>
      </c>
    </row>
    <row r="745" spans="1:20" x14ac:dyDescent="0.35">
      <c r="A745" s="41" t="s">
        <v>106</v>
      </c>
      <c r="B745" s="41" t="s">
        <v>19</v>
      </c>
      <c r="C745" s="41" t="s">
        <v>36</v>
      </c>
      <c r="D745" s="41" t="s">
        <v>63</v>
      </c>
      <c r="E745" s="41" t="s">
        <v>38</v>
      </c>
      <c r="F745" s="41">
        <v>25657.43</v>
      </c>
      <c r="G745" s="41">
        <v>765948</v>
      </c>
      <c r="H745" s="41">
        <v>43300</v>
      </c>
      <c r="I745" s="41">
        <v>171809.5</v>
      </c>
      <c r="J745" s="41">
        <v>18</v>
      </c>
      <c r="K745" s="42">
        <f t="shared" si="56"/>
        <v>5.653125277433977E-2</v>
      </c>
      <c r="L745" s="43">
        <f t="shared" si="57"/>
        <v>6.696286416839099</v>
      </c>
      <c r="M745" s="43">
        <f t="shared" si="58"/>
        <v>5.696286416839099</v>
      </c>
      <c r="N745" s="43">
        <f t="shared" si="59"/>
        <v>3.9678868360277137</v>
      </c>
      <c r="O745" s="1" t="str">
        <f t="shared" si="55"/>
        <v>Normal</v>
      </c>
      <c r="P745" s="51" t="str">
        <f>IF(Table4[[#This Row],[Sales]]&lt;=$B$3,"Normal","High Revenue")</f>
        <v>Normal</v>
      </c>
      <c r="Q745" s="51" t="str">
        <f>IF(Table4[[#This Row],[CTR]]&lt;=$B$4,"Normal","High CTR")</f>
        <v>Normal</v>
      </c>
      <c r="R745" s="51" t="str">
        <f>IF(Table4[[#This Row],[ROAS]]&lt;1,"Poor",IF(Table4[[#This Row],[ROAS]]&lt;3,"Average",IF(Table4[[#This Row],[ROAS]]&lt;5,"Good",
"Excellent")))</f>
        <v>Excellent</v>
      </c>
      <c r="S745" s="51" t="str">
        <f>IF(AND(Table4[[#This Row],[USD_Spend]]&gt;=$B$5,Table4[[#This Row],[Sales]]&lt;=$B$6),"Wasted Budget","Spend Justified")</f>
        <v>Spend Justified</v>
      </c>
      <c r="T745" s="51" t="str">
        <f>IF(AND(Table4[[#This Row],[Clicks]]&gt;=$B$7,Table4[[#This Row],[Sales]]&lt;=$B$6),"Poor Monetization","Normal Monitization")</f>
        <v>Normal Monitization</v>
      </c>
    </row>
    <row r="746" spans="1:20" x14ac:dyDescent="0.35">
      <c r="A746" s="38" t="s">
        <v>107</v>
      </c>
      <c r="B746" s="38" t="s">
        <v>35</v>
      </c>
      <c r="C746" s="38" t="s">
        <v>36</v>
      </c>
      <c r="D746" s="38" t="s">
        <v>21</v>
      </c>
      <c r="E746" s="38" t="s">
        <v>22</v>
      </c>
      <c r="F746" s="38">
        <v>14029.46</v>
      </c>
      <c r="G746" s="38">
        <v>617723</v>
      </c>
      <c r="H746" s="38">
        <v>5313</v>
      </c>
      <c r="I746" s="38">
        <v>72729.19</v>
      </c>
      <c r="J746" s="38">
        <v>60</v>
      </c>
      <c r="K746" s="39">
        <f t="shared" si="56"/>
        <v>8.6009424936419714E-3</v>
      </c>
      <c r="L746" s="40">
        <f t="shared" si="57"/>
        <v>5.1840334553147454</v>
      </c>
      <c r="M746" s="40">
        <f t="shared" si="58"/>
        <v>4.1840334553147454</v>
      </c>
      <c r="N746" s="40">
        <f t="shared" si="59"/>
        <v>13.688912102390363</v>
      </c>
      <c r="O746" s="1" t="str">
        <f t="shared" si="55"/>
        <v>Normal</v>
      </c>
      <c r="P746" s="51" t="str">
        <f>IF(Table4[[#This Row],[Sales]]&lt;=$B$3,"Normal","High Revenue")</f>
        <v>Normal</v>
      </c>
      <c r="Q746" s="51" t="str">
        <f>IF(Table4[[#This Row],[CTR]]&lt;=$B$4,"Normal","High CTR")</f>
        <v>Normal</v>
      </c>
      <c r="R746" s="51" t="str">
        <f>IF(Table4[[#This Row],[ROAS]]&lt;1,"Poor",IF(Table4[[#This Row],[ROAS]]&lt;3,"Average",IF(Table4[[#This Row],[ROAS]]&lt;5,"Good",
"Excellent")))</f>
        <v>Excellent</v>
      </c>
      <c r="S746" s="51" t="str">
        <f>IF(AND(Table4[[#This Row],[USD_Spend]]&gt;=$B$5,Table4[[#This Row],[Sales]]&lt;=$B$6),"Wasted Budget","Spend Justified")</f>
        <v>Spend Justified</v>
      </c>
      <c r="T746" s="51" t="str">
        <f>IF(AND(Table4[[#This Row],[Clicks]]&gt;=$B$7,Table4[[#This Row],[Sales]]&lt;=$B$6),"Poor Monetization","Normal Monitization")</f>
        <v>Normal Monitization</v>
      </c>
    </row>
    <row r="747" spans="1:20" x14ac:dyDescent="0.35">
      <c r="A747" s="41" t="s">
        <v>81</v>
      </c>
      <c r="B747" s="41" t="s">
        <v>35</v>
      </c>
      <c r="C747" s="41" t="s">
        <v>58</v>
      </c>
      <c r="D747" s="41" t="s">
        <v>21</v>
      </c>
      <c r="E747" s="41" t="s">
        <v>30</v>
      </c>
      <c r="F747" s="41">
        <v>19579.169999999998</v>
      </c>
      <c r="G747" s="41">
        <v>198811</v>
      </c>
      <c r="H747" s="41">
        <v>19767</v>
      </c>
      <c r="I747" s="41">
        <v>210969.5</v>
      </c>
      <c r="J747" s="41">
        <v>28</v>
      </c>
      <c r="K747" s="42">
        <f t="shared" si="56"/>
        <v>9.9426088093717155E-2</v>
      </c>
      <c r="L747" s="43">
        <f t="shared" si="57"/>
        <v>10.775201400263649</v>
      </c>
      <c r="M747" s="43">
        <f t="shared" si="58"/>
        <v>9.7752014002636489</v>
      </c>
      <c r="N747" s="43">
        <f t="shared" si="59"/>
        <v>10.672813274649668</v>
      </c>
      <c r="O747" s="1" t="str">
        <f t="shared" si="55"/>
        <v>Normal</v>
      </c>
      <c r="P747" s="51" t="str">
        <f>IF(Table4[[#This Row],[Sales]]&lt;=$B$3,"Normal","High Revenue")</f>
        <v>Normal</v>
      </c>
      <c r="Q747" s="51" t="str">
        <f>IF(Table4[[#This Row],[CTR]]&lt;=$B$4,"Normal","High CTR")</f>
        <v>Normal</v>
      </c>
      <c r="R747" s="51" t="str">
        <f>IF(Table4[[#This Row],[ROAS]]&lt;1,"Poor",IF(Table4[[#This Row],[ROAS]]&lt;3,"Average",IF(Table4[[#This Row],[ROAS]]&lt;5,"Good",
"Excellent")))</f>
        <v>Excellent</v>
      </c>
      <c r="S747" s="51" t="str">
        <f>IF(AND(Table4[[#This Row],[USD_Spend]]&gt;=$B$5,Table4[[#This Row],[Sales]]&lt;=$B$6),"Wasted Budget","Spend Justified")</f>
        <v>Spend Justified</v>
      </c>
      <c r="T747" s="51" t="str">
        <f>IF(AND(Table4[[#This Row],[Clicks]]&gt;=$B$7,Table4[[#This Row],[Sales]]&lt;=$B$6),"Poor Monetization","Normal Monitization")</f>
        <v>Normal Monitization</v>
      </c>
    </row>
    <row r="748" spans="1:20" x14ac:dyDescent="0.35">
      <c r="A748" s="38" t="s">
        <v>114</v>
      </c>
      <c r="B748" s="38" t="s">
        <v>28</v>
      </c>
      <c r="C748" s="38" t="s">
        <v>36</v>
      </c>
      <c r="D748" s="38" t="s">
        <v>37</v>
      </c>
      <c r="E748" s="38" t="s">
        <v>38</v>
      </c>
      <c r="F748" s="38">
        <v>19088.84</v>
      </c>
      <c r="G748" s="38">
        <v>370351</v>
      </c>
      <c r="H748" s="38">
        <v>48987</v>
      </c>
      <c r="I748" s="38">
        <v>102838.75</v>
      </c>
      <c r="J748" s="38">
        <v>50</v>
      </c>
      <c r="K748" s="39">
        <f t="shared" si="56"/>
        <v>0.13227181781607178</v>
      </c>
      <c r="L748" s="40">
        <f t="shared" si="57"/>
        <v>5.3873755555602125</v>
      </c>
      <c r="M748" s="40">
        <f t="shared" si="58"/>
        <v>4.3873755555602125</v>
      </c>
      <c r="N748" s="40">
        <f t="shared" si="59"/>
        <v>2.0993069589891196</v>
      </c>
      <c r="O748" s="1" t="str">
        <f t="shared" si="55"/>
        <v>Normal</v>
      </c>
      <c r="P748" s="51" t="str">
        <f>IF(Table4[[#This Row],[Sales]]&lt;=$B$3,"Normal","High Revenue")</f>
        <v>Normal</v>
      </c>
      <c r="Q748" s="51" t="str">
        <f>IF(Table4[[#This Row],[CTR]]&lt;=$B$4,"Normal","High CTR")</f>
        <v>Normal</v>
      </c>
      <c r="R748" s="51" t="str">
        <f>IF(Table4[[#This Row],[ROAS]]&lt;1,"Poor",IF(Table4[[#This Row],[ROAS]]&lt;3,"Average",IF(Table4[[#This Row],[ROAS]]&lt;5,"Good",
"Excellent")))</f>
        <v>Excellent</v>
      </c>
      <c r="S748" s="51" t="str">
        <f>IF(AND(Table4[[#This Row],[USD_Spend]]&gt;=$B$5,Table4[[#This Row],[Sales]]&lt;=$B$6),"Wasted Budget","Spend Justified")</f>
        <v>Spend Justified</v>
      </c>
      <c r="T748" s="51" t="str">
        <f>IF(AND(Table4[[#This Row],[Clicks]]&gt;=$B$7,Table4[[#This Row],[Sales]]&lt;=$B$6),"Poor Monetization","Normal Monitization")</f>
        <v>Normal Monitization</v>
      </c>
    </row>
    <row r="749" spans="1:20" x14ac:dyDescent="0.35">
      <c r="A749" s="41" t="s">
        <v>18</v>
      </c>
      <c r="B749" s="41" t="s">
        <v>19</v>
      </c>
      <c r="C749" s="41" t="s">
        <v>20</v>
      </c>
      <c r="D749" s="41" t="s">
        <v>21</v>
      </c>
      <c r="E749" s="41" t="s">
        <v>22</v>
      </c>
      <c r="F749" s="41">
        <v>750.67</v>
      </c>
      <c r="G749" s="41">
        <v>244053</v>
      </c>
      <c r="H749" s="41">
        <v>9244</v>
      </c>
      <c r="I749" s="41">
        <v>185435.45</v>
      </c>
      <c r="J749" s="41">
        <v>13</v>
      </c>
      <c r="K749" s="42">
        <f t="shared" si="56"/>
        <v>3.7877018516469782E-2</v>
      </c>
      <c r="L749" s="43">
        <f t="shared" si="57"/>
        <v>247.02658957997525</v>
      </c>
      <c r="M749" s="43">
        <f t="shared" si="58"/>
        <v>246.02658957997522</v>
      </c>
      <c r="N749" s="43">
        <f t="shared" si="59"/>
        <v>20.060087624405021</v>
      </c>
      <c r="O749" s="1" t="str">
        <f t="shared" si="55"/>
        <v>Normal</v>
      </c>
      <c r="P749" s="51" t="str">
        <f>IF(Table4[[#This Row],[Sales]]&lt;=$B$3,"Normal","High Revenue")</f>
        <v>Normal</v>
      </c>
      <c r="Q749" s="51" t="str">
        <f>IF(Table4[[#This Row],[CTR]]&lt;=$B$4,"Normal","High CTR")</f>
        <v>Normal</v>
      </c>
      <c r="R749" s="51" t="str">
        <f>IF(Table4[[#This Row],[ROAS]]&lt;1,"Poor",IF(Table4[[#This Row],[ROAS]]&lt;3,"Average",IF(Table4[[#This Row],[ROAS]]&lt;5,"Good",
"Excellent")))</f>
        <v>Excellent</v>
      </c>
      <c r="S749" s="51" t="str">
        <f>IF(AND(Table4[[#This Row],[USD_Spend]]&gt;=$B$5,Table4[[#This Row],[Sales]]&lt;=$B$6),"Wasted Budget","Spend Justified")</f>
        <v>Spend Justified</v>
      </c>
      <c r="T749" s="51" t="str">
        <f>IF(AND(Table4[[#This Row],[Clicks]]&gt;=$B$7,Table4[[#This Row],[Sales]]&lt;=$B$6),"Poor Monetization","Normal Monitization")</f>
        <v>Normal Monitization</v>
      </c>
    </row>
    <row r="750" spans="1:20" x14ac:dyDescent="0.35">
      <c r="A750" s="38" t="s">
        <v>57</v>
      </c>
      <c r="B750" s="38" t="s">
        <v>48</v>
      </c>
      <c r="C750" s="38" t="s">
        <v>36</v>
      </c>
      <c r="D750" s="38" t="s">
        <v>37</v>
      </c>
      <c r="E750" s="38" t="s">
        <v>38</v>
      </c>
      <c r="F750" s="38">
        <v>5079.82</v>
      </c>
      <c r="G750" s="38">
        <v>708260</v>
      </c>
      <c r="H750" s="38">
        <v>18953</v>
      </c>
      <c r="I750" s="38">
        <v>107203.41</v>
      </c>
      <c r="J750" s="38">
        <v>59</v>
      </c>
      <c r="K750" s="39">
        <f t="shared" si="56"/>
        <v>2.6759946912150907E-2</v>
      </c>
      <c r="L750" s="40">
        <f t="shared" si="57"/>
        <v>21.103781236343021</v>
      </c>
      <c r="M750" s="40">
        <f t="shared" si="58"/>
        <v>20.103781236343021</v>
      </c>
      <c r="N750" s="40">
        <f t="shared" si="59"/>
        <v>5.6562765789057146</v>
      </c>
      <c r="O750" s="1" t="str">
        <f t="shared" si="55"/>
        <v>Normal</v>
      </c>
      <c r="P750" s="51" t="str">
        <f>IF(Table4[[#This Row],[Sales]]&lt;=$B$3,"Normal","High Revenue")</f>
        <v>Normal</v>
      </c>
      <c r="Q750" s="51" t="str">
        <f>IF(Table4[[#This Row],[CTR]]&lt;=$B$4,"Normal","High CTR")</f>
        <v>Normal</v>
      </c>
      <c r="R750" s="51" t="str">
        <f>IF(Table4[[#This Row],[ROAS]]&lt;1,"Poor",IF(Table4[[#This Row],[ROAS]]&lt;3,"Average",IF(Table4[[#This Row],[ROAS]]&lt;5,"Good",
"Excellent")))</f>
        <v>Excellent</v>
      </c>
      <c r="S750" s="51" t="str">
        <f>IF(AND(Table4[[#This Row],[USD_Spend]]&gt;=$B$5,Table4[[#This Row],[Sales]]&lt;=$B$6),"Wasted Budget","Spend Justified")</f>
        <v>Spend Justified</v>
      </c>
      <c r="T750" s="51" t="str">
        <f>IF(AND(Table4[[#This Row],[Clicks]]&gt;=$B$7,Table4[[#This Row],[Sales]]&lt;=$B$6),"Poor Monetization","Normal Monitization")</f>
        <v>Normal Monitization</v>
      </c>
    </row>
    <row r="751" spans="1:20" x14ac:dyDescent="0.35">
      <c r="A751" s="41" t="s">
        <v>103</v>
      </c>
      <c r="B751" s="41" t="s">
        <v>19</v>
      </c>
      <c r="C751" s="41" t="s">
        <v>36</v>
      </c>
      <c r="D751" s="41" t="s">
        <v>59</v>
      </c>
      <c r="E751" s="41" t="s">
        <v>38</v>
      </c>
      <c r="F751" s="41">
        <v>23807.88</v>
      </c>
      <c r="G751" s="41">
        <v>652053</v>
      </c>
      <c r="H751" s="41">
        <v>37562</v>
      </c>
      <c r="I751" s="41">
        <v>104169.32</v>
      </c>
      <c r="J751" s="41">
        <v>57</v>
      </c>
      <c r="K751" s="42">
        <f t="shared" si="56"/>
        <v>5.7605746772118216E-2</v>
      </c>
      <c r="L751" s="43">
        <f t="shared" si="57"/>
        <v>4.3754135185493208</v>
      </c>
      <c r="M751" s="43">
        <f t="shared" si="58"/>
        <v>3.3754135185493208</v>
      </c>
      <c r="N751" s="43">
        <f t="shared" si="59"/>
        <v>2.7732634045045526</v>
      </c>
      <c r="O751" s="1" t="str">
        <f t="shared" si="55"/>
        <v>Normal</v>
      </c>
      <c r="P751" s="51" t="str">
        <f>IF(Table4[[#This Row],[Sales]]&lt;=$B$3,"Normal","High Revenue")</f>
        <v>Normal</v>
      </c>
      <c r="Q751" s="51" t="str">
        <f>IF(Table4[[#This Row],[CTR]]&lt;=$B$4,"Normal","High CTR")</f>
        <v>Normal</v>
      </c>
      <c r="R751" s="51" t="str">
        <f>IF(Table4[[#This Row],[ROAS]]&lt;1,"Poor",IF(Table4[[#This Row],[ROAS]]&lt;3,"Average",IF(Table4[[#This Row],[ROAS]]&lt;5,"Good",
"Excellent")))</f>
        <v>Good</v>
      </c>
      <c r="S751" s="51" t="str">
        <f>IF(AND(Table4[[#This Row],[USD_Spend]]&gt;=$B$5,Table4[[#This Row],[Sales]]&lt;=$B$6),"Wasted Budget","Spend Justified")</f>
        <v>Spend Justified</v>
      </c>
      <c r="T751" s="51" t="str">
        <f>IF(AND(Table4[[#This Row],[Clicks]]&gt;=$B$7,Table4[[#This Row],[Sales]]&lt;=$B$6),"Poor Monetization","Normal Monitization")</f>
        <v>Normal Monitization</v>
      </c>
    </row>
    <row r="752" spans="1:20" x14ac:dyDescent="0.35">
      <c r="A752" s="38" t="s">
        <v>102</v>
      </c>
      <c r="B752" s="38" t="s">
        <v>28</v>
      </c>
      <c r="C752" s="38" t="s">
        <v>69</v>
      </c>
      <c r="D752" s="38" t="s">
        <v>21</v>
      </c>
      <c r="E752" s="38" t="s">
        <v>38</v>
      </c>
      <c r="F752" s="38">
        <v>7918.2</v>
      </c>
      <c r="G752" s="38">
        <v>352402</v>
      </c>
      <c r="H752" s="38">
        <v>39878</v>
      </c>
      <c r="I752" s="38">
        <v>198100.29</v>
      </c>
      <c r="J752" s="38">
        <v>33</v>
      </c>
      <c r="K752" s="39">
        <f t="shared" si="56"/>
        <v>0.11316053824893162</v>
      </c>
      <c r="L752" s="40">
        <f t="shared" si="57"/>
        <v>25.018348867166782</v>
      </c>
      <c r="M752" s="40">
        <f t="shared" si="58"/>
        <v>24.018348867166779</v>
      </c>
      <c r="N752" s="40">
        <f t="shared" si="59"/>
        <v>4.9676586087567083</v>
      </c>
      <c r="O752" s="1" t="str">
        <f t="shared" si="55"/>
        <v>Normal</v>
      </c>
      <c r="P752" s="51" t="str">
        <f>IF(Table4[[#This Row],[Sales]]&lt;=$B$3,"Normal","High Revenue")</f>
        <v>Normal</v>
      </c>
      <c r="Q752" s="51" t="str">
        <f>IF(Table4[[#This Row],[CTR]]&lt;=$B$4,"Normal","High CTR")</f>
        <v>Normal</v>
      </c>
      <c r="R752" s="51" t="str">
        <f>IF(Table4[[#This Row],[ROAS]]&lt;1,"Poor",IF(Table4[[#This Row],[ROAS]]&lt;3,"Average",IF(Table4[[#This Row],[ROAS]]&lt;5,"Good",
"Excellent")))</f>
        <v>Excellent</v>
      </c>
      <c r="S752" s="51" t="str">
        <f>IF(AND(Table4[[#This Row],[USD_Spend]]&gt;=$B$5,Table4[[#This Row],[Sales]]&lt;=$B$6),"Wasted Budget","Spend Justified")</f>
        <v>Spend Justified</v>
      </c>
      <c r="T752" s="51" t="str">
        <f>IF(AND(Table4[[#This Row],[Clicks]]&gt;=$B$7,Table4[[#This Row],[Sales]]&lt;=$B$6),"Poor Monetization","Normal Monitization")</f>
        <v>Normal Monitization</v>
      </c>
    </row>
    <row r="753" spans="1:20" x14ac:dyDescent="0.35">
      <c r="A753" s="41" t="s">
        <v>108</v>
      </c>
      <c r="B753" s="41" t="s">
        <v>19</v>
      </c>
      <c r="C753" s="41" t="s">
        <v>69</v>
      </c>
      <c r="D753" s="41" t="s">
        <v>43</v>
      </c>
      <c r="E753" s="41" t="s">
        <v>38</v>
      </c>
      <c r="F753" s="41">
        <v>2669.45</v>
      </c>
      <c r="G753" s="41">
        <v>830231</v>
      </c>
      <c r="H753" s="41">
        <v>1404</v>
      </c>
      <c r="I753" s="41">
        <v>18555.18</v>
      </c>
      <c r="J753" s="41">
        <v>60</v>
      </c>
      <c r="K753" s="42">
        <f t="shared" si="56"/>
        <v>1.6910956107396616E-3</v>
      </c>
      <c r="L753" s="43">
        <f t="shared" si="57"/>
        <v>6.9509374590271413</v>
      </c>
      <c r="M753" s="43">
        <f t="shared" si="58"/>
        <v>5.9509374590271404</v>
      </c>
      <c r="N753" s="43">
        <f t="shared" si="59"/>
        <v>13.21594017094017</v>
      </c>
      <c r="O753" s="1" t="str">
        <f t="shared" si="55"/>
        <v>Normal</v>
      </c>
      <c r="P753" s="51" t="str">
        <f>IF(Table4[[#This Row],[Sales]]&lt;=$B$3,"Normal","High Revenue")</f>
        <v>Normal</v>
      </c>
      <c r="Q753" s="51" t="str">
        <f>IF(Table4[[#This Row],[CTR]]&lt;=$B$4,"Normal","High CTR")</f>
        <v>Normal</v>
      </c>
      <c r="R753" s="51" t="str">
        <f>IF(Table4[[#This Row],[ROAS]]&lt;1,"Poor",IF(Table4[[#This Row],[ROAS]]&lt;3,"Average",IF(Table4[[#This Row],[ROAS]]&lt;5,"Good",
"Excellent")))</f>
        <v>Excellent</v>
      </c>
      <c r="S753" s="51" t="str">
        <f>IF(AND(Table4[[#This Row],[USD_Spend]]&gt;=$B$5,Table4[[#This Row],[Sales]]&lt;=$B$6),"Wasted Budget","Spend Justified")</f>
        <v>Spend Justified</v>
      </c>
      <c r="T753" s="51" t="str">
        <f>IF(AND(Table4[[#This Row],[Clicks]]&gt;=$B$7,Table4[[#This Row],[Sales]]&lt;=$B$6),"Poor Monetization","Normal Monitization")</f>
        <v>Normal Monitization</v>
      </c>
    </row>
    <row r="754" spans="1:20" x14ac:dyDescent="0.35">
      <c r="A754" s="38" t="s">
        <v>72</v>
      </c>
      <c r="B754" s="38" t="s">
        <v>28</v>
      </c>
      <c r="C754" s="38" t="s">
        <v>29</v>
      </c>
      <c r="D754" s="38" t="s">
        <v>59</v>
      </c>
      <c r="E754" s="38" t="s">
        <v>38</v>
      </c>
      <c r="F754" s="38">
        <v>16821.22</v>
      </c>
      <c r="G754" s="38">
        <v>781754</v>
      </c>
      <c r="H754" s="38">
        <v>47615</v>
      </c>
      <c r="I754" s="38">
        <v>98504.37</v>
      </c>
      <c r="J754" s="38">
        <v>27</v>
      </c>
      <c r="K754" s="39">
        <f t="shared" si="56"/>
        <v>6.0907907090977466E-2</v>
      </c>
      <c r="L754" s="40">
        <f t="shared" si="57"/>
        <v>5.8559587235646395</v>
      </c>
      <c r="M754" s="40">
        <f t="shared" si="58"/>
        <v>4.8559587235646395</v>
      </c>
      <c r="N754" s="40">
        <f t="shared" si="59"/>
        <v>2.068767615247296</v>
      </c>
      <c r="O754" s="1" t="str">
        <f t="shared" si="55"/>
        <v>Normal</v>
      </c>
      <c r="P754" s="51" t="str">
        <f>IF(Table4[[#This Row],[Sales]]&lt;=$B$3,"Normal","High Revenue")</f>
        <v>Normal</v>
      </c>
      <c r="Q754" s="51" t="str">
        <f>IF(Table4[[#This Row],[CTR]]&lt;=$B$4,"Normal","High CTR")</f>
        <v>Normal</v>
      </c>
      <c r="R754" s="51" t="str">
        <f>IF(Table4[[#This Row],[ROAS]]&lt;1,"Poor",IF(Table4[[#This Row],[ROAS]]&lt;3,"Average",IF(Table4[[#This Row],[ROAS]]&lt;5,"Good",
"Excellent")))</f>
        <v>Excellent</v>
      </c>
      <c r="S754" s="51" t="str">
        <f>IF(AND(Table4[[#This Row],[USD_Spend]]&gt;=$B$5,Table4[[#This Row],[Sales]]&lt;=$B$6),"Wasted Budget","Spend Justified")</f>
        <v>Spend Justified</v>
      </c>
      <c r="T754" s="51" t="str">
        <f>IF(AND(Table4[[#This Row],[Clicks]]&gt;=$B$7,Table4[[#This Row],[Sales]]&lt;=$B$6),"Poor Monetization","Normal Monitization")</f>
        <v>Normal Monitization</v>
      </c>
    </row>
    <row r="755" spans="1:20" x14ac:dyDescent="0.35">
      <c r="A755" s="41" t="s">
        <v>102</v>
      </c>
      <c r="B755" s="41" t="s">
        <v>19</v>
      </c>
      <c r="C755" s="41" t="s">
        <v>36</v>
      </c>
      <c r="D755" s="41" t="s">
        <v>37</v>
      </c>
      <c r="E755" s="41" t="s">
        <v>22</v>
      </c>
      <c r="F755" s="41">
        <v>42286.559999999998</v>
      </c>
      <c r="G755" s="41">
        <v>171223</v>
      </c>
      <c r="H755" s="41">
        <v>1656</v>
      </c>
      <c r="I755" s="41">
        <v>117510.18</v>
      </c>
      <c r="J755" s="41">
        <v>58</v>
      </c>
      <c r="K755" s="42">
        <f t="shared" si="56"/>
        <v>9.6715978577644364E-3</v>
      </c>
      <c r="L755" s="43">
        <f t="shared" si="57"/>
        <v>2.7789013814318309</v>
      </c>
      <c r="M755" s="43">
        <f t="shared" si="58"/>
        <v>1.7789013814318309</v>
      </c>
      <c r="N755" s="43">
        <f t="shared" si="59"/>
        <v>70.960253623188407</v>
      </c>
      <c r="O755" s="1" t="str">
        <f t="shared" si="55"/>
        <v>Normal</v>
      </c>
      <c r="P755" s="51" t="str">
        <f>IF(Table4[[#This Row],[Sales]]&lt;=$B$3,"Normal","High Revenue")</f>
        <v>Normal</v>
      </c>
      <c r="Q755" s="51" t="str">
        <f>IF(Table4[[#This Row],[CTR]]&lt;=$B$4,"Normal","High CTR")</f>
        <v>Normal</v>
      </c>
      <c r="R755" s="51" t="str">
        <f>IF(Table4[[#This Row],[ROAS]]&lt;1,"Poor",IF(Table4[[#This Row],[ROAS]]&lt;3,"Average",IF(Table4[[#This Row],[ROAS]]&lt;5,"Good",
"Excellent")))</f>
        <v>Average</v>
      </c>
      <c r="S755" s="51" t="str">
        <f>IF(AND(Table4[[#This Row],[USD_Spend]]&gt;=$B$5,Table4[[#This Row],[Sales]]&lt;=$B$6),"Wasted Budget","Spend Justified")</f>
        <v>Spend Justified</v>
      </c>
      <c r="T755" s="51" t="str">
        <f>IF(AND(Table4[[#This Row],[Clicks]]&gt;=$B$7,Table4[[#This Row],[Sales]]&lt;=$B$6),"Poor Monetization","Normal Monitization")</f>
        <v>Normal Monitization</v>
      </c>
    </row>
    <row r="756" spans="1:20" x14ac:dyDescent="0.35">
      <c r="A756" s="38" t="s">
        <v>34</v>
      </c>
      <c r="B756" s="38" t="s">
        <v>35</v>
      </c>
      <c r="C756" s="38" t="s">
        <v>58</v>
      </c>
      <c r="D756" s="38" t="s">
        <v>37</v>
      </c>
      <c r="E756" s="38" t="s">
        <v>22</v>
      </c>
      <c r="F756" s="38">
        <v>3742.82</v>
      </c>
      <c r="G756" s="38">
        <v>720380</v>
      </c>
      <c r="H756" s="38">
        <v>42484</v>
      </c>
      <c r="I756" s="38">
        <v>102906.35</v>
      </c>
      <c r="J756" s="38">
        <v>45</v>
      </c>
      <c r="K756" s="39">
        <f t="shared" si="56"/>
        <v>5.8974430161859021E-2</v>
      </c>
      <c r="L756" s="40">
        <f t="shared" si="57"/>
        <v>27.494335821653191</v>
      </c>
      <c r="M756" s="40">
        <f t="shared" si="58"/>
        <v>26.494335821653191</v>
      </c>
      <c r="N756" s="40">
        <f t="shared" si="59"/>
        <v>2.4222377836361928</v>
      </c>
      <c r="O756" s="1" t="str">
        <f t="shared" si="55"/>
        <v>Normal</v>
      </c>
      <c r="P756" s="51" t="str">
        <f>IF(Table4[[#This Row],[Sales]]&lt;=$B$3,"Normal","High Revenue")</f>
        <v>Normal</v>
      </c>
      <c r="Q756" s="51" t="str">
        <f>IF(Table4[[#This Row],[CTR]]&lt;=$B$4,"Normal","High CTR")</f>
        <v>Normal</v>
      </c>
      <c r="R756" s="51" t="str">
        <f>IF(Table4[[#This Row],[ROAS]]&lt;1,"Poor",IF(Table4[[#This Row],[ROAS]]&lt;3,"Average",IF(Table4[[#This Row],[ROAS]]&lt;5,"Good",
"Excellent")))</f>
        <v>Excellent</v>
      </c>
      <c r="S756" s="51" t="str">
        <f>IF(AND(Table4[[#This Row],[USD_Spend]]&gt;=$B$5,Table4[[#This Row],[Sales]]&lt;=$B$6),"Wasted Budget","Spend Justified")</f>
        <v>Spend Justified</v>
      </c>
      <c r="T756" s="51" t="str">
        <f>IF(AND(Table4[[#This Row],[Clicks]]&gt;=$B$7,Table4[[#This Row],[Sales]]&lt;=$B$6),"Poor Monetization","Normal Monitization")</f>
        <v>Normal Monitization</v>
      </c>
    </row>
    <row r="757" spans="1:20" x14ac:dyDescent="0.35">
      <c r="A757" s="41" t="s">
        <v>84</v>
      </c>
      <c r="B757" s="41" t="s">
        <v>48</v>
      </c>
      <c r="C757" s="41" t="s">
        <v>69</v>
      </c>
      <c r="D757" s="41" t="s">
        <v>43</v>
      </c>
      <c r="E757" s="41" t="s">
        <v>38</v>
      </c>
      <c r="F757" s="41">
        <v>7027.37</v>
      </c>
      <c r="G757" s="41">
        <v>786459</v>
      </c>
      <c r="H757" s="41">
        <v>16085</v>
      </c>
      <c r="I757" s="41">
        <v>131418.51</v>
      </c>
      <c r="J757" s="41">
        <v>12</v>
      </c>
      <c r="K757" s="42">
        <f t="shared" si="56"/>
        <v>2.0452432993964084E-2</v>
      </c>
      <c r="L757" s="43">
        <f t="shared" si="57"/>
        <v>18.700952134297754</v>
      </c>
      <c r="M757" s="43">
        <f t="shared" si="58"/>
        <v>17.700952134297754</v>
      </c>
      <c r="N757" s="43">
        <f t="shared" si="59"/>
        <v>8.170252409076781</v>
      </c>
      <c r="O757" s="1" t="str">
        <f t="shared" si="55"/>
        <v>Normal</v>
      </c>
      <c r="P757" s="51" t="str">
        <f>IF(Table4[[#This Row],[Sales]]&lt;=$B$3,"Normal","High Revenue")</f>
        <v>Normal</v>
      </c>
      <c r="Q757" s="51" t="str">
        <f>IF(Table4[[#This Row],[CTR]]&lt;=$B$4,"Normal","High CTR")</f>
        <v>Normal</v>
      </c>
      <c r="R757" s="51" t="str">
        <f>IF(Table4[[#This Row],[ROAS]]&lt;1,"Poor",IF(Table4[[#This Row],[ROAS]]&lt;3,"Average",IF(Table4[[#This Row],[ROAS]]&lt;5,"Good",
"Excellent")))</f>
        <v>Excellent</v>
      </c>
      <c r="S757" s="51" t="str">
        <f>IF(AND(Table4[[#This Row],[USD_Spend]]&gt;=$B$5,Table4[[#This Row],[Sales]]&lt;=$B$6),"Wasted Budget","Spend Justified")</f>
        <v>Spend Justified</v>
      </c>
      <c r="T757" s="51" t="str">
        <f>IF(AND(Table4[[#This Row],[Clicks]]&gt;=$B$7,Table4[[#This Row],[Sales]]&lt;=$B$6),"Poor Monetization","Normal Monitization")</f>
        <v>Normal Monitization</v>
      </c>
    </row>
    <row r="758" spans="1:20" x14ac:dyDescent="0.35">
      <c r="A758" s="38" t="s">
        <v>88</v>
      </c>
      <c r="B758" s="38" t="s">
        <v>28</v>
      </c>
      <c r="C758" s="38" t="s">
        <v>20</v>
      </c>
      <c r="D758" s="38" t="s">
        <v>37</v>
      </c>
      <c r="E758" s="38" t="s">
        <v>30</v>
      </c>
      <c r="F758" s="38">
        <v>43775</v>
      </c>
      <c r="G758" s="38">
        <v>911085</v>
      </c>
      <c r="H758" s="38">
        <v>35071</v>
      </c>
      <c r="I758" s="38">
        <v>98102.3</v>
      </c>
      <c r="J758" s="38">
        <v>11</v>
      </c>
      <c r="K758" s="39">
        <f t="shared" si="56"/>
        <v>3.8493664147692036E-2</v>
      </c>
      <c r="L758" s="40">
        <f t="shared" si="57"/>
        <v>2.2410576813249574</v>
      </c>
      <c r="M758" s="40">
        <f t="shared" si="58"/>
        <v>1.2410576813249572</v>
      </c>
      <c r="N758" s="40">
        <f t="shared" si="59"/>
        <v>2.7972484388811267</v>
      </c>
      <c r="O758" s="1" t="str">
        <f t="shared" si="55"/>
        <v>High Spend</v>
      </c>
      <c r="P758" s="51" t="str">
        <f>IF(Table4[[#This Row],[Sales]]&lt;=$B$3,"Normal","High Revenue")</f>
        <v>Normal</v>
      </c>
      <c r="Q758" s="51" t="str">
        <f>IF(Table4[[#This Row],[CTR]]&lt;=$B$4,"Normal","High CTR")</f>
        <v>Normal</v>
      </c>
      <c r="R758" s="51" t="str">
        <f>IF(Table4[[#This Row],[ROAS]]&lt;1,"Poor",IF(Table4[[#This Row],[ROAS]]&lt;3,"Average",IF(Table4[[#This Row],[ROAS]]&lt;5,"Good",
"Excellent")))</f>
        <v>Average</v>
      </c>
      <c r="S758" s="51" t="str">
        <f>IF(AND(Table4[[#This Row],[USD_Spend]]&gt;=$B$5,Table4[[#This Row],[Sales]]&lt;=$B$6),"Wasted Budget","Spend Justified")</f>
        <v>Spend Justified</v>
      </c>
      <c r="T758" s="51" t="str">
        <f>IF(AND(Table4[[#This Row],[Clicks]]&gt;=$B$7,Table4[[#This Row],[Sales]]&lt;=$B$6),"Poor Monetization","Normal Monitization")</f>
        <v>Normal Monitization</v>
      </c>
    </row>
    <row r="759" spans="1:20" x14ac:dyDescent="0.35">
      <c r="A759" s="41" t="s">
        <v>99</v>
      </c>
      <c r="B759" s="41" t="s">
        <v>35</v>
      </c>
      <c r="C759" s="41" t="s">
        <v>69</v>
      </c>
      <c r="D759" s="41" t="s">
        <v>21</v>
      </c>
      <c r="E759" s="41" t="s">
        <v>22</v>
      </c>
      <c r="F759" s="41">
        <v>19510.41</v>
      </c>
      <c r="G759" s="41">
        <v>680030</v>
      </c>
      <c r="H759" s="41">
        <v>2084</v>
      </c>
      <c r="I759" s="41">
        <v>127019.32</v>
      </c>
      <c r="J759" s="41">
        <v>19</v>
      </c>
      <c r="K759" s="42">
        <f t="shared" si="56"/>
        <v>3.064570680705263E-3</v>
      </c>
      <c r="L759" s="43">
        <f t="shared" si="57"/>
        <v>6.5103357643432407</v>
      </c>
      <c r="M759" s="43">
        <f t="shared" si="58"/>
        <v>5.5103357643432407</v>
      </c>
      <c r="N759" s="43">
        <f t="shared" si="59"/>
        <v>60.949769673704417</v>
      </c>
      <c r="O759" s="1" t="str">
        <f t="shared" si="55"/>
        <v>Normal</v>
      </c>
      <c r="P759" s="51" t="str">
        <f>IF(Table4[[#This Row],[Sales]]&lt;=$B$3,"Normal","High Revenue")</f>
        <v>Normal</v>
      </c>
      <c r="Q759" s="51" t="str">
        <f>IF(Table4[[#This Row],[CTR]]&lt;=$B$4,"Normal","High CTR")</f>
        <v>Normal</v>
      </c>
      <c r="R759" s="51" t="str">
        <f>IF(Table4[[#This Row],[ROAS]]&lt;1,"Poor",IF(Table4[[#This Row],[ROAS]]&lt;3,"Average",IF(Table4[[#This Row],[ROAS]]&lt;5,"Good",
"Excellent")))</f>
        <v>Excellent</v>
      </c>
      <c r="S759" s="51" t="str">
        <f>IF(AND(Table4[[#This Row],[USD_Spend]]&gt;=$B$5,Table4[[#This Row],[Sales]]&lt;=$B$6),"Wasted Budget","Spend Justified")</f>
        <v>Spend Justified</v>
      </c>
      <c r="T759" s="51" t="str">
        <f>IF(AND(Table4[[#This Row],[Clicks]]&gt;=$B$7,Table4[[#This Row],[Sales]]&lt;=$B$6),"Poor Monetization","Normal Monitization")</f>
        <v>Normal Monitization</v>
      </c>
    </row>
    <row r="760" spans="1:20" x14ac:dyDescent="0.35">
      <c r="A760" s="38" t="s">
        <v>110</v>
      </c>
      <c r="B760" s="38" t="s">
        <v>28</v>
      </c>
      <c r="C760" s="38" t="s">
        <v>29</v>
      </c>
      <c r="D760" s="38" t="s">
        <v>37</v>
      </c>
      <c r="E760" s="38" t="s">
        <v>38</v>
      </c>
      <c r="F760" s="38">
        <v>11004.74</v>
      </c>
      <c r="G760" s="38">
        <v>901638</v>
      </c>
      <c r="H760" s="38">
        <v>2544</v>
      </c>
      <c r="I760" s="38">
        <v>228741.28</v>
      </c>
      <c r="J760" s="38">
        <v>42</v>
      </c>
      <c r="K760" s="39">
        <f t="shared" si="56"/>
        <v>2.8215314793742056E-3</v>
      </c>
      <c r="L760" s="40">
        <f t="shared" si="57"/>
        <v>20.785705068906672</v>
      </c>
      <c r="M760" s="40">
        <f t="shared" si="58"/>
        <v>19.785705068906672</v>
      </c>
      <c r="N760" s="40">
        <f t="shared" si="59"/>
        <v>89.9140251572327</v>
      </c>
      <c r="O760" s="1" t="str">
        <f t="shared" si="55"/>
        <v>Normal</v>
      </c>
      <c r="P760" s="51" t="str">
        <f>IF(Table4[[#This Row],[Sales]]&lt;=$B$3,"Normal","High Revenue")</f>
        <v>Normal</v>
      </c>
      <c r="Q760" s="51" t="str">
        <f>IF(Table4[[#This Row],[CTR]]&lt;=$B$4,"Normal","High CTR")</f>
        <v>Normal</v>
      </c>
      <c r="R760" s="51" t="str">
        <f>IF(Table4[[#This Row],[ROAS]]&lt;1,"Poor",IF(Table4[[#This Row],[ROAS]]&lt;3,"Average",IF(Table4[[#This Row],[ROAS]]&lt;5,"Good",
"Excellent")))</f>
        <v>Excellent</v>
      </c>
      <c r="S760" s="51" t="str">
        <f>IF(AND(Table4[[#This Row],[USD_Spend]]&gt;=$B$5,Table4[[#This Row],[Sales]]&lt;=$B$6),"Wasted Budget","Spend Justified")</f>
        <v>Spend Justified</v>
      </c>
      <c r="T760" s="51" t="str">
        <f>IF(AND(Table4[[#This Row],[Clicks]]&gt;=$B$7,Table4[[#This Row],[Sales]]&lt;=$B$6),"Poor Monetization","Normal Monitization")</f>
        <v>Normal Monitization</v>
      </c>
    </row>
    <row r="761" spans="1:20" x14ac:dyDescent="0.35">
      <c r="A761" s="41" t="s">
        <v>34</v>
      </c>
      <c r="B761" s="41" t="s">
        <v>35</v>
      </c>
      <c r="C761" s="41" t="s">
        <v>58</v>
      </c>
      <c r="D761" s="41" t="s">
        <v>37</v>
      </c>
      <c r="E761" s="41" t="s">
        <v>30</v>
      </c>
      <c r="F761" s="41">
        <v>15921.27</v>
      </c>
      <c r="G761" s="41">
        <v>910374</v>
      </c>
      <c r="H761" s="41">
        <v>9277</v>
      </c>
      <c r="I761" s="41">
        <v>73193.34</v>
      </c>
      <c r="J761" s="41">
        <v>52</v>
      </c>
      <c r="K761" s="42">
        <f t="shared" si="56"/>
        <v>1.0190317386041342E-2</v>
      </c>
      <c r="L761" s="43">
        <f t="shared" si="57"/>
        <v>4.5972048712194438</v>
      </c>
      <c r="M761" s="43">
        <f t="shared" si="58"/>
        <v>3.5972048712194438</v>
      </c>
      <c r="N761" s="43">
        <f t="shared" si="59"/>
        <v>7.8897639323057023</v>
      </c>
      <c r="O761" s="1" t="str">
        <f t="shared" si="55"/>
        <v>Normal</v>
      </c>
      <c r="P761" s="51" t="str">
        <f>IF(Table4[[#This Row],[Sales]]&lt;=$B$3,"Normal","High Revenue")</f>
        <v>Normal</v>
      </c>
      <c r="Q761" s="51" t="str">
        <f>IF(Table4[[#This Row],[CTR]]&lt;=$B$4,"Normal","High CTR")</f>
        <v>Normal</v>
      </c>
      <c r="R761" s="51" t="str">
        <f>IF(Table4[[#This Row],[ROAS]]&lt;1,"Poor",IF(Table4[[#This Row],[ROAS]]&lt;3,"Average",IF(Table4[[#This Row],[ROAS]]&lt;5,"Good",
"Excellent")))</f>
        <v>Good</v>
      </c>
      <c r="S761" s="51" t="str">
        <f>IF(AND(Table4[[#This Row],[USD_Spend]]&gt;=$B$5,Table4[[#This Row],[Sales]]&lt;=$B$6),"Wasted Budget","Spend Justified")</f>
        <v>Spend Justified</v>
      </c>
      <c r="T761" s="51" t="str">
        <f>IF(AND(Table4[[#This Row],[Clicks]]&gt;=$B$7,Table4[[#This Row],[Sales]]&lt;=$B$6),"Poor Monetization","Normal Monitization")</f>
        <v>Normal Monitization</v>
      </c>
    </row>
    <row r="762" spans="1:20" x14ac:dyDescent="0.35">
      <c r="A762" s="38" t="s">
        <v>84</v>
      </c>
      <c r="B762" s="38" t="s">
        <v>28</v>
      </c>
      <c r="C762" s="38" t="s">
        <v>58</v>
      </c>
      <c r="D762" s="38" t="s">
        <v>63</v>
      </c>
      <c r="E762" s="38" t="s">
        <v>30</v>
      </c>
      <c r="F762" s="38">
        <v>23277.759999999998</v>
      </c>
      <c r="G762" s="38">
        <v>708199</v>
      </c>
      <c r="H762" s="38">
        <v>45769</v>
      </c>
      <c r="I762" s="38">
        <v>134890.73000000001</v>
      </c>
      <c r="J762" s="38">
        <v>47</v>
      </c>
      <c r="K762" s="39">
        <f t="shared" si="56"/>
        <v>6.4627315203777472E-2</v>
      </c>
      <c r="L762" s="40">
        <f t="shared" si="57"/>
        <v>5.7948329220681032</v>
      </c>
      <c r="M762" s="40">
        <f t="shared" si="58"/>
        <v>4.7948329220681041</v>
      </c>
      <c r="N762" s="40">
        <f t="shared" si="59"/>
        <v>2.9472072800367064</v>
      </c>
      <c r="O762" s="1" t="str">
        <f t="shared" si="55"/>
        <v>Normal</v>
      </c>
      <c r="P762" s="51" t="str">
        <f>IF(Table4[[#This Row],[Sales]]&lt;=$B$3,"Normal","High Revenue")</f>
        <v>Normal</v>
      </c>
      <c r="Q762" s="51" t="str">
        <f>IF(Table4[[#This Row],[CTR]]&lt;=$B$4,"Normal","High CTR")</f>
        <v>Normal</v>
      </c>
      <c r="R762" s="51" t="str">
        <f>IF(Table4[[#This Row],[ROAS]]&lt;1,"Poor",IF(Table4[[#This Row],[ROAS]]&lt;3,"Average",IF(Table4[[#This Row],[ROAS]]&lt;5,"Good",
"Excellent")))</f>
        <v>Excellent</v>
      </c>
      <c r="S762" s="51" t="str">
        <f>IF(AND(Table4[[#This Row],[USD_Spend]]&gt;=$B$5,Table4[[#This Row],[Sales]]&lt;=$B$6),"Wasted Budget","Spend Justified")</f>
        <v>Spend Justified</v>
      </c>
      <c r="T762" s="51" t="str">
        <f>IF(AND(Table4[[#This Row],[Clicks]]&gt;=$B$7,Table4[[#This Row],[Sales]]&lt;=$B$6),"Poor Monetization","Normal Monitization")</f>
        <v>Normal Monitization</v>
      </c>
    </row>
    <row r="763" spans="1:20" x14ac:dyDescent="0.35">
      <c r="A763" s="41" t="s">
        <v>77</v>
      </c>
      <c r="B763" s="41" t="s">
        <v>28</v>
      </c>
      <c r="C763" s="41" t="s">
        <v>36</v>
      </c>
      <c r="D763" s="41" t="s">
        <v>37</v>
      </c>
      <c r="E763" s="41" t="s">
        <v>30</v>
      </c>
      <c r="F763" s="41">
        <v>6620.25</v>
      </c>
      <c r="G763" s="41">
        <v>293114</v>
      </c>
      <c r="H763" s="41">
        <v>5665</v>
      </c>
      <c r="I763" s="41">
        <v>23749.14</v>
      </c>
      <c r="J763" s="41">
        <v>31</v>
      </c>
      <c r="K763" s="42">
        <f t="shared" si="56"/>
        <v>1.932695128857714E-2</v>
      </c>
      <c r="L763" s="43">
        <f t="shared" si="57"/>
        <v>3.5873479098221366</v>
      </c>
      <c r="M763" s="43">
        <f t="shared" si="58"/>
        <v>2.5873479098221366</v>
      </c>
      <c r="N763" s="43">
        <f t="shared" si="59"/>
        <v>4.1922577228596642</v>
      </c>
      <c r="O763" s="1" t="str">
        <f t="shared" si="55"/>
        <v>Normal</v>
      </c>
      <c r="P763" s="51" t="str">
        <f>IF(Table4[[#This Row],[Sales]]&lt;=$B$3,"Normal","High Revenue")</f>
        <v>Normal</v>
      </c>
      <c r="Q763" s="51" t="str">
        <f>IF(Table4[[#This Row],[CTR]]&lt;=$B$4,"Normal","High CTR")</f>
        <v>Normal</v>
      </c>
      <c r="R763" s="51" t="str">
        <f>IF(Table4[[#This Row],[ROAS]]&lt;1,"Poor",IF(Table4[[#This Row],[ROAS]]&lt;3,"Average",IF(Table4[[#This Row],[ROAS]]&lt;5,"Good",
"Excellent")))</f>
        <v>Good</v>
      </c>
      <c r="S763" s="51" t="str">
        <f>IF(AND(Table4[[#This Row],[USD_Spend]]&gt;=$B$5,Table4[[#This Row],[Sales]]&lt;=$B$6),"Wasted Budget","Spend Justified")</f>
        <v>Wasted Budget</v>
      </c>
      <c r="T763" s="51" t="str">
        <f>IF(AND(Table4[[#This Row],[Clicks]]&gt;=$B$7,Table4[[#This Row],[Sales]]&lt;=$B$6),"Poor Monetization","Normal Monitization")</f>
        <v>Normal Monitization</v>
      </c>
    </row>
    <row r="764" spans="1:20" x14ac:dyDescent="0.35">
      <c r="A764" s="38" t="s">
        <v>34</v>
      </c>
      <c r="B764" s="38" t="s">
        <v>28</v>
      </c>
      <c r="C764" s="38" t="s">
        <v>58</v>
      </c>
      <c r="D764" s="38" t="s">
        <v>37</v>
      </c>
      <c r="E764" s="38" t="s">
        <v>22</v>
      </c>
      <c r="F764" s="38">
        <v>13843.2</v>
      </c>
      <c r="G764" s="38">
        <v>206694</v>
      </c>
      <c r="H764" s="38">
        <v>34076</v>
      </c>
      <c r="I764" s="38">
        <v>93635.94</v>
      </c>
      <c r="J764" s="38">
        <v>61</v>
      </c>
      <c r="K764" s="39">
        <f t="shared" si="56"/>
        <v>0.16486206662989733</v>
      </c>
      <c r="L764" s="40">
        <f t="shared" si="57"/>
        <v>6.7640386615811368</v>
      </c>
      <c r="M764" s="40">
        <f t="shared" si="58"/>
        <v>5.7640386615811376</v>
      </c>
      <c r="N764" s="40">
        <f t="shared" si="59"/>
        <v>2.7478559690104474</v>
      </c>
      <c r="O764" s="1" t="str">
        <f t="shared" si="55"/>
        <v>Normal</v>
      </c>
      <c r="P764" s="51" t="str">
        <f>IF(Table4[[#This Row],[Sales]]&lt;=$B$3,"Normal","High Revenue")</f>
        <v>Normal</v>
      </c>
      <c r="Q764" s="51" t="str">
        <f>IF(Table4[[#This Row],[CTR]]&lt;=$B$4,"Normal","High CTR")</f>
        <v>Normal</v>
      </c>
      <c r="R764" s="51" t="str">
        <f>IF(Table4[[#This Row],[ROAS]]&lt;1,"Poor",IF(Table4[[#This Row],[ROAS]]&lt;3,"Average",IF(Table4[[#This Row],[ROAS]]&lt;5,"Good",
"Excellent")))</f>
        <v>Excellent</v>
      </c>
      <c r="S764" s="51" t="str">
        <f>IF(AND(Table4[[#This Row],[USD_Spend]]&gt;=$B$5,Table4[[#This Row],[Sales]]&lt;=$B$6),"Wasted Budget","Spend Justified")</f>
        <v>Spend Justified</v>
      </c>
      <c r="T764" s="51" t="str">
        <f>IF(AND(Table4[[#This Row],[Clicks]]&gt;=$B$7,Table4[[#This Row],[Sales]]&lt;=$B$6),"Poor Monetization","Normal Monitization")</f>
        <v>Normal Monitization</v>
      </c>
    </row>
    <row r="765" spans="1:20" x14ac:dyDescent="0.35">
      <c r="A765" s="41" t="s">
        <v>84</v>
      </c>
      <c r="B765" s="41" t="s">
        <v>35</v>
      </c>
      <c r="C765" s="41" t="s">
        <v>69</v>
      </c>
      <c r="D765" s="41" t="s">
        <v>21</v>
      </c>
      <c r="E765" s="41" t="s">
        <v>30</v>
      </c>
      <c r="F765" s="41">
        <v>19661.93</v>
      </c>
      <c r="G765" s="41">
        <v>988866</v>
      </c>
      <c r="H765" s="41">
        <v>23189</v>
      </c>
      <c r="I765" s="41">
        <v>226108.82</v>
      </c>
      <c r="J765" s="41">
        <v>16</v>
      </c>
      <c r="K765" s="42">
        <f t="shared" si="56"/>
        <v>2.3450093339239086E-2</v>
      </c>
      <c r="L765" s="43">
        <f t="shared" si="57"/>
        <v>11.499828348488679</v>
      </c>
      <c r="M765" s="43">
        <f t="shared" si="58"/>
        <v>10.499828348488679</v>
      </c>
      <c r="N765" s="43">
        <f t="shared" si="59"/>
        <v>9.7506930009918502</v>
      </c>
      <c r="O765" s="1" t="str">
        <f t="shared" si="55"/>
        <v>Normal</v>
      </c>
      <c r="P765" s="51" t="str">
        <f>IF(Table4[[#This Row],[Sales]]&lt;=$B$3,"Normal","High Revenue")</f>
        <v>Normal</v>
      </c>
      <c r="Q765" s="51" t="str">
        <f>IF(Table4[[#This Row],[CTR]]&lt;=$B$4,"Normal","High CTR")</f>
        <v>Normal</v>
      </c>
      <c r="R765" s="51" t="str">
        <f>IF(Table4[[#This Row],[ROAS]]&lt;1,"Poor",IF(Table4[[#This Row],[ROAS]]&lt;3,"Average",IF(Table4[[#This Row],[ROAS]]&lt;5,"Good",
"Excellent")))</f>
        <v>Excellent</v>
      </c>
      <c r="S765" s="51" t="str">
        <f>IF(AND(Table4[[#This Row],[USD_Spend]]&gt;=$B$5,Table4[[#This Row],[Sales]]&lt;=$B$6),"Wasted Budget","Spend Justified")</f>
        <v>Spend Justified</v>
      </c>
      <c r="T765" s="51" t="str">
        <f>IF(AND(Table4[[#This Row],[Clicks]]&gt;=$B$7,Table4[[#This Row],[Sales]]&lt;=$B$6),"Poor Monetization","Normal Monitization")</f>
        <v>Normal Monitization</v>
      </c>
    </row>
    <row r="766" spans="1:20" x14ac:dyDescent="0.35">
      <c r="A766" s="38" t="s">
        <v>109</v>
      </c>
      <c r="B766" s="38" t="s">
        <v>35</v>
      </c>
      <c r="C766" s="38" t="s">
        <v>29</v>
      </c>
      <c r="D766" s="38" t="s">
        <v>21</v>
      </c>
      <c r="E766" s="38" t="s">
        <v>30</v>
      </c>
      <c r="F766" s="38">
        <v>3347.15</v>
      </c>
      <c r="G766" s="38">
        <v>993952</v>
      </c>
      <c r="H766" s="38">
        <v>35728</v>
      </c>
      <c r="I766" s="38">
        <v>55435.94</v>
      </c>
      <c r="J766" s="38">
        <v>13</v>
      </c>
      <c r="K766" s="39">
        <f t="shared" si="56"/>
        <v>3.5945397765686872E-2</v>
      </c>
      <c r="L766" s="40">
        <f t="shared" si="57"/>
        <v>16.562131963013311</v>
      </c>
      <c r="M766" s="40">
        <f t="shared" si="58"/>
        <v>15.562131963013309</v>
      </c>
      <c r="N766" s="40">
        <f t="shared" si="59"/>
        <v>1.5516105015673982</v>
      </c>
      <c r="O766" s="1" t="str">
        <f t="shared" si="55"/>
        <v>Normal</v>
      </c>
      <c r="P766" s="51" t="str">
        <f>IF(Table4[[#This Row],[Sales]]&lt;=$B$3,"Normal","High Revenue")</f>
        <v>Normal</v>
      </c>
      <c r="Q766" s="51" t="str">
        <f>IF(Table4[[#This Row],[CTR]]&lt;=$B$4,"Normal","High CTR")</f>
        <v>Normal</v>
      </c>
      <c r="R766" s="51" t="str">
        <f>IF(Table4[[#This Row],[ROAS]]&lt;1,"Poor",IF(Table4[[#This Row],[ROAS]]&lt;3,"Average",IF(Table4[[#This Row],[ROAS]]&lt;5,"Good",
"Excellent")))</f>
        <v>Excellent</v>
      </c>
      <c r="S766" s="51" t="str">
        <f>IF(AND(Table4[[#This Row],[USD_Spend]]&gt;=$B$5,Table4[[#This Row],[Sales]]&lt;=$B$6),"Wasted Budget","Spend Justified")</f>
        <v>Spend Justified</v>
      </c>
      <c r="T766" s="51" t="str">
        <f>IF(AND(Table4[[#This Row],[Clicks]]&gt;=$B$7,Table4[[#This Row],[Sales]]&lt;=$B$6),"Poor Monetization","Normal Monitization")</f>
        <v>Normal Monitization</v>
      </c>
    </row>
    <row r="767" spans="1:20" x14ac:dyDescent="0.35">
      <c r="A767" s="41" t="s">
        <v>115</v>
      </c>
      <c r="B767" s="41" t="s">
        <v>35</v>
      </c>
      <c r="C767" s="41" t="s">
        <v>20</v>
      </c>
      <c r="D767" s="41" t="s">
        <v>63</v>
      </c>
      <c r="E767" s="41" t="s">
        <v>22</v>
      </c>
      <c r="F767" s="41">
        <v>1139.19</v>
      </c>
      <c r="G767" s="41">
        <v>441319</v>
      </c>
      <c r="H767" s="41">
        <v>876</v>
      </c>
      <c r="I767" s="41">
        <v>9097.91</v>
      </c>
      <c r="J767" s="41">
        <v>37</v>
      </c>
      <c r="K767" s="42">
        <f t="shared" si="56"/>
        <v>1.9849587260009202E-3</v>
      </c>
      <c r="L767" s="43">
        <f t="shared" si="57"/>
        <v>7.986297281401697</v>
      </c>
      <c r="M767" s="43">
        <f t="shared" si="58"/>
        <v>6.986297281401697</v>
      </c>
      <c r="N767" s="43">
        <f t="shared" si="59"/>
        <v>10.38574200913242</v>
      </c>
      <c r="O767" s="1" t="str">
        <f t="shared" si="55"/>
        <v>Normal</v>
      </c>
      <c r="P767" s="51" t="str">
        <f>IF(Table4[[#This Row],[Sales]]&lt;=$B$3,"Normal","High Revenue")</f>
        <v>Normal</v>
      </c>
      <c r="Q767" s="51" t="str">
        <f>IF(Table4[[#This Row],[CTR]]&lt;=$B$4,"Normal","High CTR")</f>
        <v>Normal</v>
      </c>
      <c r="R767" s="51" t="str">
        <f>IF(Table4[[#This Row],[ROAS]]&lt;1,"Poor",IF(Table4[[#This Row],[ROAS]]&lt;3,"Average",IF(Table4[[#This Row],[ROAS]]&lt;5,"Good",
"Excellent")))</f>
        <v>Excellent</v>
      </c>
      <c r="S767" s="51" t="str">
        <f>IF(AND(Table4[[#This Row],[USD_Spend]]&gt;=$B$5,Table4[[#This Row],[Sales]]&lt;=$B$6),"Wasted Budget","Spend Justified")</f>
        <v>Spend Justified</v>
      </c>
      <c r="T767" s="51" t="str">
        <f>IF(AND(Table4[[#This Row],[Clicks]]&gt;=$B$7,Table4[[#This Row],[Sales]]&lt;=$B$6),"Poor Monetization","Normal Monitization")</f>
        <v>Normal Monitization</v>
      </c>
    </row>
    <row r="768" spans="1:20" x14ac:dyDescent="0.35">
      <c r="A768" s="38" t="s">
        <v>34</v>
      </c>
      <c r="B768" s="38" t="s">
        <v>35</v>
      </c>
      <c r="C768" s="38" t="s">
        <v>69</v>
      </c>
      <c r="D768" s="38" t="s">
        <v>43</v>
      </c>
      <c r="E768" s="38" t="s">
        <v>22</v>
      </c>
      <c r="F768" s="38">
        <v>2326.21</v>
      </c>
      <c r="G768" s="38">
        <v>992750</v>
      </c>
      <c r="H768" s="38">
        <v>1803</v>
      </c>
      <c r="I768" s="38">
        <v>227963.23</v>
      </c>
      <c r="J768" s="38">
        <v>25</v>
      </c>
      <c r="K768" s="39">
        <f t="shared" si="56"/>
        <v>1.8161672122890958E-3</v>
      </c>
      <c r="L768" s="40">
        <f t="shared" si="57"/>
        <v>97.997700121657118</v>
      </c>
      <c r="M768" s="40">
        <f t="shared" si="58"/>
        <v>96.997700121657118</v>
      </c>
      <c r="N768" s="40">
        <f t="shared" si="59"/>
        <v>126.43551303383251</v>
      </c>
      <c r="O768" s="1" t="str">
        <f t="shared" si="55"/>
        <v>Normal</v>
      </c>
      <c r="P768" s="51" t="str">
        <f>IF(Table4[[#This Row],[Sales]]&lt;=$B$3,"Normal","High Revenue")</f>
        <v>Normal</v>
      </c>
      <c r="Q768" s="51" t="str">
        <f>IF(Table4[[#This Row],[CTR]]&lt;=$B$4,"Normal","High CTR")</f>
        <v>Normal</v>
      </c>
      <c r="R768" s="51" t="str">
        <f>IF(Table4[[#This Row],[ROAS]]&lt;1,"Poor",IF(Table4[[#This Row],[ROAS]]&lt;3,"Average",IF(Table4[[#This Row],[ROAS]]&lt;5,"Good",
"Excellent")))</f>
        <v>Excellent</v>
      </c>
      <c r="S768" s="51" t="str">
        <f>IF(AND(Table4[[#This Row],[USD_Spend]]&gt;=$B$5,Table4[[#This Row],[Sales]]&lt;=$B$6),"Wasted Budget","Spend Justified")</f>
        <v>Spend Justified</v>
      </c>
      <c r="T768" s="51" t="str">
        <f>IF(AND(Table4[[#This Row],[Clicks]]&gt;=$B$7,Table4[[#This Row],[Sales]]&lt;=$B$6),"Poor Monetization","Normal Monitization")</f>
        <v>Normal Monitization</v>
      </c>
    </row>
    <row r="769" spans="1:20" x14ac:dyDescent="0.35">
      <c r="A769" s="41" t="s">
        <v>110</v>
      </c>
      <c r="B769" s="41" t="s">
        <v>48</v>
      </c>
      <c r="C769" s="41" t="s">
        <v>58</v>
      </c>
      <c r="D769" s="41" t="s">
        <v>37</v>
      </c>
      <c r="E769" s="41" t="s">
        <v>38</v>
      </c>
      <c r="F769" s="41">
        <v>32759.69</v>
      </c>
      <c r="G769" s="41">
        <v>636258</v>
      </c>
      <c r="H769" s="41">
        <v>24788</v>
      </c>
      <c r="I769" s="41">
        <v>42791.93</v>
      </c>
      <c r="J769" s="41">
        <v>27</v>
      </c>
      <c r="K769" s="42">
        <f t="shared" si="56"/>
        <v>3.8959038628983839E-2</v>
      </c>
      <c r="L769" s="43">
        <f t="shared" si="57"/>
        <v>1.3062373300846255</v>
      </c>
      <c r="M769" s="43">
        <f t="shared" si="58"/>
        <v>0.30623733008462539</v>
      </c>
      <c r="N769" s="43">
        <f t="shared" si="59"/>
        <v>1.7263163627561724</v>
      </c>
      <c r="O769" s="1" t="str">
        <f t="shared" si="55"/>
        <v>Normal</v>
      </c>
      <c r="P769" s="51" t="str">
        <f>IF(Table4[[#This Row],[Sales]]&lt;=$B$3,"Normal","High Revenue")</f>
        <v>Normal</v>
      </c>
      <c r="Q769" s="51" t="str">
        <f>IF(Table4[[#This Row],[CTR]]&lt;=$B$4,"Normal","High CTR")</f>
        <v>Normal</v>
      </c>
      <c r="R769" s="51" t="str">
        <f>IF(Table4[[#This Row],[ROAS]]&lt;1,"Poor",IF(Table4[[#This Row],[ROAS]]&lt;3,"Average",IF(Table4[[#This Row],[ROAS]]&lt;5,"Good",
"Excellent")))</f>
        <v>Average</v>
      </c>
      <c r="S769" s="51" t="str">
        <f>IF(AND(Table4[[#This Row],[USD_Spend]]&gt;=$B$5,Table4[[#This Row],[Sales]]&lt;=$B$6),"Wasted Budget","Spend Justified")</f>
        <v>Wasted Budget</v>
      </c>
      <c r="T769" s="51" t="str">
        <f>IF(AND(Table4[[#This Row],[Clicks]]&gt;=$B$7,Table4[[#This Row],[Sales]]&lt;=$B$6),"Poor Monetization","Normal Monitization")</f>
        <v>Normal Monitization</v>
      </c>
    </row>
    <row r="770" spans="1:20" x14ac:dyDescent="0.35">
      <c r="A770" s="38" t="s">
        <v>98</v>
      </c>
      <c r="B770" s="38" t="s">
        <v>35</v>
      </c>
      <c r="C770" s="38" t="s">
        <v>36</v>
      </c>
      <c r="D770" s="38" t="s">
        <v>63</v>
      </c>
      <c r="E770" s="38" t="s">
        <v>22</v>
      </c>
      <c r="F770" s="38">
        <v>10259.56</v>
      </c>
      <c r="G770" s="38">
        <v>631314</v>
      </c>
      <c r="H770" s="38">
        <v>5666</v>
      </c>
      <c r="I770" s="38">
        <v>228045.31</v>
      </c>
      <c r="J770" s="38">
        <v>21</v>
      </c>
      <c r="K770" s="39">
        <f t="shared" si="56"/>
        <v>8.9749316504940495E-3</v>
      </c>
      <c r="L770" s="40">
        <f t="shared" si="57"/>
        <v>22.227591631609933</v>
      </c>
      <c r="M770" s="40">
        <f t="shared" si="58"/>
        <v>21.227591631609933</v>
      </c>
      <c r="N770" s="40">
        <f t="shared" si="59"/>
        <v>40.248025061771976</v>
      </c>
      <c r="O770" s="1" t="str">
        <f t="shared" si="55"/>
        <v>Normal</v>
      </c>
      <c r="P770" s="51" t="str">
        <f>IF(Table4[[#This Row],[Sales]]&lt;=$B$3,"Normal","High Revenue")</f>
        <v>Normal</v>
      </c>
      <c r="Q770" s="51" t="str">
        <f>IF(Table4[[#This Row],[CTR]]&lt;=$B$4,"Normal","High CTR")</f>
        <v>Normal</v>
      </c>
      <c r="R770" s="51" t="str">
        <f>IF(Table4[[#This Row],[ROAS]]&lt;1,"Poor",IF(Table4[[#This Row],[ROAS]]&lt;3,"Average",IF(Table4[[#This Row],[ROAS]]&lt;5,"Good",
"Excellent")))</f>
        <v>Excellent</v>
      </c>
      <c r="S770" s="51" t="str">
        <f>IF(AND(Table4[[#This Row],[USD_Spend]]&gt;=$B$5,Table4[[#This Row],[Sales]]&lt;=$B$6),"Wasted Budget","Spend Justified")</f>
        <v>Spend Justified</v>
      </c>
      <c r="T770" s="51" t="str">
        <f>IF(AND(Table4[[#This Row],[Clicks]]&gt;=$B$7,Table4[[#This Row],[Sales]]&lt;=$B$6),"Poor Monetization","Normal Monitization")</f>
        <v>Normal Monitization</v>
      </c>
    </row>
    <row r="771" spans="1:20" x14ac:dyDescent="0.35">
      <c r="A771" s="41" t="s">
        <v>66</v>
      </c>
      <c r="B771" s="41" t="s">
        <v>35</v>
      </c>
      <c r="C771" s="41" t="s">
        <v>29</v>
      </c>
      <c r="D771" s="41" t="s">
        <v>59</v>
      </c>
      <c r="E771" s="41" t="s">
        <v>22</v>
      </c>
      <c r="F771" s="41">
        <v>5678.88</v>
      </c>
      <c r="G771" s="41">
        <v>413277</v>
      </c>
      <c r="H771" s="41">
        <v>23711</v>
      </c>
      <c r="I771" s="41">
        <v>210790.86</v>
      </c>
      <c r="J771" s="41">
        <v>17</v>
      </c>
      <c r="K771" s="42">
        <f t="shared" si="56"/>
        <v>5.737314198467372E-2</v>
      </c>
      <c r="L771" s="43">
        <f t="shared" si="57"/>
        <v>37.118386019778548</v>
      </c>
      <c r="M771" s="43">
        <f t="shared" si="58"/>
        <v>36.118386019778541</v>
      </c>
      <c r="N771" s="43">
        <f t="shared" si="59"/>
        <v>8.8900029522162711</v>
      </c>
      <c r="O771" s="1" t="str">
        <f t="shared" si="55"/>
        <v>Normal</v>
      </c>
      <c r="P771" s="51" t="str">
        <f>IF(Table4[[#This Row],[Sales]]&lt;=$B$3,"Normal","High Revenue")</f>
        <v>Normal</v>
      </c>
      <c r="Q771" s="51" t="str">
        <f>IF(Table4[[#This Row],[CTR]]&lt;=$B$4,"Normal","High CTR")</f>
        <v>Normal</v>
      </c>
      <c r="R771" s="51" t="str">
        <f>IF(Table4[[#This Row],[ROAS]]&lt;1,"Poor",IF(Table4[[#This Row],[ROAS]]&lt;3,"Average",IF(Table4[[#This Row],[ROAS]]&lt;5,"Good",
"Excellent")))</f>
        <v>Excellent</v>
      </c>
      <c r="S771" s="51" t="str">
        <f>IF(AND(Table4[[#This Row],[USD_Spend]]&gt;=$B$5,Table4[[#This Row],[Sales]]&lt;=$B$6),"Wasted Budget","Spend Justified")</f>
        <v>Spend Justified</v>
      </c>
      <c r="T771" s="51" t="str">
        <f>IF(AND(Table4[[#This Row],[Clicks]]&gt;=$B$7,Table4[[#This Row],[Sales]]&lt;=$B$6),"Poor Monetization","Normal Monitization")</f>
        <v>Normal Monitization</v>
      </c>
    </row>
    <row r="772" spans="1:20" x14ac:dyDescent="0.35">
      <c r="A772" s="38" t="s">
        <v>88</v>
      </c>
      <c r="B772" s="38" t="s">
        <v>28</v>
      </c>
      <c r="C772" s="38" t="s">
        <v>69</v>
      </c>
      <c r="D772" s="38" t="s">
        <v>43</v>
      </c>
      <c r="E772" s="38" t="s">
        <v>22</v>
      </c>
      <c r="F772" s="38">
        <v>7682.99</v>
      </c>
      <c r="G772" s="38">
        <v>541756</v>
      </c>
      <c r="H772" s="38">
        <v>20369</v>
      </c>
      <c r="I772" s="38">
        <v>168388.76</v>
      </c>
      <c r="J772" s="38">
        <v>60</v>
      </c>
      <c r="K772" s="39">
        <f t="shared" si="56"/>
        <v>3.7598106896831782E-2</v>
      </c>
      <c r="L772" s="40">
        <f t="shared" si="57"/>
        <v>21.917086967443666</v>
      </c>
      <c r="M772" s="40">
        <f t="shared" si="58"/>
        <v>20.917086967443666</v>
      </c>
      <c r="N772" s="40">
        <f t="shared" si="59"/>
        <v>8.2669134469046099</v>
      </c>
      <c r="O772" s="1" t="str">
        <f t="shared" si="55"/>
        <v>Normal</v>
      </c>
      <c r="P772" s="51" t="str">
        <f>IF(Table4[[#This Row],[Sales]]&lt;=$B$3,"Normal","High Revenue")</f>
        <v>Normal</v>
      </c>
      <c r="Q772" s="51" t="str">
        <f>IF(Table4[[#This Row],[CTR]]&lt;=$B$4,"Normal","High CTR")</f>
        <v>Normal</v>
      </c>
      <c r="R772" s="51" t="str">
        <f>IF(Table4[[#This Row],[ROAS]]&lt;1,"Poor",IF(Table4[[#This Row],[ROAS]]&lt;3,"Average",IF(Table4[[#This Row],[ROAS]]&lt;5,"Good",
"Excellent")))</f>
        <v>Excellent</v>
      </c>
      <c r="S772" s="51" t="str">
        <f>IF(AND(Table4[[#This Row],[USD_Spend]]&gt;=$B$5,Table4[[#This Row],[Sales]]&lt;=$B$6),"Wasted Budget","Spend Justified")</f>
        <v>Spend Justified</v>
      </c>
      <c r="T772" s="51" t="str">
        <f>IF(AND(Table4[[#This Row],[Clicks]]&gt;=$B$7,Table4[[#This Row],[Sales]]&lt;=$B$6),"Poor Monetization","Normal Monitization")</f>
        <v>Normal Monitization</v>
      </c>
    </row>
    <row r="773" spans="1:20" x14ac:dyDescent="0.35">
      <c r="A773" s="41" t="s">
        <v>84</v>
      </c>
      <c r="B773" s="41" t="s">
        <v>19</v>
      </c>
      <c r="C773" s="41" t="s">
        <v>69</v>
      </c>
      <c r="D773" s="41" t="s">
        <v>63</v>
      </c>
      <c r="E773" s="41" t="s">
        <v>22</v>
      </c>
      <c r="F773" s="41">
        <v>37070.68</v>
      </c>
      <c r="G773" s="41">
        <v>655414</v>
      </c>
      <c r="H773" s="41">
        <v>37396</v>
      </c>
      <c r="I773" s="41">
        <v>78732.72</v>
      </c>
      <c r="J773" s="41">
        <v>30</v>
      </c>
      <c r="K773" s="42">
        <f t="shared" si="56"/>
        <v>5.7057066220739867E-2</v>
      </c>
      <c r="L773" s="43">
        <f t="shared" si="57"/>
        <v>2.1238542157845499</v>
      </c>
      <c r="M773" s="43">
        <f t="shared" si="58"/>
        <v>1.1238542157845499</v>
      </c>
      <c r="N773" s="43">
        <f t="shared" si="59"/>
        <v>2.1053781153064501</v>
      </c>
      <c r="O773" s="1" t="str">
        <f t="shared" si="55"/>
        <v>Normal</v>
      </c>
      <c r="P773" s="51" t="str">
        <f>IF(Table4[[#This Row],[Sales]]&lt;=$B$3,"Normal","High Revenue")</f>
        <v>Normal</v>
      </c>
      <c r="Q773" s="51" t="str">
        <f>IF(Table4[[#This Row],[CTR]]&lt;=$B$4,"Normal","High CTR")</f>
        <v>Normal</v>
      </c>
      <c r="R773" s="51" t="str">
        <f>IF(Table4[[#This Row],[ROAS]]&lt;1,"Poor",IF(Table4[[#This Row],[ROAS]]&lt;3,"Average",IF(Table4[[#This Row],[ROAS]]&lt;5,"Good",
"Excellent")))</f>
        <v>Average</v>
      </c>
      <c r="S773" s="51" t="str">
        <f>IF(AND(Table4[[#This Row],[USD_Spend]]&gt;=$B$5,Table4[[#This Row],[Sales]]&lt;=$B$6),"Wasted Budget","Spend Justified")</f>
        <v>Spend Justified</v>
      </c>
      <c r="T773" s="51" t="str">
        <f>IF(AND(Table4[[#This Row],[Clicks]]&gt;=$B$7,Table4[[#This Row],[Sales]]&lt;=$B$6),"Poor Monetization","Normal Monitization")</f>
        <v>Normal Monitization</v>
      </c>
    </row>
    <row r="774" spans="1:20" x14ac:dyDescent="0.35">
      <c r="A774" s="38" t="s">
        <v>77</v>
      </c>
      <c r="B774" s="38" t="s">
        <v>48</v>
      </c>
      <c r="C774" s="38" t="s">
        <v>29</v>
      </c>
      <c r="D774" s="38" t="s">
        <v>43</v>
      </c>
      <c r="E774" s="38" t="s">
        <v>30</v>
      </c>
      <c r="F774" s="38">
        <v>12642.32</v>
      </c>
      <c r="G774" s="38">
        <v>830738</v>
      </c>
      <c r="H774" s="38">
        <v>6854</v>
      </c>
      <c r="I774" s="38">
        <v>176780.51</v>
      </c>
      <c r="J774" s="38">
        <v>58</v>
      </c>
      <c r="K774" s="39">
        <f t="shared" si="56"/>
        <v>8.2504953426952906E-3</v>
      </c>
      <c r="L774" s="40">
        <f t="shared" si="57"/>
        <v>13.983233298951459</v>
      </c>
      <c r="M774" s="40">
        <f t="shared" si="58"/>
        <v>12.983233298951459</v>
      </c>
      <c r="N774" s="40">
        <f t="shared" si="59"/>
        <v>25.792312518237527</v>
      </c>
      <c r="O774" s="1" t="str">
        <f t="shared" si="55"/>
        <v>Normal</v>
      </c>
      <c r="P774" s="51" t="str">
        <f>IF(Table4[[#This Row],[Sales]]&lt;=$B$3,"Normal","High Revenue")</f>
        <v>Normal</v>
      </c>
      <c r="Q774" s="51" t="str">
        <f>IF(Table4[[#This Row],[CTR]]&lt;=$B$4,"Normal","High CTR")</f>
        <v>Normal</v>
      </c>
      <c r="R774" s="51" t="str">
        <f>IF(Table4[[#This Row],[ROAS]]&lt;1,"Poor",IF(Table4[[#This Row],[ROAS]]&lt;3,"Average",IF(Table4[[#This Row],[ROAS]]&lt;5,"Good",
"Excellent")))</f>
        <v>Excellent</v>
      </c>
      <c r="S774" s="51" t="str">
        <f>IF(AND(Table4[[#This Row],[USD_Spend]]&gt;=$B$5,Table4[[#This Row],[Sales]]&lt;=$B$6),"Wasted Budget","Spend Justified")</f>
        <v>Spend Justified</v>
      </c>
      <c r="T774" s="51" t="str">
        <f>IF(AND(Table4[[#This Row],[Clicks]]&gt;=$B$7,Table4[[#This Row],[Sales]]&lt;=$B$6),"Poor Monetization","Normal Monitization")</f>
        <v>Normal Monitization</v>
      </c>
    </row>
    <row r="775" spans="1:20" x14ac:dyDescent="0.35">
      <c r="A775" s="41" t="s">
        <v>86</v>
      </c>
      <c r="B775" s="41" t="s">
        <v>19</v>
      </c>
      <c r="C775" s="41" t="s">
        <v>20</v>
      </c>
      <c r="D775" s="41" t="s">
        <v>43</v>
      </c>
      <c r="E775" s="41" t="s">
        <v>22</v>
      </c>
      <c r="F775" s="41">
        <v>2025.53</v>
      </c>
      <c r="G775" s="41">
        <v>889535</v>
      </c>
      <c r="H775" s="41">
        <v>33438</v>
      </c>
      <c r="I775" s="41">
        <v>189941.86</v>
      </c>
      <c r="J775" s="41">
        <v>23</v>
      </c>
      <c r="K775" s="42">
        <f t="shared" si="56"/>
        <v>3.7590426458767784E-2</v>
      </c>
      <c r="L775" s="43">
        <f t="shared" si="57"/>
        <v>93.773906088776755</v>
      </c>
      <c r="M775" s="43">
        <f t="shared" si="58"/>
        <v>92.773906088776755</v>
      </c>
      <c r="N775" s="43">
        <f t="shared" si="59"/>
        <v>5.6804192834499663</v>
      </c>
      <c r="O775" s="1" t="str">
        <f t="shared" si="55"/>
        <v>Normal</v>
      </c>
      <c r="P775" s="51" t="str">
        <f>IF(Table4[[#This Row],[Sales]]&lt;=$B$3,"Normal","High Revenue")</f>
        <v>Normal</v>
      </c>
      <c r="Q775" s="51" t="str">
        <f>IF(Table4[[#This Row],[CTR]]&lt;=$B$4,"Normal","High CTR")</f>
        <v>Normal</v>
      </c>
      <c r="R775" s="51" t="str">
        <f>IF(Table4[[#This Row],[ROAS]]&lt;1,"Poor",IF(Table4[[#This Row],[ROAS]]&lt;3,"Average",IF(Table4[[#This Row],[ROAS]]&lt;5,"Good",
"Excellent")))</f>
        <v>Excellent</v>
      </c>
      <c r="S775" s="51" t="str">
        <f>IF(AND(Table4[[#This Row],[USD_Spend]]&gt;=$B$5,Table4[[#This Row],[Sales]]&lt;=$B$6),"Wasted Budget","Spend Justified")</f>
        <v>Spend Justified</v>
      </c>
      <c r="T775" s="51" t="str">
        <f>IF(AND(Table4[[#This Row],[Clicks]]&gt;=$B$7,Table4[[#This Row],[Sales]]&lt;=$B$6),"Poor Monetization","Normal Monitization")</f>
        <v>Normal Monitization</v>
      </c>
    </row>
    <row r="776" spans="1:20" x14ac:dyDescent="0.35">
      <c r="A776" s="38" t="s">
        <v>84</v>
      </c>
      <c r="B776" s="38" t="s">
        <v>28</v>
      </c>
      <c r="C776" s="38" t="s">
        <v>29</v>
      </c>
      <c r="D776" s="38" t="s">
        <v>63</v>
      </c>
      <c r="E776" s="38" t="s">
        <v>38</v>
      </c>
      <c r="F776" s="38">
        <v>54685.919999999998</v>
      </c>
      <c r="G776" s="38">
        <v>288711</v>
      </c>
      <c r="H776" s="38">
        <v>7885</v>
      </c>
      <c r="I776" s="38">
        <v>108168.35</v>
      </c>
      <c r="J776" s="38">
        <v>18</v>
      </c>
      <c r="K776" s="39">
        <f t="shared" si="56"/>
        <v>2.7311048072293748E-2</v>
      </c>
      <c r="L776" s="40">
        <f t="shared" si="57"/>
        <v>1.9779926898916578</v>
      </c>
      <c r="M776" s="40">
        <f t="shared" si="58"/>
        <v>0.97799268989165788</v>
      </c>
      <c r="N776" s="40">
        <f t="shared" si="59"/>
        <v>13.718243500317058</v>
      </c>
      <c r="O776" s="1" t="str">
        <f t="shared" si="55"/>
        <v>High Spend</v>
      </c>
      <c r="P776" s="51" t="str">
        <f>IF(Table4[[#This Row],[Sales]]&lt;=$B$3,"Normal","High Revenue")</f>
        <v>Normal</v>
      </c>
      <c r="Q776" s="51" t="str">
        <f>IF(Table4[[#This Row],[CTR]]&lt;=$B$4,"Normal","High CTR")</f>
        <v>Normal</v>
      </c>
      <c r="R776" s="51" t="str">
        <f>IF(Table4[[#This Row],[ROAS]]&lt;1,"Poor",IF(Table4[[#This Row],[ROAS]]&lt;3,"Average",IF(Table4[[#This Row],[ROAS]]&lt;5,"Good",
"Excellent")))</f>
        <v>Average</v>
      </c>
      <c r="S776" s="51" t="str">
        <f>IF(AND(Table4[[#This Row],[USD_Spend]]&gt;=$B$5,Table4[[#This Row],[Sales]]&lt;=$B$6),"Wasted Budget","Spend Justified")</f>
        <v>Spend Justified</v>
      </c>
      <c r="T776" s="51" t="str">
        <f>IF(AND(Table4[[#This Row],[Clicks]]&gt;=$B$7,Table4[[#This Row],[Sales]]&lt;=$B$6),"Poor Monetization","Normal Monitization")</f>
        <v>Normal Monitization</v>
      </c>
    </row>
    <row r="777" spans="1:20" x14ac:dyDescent="0.35">
      <c r="A777" s="41" t="s">
        <v>98</v>
      </c>
      <c r="B777" s="41" t="s">
        <v>28</v>
      </c>
      <c r="C777" s="41" t="s">
        <v>69</v>
      </c>
      <c r="D777" s="41" t="s">
        <v>43</v>
      </c>
      <c r="E777" s="41" t="s">
        <v>38</v>
      </c>
      <c r="F777" s="41">
        <v>25392.720000000001</v>
      </c>
      <c r="G777" s="41">
        <v>311603</v>
      </c>
      <c r="H777" s="41">
        <v>44507</v>
      </c>
      <c r="I777" s="41">
        <v>138916.54</v>
      </c>
      <c r="J777" s="41">
        <v>6</v>
      </c>
      <c r="K777" s="42">
        <f t="shared" si="56"/>
        <v>0.14283238608100693</v>
      </c>
      <c r="L777" s="43">
        <f t="shared" si="57"/>
        <v>5.4707231048899052</v>
      </c>
      <c r="M777" s="43">
        <f t="shared" si="58"/>
        <v>4.4707231048899052</v>
      </c>
      <c r="N777" s="43">
        <f t="shared" si="59"/>
        <v>3.1212290201541331</v>
      </c>
      <c r="O777" s="1" t="str">
        <f t="shared" si="55"/>
        <v>Normal</v>
      </c>
      <c r="P777" s="51" t="str">
        <f>IF(Table4[[#This Row],[Sales]]&lt;=$B$3,"Normal","High Revenue")</f>
        <v>Normal</v>
      </c>
      <c r="Q777" s="51" t="str">
        <f>IF(Table4[[#This Row],[CTR]]&lt;=$B$4,"Normal","High CTR")</f>
        <v>Normal</v>
      </c>
      <c r="R777" s="51" t="str">
        <f>IF(Table4[[#This Row],[ROAS]]&lt;1,"Poor",IF(Table4[[#This Row],[ROAS]]&lt;3,"Average",IF(Table4[[#This Row],[ROAS]]&lt;5,"Good",
"Excellent")))</f>
        <v>Excellent</v>
      </c>
      <c r="S777" s="51" t="str">
        <f>IF(AND(Table4[[#This Row],[USD_Spend]]&gt;=$B$5,Table4[[#This Row],[Sales]]&lt;=$B$6),"Wasted Budget","Spend Justified")</f>
        <v>Spend Justified</v>
      </c>
      <c r="T777" s="51" t="str">
        <f>IF(AND(Table4[[#This Row],[Clicks]]&gt;=$B$7,Table4[[#This Row],[Sales]]&lt;=$B$6),"Poor Monetization","Normal Monitization")</f>
        <v>Normal Monitization</v>
      </c>
    </row>
    <row r="778" spans="1:20" x14ac:dyDescent="0.35">
      <c r="A778" s="38" t="s">
        <v>96</v>
      </c>
      <c r="B778" s="38" t="s">
        <v>28</v>
      </c>
      <c r="C778" s="38" t="s">
        <v>69</v>
      </c>
      <c r="D778" s="38" t="s">
        <v>59</v>
      </c>
      <c r="E778" s="38" t="s">
        <v>22</v>
      </c>
      <c r="F778" s="38">
        <v>1812.39</v>
      </c>
      <c r="G778" s="38">
        <v>645173</v>
      </c>
      <c r="H778" s="38">
        <v>32355</v>
      </c>
      <c r="I778" s="38">
        <v>29721.41</v>
      </c>
      <c r="J778" s="38">
        <v>36</v>
      </c>
      <c r="K778" s="39">
        <f t="shared" si="56"/>
        <v>5.0149339789482821E-2</v>
      </c>
      <c r="L778" s="40">
        <f t="shared" si="57"/>
        <v>16.399014560883693</v>
      </c>
      <c r="M778" s="40">
        <f t="shared" si="58"/>
        <v>15.399014560883694</v>
      </c>
      <c r="N778" s="40">
        <f t="shared" si="59"/>
        <v>0.91860330706227789</v>
      </c>
      <c r="O778" s="1" t="str">
        <f t="shared" ref="O778:O841" si="60">IF(F778&lt;=$B$2,"Normal","High Spend")</f>
        <v>Normal</v>
      </c>
      <c r="P778" s="51" t="str">
        <f>IF(Table4[[#This Row],[Sales]]&lt;=$B$3,"Normal","High Revenue")</f>
        <v>Normal</v>
      </c>
      <c r="Q778" s="51" t="str">
        <f>IF(Table4[[#This Row],[CTR]]&lt;=$B$4,"Normal","High CTR")</f>
        <v>Normal</v>
      </c>
      <c r="R778" s="51" t="str">
        <f>IF(Table4[[#This Row],[ROAS]]&lt;1,"Poor",IF(Table4[[#This Row],[ROAS]]&lt;3,"Average",IF(Table4[[#This Row],[ROAS]]&lt;5,"Good",
"Excellent")))</f>
        <v>Excellent</v>
      </c>
      <c r="S778" s="51" t="str">
        <f>IF(AND(Table4[[#This Row],[USD_Spend]]&gt;=$B$5,Table4[[#This Row],[Sales]]&lt;=$B$6),"Wasted Budget","Spend Justified")</f>
        <v>Spend Justified</v>
      </c>
      <c r="T778" s="51" t="str">
        <f>IF(AND(Table4[[#This Row],[Clicks]]&gt;=$B$7,Table4[[#This Row],[Sales]]&lt;=$B$6),"Poor Monetization","Normal Monitization")</f>
        <v>Normal Monitization</v>
      </c>
    </row>
    <row r="779" spans="1:20" x14ac:dyDescent="0.35">
      <c r="A779" s="41" t="s">
        <v>105</v>
      </c>
      <c r="B779" s="41" t="s">
        <v>48</v>
      </c>
      <c r="C779" s="41" t="s">
        <v>58</v>
      </c>
      <c r="D779" s="41" t="s">
        <v>63</v>
      </c>
      <c r="E779" s="41" t="s">
        <v>38</v>
      </c>
      <c r="F779" s="41">
        <v>1782.62</v>
      </c>
      <c r="G779" s="41">
        <v>349320</v>
      </c>
      <c r="H779" s="41">
        <v>16356</v>
      </c>
      <c r="I779" s="41">
        <v>6673.38</v>
      </c>
      <c r="J779" s="41">
        <v>12</v>
      </c>
      <c r="K779" s="42">
        <f t="shared" ref="K779:K842" si="61">H779/G779</f>
        <v>4.6822397801442803E-2</v>
      </c>
      <c r="L779" s="43">
        <f t="shared" ref="L779:L842" si="62">I779/F779</f>
        <v>3.7435796748605989</v>
      </c>
      <c r="M779" s="43">
        <f t="shared" ref="M779:M842" si="63">(I779-F779)/F779</f>
        <v>2.7435796748605989</v>
      </c>
      <c r="N779" s="43">
        <f t="shared" ref="N779:N842" si="64">I779/H779</f>
        <v>0.40800807043286869</v>
      </c>
      <c r="O779" s="1" t="str">
        <f t="shared" si="60"/>
        <v>Normal</v>
      </c>
      <c r="P779" s="51" t="str">
        <f>IF(Table4[[#This Row],[Sales]]&lt;=$B$3,"Normal","High Revenue")</f>
        <v>Normal</v>
      </c>
      <c r="Q779" s="51" t="str">
        <f>IF(Table4[[#This Row],[CTR]]&lt;=$B$4,"Normal","High CTR")</f>
        <v>Normal</v>
      </c>
      <c r="R779" s="51" t="str">
        <f>IF(Table4[[#This Row],[ROAS]]&lt;1,"Poor",IF(Table4[[#This Row],[ROAS]]&lt;3,"Average",IF(Table4[[#This Row],[ROAS]]&lt;5,"Good",
"Excellent")))</f>
        <v>Good</v>
      </c>
      <c r="S779" s="51" t="str">
        <f>IF(AND(Table4[[#This Row],[USD_Spend]]&gt;=$B$5,Table4[[#This Row],[Sales]]&lt;=$B$6),"Wasted Budget","Spend Justified")</f>
        <v>Spend Justified</v>
      </c>
      <c r="T779" s="51" t="str">
        <f>IF(AND(Table4[[#This Row],[Clicks]]&gt;=$B$7,Table4[[#This Row],[Sales]]&lt;=$B$6),"Poor Monetization","Normal Monitization")</f>
        <v>Normal Monitization</v>
      </c>
    </row>
    <row r="780" spans="1:20" x14ac:dyDescent="0.35">
      <c r="A780" s="38" t="s">
        <v>82</v>
      </c>
      <c r="B780" s="38" t="s">
        <v>28</v>
      </c>
      <c r="C780" s="38" t="s">
        <v>20</v>
      </c>
      <c r="D780" s="38" t="s">
        <v>63</v>
      </c>
      <c r="E780" s="38" t="s">
        <v>22</v>
      </c>
      <c r="F780" s="38">
        <v>37003.440000000002</v>
      </c>
      <c r="G780" s="38">
        <v>728709</v>
      </c>
      <c r="H780" s="38">
        <v>34597</v>
      </c>
      <c r="I780" s="38">
        <v>27895.98</v>
      </c>
      <c r="J780" s="38">
        <v>50</v>
      </c>
      <c r="K780" s="39">
        <f t="shared" si="61"/>
        <v>4.7477113635209664E-2</v>
      </c>
      <c r="L780" s="40">
        <f t="shared" si="62"/>
        <v>0.75387531537608388</v>
      </c>
      <c r="M780" s="40">
        <f t="shared" si="63"/>
        <v>-0.2461246846239161</v>
      </c>
      <c r="N780" s="40">
        <f t="shared" si="64"/>
        <v>0.80631210798624153</v>
      </c>
      <c r="O780" s="1" t="str">
        <f t="shared" si="60"/>
        <v>Normal</v>
      </c>
      <c r="P780" s="51" t="str">
        <f>IF(Table4[[#This Row],[Sales]]&lt;=$B$3,"Normal","High Revenue")</f>
        <v>Normal</v>
      </c>
      <c r="Q780" s="51" t="str">
        <f>IF(Table4[[#This Row],[CTR]]&lt;=$B$4,"Normal","High CTR")</f>
        <v>Normal</v>
      </c>
      <c r="R780" s="51" t="str">
        <f>IF(Table4[[#This Row],[ROAS]]&lt;1,"Poor",IF(Table4[[#This Row],[ROAS]]&lt;3,"Average",IF(Table4[[#This Row],[ROAS]]&lt;5,"Good",
"Excellent")))</f>
        <v>Poor</v>
      </c>
      <c r="S780" s="51" t="str">
        <f>IF(AND(Table4[[#This Row],[USD_Spend]]&gt;=$B$5,Table4[[#This Row],[Sales]]&lt;=$B$6),"Wasted Budget","Spend Justified")</f>
        <v>Wasted Budget</v>
      </c>
      <c r="T780" s="51" t="str">
        <f>IF(AND(Table4[[#This Row],[Clicks]]&gt;=$B$7,Table4[[#This Row],[Sales]]&lt;=$B$6),"Poor Monetization","Normal Monitization")</f>
        <v>Normal Monitization</v>
      </c>
    </row>
    <row r="781" spans="1:20" x14ac:dyDescent="0.35">
      <c r="A781" s="41" t="s">
        <v>100</v>
      </c>
      <c r="B781" s="41" t="s">
        <v>35</v>
      </c>
      <c r="C781" s="41" t="s">
        <v>69</v>
      </c>
      <c r="D781" s="41" t="s">
        <v>51</v>
      </c>
      <c r="E781" s="41" t="s">
        <v>38</v>
      </c>
      <c r="F781" s="41">
        <v>11208.41</v>
      </c>
      <c r="G781" s="41">
        <v>521333</v>
      </c>
      <c r="H781" s="41">
        <v>6950</v>
      </c>
      <c r="I781" s="41">
        <v>88410.28</v>
      </c>
      <c r="J781" s="41">
        <v>19</v>
      </c>
      <c r="K781" s="42">
        <f t="shared" si="61"/>
        <v>1.333121056982773E-2</v>
      </c>
      <c r="L781" s="43">
        <f t="shared" si="62"/>
        <v>7.8878520682237712</v>
      </c>
      <c r="M781" s="43">
        <f t="shared" si="63"/>
        <v>6.8878520682237712</v>
      </c>
      <c r="N781" s="43">
        <f t="shared" si="64"/>
        <v>12.720903597122302</v>
      </c>
      <c r="O781" s="1" t="str">
        <f t="shared" si="60"/>
        <v>Normal</v>
      </c>
      <c r="P781" s="51" t="str">
        <f>IF(Table4[[#This Row],[Sales]]&lt;=$B$3,"Normal","High Revenue")</f>
        <v>Normal</v>
      </c>
      <c r="Q781" s="51" t="str">
        <f>IF(Table4[[#This Row],[CTR]]&lt;=$B$4,"Normal","High CTR")</f>
        <v>Normal</v>
      </c>
      <c r="R781" s="51" t="str">
        <f>IF(Table4[[#This Row],[ROAS]]&lt;1,"Poor",IF(Table4[[#This Row],[ROAS]]&lt;3,"Average",IF(Table4[[#This Row],[ROAS]]&lt;5,"Good",
"Excellent")))</f>
        <v>Excellent</v>
      </c>
      <c r="S781" s="51" t="str">
        <f>IF(AND(Table4[[#This Row],[USD_Spend]]&gt;=$B$5,Table4[[#This Row],[Sales]]&lt;=$B$6),"Wasted Budget","Spend Justified")</f>
        <v>Spend Justified</v>
      </c>
      <c r="T781" s="51" t="str">
        <f>IF(AND(Table4[[#This Row],[Clicks]]&gt;=$B$7,Table4[[#This Row],[Sales]]&lt;=$B$6),"Poor Monetization","Normal Monitization")</f>
        <v>Normal Monitization</v>
      </c>
    </row>
    <row r="782" spans="1:20" x14ac:dyDescent="0.35">
      <c r="A782" s="38" t="s">
        <v>110</v>
      </c>
      <c r="B782" s="38" t="s">
        <v>28</v>
      </c>
      <c r="C782" s="38" t="s">
        <v>20</v>
      </c>
      <c r="D782" s="38" t="s">
        <v>63</v>
      </c>
      <c r="E782" s="38" t="s">
        <v>22</v>
      </c>
      <c r="F782" s="38">
        <v>25772.76</v>
      </c>
      <c r="G782" s="38">
        <v>633870</v>
      </c>
      <c r="H782" s="38">
        <v>37605</v>
      </c>
      <c r="I782" s="38">
        <v>197890.36</v>
      </c>
      <c r="J782" s="38">
        <v>24</v>
      </c>
      <c r="K782" s="39">
        <f t="shared" si="61"/>
        <v>5.932604477258744E-2</v>
      </c>
      <c r="L782" s="40">
        <f t="shared" si="62"/>
        <v>7.6782758230007184</v>
      </c>
      <c r="M782" s="40">
        <f t="shared" si="63"/>
        <v>6.6782758230007184</v>
      </c>
      <c r="N782" s="40">
        <f t="shared" si="64"/>
        <v>5.2623417098790055</v>
      </c>
      <c r="O782" s="1" t="str">
        <f t="shared" si="60"/>
        <v>Normal</v>
      </c>
      <c r="P782" s="51" t="str">
        <f>IF(Table4[[#This Row],[Sales]]&lt;=$B$3,"Normal","High Revenue")</f>
        <v>Normal</v>
      </c>
      <c r="Q782" s="51" t="str">
        <f>IF(Table4[[#This Row],[CTR]]&lt;=$B$4,"Normal","High CTR")</f>
        <v>Normal</v>
      </c>
      <c r="R782" s="51" t="str">
        <f>IF(Table4[[#This Row],[ROAS]]&lt;1,"Poor",IF(Table4[[#This Row],[ROAS]]&lt;3,"Average",IF(Table4[[#This Row],[ROAS]]&lt;5,"Good",
"Excellent")))</f>
        <v>Excellent</v>
      </c>
      <c r="S782" s="51" t="str">
        <f>IF(AND(Table4[[#This Row],[USD_Spend]]&gt;=$B$5,Table4[[#This Row],[Sales]]&lt;=$B$6),"Wasted Budget","Spend Justified")</f>
        <v>Spend Justified</v>
      </c>
      <c r="T782" s="51" t="str">
        <f>IF(AND(Table4[[#This Row],[Clicks]]&gt;=$B$7,Table4[[#This Row],[Sales]]&lt;=$B$6),"Poor Monetization","Normal Monitization")</f>
        <v>Normal Monitization</v>
      </c>
    </row>
    <row r="783" spans="1:20" x14ac:dyDescent="0.35">
      <c r="A783" s="41" t="s">
        <v>27</v>
      </c>
      <c r="B783" s="41" t="s">
        <v>19</v>
      </c>
      <c r="C783" s="41" t="s">
        <v>36</v>
      </c>
      <c r="D783" s="41" t="s">
        <v>43</v>
      </c>
      <c r="E783" s="41" t="s">
        <v>22</v>
      </c>
      <c r="F783" s="41">
        <v>22846.86</v>
      </c>
      <c r="G783" s="41">
        <v>747463</v>
      </c>
      <c r="H783" s="41">
        <v>32145</v>
      </c>
      <c r="I783" s="41">
        <v>191803.98</v>
      </c>
      <c r="J783" s="41">
        <v>17</v>
      </c>
      <c r="K783" s="42">
        <f t="shared" si="61"/>
        <v>4.3005473180612284E-2</v>
      </c>
      <c r="L783" s="43">
        <f t="shared" si="62"/>
        <v>8.395200916012092</v>
      </c>
      <c r="M783" s="43">
        <f t="shared" si="63"/>
        <v>7.3952009160120902</v>
      </c>
      <c r="N783" s="43">
        <f t="shared" si="64"/>
        <v>5.9668371441903876</v>
      </c>
      <c r="O783" s="1" t="str">
        <f t="shared" si="60"/>
        <v>Normal</v>
      </c>
      <c r="P783" s="51" t="str">
        <f>IF(Table4[[#This Row],[Sales]]&lt;=$B$3,"Normal","High Revenue")</f>
        <v>Normal</v>
      </c>
      <c r="Q783" s="51" t="str">
        <f>IF(Table4[[#This Row],[CTR]]&lt;=$B$4,"Normal","High CTR")</f>
        <v>Normal</v>
      </c>
      <c r="R783" s="51" t="str">
        <f>IF(Table4[[#This Row],[ROAS]]&lt;1,"Poor",IF(Table4[[#This Row],[ROAS]]&lt;3,"Average",IF(Table4[[#This Row],[ROAS]]&lt;5,"Good",
"Excellent")))</f>
        <v>Excellent</v>
      </c>
      <c r="S783" s="51" t="str">
        <f>IF(AND(Table4[[#This Row],[USD_Spend]]&gt;=$B$5,Table4[[#This Row],[Sales]]&lt;=$B$6),"Wasted Budget","Spend Justified")</f>
        <v>Spend Justified</v>
      </c>
      <c r="T783" s="51" t="str">
        <f>IF(AND(Table4[[#This Row],[Clicks]]&gt;=$B$7,Table4[[#This Row],[Sales]]&lt;=$B$6),"Poor Monetization","Normal Monitization")</f>
        <v>Normal Monitization</v>
      </c>
    </row>
    <row r="784" spans="1:20" x14ac:dyDescent="0.35">
      <c r="A784" s="38" t="s">
        <v>68</v>
      </c>
      <c r="B784" s="38" t="s">
        <v>28</v>
      </c>
      <c r="C784" s="38" t="s">
        <v>36</v>
      </c>
      <c r="D784" s="38" t="s">
        <v>21</v>
      </c>
      <c r="E784" s="38" t="s">
        <v>30</v>
      </c>
      <c r="F784" s="38">
        <v>2896.45</v>
      </c>
      <c r="G784" s="38">
        <v>274955</v>
      </c>
      <c r="H784" s="38">
        <v>43266</v>
      </c>
      <c r="I784" s="38">
        <v>42765.09</v>
      </c>
      <c r="J784" s="38">
        <v>37</v>
      </c>
      <c r="K784" s="39">
        <f t="shared" si="61"/>
        <v>0.15735665836227747</v>
      </c>
      <c r="L784" s="40">
        <f t="shared" si="62"/>
        <v>14.764656734968668</v>
      </c>
      <c r="M784" s="40">
        <f t="shared" si="63"/>
        <v>13.764656734968669</v>
      </c>
      <c r="N784" s="40">
        <f t="shared" si="64"/>
        <v>0.98842254888364989</v>
      </c>
      <c r="O784" s="1" t="str">
        <f t="shared" si="60"/>
        <v>Normal</v>
      </c>
      <c r="P784" s="51" t="str">
        <f>IF(Table4[[#This Row],[Sales]]&lt;=$B$3,"Normal","High Revenue")</f>
        <v>Normal</v>
      </c>
      <c r="Q784" s="51" t="str">
        <f>IF(Table4[[#This Row],[CTR]]&lt;=$B$4,"Normal","High CTR")</f>
        <v>Normal</v>
      </c>
      <c r="R784" s="51" t="str">
        <f>IF(Table4[[#This Row],[ROAS]]&lt;1,"Poor",IF(Table4[[#This Row],[ROAS]]&lt;3,"Average",IF(Table4[[#This Row],[ROAS]]&lt;5,"Good",
"Excellent")))</f>
        <v>Excellent</v>
      </c>
      <c r="S784" s="51" t="str">
        <f>IF(AND(Table4[[#This Row],[USD_Spend]]&gt;=$B$5,Table4[[#This Row],[Sales]]&lt;=$B$6),"Wasted Budget","Spend Justified")</f>
        <v>Spend Justified</v>
      </c>
      <c r="T784" s="51" t="str">
        <f>IF(AND(Table4[[#This Row],[Clicks]]&gt;=$B$7,Table4[[#This Row],[Sales]]&lt;=$B$6),"Poor Monetization","Normal Monitization")</f>
        <v>Poor Monetization</v>
      </c>
    </row>
    <row r="785" spans="1:20" x14ac:dyDescent="0.35">
      <c r="A785" s="41" t="s">
        <v>97</v>
      </c>
      <c r="B785" s="41" t="s">
        <v>48</v>
      </c>
      <c r="C785" s="41" t="s">
        <v>29</v>
      </c>
      <c r="D785" s="41" t="s">
        <v>51</v>
      </c>
      <c r="E785" s="41" t="s">
        <v>22</v>
      </c>
      <c r="F785" s="41">
        <v>2662.61</v>
      </c>
      <c r="G785" s="41">
        <v>863403</v>
      </c>
      <c r="H785" s="41">
        <v>12362</v>
      </c>
      <c r="I785" s="41">
        <v>184722.37</v>
      </c>
      <c r="J785" s="41">
        <v>18</v>
      </c>
      <c r="K785" s="42">
        <f t="shared" si="61"/>
        <v>1.4317763547265877E-2</v>
      </c>
      <c r="L785" s="43">
        <f t="shared" si="62"/>
        <v>69.376427640548172</v>
      </c>
      <c r="M785" s="43">
        <f t="shared" si="63"/>
        <v>68.376427640548187</v>
      </c>
      <c r="N785" s="43">
        <f t="shared" si="64"/>
        <v>14.94275764439411</v>
      </c>
      <c r="O785" s="1" t="str">
        <f t="shared" si="60"/>
        <v>Normal</v>
      </c>
      <c r="P785" s="51" t="str">
        <f>IF(Table4[[#This Row],[Sales]]&lt;=$B$3,"Normal","High Revenue")</f>
        <v>Normal</v>
      </c>
      <c r="Q785" s="51" t="str">
        <f>IF(Table4[[#This Row],[CTR]]&lt;=$B$4,"Normal","High CTR")</f>
        <v>Normal</v>
      </c>
      <c r="R785" s="51" t="str">
        <f>IF(Table4[[#This Row],[ROAS]]&lt;1,"Poor",IF(Table4[[#This Row],[ROAS]]&lt;3,"Average",IF(Table4[[#This Row],[ROAS]]&lt;5,"Good",
"Excellent")))</f>
        <v>Excellent</v>
      </c>
      <c r="S785" s="51" t="str">
        <f>IF(AND(Table4[[#This Row],[USD_Spend]]&gt;=$B$5,Table4[[#This Row],[Sales]]&lt;=$B$6),"Wasted Budget","Spend Justified")</f>
        <v>Spend Justified</v>
      </c>
      <c r="T785" s="51" t="str">
        <f>IF(AND(Table4[[#This Row],[Clicks]]&gt;=$B$7,Table4[[#This Row],[Sales]]&lt;=$B$6),"Poor Monetization","Normal Monitization")</f>
        <v>Normal Monitization</v>
      </c>
    </row>
    <row r="786" spans="1:20" x14ac:dyDescent="0.35">
      <c r="A786" s="38" t="s">
        <v>101</v>
      </c>
      <c r="B786" s="38" t="s">
        <v>19</v>
      </c>
      <c r="C786" s="38" t="s">
        <v>29</v>
      </c>
      <c r="D786" s="38" t="s">
        <v>21</v>
      </c>
      <c r="E786" s="38" t="s">
        <v>30</v>
      </c>
      <c r="F786" s="38">
        <v>30591.27</v>
      </c>
      <c r="G786" s="38">
        <v>31753</v>
      </c>
      <c r="H786" s="38">
        <v>44158</v>
      </c>
      <c r="I786" s="38">
        <v>206248.21</v>
      </c>
      <c r="J786" s="38">
        <v>59</v>
      </c>
      <c r="K786" s="39">
        <f t="shared" si="61"/>
        <v>1.3906717475514125</v>
      </c>
      <c r="L786" s="40">
        <f t="shared" si="62"/>
        <v>6.7420610520583155</v>
      </c>
      <c r="M786" s="40">
        <f t="shared" si="63"/>
        <v>5.7420610520583164</v>
      </c>
      <c r="N786" s="40">
        <f t="shared" si="64"/>
        <v>4.6706873046786539</v>
      </c>
      <c r="O786" s="1" t="str">
        <f t="shared" si="60"/>
        <v>Normal</v>
      </c>
      <c r="P786" s="51" t="str">
        <f>IF(Table4[[#This Row],[Sales]]&lt;=$B$3,"Normal","High Revenue")</f>
        <v>Normal</v>
      </c>
      <c r="Q786" s="51" t="str">
        <f>IF(Table4[[#This Row],[CTR]]&lt;=$B$4,"Normal","High CTR")</f>
        <v>High CTR</v>
      </c>
      <c r="R786" s="51" t="str">
        <f>IF(Table4[[#This Row],[ROAS]]&lt;1,"Poor",IF(Table4[[#This Row],[ROAS]]&lt;3,"Average",IF(Table4[[#This Row],[ROAS]]&lt;5,"Good",
"Excellent")))</f>
        <v>Excellent</v>
      </c>
      <c r="S786" s="51" t="str">
        <f>IF(AND(Table4[[#This Row],[USD_Spend]]&gt;=$B$5,Table4[[#This Row],[Sales]]&lt;=$B$6),"Wasted Budget","Spend Justified")</f>
        <v>Spend Justified</v>
      </c>
      <c r="T786" s="51" t="str">
        <f>IF(AND(Table4[[#This Row],[Clicks]]&gt;=$B$7,Table4[[#This Row],[Sales]]&lt;=$B$6),"Poor Monetization","Normal Monitization")</f>
        <v>Normal Monitization</v>
      </c>
    </row>
    <row r="787" spans="1:20" x14ac:dyDescent="0.35">
      <c r="A787" s="41" t="s">
        <v>107</v>
      </c>
      <c r="B787" s="41" t="s">
        <v>48</v>
      </c>
      <c r="C787" s="41" t="s">
        <v>36</v>
      </c>
      <c r="D787" s="41" t="s">
        <v>51</v>
      </c>
      <c r="E787" s="41" t="s">
        <v>38</v>
      </c>
      <c r="F787" s="41">
        <v>18011.7</v>
      </c>
      <c r="G787" s="41">
        <v>998984</v>
      </c>
      <c r="H787" s="41">
        <v>36892</v>
      </c>
      <c r="I787" s="41">
        <v>85361.54</v>
      </c>
      <c r="J787" s="41">
        <v>20</v>
      </c>
      <c r="K787" s="42">
        <f t="shared" si="61"/>
        <v>3.6929520392719004E-2</v>
      </c>
      <c r="L787" s="43">
        <f t="shared" si="62"/>
        <v>4.7392272800457471</v>
      </c>
      <c r="M787" s="43">
        <f t="shared" si="63"/>
        <v>3.7392272800457476</v>
      </c>
      <c r="N787" s="43">
        <f t="shared" si="64"/>
        <v>2.3138225089450284</v>
      </c>
      <c r="O787" s="1" t="str">
        <f t="shared" si="60"/>
        <v>Normal</v>
      </c>
      <c r="P787" s="51" t="str">
        <f>IF(Table4[[#This Row],[Sales]]&lt;=$B$3,"Normal","High Revenue")</f>
        <v>Normal</v>
      </c>
      <c r="Q787" s="51" t="str">
        <f>IF(Table4[[#This Row],[CTR]]&lt;=$B$4,"Normal","High CTR")</f>
        <v>Normal</v>
      </c>
      <c r="R787" s="51" t="str">
        <f>IF(Table4[[#This Row],[ROAS]]&lt;1,"Poor",IF(Table4[[#This Row],[ROAS]]&lt;3,"Average",IF(Table4[[#This Row],[ROAS]]&lt;5,"Good",
"Excellent")))</f>
        <v>Good</v>
      </c>
      <c r="S787" s="51" t="str">
        <f>IF(AND(Table4[[#This Row],[USD_Spend]]&gt;=$B$5,Table4[[#This Row],[Sales]]&lt;=$B$6),"Wasted Budget","Spend Justified")</f>
        <v>Spend Justified</v>
      </c>
      <c r="T787" s="51" t="str">
        <f>IF(AND(Table4[[#This Row],[Clicks]]&gt;=$B$7,Table4[[#This Row],[Sales]]&lt;=$B$6),"Poor Monetization","Normal Monitization")</f>
        <v>Normal Monitization</v>
      </c>
    </row>
    <row r="788" spans="1:20" x14ac:dyDescent="0.35">
      <c r="A788" s="38" t="s">
        <v>70</v>
      </c>
      <c r="B788" s="38" t="s">
        <v>48</v>
      </c>
      <c r="C788" s="38" t="s">
        <v>58</v>
      </c>
      <c r="D788" s="38" t="s">
        <v>51</v>
      </c>
      <c r="E788" s="38" t="s">
        <v>22</v>
      </c>
      <c r="F788" s="38">
        <v>8210.9500000000007</v>
      </c>
      <c r="G788" s="38">
        <v>617488</v>
      </c>
      <c r="H788" s="38">
        <v>15368</v>
      </c>
      <c r="I788" s="38">
        <v>231579.87</v>
      </c>
      <c r="J788" s="38">
        <v>61</v>
      </c>
      <c r="K788" s="39">
        <f t="shared" si="61"/>
        <v>2.4887933044852692E-2</v>
      </c>
      <c r="L788" s="40">
        <f t="shared" si="62"/>
        <v>28.20378518928991</v>
      </c>
      <c r="M788" s="40">
        <f t="shared" si="63"/>
        <v>27.203785189289906</v>
      </c>
      <c r="N788" s="40">
        <f t="shared" si="64"/>
        <v>15.068966033315981</v>
      </c>
      <c r="O788" s="1" t="str">
        <f t="shared" si="60"/>
        <v>Normal</v>
      </c>
      <c r="P788" s="51" t="str">
        <f>IF(Table4[[#This Row],[Sales]]&lt;=$B$3,"Normal","High Revenue")</f>
        <v>Normal</v>
      </c>
      <c r="Q788" s="51" t="str">
        <f>IF(Table4[[#This Row],[CTR]]&lt;=$B$4,"Normal","High CTR")</f>
        <v>Normal</v>
      </c>
      <c r="R788" s="51" t="str">
        <f>IF(Table4[[#This Row],[ROAS]]&lt;1,"Poor",IF(Table4[[#This Row],[ROAS]]&lt;3,"Average",IF(Table4[[#This Row],[ROAS]]&lt;5,"Good",
"Excellent")))</f>
        <v>Excellent</v>
      </c>
      <c r="S788" s="51" t="str">
        <f>IF(AND(Table4[[#This Row],[USD_Spend]]&gt;=$B$5,Table4[[#This Row],[Sales]]&lt;=$B$6),"Wasted Budget","Spend Justified")</f>
        <v>Spend Justified</v>
      </c>
      <c r="T788" s="51" t="str">
        <f>IF(AND(Table4[[#This Row],[Clicks]]&gt;=$B$7,Table4[[#This Row],[Sales]]&lt;=$B$6),"Poor Monetization","Normal Monitization")</f>
        <v>Normal Monitization</v>
      </c>
    </row>
    <row r="789" spans="1:20" x14ac:dyDescent="0.35">
      <c r="A789" s="41" t="s">
        <v>47</v>
      </c>
      <c r="B789" s="41" t="s">
        <v>28</v>
      </c>
      <c r="C789" s="41" t="s">
        <v>36</v>
      </c>
      <c r="D789" s="41" t="s">
        <v>63</v>
      </c>
      <c r="E789" s="41" t="s">
        <v>22</v>
      </c>
      <c r="F789" s="41">
        <v>14175.39</v>
      </c>
      <c r="G789" s="41">
        <v>676216</v>
      </c>
      <c r="H789" s="41">
        <v>45164</v>
      </c>
      <c r="I789" s="41">
        <v>82901.91</v>
      </c>
      <c r="J789" s="41">
        <v>55</v>
      </c>
      <c r="K789" s="42">
        <f t="shared" si="61"/>
        <v>6.6789309924639467E-2</v>
      </c>
      <c r="L789" s="43">
        <f t="shared" si="62"/>
        <v>5.8482983536960891</v>
      </c>
      <c r="M789" s="43">
        <f t="shared" si="63"/>
        <v>4.8482983536960891</v>
      </c>
      <c r="N789" s="43">
        <f t="shared" si="64"/>
        <v>1.8355750154990702</v>
      </c>
      <c r="O789" s="1" t="str">
        <f t="shared" si="60"/>
        <v>Normal</v>
      </c>
      <c r="P789" s="51" t="str">
        <f>IF(Table4[[#This Row],[Sales]]&lt;=$B$3,"Normal","High Revenue")</f>
        <v>Normal</v>
      </c>
      <c r="Q789" s="51" t="str">
        <f>IF(Table4[[#This Row],[CTR]]&lt;=$B$4,"Normal","High CTR")</f>
        <v>Normal</v>
      </c>
      <c r="R789" s="51" t="str">
        <f>IF(Table4[[#This Row],[ROAS]]&lt;1,"Poor",IF(Table4[[#This Row],[ROAS]]&lt;3,"Average",IF(Table4[[#This Row],[ROAS]]&lt;5,"Good",
"Excellent")))</f>
        <v>Excellent</v>
      </c>
      <c r="S789" s="51" t="str">
        <f>IF(AND(Table4[[#This Row],[USD_Spend]]&gt;=$B$5,Table4[[#This Row],[Sales]]&lt;=$B$6),"Wasted Budget","Spend Justified")</f>
        <v>Spend Justified</v>
      </c>
      <c r="T789" s="51" t="str">
        <f>IF(AND(Table4[[#This Row],[Clicks]]&gt;=$B$7,Table4[[#This Row],[Sales]]&lt;=$B$6),"Poor Monetization","Normal Monitization")</f>
        <v>Normal Monitization</v>
      </c>
    </row>
    <row r="790" spans="1:20" x14ac:dyDescent="0.35">
      <c r="A790" s="38" t="s">
        <v>104</v>
      </c>
      <c r="B790" s="38" t="s">
        <v>35</v>
      </c>
      <c r="C790" s="38" t="s">
        <v>58</v>
      </c>
      <c r="D790" s="38" t="s">
        <v>63</v>
      </c>
      <c r="E790" s="38" t="s">
        <v>30</v>
      </c>
      <c r="F790" s="38">
        <v>21499.79</v>
      </c>
      <c r="G790" s="38">
        <v>810152</v>
      </c>
      <c r="H790" s="38">
        <v>5138</v>
      </c>
      <c r="I790" s="38">
        <v>145610.84</v>
      </c>
      <c r="J790" s="38">
        <v>34</v>
      </c>
      <c r="K790" s="39">
        <f t="shared" si="61"/>
        <v>6.3420197691297434E-3</v>
      </c>
      <c r="L790" s="40">
        <f t="shared" si="62"/>
        <v>6.7726633608979432</v>
      </c>
      <c r="M790" s="40">
        <f t="shared" si="63"/>
        <v>5.7726633608979432</v>
      </c>
      <c r="N790" s="40">
        <f t="shared" si="64"/>
        <v>28.339984429739197</v>
      </c>
      <c r="O790" s="1" t="str">
        <f t="shared" si="60"/>
        <v>Normal</v>
      </c>
      <c r="P790" s="51" t="str">
        <f>IF(Table4[[#This Row],[Sales]]&lt;=$B$3,"Normal","High Revenue")</f>
        <v>Normal</v>
      </c>
      <c r="Q790" s="51" t="str">
        <f>IF(Table4[[#This Row],[CTR]]&lt;=$B$4,"Normal","High CTR")</f>
        <v>Normal</v>
      </c>
      <c r="R790" s="51" t="str">
        <f>IF(Table4[[#This Row],[ROAS]]&lt;1,"Poor",IF(Table4[[#This Row],[ROAS]]&lt;3,"Average",IF(Table4[[#This Row],[ROAS]]&lt;5,"Good",
"Excellent")))</f>
        <v>Excellent</v>
      </c>
      <c r="S790" s="51" t="str">
        <f>IF(AND(Table4[[#This Row],[USD_Spend]]&gt;=$B$5,Table4[[#This Row],[Sales]]&lt;=$B$6),"Wasted Budget","Spend Justified")</f>
        <v>Spend Justified</v>
      </c>
      <c r="T790" s="51" t="str">
        <f>IF(AND(Table4[[#This Row],[Clicks]]&gt;=$B$7,Table4[[#This Row],[Sales]]&lt;=$B$6),"Poor Monetization","Normal Monitization")</f>
        <v>Normal Monitization</v>
      </c>
    </row>
    <row r="791" spans="1:20" x14ac:dyDescent="0.35">
      <c r="A791" s="41" t="s">
        <v>109</v>
      </c>
      <c r="B791" s="41" t="s">
        <v>48</v>
      </c>
      <c r="C791" s="41" t="s">
        <v>58</v>
      </c>
      <c r="D791" s="41" t="s">
        <v>59</v>
      </c>
      <c r="E791" s="41" t="s">
        <v>38</v>
      </c>
      <c r="F791" s="41">
        <v>28071.99</v>
      </c>
      <c r="G791" s="41">
        <v>973798</v>
      </c>
      <c r="H791" s="41">
        <v>37590</v>
      </c>
      <c r="I791" s="41">
        <v>127958.75</v>
      </c>
      <c r="J791" s="41">
        <v>35</v>
      </c>
      <c r="K791" s="42">
        <f t="shared" si="61"/>
        <v>3.86014347944851E-2</v>
      </c>
      <c r="L791" s="43">
        <f t="shared" si="62"/>
        <v>4.5582358072940323</v>
      </c>
      <c r="M791" s="43">
        <f t="shared" si="63"/>
        <v>3.5582358072940319</v>
      </c>
      <c r="N791" s="43">
        <f t="shared" si="64"/>
        <v>3.4040635807395585</v>
      </c>
      <c r="O791" s="1" t="str">
        <f t="shared" si="60"/>
        <v>Normal</v>
      </c>
      <c r="P791" s="51" t="str">
        <f>IF(Table4[[#This Row],[Sales]]&lt;=$B$3,"Normal","High Revenue")</f>
        <v>Normal</v>
      </c>
      <c r="Q791" s="51" t="str">
        <f>IF(Table4[[#This Row],[CTR]]&lt;=$B$4,"Normal","High CTR")</f>
        <v>Normal</v>
      </c>
      <c r="R791" s="51" t="str">
        <f>IF(Table4[[#This Row],[ROAS]]&lt;1,"Poor",IF(Table4[[#This Row],[ROAS]]&lt;3,"Average",IF(Table4[[#This Row],[ROAS]]&lt;5,"Good",
"Excellent")))</f>
        <v>Good</v>
      </c>
      <c r="S791" s="51" t="str">
        <f>IF(AND(Table4[[#This Row],[USD_Spend]]&gt;=$B$5,Table4[[#This Row],[Sales]]&lt;=$B$6),"Wasted Budget","Spend Justified")</f>
        <v>Spend Justified</v>
      </c>
      <c r="T791" s="51" t="str">
        <f>IF(AND(Table4[[#This Row],[Clicks]]&gt;=$B$7,Table4[[#This Row],[Sales]]&lt;=$B$6),"Poor Monetization","Normal Monitization")</f>
        <v>Normal Monitization</v>
      </c>
    </row>
    <row r="792" spans="1:20" x14ac:dyDescent="0.35">
      <c r="A792" s="38" t="s">
        <v>64</v>
      </c>
      <c r="B792" s="38" t="s">
        <v>28</v>
      </c>
      <c r="C792" s="38" t="s">
        <v>36</v>
      </c>
      <c r="D792" s="38" t="s">
        <v>51</v>
      </c>
      <c r="E792" s="38" t="s">
        <v>30</v>
      </c>
      <c r="F792" s="38">
        <v>34943.42</v>
      </c>
      <c r="G792" s="38">
        <v>366699</v>
      </c>
      <c r="H792" s="38">
        <v>7410</v>
      </c>
      <c r="I792" s="38">
        <v>76907.53</v>
      </c>
      <c r="J792" s="38">
        <v>40</v>
      </c>
      <c r="K792" s="39">
        <f t="shared" si="61"/>
        <v>2.0207308991843448E-2</v>
      </c>
      <c r="L792" s="40">
        <f t="shared" si="62"/>
        <v>2.2009159378217702</v>
      </c>
      <c r="M792" s="40">
        <f t="shared" si="63"/>
        <v>1.2009159378217702</v>
      </c>
      <c r="N792" s="40">
        <f t="shared" si="64"/>
        <v>10.378883940620783</v>
      </c>
      <c r="O792" s="1" t="str">
        <f t="shared" si="60"/>
        <v>Normal</v>
      </c>
      <c r="P792" s="51" t="str">
        <f>IF(Table4[[#This Row],[Sales]]&lt;=$B$3,"Normal","High Revenue")</f>
        <v>Normal</v>
      </c>
      <c r="Q792" s="51" t="str">
        <f>IF(Table4[[#This Row],[CTR]]&lt;=$B$4,"Normal","High CTR")</f>
        <v>Normal</v>
      </c>
      <c r="R792" s="51" t="str">
        <f>IF(Table4[[#This Row],[ROAS]]&lt;1,"Poor",IF(Table4[[#This Row],[ROAS]]&lt;3,"Average",IF(Table4[[#This Row],[ROAS]]&lt;5,"Good",
"Excellent")))</f>
        <v>Average</v>
      </c>
      <c r="S792" s="51" t="str">
        <f>IF(AND(Table4[[#This Row],[USD_Spend]]&gt;=$B$5,Table4[[#This Row],[Sales]]&lt;=$B$6),"Wasted Budget","Spend Justified")</f>
        <v>Spend Justified</v>
      </c>
      <c r="T792" s="51" t="str">
        <f>IF(AND(Table4[[#This Row],[Clicks]]&gt;=$B$7,Table4[[#This Row],[Sales]]&lt;=$B$6),"Poor Monetization","Normal Monitization")</f>
        <v>Normal Monitization</v>
      </c>
    </row>
    <row r="793" spans="1:20" x14ac:dyDescent="0.35">
      <c r="A793" s="41" t="s">
        <v>109</v>
      </c>
      <c r="B793" s="41" t="s">
        <v>35</v>
      </c>
      <c r="C793" s="41" t="s">
        <v>69</v>
      </c>
      <c r="D793" s="41" t="s">
        <v>37</v>
      </c>
      <c r="E793" s="41" t="s">
        <v>30</v>
      </c>
      <c r="F793" s="41">
        <v>50925.89</v>
      </c>
      <c r="G793" s="41">
        <v>992486</v>
      </c>
      <c r="H793" s="41">
        <v>9596</v>
      </c>
      <c r="I793" s="41">
        <v>93934.51</v>
      </c>
      <c r="J793" s="41">
        <v>21</v>
      </c>
      <c r="K793" s="42">
        <f t="shared" si="61"/>
        <v>9.6686502378874866E-3</v>
      </c>
      <c r="L793" s="43">
        <f t="shared" si="62"/>
        <v>1.8445334975981764</v>
      </c>
      <c r="M793" s="43">
        <f t="shared" si="63"/>
        <v>0.84453349759817642</v>
      </c>
      <c r="N793" s="43">
        <f t="shared" si="64"/>
        <v>9.7889235097957474</v>
      </c>
      <c r="O793" s="1" t="str">
        <f t="shared" si="60"/>
        <v>High Spend</v>
      </c>
      <c r="P793" s="51" t="str">
        <f>IF(Table4[[#This Row],[Sales]]&lt;=$B$3,"Normal","High Revenue")</f>
        <v>Normal</v>
      </c>
      <c r="Q793" s="51" t="str">
        <f>IF(Table4[[#This Row],[CTR]]&lt;=$B$4,"Normal","High CTR")</f>
        <v>Normal</v>
      </c>
      <c r="R793" s="51" t="str">
        <f>IF(Table4[[#This Row],[ROAS]]&lt;1,"Poor",IF(Table4[[#This Row],[ROAS]]&lt;3,"Average",IF(Table4[[#This Row],[ROAS]]&lt;5,"Good",
"Excellent")))</f>
        <v>Average</v>
      </c>
      <c r="S793" s="51" t="str">
        <f>IF(AND(Table4[[#This Row],[USD_Spend]]&gt;=$B$5,Table4[[#This Row],[Sales]]&lt;=$B$6),"Wasted Budget","Spend Justified")</f>
        <v>Spend Justified</v>
      </c>
      <c r="T793" s="51" t="str">
        <f>IF(AND(Table4[[#This Row],[Clicks]]&gt;=$B$7,Table4[[#This Row],[Sales]]&lt;=$B$6),"Poor Monetization","Normal Monitization")</f>
        <v>Normal Monitization</v>
      </c>
    </row>
    <row r="794" spans="1:20" x14ac:dyDescent="0.35">
      <c r="A794" s="38" t="s">
        <v>92</v>
      </c>
      <c r="B794" s="38" t="s">
        <v>35</v>
      </c>
      <c r="C794" s="38" t="s">
        <v>69</v>
      </c>
      <c r="D794" s="38" t="s">
        <v>37</v>
      </c>
      <c r="E794" s="38" t="s">
        <v>30</v>
      </c>
      <c r="F794" s="38">
        <v>30221.87</v>
      </c>
      <c r="G794" s="38">
        <v>53993</v>
      </c>
      <c r="H794" s="38">
        <v>36368</v>
      </c>
      <c r="I794" s="38">
        <v>180752.64000000001</v>
      </c>
      <c r="J794" s="38">
        <v>38</v>
      </c>
      <c r="K794" s="39">
        <f t="shared" si="61"/>
        <v>0.67356879595503116</v>
      </c>
      <c r="L794" s="40">
        <f t="shared" si="62"/>
        <v>5.9808555857066432</v>
      </c>
      <c r="M794" s="40">
        <f t="shared" si="63"/>
        <v>4.9808555857066432</v>
      </c>
      <c r="N794" s="40">
        <f t="shared" si="64"/>
        <v>4.9701011878574572</v>
      </c>
      <c r="O794" s="1" t="str">
        <f t="shared" si="60"/>
        <v>Normal</v>
      </c>
      <c r="P794" s="51" t="str">
        <f>IF(Table4[[#This Row],[Sales]]&lt;=$B$3,"Normal","High Revenue")</f>
        <v>Normal</v>
      </c>
      <c r="Q794" s="51" t="str">
        <f>IF(Table4[[#This Row],[CTR]]&lt;=$B$4,"Normal","High CTR")</f>
        <v>High CTR</v>
      </c>
      <c r="R794" s="51" t="str">
        <f>IF(Table4[[#This Row],[ROAS]]&lt;1,"Poor",IF(Table4[[#This Row],[ROAS]]&lt;3,"Average",IF(Table4[[#This Row],[ROAS]]&lt;5,"Good",
"Excellent")))</f>
        <v>Excellent</v>
      </c>
      <c r="S794" s="51" t="str">
        <f>IF(AND(Table4[[#This Row],[USD_Spend]]&gt;=$B$5,Table4[[#This Row],[Sales]]&lt;=$B$6),"Wasted Budget","Spend Justified")</f>
        <v>Spend Justified</v>
      </c>
      <c r="T794" s="51" t="str">
        <f>IF(AND(Table4[[#This Row],[Clicks]]&gt;=$B$7,Table4[[#This Row],[Sales]]&lt;=$B$6),"Poor Monetization","Normal Monitization")</f>
        <v>Normal Monitization</v>
      </c>
    </row>
    <row r="795" spans="1:20" x14ac:dyDescent="0.35">
      <c r="A795" s="41" t="s">
        <v>88</v>
      </c>
      <c r="B795" s="41" t="s">
        <v>35</v>
      </c>
      <c r="C795" s="41" t="s">
        <v>20</v>
      </c>
      <c r="D795" s="41" t="s">
        <v>51</v>
      </c>
      <c r="E795" s="41" t="s">
        <v>22</v>
      </c>
      <c r="F795" s="41">
        <v>4362.78</v>
      </c>
      <c r="G795" s="41">
        <v>454114</v>
      </c>
      <c r="H795" s="41">
        <v>24038</v>
      </c>
      <c r="I795" s="41">
        <v>90335.42</v>
      </c>
      <c r="J795" s="41">
        <v>42</v>
      </c>
      <c r="K795" s="42">
        <f t="shared" si="61"/>
        <v>5.293384480548937E-2</v>
      </c>
      <c r="L795" s="43">
        <f t="shared" si="62"/>
        <v>20.705930622217945</v>
      </c>
      <c r="M795" s="43">
        <f t="shared" si="63"/>
        <v>19.705930622217945</v>
      </c>
      <c r="N795" s="43">
        <f t="shared" si="64"/>
        <v>3.7580256260920208</v>
      </c>
      <c r="O795" s="1" t="str">
        <f t="shared" si="60"/>
        <v>Normal</v>
      </c>
      <c r="P795" s="51" t="str">
        <f>IF(Table4[[#This Row],[Sales]]&lt;=$B$3,"Normal","High Revenue")</f>
        <v>Normal</v>
      </c>
      <c r="Q795" s="51" t="str">
        <f>IF(Table4[[#This Row],[CTR]]&lt;=$B$4,"Normal","High CTR")</f>
        <v>Normal</v>
      </c>
      <c r="R795" s="51" t="str">
        <f>IF(Table4[[#This Row],[ROAS]]&lt;1,"Poor",IF(Table4[[#This Row],[ROAS]]&lt;3,"Average",IF(Table4[[#This Row],[ROAS]]&lt;5,"Good",
"Excellent")))</f>
        <v>Excellent</v>
      </c>
      <c r="S795" s="51" t="str">
        <f>IF(AND(Table4[[#This Row],[USD_Spend]]&gt;=$B$5,Table4[[#This Row],[Sales]]&lt;=$B$6),"Wasted Budget","Spend Justified")</f>
        <v>Spend Justified</v>
      </c>
      <c r="T795" s="51" t="str">
        <f>IF(AND(Table4[[#This Row],[Clicks]]&gt;=$B$7,Table4[[#This Row],[Sales]]&lt;=$B$6),"Poor Monetization","Normal Monitization")</f>
        <v>Normal Monitization</v>
      </c>
    </row>
    <row r="796" spans="1:20" x14ac:dyDescent="0.35">
      <c r="A796" s="38" t="s">
        <v>107</v>
      </c>
      <c r="B796" s="38" t="s">
        <v>19</v>
      </c>
      <c r="C796" s="38" t="s">
        <v>36</v>
      </c>
      <c r="D796" s="38" t="s">
        <v>43</v>
      </c>
      <c r="E796" s="38" t="s">
        <v>30</v>
      </c>
      <c r="F796" s="38">
        <v>15909.81</v>
      </c>
      <c r="G796" s="38">
        <v>274132</v>
      </c>
      <c r="H796" s="38">
        <v>12753</v>
      </c>
      <c r="I796" s="38">
        <v>13340.23</v>
      </c>
      <c r="J796" s="38">
        <v>34</v>
      </c>
      <c r="K796" s="39">
        <f t="shared" si="61"/>
        <v>4.6521383858870911E-2</v>
      </c>
      <c r="L796" s="40">
        <f t="shared" si="62"/>
        <v>0.83849084307103605</v>
      </c>
      <c r="M796" s="40">
        <f t="shared" si="63"/>
        <v>-0.16150915692896395</v>
      </c>
      <c r="N796" s="40">
        <f t="shared" si="64"/>
        <v>1.0460464204500901</v>
      </c>
      <c r="O796" s="1" t="str">
        <f t="shared" si="60"/>
        <v>Normal</v>
      </c>
      <c r="P796" s="51" t="str">
        <f>IF(Table4[[#This Row],[Sales]]&lt;=$B$3,"Normal","High Revenue")</f>
        <v>Normal</v>
      </c>
      <c r="Q796" s="51" t="str">
        <f>IF(Table4[[#This Row],[CTR]]&lt;=$B$4,"Normal","High CTR")</f>
        <v>Normal</v>
      </c>
      <c r="R796" s="51" t="str">
        <f>IF(Table4[[#This Row],[ROAS]]&lt;1,"Poor",IF(Table4[[#This Row],[ROAS]]&lt;3,"Average",IF(Table4[[#This Row],[ROAS]]&lt;5,"Good",
"Excellent")))</f>
        <v>Poor</v>
      </c>
      <c r="S796" s="51" t="str">
        <f>IF(AND(Table4[[#This Row],[USD_Spend]]&gt;=$B$5,Table4[[#This Row],[Sales]]&lt;=$B$6),"Wasted Budget","Spend Justified")</f>
        <v>Wasted Budget</v>
      </c>
      <c r="T796" s="51" t="str">
        <f>IF(AND(Table4[[#This Row],[Clicks]]&gt;=$B$7,Table4[[#This Row],[Sales]]&lt;=$B$6),"Poor Monetization","Normal Monitization")</f>
        <v>Normal Monitization</v>
      </c>
    </row>
    <row r="797" spans="1:20" x14ac:dyDescent="0.35">
      <c r="A797" s="41" t="s">
        <v>64</v>
      </c>
      <c r="B797" s="41" t="s">
        <v>28</v>
      </c>
      <c r="C797" s="41" t="s">
        <v>69</v>
      </c>
      <c r="D797" s="41" t="s">
        <v>21</v>
      </c>
      <c r="E797" s="41" t="s">
        <v>38</v>
      </c>
      <c r="F797" s="41">
        <v>3070.84</v>
      </c>
      <c r="G797" s="41">
        <v>291444</v>
      </c>
      <c r="H797" s="41">
        <v>32417</v>
      </c>
      <c r="I797" s="41">
        <v>40754.03</v>
      </c>
      <c r="J797" s="41">
        <v>30</v>
      </c>
      <c r="K797" s="42">
        <f t="shared" si="61"/>
        <v>0.11122891533193341</v>
      </c>
      <c r="L797" s="43">
        <f t="shared" si="62"/>
        <v>13.27129710437535</v>
      </c>
      <c r="M797" s="43">
        <f t="shared" si="63"/>
        <v>12.27129710437535</v>
      </c>
      <c r="N797" s="43">
        <f t="shared" si="64"/>
        <v>1.2571808001974272</v>
      </c>
      <c r="O797" s="1" t="str">
        <f t="shared" si="60"/>
        <v>Normal</v>
      </c>
      <c r="P797" s="51" t="str">
        <f>IF(Table4[[#This Row],[Sales]]&lt;=$B$3,"Normal","High Revenue")</f>
        <v>Normal</v>
      </c>
      <c r="Q797" s="51" t="str">
        <f>IF(Table4[[#This Row],[CTR]]&lt;=$B$4,"Normal","High CTR")</f>
        <v>Normal</v>
      </c>
      <c r="R797" s="51" t="str">
        <f>IF(Table4[[#This Row],[ROAS]]&lt;1,"Poor",IF(Table4[[#This Row],[ROAS]]&lt;3,"Average",IF(Table4[[#This Row],[ROAS]]&lt;5,"Good",
"Excellent")))</f>
        <v>Excellent</v>
      </c>
      <c r="S797" s="51" t="str">
        <f>IF(AND(Table4[[#This Row],[USD_Spend]]&gt;=$B$5,Table4[[#This Row],[Sales]]&lt;=$B$6),"Wasted Budget","Spend Justified")</f>
        <v>Spend Justified</v>
      </c>
      <c r="T797" s="51" t="str">
        <f>IF(AND(Table4[[#This Row],[Clicks]]&gt;=$B$7,Table4[[#This Row],[Sales]]&lt;=$B$6),"Poor Monetization","Normal Monitization")</f>
        <v>Normal Monitization</v>
      </c>
    </row>
    <row r="798" spans="1:20" x14ac:dyDescent="0.35">
      <c r="A798" s="38" t="s">
        <v>94</v>
      </c>
      <c r="B798" s="38" t="s">
        <v>19</v>
      </c>
      <c r="C798" s="38" t="s">
        <v>29</v>
      </c>
      <c r="D798" s="38" t="s">
        <v>37</v>
      </c>
      <c r="E798" s="38" t="s">
        <v>38</v>
      </c>
      <c r="F798" s="38">
        <v>33188.639999999999</v>
      </c>
      <c r="G798" s="38">
        <v>117022</v>
      </c>
      <c r="H798" s="38">
        <v>9752</v>
      </c>
      <c r="I798" s="38">
        <v>117933.75999999999</v>
      </c>
      <c r="J798" s="38">
        <v>25</v>
      </c>
      <c r="K798" s="39">
        <f t="shared" si="61"/>
        <v>8.3334757566953216E-2</v>
      </c>
      <c r="L798" s="40">
        <f t="shared" si="62"/>
        <v>3.5534375617681229</v>
      </c>
      <c r="M798" s="40">
        <f t="shared" si="63"/>
        <v>2.5534375617681229</v>
      </c>
      <c r="N798" s="40">
        <f t="shared" si="64"/>
        <v>12.093289581624282</v>
      </c>
      <c r="O798" s="1" t="str">
        <f t="shared" si="60"/>
        <v>Normal</v>
      </c>
      <c r="P798" s="51" t="str">
        <f>IF(Table4[[#This Row],[Sales]]&lt;=$B$3,"Normal","High Revenue")</f>
        <v>Normal</v>
      </c>
      <c r="Q798" s="51" t="str">
        <f>IF(Table4[[#This Row],[CTR]]&lt;=$B$4,"Normal","High CTR")</f>
        <v>Normal</v>
      </c>
      <c r="R798" s="51" t="str">
        <f>IF(Table4[[#This Row],[ROAS]]&lt;1,"Poor",IF(Table4[[#This Row],[ROAS]]&lt;3,"Average",IF(Table4[[#This Row],[ROAS]]&lt;5,"Good",
"Excellent")))</f>
        <v>Good</v>
      </c>
      <c r="S798" s="51" t="str">
        <f>IF(AND(Table4[[#This Row],[USD_Spend]]&gt;=$B$5,Table4[[#This Row],[Sales]]&lt;=$B$6),"Wasted Budget","Spend Justified")</f>
        <v>Spend Justified</v>
      </c>
      <c r="T798" s="51" t="str">
        <f>IF(AND(Table4[[#This Row],[Clicks]]&gt;=$B$7,Table4[[#This Row],[Sales]]&lt;=$B$6),"Poor Monetization","Normal Monitization")</f>
        <v>Normal Monitization</v>
      </c>
    </row>
    <row r="799" spans="1:20" x14ac:dyDescent="0.35">
      <c r="A799" s="41" t="s">
        <v>85</v>
      </c>
      <c r="B799" s="41" t="s">
        <v>19</v>
      </c>
      <c r="C799" s="41" t="s">
        <v>69</v>
      </c>
      <c r="D799" s="41" t="s">
        <v>51</v>
      </c>
      <c r="E799" s="41" t="s">
        <v>22</v>
      </c>
      <c r="F799" s="41">
        <v>28488.720000000001</v>
      </c>
      <c r="G799" s="41">
        <v>159600</v>
      </c>
      <c r="H799" s="41">
        <v>24925</v>
      </c>
      <c r="I799" s="41">
        <v>144052.39000000001</v>
      </c>
      <c r="J799" s="41">
        <v>38</v>
      </c>
      <c r="K799" s="42">
        <f t="shared" si="61"/>
        <v>0.15617167919799499</v>
      </c>
      <c r="L799" s="43">
        <f t="shared" si="62"/>
        <v>5.0564711226057195</v>
      </c>
      <c r="M799" s="43">
        <f t="shared" si="63"/>
        <v>4.0564711226057195</v>
      </c>
      <c r="N799" s="43">
        <f t="shared" si="64"/>
        <v>5.779433901705116</v>
      </c>
      <c r="O799" s="1" t="str">
        <f t="shared" si="60"/>
        <v>Normal</v>
      </c>
      <c r="P799" s="51" t="str">
        <f>IF(Table4[[#This Row],[Sales]]&lt;=$B$3,"Normal","High Revenue")</f>
        <v>Normal</v>
      </c>
      <c r="Q799" s="51" t="str">
        <f>IF(Table4[[#This Row],[CTR]]&lt;=$B$4,"Normal","High CTR")</f>
        <v>Normal</v>
      </c>
      <c r="R799" s="51" t="str">
        <f>IF(Table4[[#This Row],[ROAS]]&lt;1,"Poor",IF(Table4[[#This Row],[ROAS]]&lt;3,"Average",IF(Table4[[#This Row],[ROAS]]&lt;5,"Good",
"Excellent")))</f>
        <v>Excellent</v>
      </c>
      <c r="S799" s="51" t="str">
        <f>IF(AND(Table4[[#This Row],[USD_Spend]]&gt;=$B$5,Table4[[#This Row],[Sales]]&lt;=$B$6),"Wasted Budget","Spend Justified")</f>
        <v>Spend Justified</v>
      </c>
      <c r="T799" s="51" t="str">
        <f>IF(AND(Table4[[#This Row],[Clicks]]&gt;=$B$7,Table4[[#This Row],[Sales]]&lt;=$B$6),"Poor Monetization","Normal Monitization")</f>
        <v>Normal Monitization</v>
      </c>
    </row>
    <row r="800" spans="1:20" x14ac:dyDescent="0.35">
      <c r="A800" s="38" t="s">
        <v>110</v>
      </c>
      <c r="B800" s="38" t="s">
        <v>35</v>
      </c>
      <c r="C800" s="38" t="s">
        <v>36</v>
      </c>
      <c r="D800" s="38" t="s">
        <v>59</v>
      </c>
      <c r="E800" s="38" t="s">
        <v>30</v>
      </c>
      <c r="F800" s="38">
        <v>7429.27</v>
      </c>
      <c r="G800" s="38">
        <v>962424</v>
      </c>
      <c r="H800" s="38">
        <v>29648</v>
      </c>
      <c r="I800" s="38">
        <v>203094.52</v>
      </c>
      <c r="J800" s="38">
        <v>32</v>
      </c>
      <c r="K800" s="39">
        <f t="shared" si="61"/>
        <v>3.080554932129706E-2</v>
      </c>
      <c r="L800" s="40">
        <f t="shared" si="62"/>
        <v>27.337076186489384</v>
      </c>
      <c r="M800" s="40">
        <f t="shared" si="63"/>
        <v>26.337076186489384</v>
      </c>
      <c r="N800" s="40">
        <f t="shared" si="64"/>
        <v>6.8501929303831623</v>
      </c>
      <c r="O800" s="1" t="str">
        <f t="shared" si="60"/>
        <v>Normal</v>
      </c>
      <c r="P800" s="51" t="str">
        <f>IF(Table4[[#This Row],[Sales]]&lt;=$B$3,"Normal","High Revenue")</f>
        <v>Normal</v>
      </c>
      <c r="Q800" s="51" t="str">
        <f>IF(Table4[[#This Row],[CTR]]&lt;=$B$4,"Normal","High CTR")</f>
        <v>Normal</v>
      </c>
      <c r="R800" s="51" t="str">
        <f>IF(Table4[[#This Row],[ROAS]]&lt;1,"Poor",IF(Table4[[#This Row],[ROAS]]&lt;3,"Average",IF(Table4[[#This Row],[ROAS]]&lt;5,"Good",
"Excellent")))</f>
        <v>Excellent</v>
      </c>
      <c r="S800" s="51" t="str">
        <f>IF(AND(Table4[[#This Row],[USD_Spend]]&gt;=$B$5,Table4[[#This Row],[Sales]]&lt;=$B$6),"Wasted Budget","Spend Justified")</f>
        <v>Spend Justified</v>
      </c>
      <c r="T800" s="51" t="str">
        <f>IF(AND(Table4[[#This Row],[Clicks]]&gt;=$B$7,Table4[[#This Row],[Sales]]&lt;=$B$6),"Poor Monetization","Normal Monitization")</f>
        <v>Normal Monitization</v>
      </c>
    </row>
    <row r="801" spans="1:20" x14ac:dyDescent="0.35">
      <c r="A801" s="41" t="s">
        <v>79</v>
      </c>
      <c r="B801" s="41" t="s">
        <v>19</v>
      </c>
      <c r="C801" s="41" t="s">
        <v>69</v>
      </c>
      <c r="D801" s="41" t="s">
        <v>63</v>
      </c>
      <c r="E801" s="41" t="s">
        <v>30</v>
      </c>
      <c r="F801" s="41">
        <v>3790.67</v>
      </c>
      <c r="G801" s="41">
        <v>55168</v>
      </c>
      <c r="H801" s="41">
        <v>7361</v>
      </c>
      <c r="I801" s="41">
        <v>16760.830000000002</v>
      </c>
      <c r="J801" s="41">
        <v>61</v>
      </c>
      <c r="K801" s="42">
        <f t="shared" si="61"/>
        <v>0.13342879930394433</v>
      </c>
      <c r="L801" s="43">
        <f t="shared" si="62"/>
        <v>4.4216009307061812</v>
      </c>
      <c r="M801" s="43">
        <f t="shared" si="63"/>
        <v>3.4216009307061817</v>
      </c>
      <c r="N801" s="43">
        <f t="shared" si="64"/>
        <v>2.2769773128651001</v>
      </c>
      <c r="O801" s="1" t="str">
        <f t="shared" si="60"/>
        <v>Normal</v>
      </c>
      <c r="P801" s="51" t="str">
        <f>IF(Table4[[#This Row],[Sales]]&lt;=$B$3,"Normal","High Revenue")</f>
        <v>Normal</v>
      </c>
      <c r="Q801" s="51" t="str">
        <f>IF(Table4[[#This Row],[CTR]]&lt;=$B$4,"Normal","High CTR")</f>
        <v>Normal</v>
      </c>
      <c r="R801" s="51" t="str">
        <f>IF(Table4[[#This Row],[ROAS]]&lt;1,"Poor",IF(Table4[[#This Row],[ROAS]]&lt;3,"Average",IF(Table4[[#This Row],[ROAS]]&lt;5,"Good",
"Excellent")))</f>
        <v>Good</v>
      </c>
      <c r="S801" s="51" t="str">
        <f>IF(AND(Table4[[#This Row],[USD_Spend]]&gt;=$B$5,Table4[[#This Row],[Sales]]&lt;=$B$6),"Wasted Budget","Spend Justified")</f>
        <v>Spend Justified</v>
      </c>
      <c r="T801" s="51" t="str">
        <f>IF(AND(Table4[[#This Row],[Clicks]]&gt;=$B$7,Table4[[#This Row],[Sales]]&lt;=$B$6),"Poor Monetization","Normal Monitization")</f>
        <v>Normal Monitization</v>
      </c>
    </row>
    <row r="802" spans="1:20" x14ac:dyDescent="0.35">
      <c r="A802" s="38" t="s">
        <v>50</v>
      </c>
      <c r="B802" s="38" t="s">
        <v>28</v>
      </c>
      <c r="C802" s="38" t="s">
        <v>69</v>
      </c>
      <c r="D802" s="38" t="s">
        <v>21</v>
      </c>
      <c r="E802" s="38" t="s">
        <v>30</v>
      </c>
      <c r="F802" s="38">
        <v>46349.81</v>
      </c>
      <c r="G802" s="38">
        <v>458324</v>
      </c>
      <c r="H802" s="38">
        <v>26633</v>
      </c>
      <c r="I802" s="38">
        <v>195172.61</v>
      </c>
      <c r="J802" s="38">
        <v>26</v>
      </c>
      <c r="K802" s="39">
        <f t="shared" si="61"/>
        <v>5.8109546958047147E-2</v>
      </c>
      <c r="L802" s="40">
        <f t="shared" si="62"/>
        <v>4.2108610585458708</v>
      </c>
      <c r="M802" s="40">
        <f t="shared" si="63"/>
        <v>3.2108610585458708</v>
      </c>
      <c r="N802" s="40">
        <f t="shared" si="64"/>
        <v>7.3282247587579317</v>
      </c>
      <c r="O802" s="1" t="str">
        <f t="shared" si="60"/>
        <v>High Spend</v>
      </c>
      <c r="P802" s="51" t="str">
        <f>IF(Table4[[#This Row],[Sales]]&lt;=$B$3,"Normal","High Revenue")</f>
        <v>Normal</v>
      </c>
      <c r="Q802" s="51" t="str">
        <f>IF(Table4[[#This Row],[CTR]]&lt;=$B$4,"Normal","High CTR")</f>
        <v>Normal</v>
      </c>
      <c r="R802" s="51" t="str">
        <f>IF(Table4[[#This Row],[ROAS]]&lt;1,"Poor",IF(Table4[[#This Row],[ROAS]]&lt;3,"Average",IF(Table4[[#This Row],[ROAS]]&lt;5,"Good",
"Excellent")))</f>
        <v>Good</v>
      </c>
      <c r="S802" s="51" t="str">
        <f>IF(AND(Table4[[#This Row],[USD_Spend]]&gt;=$B$5,Table4[[#This Row],[Sales]]&lt;=$B$6),"Wasted Budget","Spend Justified")</f>
        <v>Spend Justified</v>
      </c>
      <c r="T802" s="51" t="str">
        <f>IF(AND(Table4[[#This Row],[Clicks]]&gt;=$B$7,Table4[[#This Row],[Sales]]&lt;=$B$6),"Poor Monetization","Normal Monitization")</f>
        <v>Normal Monitization</v>
      </c>
    </row>
    <row r="803" spans="1:20" x14ac:dyDescent="0.35">
      <c r="A803" s="41" t="s">
        <v>42</v>
      </c>
      <c r="B803" s="41" t="s">
        <v>48</v>
      </c>
      <c r="C803" s="41" t="s">
        <v>69</v>
      </c>
      <c r="D803" s="41" t="s">
        <v>59</v>
      </c>
      <c r="E803" s="41" t="s">
        <v>22</v>
      </c>
      <c r="F803" s="41">
        <v>16427.09</v>
      </c>
      <c r="G803" s="41">
        <v>61028</v>
      </c>
      <c r="H803" s="41">
        <v>24832</v>
      </c>
      <c r="I803" s="41">
        <v>192942.99</v>
      </c>
      <c r="J803" s="41">
        <v>25</v>
      </c>
      <c r="K803" s="42">
        <f t="shared" si="61"/>
        <v>0.40689519564789933</v>
      </c>
      <c r="L803" s="43">
        <f t="shared" si="62"/>
        <v>11.745415043078232</v>
      </c>
      <c r="M803" s="43">
        <f t="shared" si="63"/>
        <v>10.745415043078232</v>
      </c>
      <c r="N803" s="43">
        <f t="shared" si="64"/>
        <v>7.7699335534793814</v>
      </c>
      <c r="O803" s="1" t="str">
        <f t="shared" si="60"/>
        <v>Normal</v>
      </c>
      <c r="P803" s="51" t="str">
        <f>IF(Table4[[#This Row],[Sales]]&lt;=$B$3,"Normal","High Revenue")</f>
        <v>Normal</v>
      </c>
      <c r="Q803" s="51" t="str">
        <f>IF(Table4[[#This Row],[CTR]]&lt;=$B$4,"Normal","High CTR")</f>
        <v>High CTR</v>
      </c>
      <c r="R803" s="51" t="str">
        <f>IF(Table4[[#This Row],[ROAS]]&lt;1,"Poor",IF(Table4[[#This Row],[ROAS]]&lt;3,"Average",IF(Table4[[#This Row],[ROAS]]&lt;5,"Good",
"Excellent")))</f>
        <v>Excellent</v>
      </c>
      <c r="S803" s="51" t="str">
        <f>IF(AND(Table4[[#This Row],[USD_Spend]]&gt;=$B$5,Table4[[#This Row],[Sales]]&lt;=$B$6),"Wasted Budget","Spend Justified")</f>
        <v>Spend Justified</v>
      </c>
      <c r="T803" s="51" t="str">
        <f>IF(AND(Table4[[#This Row],[Clicks]]&gt;=$B$7,Table4[[#This Row],[Sales]]&lt;=$B$6),"Poor Monetization","Normal Monitization")</f>
        <v>Normal Monitization</v>
      </c>
    </row>
    <row r="804" spans="1:20" x14ac:dyDescent="0.35">
      <c r="A804" s="38" t="s">
        <v>109</v>
      </c>
      <c r="B804" s="38" t="s">
        <v>19</v>
      </c>
      <c r="C804" s="38" t="s">
        <v>29</v>
      </c>
      <c r="D804" s="38" t="s">
        <v>43</v>
      </c>
      <c r="E804" s="38" t="s">
        <v>22</v>
      </c>
      <c r="F804" s="38">
        <v>6697.79</v>
      </c>
      <c r="G804" s="38">
        <v>623015</v>
      </c>
      <c r="H804" s="38">
        <v>44298</v>
      </c>
      <c r="I804" s="38">
        <v>130151.11</v>
      </c>
      <c r="J804" s="38">
        <v>27</v>
      </c>
      <c r="K804" s="39">
        <f t="shared" si="61"/>
        <v>7.1102621927240914E-2</v>
      </c>
      <c r="L804" s="40">
        <f t="shared" si="62"/>
        <v>19.431948448667395</v>
      </c>
      <c r="M804" s="40">
        <f t="shared" si="63"/>
        <v>18.431948448667399</v>
      </c>
      <c r="N804" s="40">
        <f t="shared" si="64"/>
        <v>2.9380809517359698</v>
      </c>
      <c r="O804" s="1" t="str">
        <f t="shared" si="60"/>
        <v>Normal</v>
      </c>
      <c r="P804" s="51" t="str">
        <f>IF(Table4[[#This Row],[Sales]]&lt;=$B$3,"Normal","High Revenue")</f>
        <v>Normal</v>
      </c>
      <c r="Q804" s="51" t="str">
        <f>IF(Table4[[#This Row],[CTR]]&lt;=$B$4,"Normal","High CTR")</f>
        <v>Normal</v>
      </c>
      <c r="R804" s="51" t="str">
        <f>IF(Table4[[#This Row],[ROAS]]&lt;1,"Poor",IF(Table4[[#This Row],[ROAS]]&lt;3,"Average",IF(Table4[[#This Row],[ROAS]]&lt;5,"Good",
"Excellent")))</f>
        <v>Excellent</v>
      </c>
      <c r="S804" s="51" t="str">
        <f>IF(AND(Table4[[#This Row],[USD_Spend]]&gt;=$B$5,Table4[[#This Row],[Sales]]&lt;=$B$6),"Wasted Budget","Spend Justified")</f>
        <v>Spend Justified</v>
      </c>
      <c r="T804" s="51" t="str">
        <f>IF(AND(Table4[[#This Row],[Clicks]]&gt;=$B$7,Table4[[#This Row],[Sales]]&lt;=$B$6),"Poor Monetization","Normal Monitization")</f>
        <v>Normal Monitization</v>
      </c>
    </row>
    <row r="805" spans="1:20" x14ac:dyDescent="0.35">
      <c r="A805" s="41" t="s">
        <v>84</v>
      </c>
      <c r="B805" s="41" t="s">
        <v>19</v>
      </c>
      <c r="C805" s="41" t="s">
        <v>36</v>
      </c>
      <c r="D805" s="41" t="s">
        <v>51</v>
      </c>
      <c r="E805" s="41" t="s">
        <v>38</v>
      </c>
      <c r="F805" s="41">
        <v>1532.46</v>
      </c>
      <c r="G805" s="41">
        <v>446801</v>
      </c>
      <c r="H805" s="41">
        <v>45001</v>
      </c>
      <c r="I805" s="41">
        <v>81600.23</v>
      </c>
      <c r="J805" s="41">
        <v>48</v>
      </c>
      <c r="K805" s="42">
        <f t="shared" si="61"/>
        <v>0.10071821683478775</v>
      </c>
      <c r="L805" s="43">
        <f t="shared" si="62"/>
        <v>53.24786943868029</v>
      </c>
      <c r="M805" s="43">
        <f t="shared" si="63"/>
        <v>52.247869438680283</v>
      </c>
      <c r="N805" s="43">
        <f t="shared" si="64"/>
        <v>1.8132981489300237</v>
      </c>
      <c r="O805" s="1" t="str">
        <f t="shared" si="60"/>
        <v>Normal</v>
      </c>
      <c r="P805" s="51" t="str">
        <f>IF(Table4[[#This Row],[Sales]]&lt;=$B$3,"Normal","High Revenue")</f>
        <v>Normal</v>
      </c>
      <c r="Q805" s="51" t="str">
        <f>IF(Table4[[#This Row],[CTR]]&lt;=$B$4,"Normal","High CTR")</f>
        <v>Normal</v>
      </c>
      <c r="R805" s="51" t="str">
        <f>IF(Table4[[#This Row],[ROAS]]&lt;1,"Poor",IF(Table4[[#This Row],[ROAS]]&lt;3,"Average",IF(Table4[[#This Row],[ROAS]]&lt;5,"Good",
"Excellent")))</f>
        <v>Excellent</v>
      </c>
      <c r="S805" s="51" t="str">
        <f>IF(AND(Table4[[#This Row],[USD_Spend]]&gt;=$B$5,Table4[[#This Row],[Sales]]&lt;=$B$6),"Wasted Budget","Spend Justified")</f>
        <v>Spend Justified</v>
      </c>
      <c r="T805" s="51" t="str">
        <f>IF(AND(Table4[[#This Row],[Clicks]]&gt;=$B$7,Table4[[#This Row],[Sales]]&lt;=$B$6),"Poor Monetization","Normal Monitization")</f>
        <v>Normal Monitization</v>
      </c>
    </row>
    <row r="806" spans="1:20" x14ac:dyDescent="0.35">
      <c r="A806" s="38" t="s">
        <v>100</v>
      </c>
      <c r="B806" s="38" t="s">
        <v>35</v>
      </c>
      <c r="C806" s="38" t="s">
        <v>58</v>
      </c>
      <c r="D806" s="38" t="s">
        <v>59</v>
      </c>
      <c r="E806" s="38" t="s">
        <v>38</v>
      </c>
      <c r="F806" s="38">
        <v>6289.58</v>
      </c>
      <c r="G806" s="38">
        <v>514098</v>
      </c>
      <c r="H806" s="38">
        <v>48241</v>
      </c>
      <c r="I806" s="38">
        <v>193245.36</v>
      </c>
      <c r="J806" s="38">
        <v>20</v>
      </c>
      <c r="K806" s="39">
        <f t="shared" si="61"/>
        <v>9.3836194655493699E-2</v>
      </c>
      <c r="L806" s="40">
        <f t="shared" si="62"/>
        <v>30.724684319143726</v>
      </c>
      <c r="M806" s="40">
        <f t="shared" si="63"/>
        <v>29.724684319143726</v>
      </c>
      <c r="N806" s="40">
        <f t="shared" si="64"/>
        <v>4.0058323832424696</v>
      </c>
      <c r="O806" s="1" t="str">
        <f t="shared" si="60"/>
        <v>Normal</v>
      </c>
      <c r="P806" s="51" t="str">
        <f>IF(Table4[[#This Row],[Sales]]&lt;=$B$3,"Normal","High Revenue")</f>
        <v>Normal</v>
      </c>
      <c r="Q806" s="51" t="str">
        <f>IF(Table4[[#This Row],[CTR]]&lt;=$B$4,"Normal","High CTR")</f>
        <v>Normal</v>
      </c>
      <c r="R806" s="51" t="str">
        <f>IF(Table4[[#This Row],[ROAS]]&lt;1,"Poor",IF(Table4[[#This Row],[ROAS]]&lt;3,"Average",IF(Table4[[#This Row],[ROAS]]&lt;5,"Good",
"Excellent")))</f>
        <v>Excellent</v>
      </c>
      <c r="S806" s="51" t="str">
        <f>IF(AND(Table4[[#This Row],[USD_Spend]]&gt;=$B$5,Table4[[#This Row],[Sales]]&lt;=$B$6),"Wasted Budget","Spend Justified")</f>
        <v>Spend Justified</v>
      </c>
      <c r="T806" s="51" t="str">
        <f>IF(AND(Table4[[#This Row],[Clicks]]&gt;=$B$7,Table4[[#This Row],[Sales]]&lt;=$B$6),"Poor Monetization","Normal Monitization")</f>
        <v>Normal Monitization</v>
      </c>
    </row>
    <row r="807" spans="1:20" x14ac:dyDescent="0.35">
      <c r="A807" s="41" t="s">
        <v>98</v>
      </c>
      <c r="B807" s="41" t="s">
        <v>19</v>
      </c>
      <c r="C807" s="41" t="s">
        <v>69</v>
      </c>
      <c r="D807" s="41" t="s">
        <v>63</v>
      </c>
      <c r="E807" s="41" t="s">
        <v>38</v>
      </c>
      <c r="F807" s="41">
        <v>2153.87</v>
      </c>
      <c r="G807" s="41">
        <v>537786</v>
      </c>
      <c r="H807" s="41">
        <v>38679</v>
      </c>
      <c r="I807" s="41">
        <v>79998.2</v>
      </c>
      <c r="J807" s="41">
        <v>28</v>
      </c>
      <c r="K807" s="42">
        <f t="shared" si="61"/>
        <v>7.192266068659281E-2</v>
      </c>
      <c r="L807" s="43">
        <f t="shared" si="62"/>
        <v>37.141610217886871</v>
      </c>
      <c r="M807" s="43">
        <f t="shared" si="63"/>
        <v>36.141610217886878</v>
      </c>
      <c r="N807" s="43">
        <f t="shared" si="64"/>
        <v>2.0682592621319063</v>
      </c>
      <c r="O807" s="1" t="str">
        <f t="shared" si="60"/>
        <v>Normal</v>
      </c>
      <c r="P807" s="51" t="str">
        <f>IF(Table4[[#This Row],[Sales]]&lt;=$B$3,"Normal","High Revenue")</f>
        <v>Normal</v>
      </c>
      <c r="Q807" s="51" t="str">
        <f>IF(Table4[[#This Row],[CTR]]&lt;=$B$4,"Normal","High CTR")</f>
        <v>Normal</v>
      </c>
      <c r="R807" s="51" t="str">
        <f>IF(Table4[[#This Row],[ROAS]]&lt;1,"Poor",IF(Table4[[#This Row],[ROAS]]&lt;3,"Average",IF(Table4[[#This Row],[ROAS]]&lt;5,"Good",
"Excellent")))</f>
        <v>Excellent</v>
      </c>
      <c r="S807" s="51" t="str">
        <f>IF(AND(Table4[[#This Row],[USD_Spend]]&gt;=$B$5,Table4[[#This Row],[Sales]]&lt;=$B$6),"Wasted Budget","Spend Justified")</f>
        <v>Spend Justified</v>
      </c>
      <c r="T807" s="51" t="str">
        <f>IF(AND(Table4[[#This Row],[Clicks]]&gt;=$B$7,Table4[[#This Row],[Sales]]&lt;=$B$6),"Poor Monetization","Normal Monitization")</f>
        <v>Normal Monitization</v>
      </c>
    </row>
    <row r="808" spans="1:20" x14ac:dyDescent="0.35">
      <c r="A808" s="38" t="s">
        <v>64</v>
      </c>
      <c r="B808" s="38" t="s">
        <v>19</v>
      </c>
      <c r="C808" s="38" t="s">
        <v>69</v>
      </c>
      <c r="D808" s="38" t="s">
        <v>51</v>
      </c>
      <c r="E808" s="38" t="s">
        <v>30</v>
      </c>
      <c r="F808" s="38">
        <v>11046.2</v>
      </c>
      <c r="G808" s="38">
        <v>74076</v>
      </c>
      <c r="H808" s="38">
        <v>41058</v>
      </c>
      <c r="I808" s="38">
        <v>119830.06</v>
      </c>
      <c r="J808" s="38">
        <v>12</v>
      </c>
      <c r="K808" s="39">
        <f t="shared" si="61"/>
        <v>0.55426858901668552</v>
      </c>
      <c r="L808" s="40">
        <f t="shared" si="62"/>
        <v>10.848079882674584</v>
      </c>
      <c r="M808" s="40">
        <f t="shared" si="63"/>
        <v>9.8480798826745843</v>
      </c>
      <c r="N808" s="40">
        <f t="shared" si="64"/>
        <v>2.9185557016902917</v>
      </c>
      <c r="O808" s="1" t="str">
        <f t="shared" si="60"/>
        <v>Normal</v>
      </c>
      <c r="P808" s="51" t="str">
        <f>IF(Table4[[#This Row],[Sales]]&lt;=$B$3,"Normal","High Revenue")</f>
        <v>Normal</v>
      </c>
      <c r="Q808" s="51" t="str">
        <f>IF(Table4[[#This Row],[CTR]]&lt;=$B$4,"Normal","High CTR")</f>
        <v>High CTR</v>
      </c>
      <c r="R808" s="51" t="str">
        <f>IF(Table4[[#This Row],[ROAS]]&lt;1,"Poor",IF(Table4[[#This Row],[ROAS]]&lt;3,"Average",IF(Table4[[#This Row],[ROAS]]&lt;5,"Good",
"Excellent")))</f>
        <v>Excellent</v>
      </c>
      <c r="S808" s="51" t="str">
        <f>IF(AND(Table4[[#This Row],[USD_Spend]]&gt;=$B$5,Table4[[#This Row],[Sales]]&lt;=$B$6),"Wasted Budget","Spend Justified")</f>
        <v>Spend Justified</v>
      </c>
      <c r="T808" s="51" t="str">
        <f>IF(AND(Table4[[#This Row],[Clicks]]&gt;=$B$7,Table4[[#This Row],[Sales]]&lt;=$B$6),"Poor Monetization","Normal Monitization")</f>
        <v>Normal Monitization</v>
      </c>
    </row>
    <row r="809" spans="1:20" x14ac:dyDescent="0.35">
      <c r="A809" s="41" t="s">
        <v>78</v>
      </c>
      <c r="B809" s="41" t="s">
        <v>19</v>
      </c>
      <c r="C809" s="41" t="s">
        <v>69</v>
      </c>
      <c r="D809" s="41" t="s">
        <v>59</v>
      </c>
      <c r="E809" s="41" t="s">
        <v>22</v>
      </c>
      <c r="F809" s="41">
        <v>6627.59</v>
      </c>
      <c r="G809" s="41">
        <v>480392</v>
      </c>
      <c r="H809" s="41">
        <v>40427</v>
      </c>
      <c r="I809" s="41">
        <v>6286.54</v>
      </c>
      <c r="J809" s="41">
        <v>59</v>
      </c>
      <c r="K809" s="42">
        <f t="shared" si="61"/>
        <v>8.4154190744225546E-2</v>
      </c>
      <c r="L809" s="43">
        <f t="shared" si="62"/>
        <v>0.94854087232312201</v>
      </c>
      <c r="M809" s="43">
        <f t="shared" si="63"/>
        <v>-5.1459127676878047E-2</v>
      </c>
      <c r="N809" s="43">
        <f t="shared" si="64"/>
        <v>0.15550350013604769</v>
      </c>
      <c r="O809" s="1" t="str">
        <f t="shared" si="60"/>
        <v>Normal</v>
      </c>
      <c r="P809" s="51" t="str">
        <f>IF(Table4[[#This Row],[Sales]]&lt;=$B$3,"Normal","High Revenue")</f>
        <v>Normal</v>
      </c>
      <c r="Q809" s="51" t="str">
        <f>IF(Table4[[#This Row],[CTR]]&lt;=$B$4,"Normal","High CTR")</f>
        <v>Normal</v>
      </c>
      <c r="R809" s="51" t="str">
        <f>IF(Table4[[#This Row],[ROAS]]&lt;1,"Poor",IF(Table4[[#This Row],[ROAS]]&lt;3,"Average",IF(Table4[[#This Row],[ROAS]]&lt;5,"Good",
"Excellent")))</f>
        <v>Poor</v>
      </c>
      <c r="S809" s="51" t="str">
        <f>IF(AND(Table4[[#This Row],[USD_Spend]]&gt;=$B$5,Table4[[#This Row],[Sales]]&lt;=$B$6),"Wasted Budget","Spend Justified")</f>
        <v>Wasted Budget</v>
      </c>
      <c r="T809" s="51" t="str">
        <f>IF(AND(Table4[[#This Row],[Clicks]]&gt;=$B$7,Table4[[#This Row],[Sales]]&lt;=$B$6),"Poor Monetization","Normal Monitization")</f>
        <v>Poor Monetization</v>
      </c>
    </row>
    <row r="810" spans="1:20" x14ac:dyDescent="0.35">
      <c r="A810" s="38" t="s">
        <v>108</v>
      </c>
      <c r="B810" s="38" t="s">
        <v>35</v>
      </c>
      <c r="C810" s="38" t="s">
        <v>69</v>
      </c>
      <c r="D810" s="38" t="s">
        <v>59</v>
      </c>
      <c r="E810" s="38" t="s">
        <v>38</v>
      </c>
      <c r="F810" s="38">
        <v>11422.91</v>
      </c>
      <c r="G810" s="38">
        <v>154462</v>
      </c>
      <c r="H810" s="38">
        <v>7674</v>
      </c>
      <c r="I810" s="38">
        <v>112298.45</v>
      </c>
      <c r="J810" s="38">
        <v>14</v>
      </c>
      <c r="K810" s="39">
        <f t="shared" si="61"/>
        <v>4.9682122463777498E-2</v>
      </c>
      <c r="L810" s="40">
        <f t="shared" si="62"/>
        <v>9.8309843988966037</v>
      </c>
      <c r="M810" s="40">
        <f t="shared" si="63"/>
        <v>8.8309843988966037</v>
      </c>
      <c r="N810" s="40">
        <f t="shared" si="64"/>
        <v>14.633626531144122</v>
      </c>
      <c r="O810" s="1" t="str">
        <f t="shared" si="60"/>
        <v>Normal</v>
      </c>
      <c r="P810" s="51" t="str">
        <f>IF(Table4[[#This Row],[Sales]]&lt;=$B$3,"Normal","High Revenue")</f>
        <v>Normal</v>
      </c>
      <c r="Q810" s="51" t="str">
        <f>IF(Table4[[#This Row],[CTR]]&lt;=$B$4,"Normal","High CTR")</f>
        <v>Normal</v>
      </c>
      <c r="R810" s="51" t="str">
        <f>IF(Table4[[#This Row],[ROAS]]&lt;1,"Poor",IF(Table4[[#This Row],[ROAS]]&lt;3,"Average",IF(Table4[[#This Row],[ROAS]]&lt;5,"Good",
"Excellent")))</f>
        <v>Excellent</v>
      </c>
      <c r="S810" s="51" t="str">
        <f>IF(AND(Table4[[#This Row],[USD_Spend]]&gt;=$B$5,Table4[[#This Row],[Sales]]&lt;=$B$6),"Wasted Budget","Spend Justified")</f>
        <v>Spend Justified</v>
      </c>
      <c r="T810" s="51" t="str">
        <f>IF(AND(Table4[[#This Row],[Clicks]]&gt;=$B$7,Table4[[#This Row],[Sales]]&lt;=$B$6),"Poor Monetization","Normal Monitization")</f>
        <v>Normal Monitization</v>
      </c>
    </row>
    <row r="811" spans="1:20" x14ac:dyDescent="0.35">
      <c r="A811" s="41" t="s">
        <v>105</v>
      </c>
      <c r="B811" s="41" t="s">
        <v>28</v>
      </c>
      <c r="C811" s="41" t="s">
        <v>29</v>
      </c>
      <c r="D811" s="41" t="s">
        <v>43</v>
      </c>
      <c r="E811" s="41" t="s">
        <v>22</v>
      </c>
      <c r="F811" s="41">
        <v>8172.75</v>
      </c>
      <c r="G811" s="41">
        <v>122537</v>
      </c>
      <c r="H811" s="41">
        <v>11952</v>
      </c>
      <c r="I811" s="41">
        <v>209511.83</v>
      </c>
      <c r="J811" s="41">
        <v>43</v>
      </c>
      <c r="K811" s="42">
        <f t="shared" si="61"/>
        <v>9.7537886515909486E-2</v>
      </c>
      <c r="L811" s="43">
        <f t="shared" si="62"/>
        <v>25.635414028325837</v>
      </c>
      <c r="M811" s="43">
        <f t="shared" si="63"/>
        <v>24.635414028325837</v>
      </c>
      <c r="N811" s="43">
        <f t="shared" si="64"/>
        <v>17.529436914323963</v>
      </c>
      <c r="O811" s="1" t="str">
        <f t="shared" si="60"/>
        <v>Normal</v>
      </c>
      <c r="P811" s="51" t="str">
        <f>IF(Table4[[#This Row],[Sales]]&lt;=$B$3,"Normal","High Revenue")</f>
        <v>Normal</v>
      </c>
      <c r="Q811" s="51" t="str">
        <f>IF(Table4[[#This Row],[CTR]]&lt;=$B$4,"Normal","High CTR")</f>
        <v>Normal</v>
      </c>
      <c r="R811" s="51" t="str">
        <f>IF(Table4[[#This Row],[ROAS]]&lt;1,"Poor",IF(Table4[[#This Row],[ROAS]]&lt;3,"Average",IF(Table4[[#This Row],[ROAS]]&lt;5,"Good",
"Excellent")))</f>
        <v>Excellent</v>
      </c>
      <c r="S811" s="51" t="str">
        <f>IF(AND(Table4[[#This Row],[USD_Spend]]&gt;=$B$5,Table4[[#This Row],[Sales]]&lt;=$B$6),"Wasted Budget","Spend Justified")</f>
        <v>Spend Justified</v>
      </c>
      <c r="T811" s="51" t="str">
        <f>IF(AND(Table4[[#This Row],[Clicks]]&gt;=$B$7,Table4[[#This Row],[Sales]]&lt;=$B$6),"Poor Monetization","Normal Monitization")</f>
        <v>Normal Monitization</v>
      </c>
    </row>
    <row r="812" spans="1:20" x14ac:dyDescent="0.35">
      <c r="A812" s="38" t="s">
        <v>117</v>
      </c>
      <c r="B812" s="38" t="s">
        <v>28</v>
      </c>
      <c r="C812" s="38" t="s">
        <v>29</v>
      </c>
      <c r="D812" s="38" t="s">
        <v>37</v>
      </c>
      <c r="E812" s="38" t="s">
        <v>30</v>
      </c>
      <c r="F812" s="38">
        <v>18356.39</v>
      </c>
      <c r="G812" s="38">
        <v>658388</v>
      </c>
      <c r="H812" s="38">
        <v>45069</v>
      </c>
      <c r="I812" s="38">
        <v>166424.65</v>
      </c>
      <c r="J812" s="38">
        <v>54</v>
      </c>
      <c r="K812" s="39">
        <f t="shared" si="61"/>
        <v>6.8453556261657264E-2</v>
      </c>
      <c r="L812" s="40">
        <f t="shared" si="62"/>
        <v>9.0663060656261933</v>
      </c>
      <c r="M812" s="40">
        <f t="shared" si="63"/>
        <v>8.0663060656261933</v>
      </c>
      <c r="N812" s="40">
        <f t="shared" si="64"/>
        <v>3.6926634715658211</v>
      </c>
      <c r="O812" s="1" t="str">
        <f t="shared" si="60"/>
        <v>Normal</v>
      </c>
      <c r="P812" s="51" t="str">
        <f>IF(Table4[[#This Row],[Sales]]&lt;=$B$3,"Normal","High Revenue")</f>
        <v>Normal</v>
      </c>
      <c r="Q812" s="51" t="str">
        <f>IF(Table4[[#This Row],[CTR]]&lt;=$B$4,"Normal","High CTR")</f>
        <v>Normal</v>
      </c>
      <c r="R812" s="51" t="str">
        <f>IF(Table4[[#This Row],[ROAS]]&lt;1,"Poor",IF(Table4[[#This Row],[ROAS]]&lt;3,"Average",IF(Table4[[#This Row],[ROAS]]&lt;5,"Good",
"Excellent")))</f>
        <v>Excellent</v>
      </c>
      <c r="S812" s="51" t="str">
        <f>IF(AND(Table4[[#This Row],[USD_Spend]]&gt;=$B$5,Table4[[#This Row],[Sales]]&lt;=$B$6),"Wasted Budget","Spend Justified")</f>
        <v>Spend Justified</v>
      </c>
      <c r="T812" s="51" t="str">
        <f>IF(AND(Table4[[#This Row],[Clicks]]&gt;=$B$7,Table4[[#This Row],[Sales]]&lt;=$B$6),"Poor Monetization","Normal Monitization")</f>
        <v>Normal Monitization</v>
      </c>
    </row>
    <row r="813" spans="1:20" x14ac:dyDescent="0.35">
      <c r="A813" s="41" t="s">
        <v>98</v>
      </c>
      <c r="B813" s="41" t="s">
        <v>28</v>
      </c>
      <c r="C813" s="41" t="s">
        <v>36</v>
      </c>
      <c r="D813" s="41" t="s">
        <v>63</v>
      </c>
      <c r="E813" s="41" t="s">
        <v>38</v>
      </c>
      <c r="F813" s="41">
        <v>17775.55</v>
      </c>
      <c r="G813" s="41">
        <v>350536</v>
      </c>
      <c r="H813" s="41">
        <v>29806</v>
      </c>
      <c r="I813" s="41">
        <v>124439.15</v>
      </c>
      <c r="J813" s="41">
        <v>48</v>
      </c>
      <c r="K813" s="42">
        <f t="shared" si="61"/>
        <v>8.5029782960951233E-2</v>
      </c>
      <c r="L813" s="43">
        <f t="shared" si="62"/>
        <v>7.0005794476120284</v>
      </c>
      <c r="M813" s="43">
        <f t="shared" si="63"/>
        <v>6.0005794476120284</v>
      </c>
      <c r="N813" s="43">
        <f t="shared" si="64"/>
        <v>4.1749698047373007</v>
      </c>
      <c r="O813" s="1" t="str">
        <f t="shared" si="60"/>
        <v>Normal</v>
      </c>
      <c r="P813" s="51" t="str">
        <f>IF(Table4[[#This Row],[Sales]]&lt;=$B$3,"Normal","High Revenue")</f>
        <v>Normal</v>
      </c>
      <c r="Q813" s="51" t="str">
        <f>IF(Table4[[#This Row],[CTR]]&lt;=$B$4,"Normal","High CTR")</f>
        <v>Normal</v>
      </c>
      <c r="R813" s="51" t="str">
        <f>IF(Table4[[#This Row],[ROAS]]&lt;1,"Poor",IF(Table4[[#This Row],[ROAS]]&lt;3,"Average",IF(Table4[[#This Row],[ROAS]]&lt;5,"Good",
"Excellent")))</f>
        <v>Excellent</v>
      </c>
      <c r="S813" s="51" t="str">
        <f>IF(AND(Table4[[#This Row],[USD_Spend]]&gt;=$B$5,Table4[[#This Row],[Sales]]&lt;=$B$6),"Wasted Budget","Spend Justified")</f>
        <v>Spend Justified</v>
      </c>
      <c r="T813" s="51" t="str">
        <f>IF(AND(Table4[[#This Row],[Clicks]]&gt;=$B$7,Table4[[#This Row],[Sales]]&lt;=$B$6),"Poor Monetization","Normal Monitization")</f>
        <v>Normal Monitization</v>
      </c>
    </row>
    <row r="814" spans="1:20" x14ac:dyDescent="0.35">
      <c r="A814" s="38" t="s">
        <v>68</v>
      </c>
      <c r="B814" s="38" t="s">
        <v>19</v>
      </c>
      <c r="C814" s="38" t="s">
        <v>69</v>
      </c>
      <c r="D814" s="38" t="s">
        <v>37</v>
      </c>
      <c r="E814" s="38" t="s">
        <v>38</v>
      </c>
      <c r="F814" s="38">
        <v>13428.25</v>
      </c>
      <c r="G814" s="38">
        <v>456772</v>
      </c>
      <c r="H814" s="38">
        <v>31504</v>
      </c>
      <c r="I814" s="38">
        <v>20030.68</v>
      </c>
      <c r="J814" s="38">
        <v>46</v>
      </c>
      <c r="K814" s="39">
        <f t="shared" si="61"/>
        <v>6.8970952685366002E-2</v>
      </c>
      <c r="L814" s="40">
        <f t="shared" si="62"/>
        <v>1.4916820881350883</v>
      </c>
      <c r="M814" s="40">
        <f t="shared" si="63"/>
        <v>0.49168208813508835</v>
      </c>
      <c r="N814" s="40">
        <f t="shared" si="64"/>
        <v>0.63581386490604364</v>
      </c>
      <c r="O814" s="1" t="str">
        <f t="shared" si="60"/>
        <v>Normal</v>
      </c>
      <c r="P814" s="51" t="str">
        <f>IF(Table4[[#This Row],[Sales]]&lt;=$B$3,"Normal","High Revenue")</f>
        <v>Normal</v>
      </c>
      <c r="Q814" s="51" t="str">
        <f>IF(Table4[[#This Row],[CTR]]&lt;=$B$4,"Normal","High CTR")</f>
        <v>Normal</v>
      </c>
      <c r="R814" s="51" t="str">
        <f>IF(Table4[[#This Row],[ROAS]]&lt;1,"Poor",IF(Table4[[#This Row],[ROAS]]&lt;3,"Average",IF(Table4[[#This Row],[ROAS]]&lt;5,"Good",
"Excellent")))</f>
        <v>Average</v>
      </c>
      <c r="S814" s="51" t="str">
        <f>IF(AND(Table4[[#This Row],[USD_Spend]]&gt;=$B$5,Table4[[#This Row],[Sales]]&lt;=$B$6),"Wasted Budget","Spend Justified")</f>
        <v>Wasted Budget</v>
      </c>
      <c r="T814" s="51" t="str">
        <f>IF(AND(Table4[[#This Row],[Clicks]]&gt;=$B$7,Table4[[#This Row],[Sales]]&lt;=$B$6),"Poor Monetization","Normal Monitization")</f>
        <v>Normal Monitization</v>
      </c>
    </row>
    <row r="815" spans="1:20" x14ac:dyDescent="0.35">
      <c r="A815" s="41" t="s">
        <v>27</v>
      </c>
      <c r="B815" s="41" t="s">
        <v>28</v>
      </c>
      <c r="C815" s="41" t="s">
        <v>20</v>
      </c>
      <c r="D815" s="41" t="s">
        <v>63</v>
      </c>
      <c r="E815" s="41" t="s">
        <v>22</v>
      </c>
      <c r="F815" s="41">
        <v>18123.439999999999</v>
      </c>
      <c r="G815" s="41">
        <v>440321</v>
      </c>
      <c r="H815" s="41">
        <v>23150</v>
      </c>
      <c r="I815" s="41">
        <v>91291.75</v>
      </c>
      <c r="J815" s="41">
        <v>37</v>
      </c>
      <c r="K815" s="42">
        <f t="shared" si="61"/>
        <v>5.2575280306867034E-2</v>
      </c>
      <c r="L815" s="43">
        <f t="shared" si="62"/>
        <v>5.0372197551899642</v>
      </c>
      <c r="M815" s="43">
        <f t="shared" si="63"/>
        <v>4.0372197551899642</v>
      </c>
      <c r="N815" s="43">
        <f t="shared" si="64"/>
        <v>3.9434881209503239</v>
      </c>
      <c r="O815" s="1" t="str">
        <f t="shared" si="60"/>
        <v>Normal</v>
      </c>
      <c r="P815" s="51" t="str">
        <f>IF(Table4[[#This Row],[Sales]]&lt;=$B$3,"Normal","High Revenue")</f>
        <v>Normal</v>
      </c>
      <c r="Q815" s="51" t="str">
        <f>IF(Table4[[#This Row],[CTR]]&lt;=$B$4,"Normal","High CTR")</f>
        <v>Normal</v>
      </c>
      <c r="R815" s="51" t="str">
        <f>IF(Table4[[#This Row],[ROAS]]&lt;1,"Poor",IF(Table4[[#This Row],[ROAS]]&lt;3,"Average",IF(Table4[[#This Row],[ROAS]]&lt;5,"Good",
"Excellent")))</f>
        <v>Excellent</v>
      </c>
      <c r="S815" s="51" t="str">
        <f>IF(AND(Table4[[#This Row],[USD_Spend]]&gt;=$B$5,Table4[[#This Row],[Sales]]&lt;=$B$6),"Wasted Budget","Spend Justified")</f>
        <v>Spend Justified</v>
      </c>
      <c r="T815" s="51" t="str">
        <f>IF(AND(Table4[[#This Row],[Clicks]]&gt;=$B$7,Table4[[#This Row],[Sales]]&lt;=$B$6),"Poor Monetization","Normal Monitization")</f>
        <v>Normal Monitization</v>
      </c>
    </row>
    <row r="816" spans="1:20" x14ac:dyDescent="0.35">
      <c r="A816" s="38" t="s">
        <v>72</v>
      </c>
      <c r="B816" s="38" t="s">
        <v>28</v>
      </c>
      <c r="C816" s="38" t="s">
        <v>69</v>
      </c>
      <c r="D816" s="38" t="s">
        <v>51</v>
      </c>
      <c r="E816" s="38" t="s">
        <v>38</v>
      </c>
      <c r="F816" s="38">
        <v>5809.55</v>
      </c>
      <c r="G816" s="38">
        <v>580871</v>
      </c>
      <c r="H816" s="38">
        <v>41018</v>
      </c>
      <c r="I816" s="38">
        <v>198143.69</v>
      </c>
      <c r="J816" s="38">
        <v>31</v>
      </c>
      <c r="K816" s="39">
        <f t="shared" si="61"/>
        <v>7.0614645936877551E-2</v>
      </c>
      <c r="L816" s="40">
        <f t="shared" si="62"/>
        <v>34.106546978681649</v>
      </c>
      <c r="M816" s="40">
        <f t="shared" si="63"/>
        <v>33.106546978681656</v>
      </c>
      <c r="N816" s="40">
        <f t="shared" si="64"/>
        <v>4.8306521527134425</v>
      </c>
      <c r="O816" s="1" t="str">
        <f t="shared" si="60"/>
        <v>Normal</v>
      </c>
      <c r="P816" s="51" t="str">
        <f>IF(Table4[[#This Row],[Sales]]&lt;=$B$3,"Normal","High Revenue")</f>
        <v>Normal</v>
      </c>
      <c r="Q816" s="51" t="str">
        <f>IF(Table4[[#This Row],[CTR]]&lt;=$B$4,"Normal","High CTR")</f>
        <v>Normal</v>
      </c>
      <c r="R816" s="51" t="str">
        <f>IF(Table4[[#This Row],[ROAS]]&lt;1,"Poor",IF(Table4[[#This Row],[ROAS]]&lt;3,"Average",IF(Table4[[#This Row],[ROAS]]&lt;5,"Good",
"Excellent")))</f>
        <v>Excellent</v>
      </c>
      <c r="S816" s="51" t="str">
        <f>IF(AND(Table4[[#This Row],[USD_Spend]]&gt;=$B$5,Table4[[#This Row],[Sales]]&lt;=$B$6),"Wasted Budget","Spend Justified")</f>
        <v>Spend Justified</v>
      </c>
      <c r="T816" s="51" t="str">
        <f>IF(AND(Table4[[#This Row],[Clicks]]&gt;=$B$7,Table4[[#This Row],[Sales]]&lt;=$B$6),"Poor Monetization","Normal Monitization")</f>
        <v>Normal Monitization</v>
      </c>
    </row>
    <row r="817" spans="1:20" x14ac:dyDescent="0.35">
      <c r="A817" s="41" t="s">
        <v>94</v>
      </c>
      <c r="B817" s="41" t="s">
        <v>35</v>
      </c>
      <c r="C817" s="41" t="s">
        <v>20</v>
      </c>
      <c r="D817" s="41" t="s">
        <v>43</v>
      </c>
      <c r="E817" s="41" t="s">
        <v>30</v>
      </c>
      <c r="F817" s="41">
        <v>9143.2000000000007</v>
      </c>
      <c r="G817" s="41">
        <v>19756</v>
      </c>
      <c r="H817" s="41">
        <v>19833</v>
      </c>
      <c r="I817" s="41">
        <v>108113.51</v>
      </c>
      <c r="J817" s="41">
        <v>15</v>
      </c>
      <c r="K817" s="42">
        <f t="shared" si="61"/>
        <v>1.0038975501113585</v>
      </c>
      <c r="L817" s="43">
        <f t="shared" si="62"/>
        <v>11.824471738559803</v>
      </c>
      <c r="M817" s="43">
        <f t="shared" si="63"/>
        <v>10.824471738559803</v>
      </c>
      <c r="N817" s="43">
        <f t="shared" si="64"/>
        <v>5.4511929612262389</v>
      </c>
      <c r="O817" s="1" t="str">
        <f t="shared" si="60"/>
        <v>Normal</v>
      </c>
      <c r="P817" s="51" t="str">
        <f>IF(Table4[[#This Row],[Sales]]&lt;=$B$3,"Normal","High Revenue")</f>
        <v>Normal</v>
      </c>
      <c r="Q817" s="51" t="str">
        <f>IF(Table4[[#This Row],[CTR]]&lt;=$B$4,"Normal","High CTR")</f>
        <v>High CTR</v>
      </c>
      <c r="R817" s="51" t="str">
        <f>IF(Table4[[#This Row],[ROAS]]&lt;1,"Poor",IF(Table4[[#This Row],[ROAS]]&lt;3,"Average",IF(Table4[[#This Row],[ROAS]]&lt;5,"Good",
"Excellent")))</f>
        <v>Excellent</v>
      </c>
      <c r="S817" s="51" t="str">
        <f>IF(AND(Table4[[#This Row],[USD_Spend]]&gt;=$B$5,Table4[[#This Row],[Sales]]&lt;=$B$6),"Wasted Budget","Spend Justified")</f>
        <v>Spend Justified</v>
      </c>
      <c r="T817" s="51" t="str">
        <f>IF(AND(Table4[[#This Row],[Clicks]]&gt;=$B$7,Table4[[#This Row],[Sales]]&lt;=$B$6),"Poor Monetization","Normal Monitization")</f>
        <v>Normal Monitization</v>
      </c>
    </row>
    <row r="818" spans="1:20" x14ac:dyDescent="0.35">
      <c r="A818" s="38" t="s">
        <v>99</v>
      </c>
      <c r="B818" s="38" t="s">
        <v>48</v>
      </c>
      <c r="C818" s="38" t="s">
        <v>58</v>
      </c>
      <c r="D818" s="38" t="s">
        <v>37</v>
      </c>
      <c r="E818" s="38" t="s">
        <v>30</v>
      </c>
      <c r="F818" s="38">
        <v>19248.95</v>
      </c>
      <c r="G818" s="38">
        <v>978790</v>
      </c>
      <c r="H818" s="38">
        <v>17437</v>
      </c>
      <c r="I818" s="38">
        <v>198017.87</v>
      </c>
      <c r="J818" s="38">
        <v>61</v>
      </c>
      <c r="K818" s="39">
        <f t="shared" si="61"/>
        <v>1.7814853032826244E-2</v>
      </c>
      <c r="L818" s="40">
        <f t="shared" si="62"/>
        <v>10.287203717605376</v>
      </c>
      <c r="M818" s="40">
        <f t="shared" si="63"/>
        <v>9.2872037176053741</v>
      </c>
      <c r="N818" s="40">
        <f t="shared" si="64"/>
        <v>11.356189138039801</v>
      </c>
      <c r="O818" s="1" t="str">
        <f t="shared" si="60"/>
        <v>Normal</v>
      </c>
      <c r="P818" s="51" t="str">
        <f>IF(Table4[[#This Row],[Sales]]&lt;=$B$3,"Normal","High Revenue")</f>
        <v>Normal</v>
      </c>
      <c r="Q818" s="51" t="str">
        <f>IF(Table4[[#This Row],[CTR]]&lt;=$B$4,"Normal","High CTR")</f>
        <v>Normal</v>
      </c>
      <c r="R818" s="51" t="str">
        <f>IF(Table4[[#This Row],[ROAS]]&lt;1,"Poor",IF(Table4[[#This Row],[ROAS]]&lt;3,"Average",IF(Table4[[#This Row],[ROAS]]&lt;5,"Good",
"Excellent")))</f>
        <v>Excellent</v>
      </c>
      <c r="S818" s="51" t="str">
        <f>IF(AND(Table4[[#This Row],[USD_Spend]]&gt;=$B$5,Table4[[#This Row],[Sales]]&lt;=$B$6),"Wasted Budget","Spend Justified")</f>
        <v>Spend Justified</v>
      </c>
      <c r="T818" s="51" t="str">
        <f>IF(AND(Table4[[#This Row],[Clicks]]&gt;=$B$7,Table4[[#This Row],[Sales]]&lt;=$B$6),"Poor Monetization","Normal Monitization")</f>
        <v>Normal Monitization</v>
      </c>
    </row>
    <row r="819" spans="1:20" x14ac:dyDescent="0.35">
      <c r="A819" s="41" t="s">
        <v>118</v>
      </c>
      <c r="B819" s="41" t="s">
        <v>48</v>
      </c>
      <c r="C819" s="41" t="s">
        <v>69</v>
      </c>
      <c r="D819" s="41" t="s">
        <v>63</v>
      </c>
      <c r="E819" s="41" t="s">
        <v>22</v>
      </c>
      <c r="F819" s="41">
        <v>10033.84</v>
      </c>
      <c r="G819" s="41">
        <v>858014</v>
      </c>
      <c r="H819" s="41">
        <v>4200</v>
      </c>
      <c r="I819" s="41">
        <v>146450.23999999999</v>
      </c>
      <c r="J819" s="41">
        <v>19</v>
      </c>
      <c r="K819" s="42">
        <f t="shared" si="61"/>
        <v>4.8950250229017238E-3</v>
      </c>
      <c r="L819" s="43">
        <f t="shared" si="62"/>
        <v>14.595632380025991</v>
      </c>
      <c r="M819" s="43">
        <f t="shared" si="63"/>
        <v>13.595632380025991</v>
      </c>
      <c r="N819" s="43">
        <f t="shared" si="64"/>
        <v>34.869104761904758</v>
      </c>
      <c r="O819" s="1" t="str">
        <f t="shared" si="60"/>
        <v>Normal</v>
      </c>
      <c r="P819" s="51" t="str">
        <f>IF(Table4[[#This Row],[Sales]]&lt;=$B$3,"Normal","High Revenue")</f>
        <v>Normal</v>
      </c>
      <c r="Q819" s="51" t="str">
        <f>IF(Table4[[#This Row],[CTR]]&lt;=$B$4,"Normal","High CTR")</f>
        <v>Normal</v>
      </c>
      <c r="R819" s="51" t="str">
        <f>IF(Table4[[#This Row],[ROAS]]&lt;1,"Poor",IF(Table4[[#This Row],[ROAS]]&lt;3,"Average",IF(Table4[[#This Row],[ROAS]]&lt;5,"Good",
"Excellent")))</f>
        <v>Excellent</v>
      </c>
      <c r="S819" s="51" t="str">
        <f>IF(AND(Table4[[#This Row],[USD_Spend]]&gt;=$B$5,Table4[[#This Row],[Sales]]&lt;=$B$6),"Wasted Budget","Spend Justified")</f>
        <v>Spend Justified</v>
      </c>
      <c r="T819" s="51" t="str">
        <f>IF(AND(Table4[[#This Row],[Clicks]]&gt;=$B$7,Table4[[#This Row],[Sales]]&lt;=$B$6),"Poor Monetization","Normal Monitization")</f>
        <v>Normal Monitization</v>
      </c>
    </row>
    <row r="820" spans="1:20" x14ac:dyDescent="0.35">
      <c r="A820" s="38" t="s">
        <v>57</v>
      </c>
      <c r="B820" s="38" t="s">
        <v>19</v>
      </c>
      <c r="C820" s="38" t="s">
        <v>29</v>
      </c>
      <c r="D820" s="38" t="s">
        <v>43</v>
      </c>
      <c r="E820" s="38" t="s">
        <v>30</v>
      </c>
      <c r="F820" s="38">
        <v>23344.81</v>
      </c>
      <c r="G820" s="38">
        <v>840884</v>
      </c>
      <c r="H820" s="38">
        <v>42830</v>
      </c>
      <c r="I820" s="38">
        <v>245300.44</v>
      </c>
      <c r="J820" s="38">
        <v>57</v>
      </c>
      <c r="K820" s="39">
        <f t="shared" si="61"/>
        <v>5.0934492748107942E-2</v>
      </c>
      <c r="L820" s="40">
        <f t="shared" si="62"/>
        <v>10.507707708908319</v>
      </c>
      <c r="M820" s="40">
        <f t="shared" si="63"/>
        <v>9.5077077089083186</v>
      </c>
      <c r="N820" s="40">
        <f t="shared" si="64"/>
        <v>5.7273042260098066</v>
      </c>
      <c r="O820" s="1" t="str">
        <f t="shared" si="60"/>
        <v>Normal</v>
      </c>
      <c r="P820" s="51" t="str">
        <f>IF(Table4[[#This Row],[Sales]]&lt;=$B$3,"Normal","High Revenue")</f>
        <v>High Revenue</v>
      </c>
      <c r="Q820" s="51" t="str">
        <f>IF(Table4[[#This Row],[CTR]]&lt;=$B$4,"Normal","High CTR")</f>
        <v>Normal</v>
      </c>
      <c r="R820" s="51" t="str">
        <f>IF(Table4[[#This Row],[ROAS]]&lt;1,"Poor",IF(Table4[[#This Row],[ROAS]]&lt;3,"Average",IF(Table4[[#This Row],[ROAS]]&lt;5,"Good",
"Excellent")))</f>
        <v>Excellent</v>
      </c>
      <c r="S820" s="51" t="str">
        <f>IF(AND(Table4[[#This Row],[USD_Spend]]&gt;=$B$5,Table4[[#This Row],[Sales]]&lt;=$B$6),"Wasted Budget","Spend Justified")</f>
        <v>Spend Justified</v>
      </c>
      <c r="T820" s="51" t="str">
        <f>IF(AND(Table4[[#This Row],[Clicks]]&gt;=$B$7,Table4[[#This Row],[Sales]]&lt;=$B$6),"Poor Monetization","Normal Monitization")</f>
        <v>Normal Monitization</v>
      </c>
    </row>
    <row r="821" spans="1:20" x14ac:dyDescent="0.35">
      <c r="A821" s="41" t="s">
        <v>85</v>
      </c>
      <c r="B821" s="41" t="s">
        <v>28</v>
      </c>
      <c r="C821" s="41" t="s">
        <v>20</v>
      </c>
      <c r="D821" s="41" t="s">
        <v>51</v>
      </c>
      <c r="E821" s="41" t="s">
        <v>22</v>
      </c>
      <c r="F821" s="41">
        <v>11803</v>
      </c>
      <c r="G821" s="41">
        <v>847255</v>
      </c>
      <c r="H821" s="41">
        <v>30814</v>
      </c>
      <c r="I821" s="41">
        <v>128046.17</v>
      </c>
      <c r="J821" s="41">
        <v>35</v>
      </c>
      <c r="K821" s="42">
        <f t="shared" si="61"/>
        <v>3.6369215879516789E-2</v>
      </c>
      <c r="L821" s="43">
        <f t="shared" si="62"/>
        <v>10.848612217232906</v>
      </c>
      <c r="M821" s="43">
        <f t="shared" si="63"/>
        <v>9.8486122172329065</v>
      </c>
      <c r="N821" s="43">
        <f t="shared" si="64"/>
        <v>4.1554543389368472</v>
      </c>
      <c r="O821" s="1" t="str">
        <f t="shared" si="60"/>
        <v>Normal</v>
      </c>
      <c r="P821" s="51" t="str">
        <f>IF(Table4[[#This Row],[Sales]]&lt;=$B$3,"Normal","High Revenue")</f>
        <v>Normal</v>
      </c>
      <c r="Q821" s="51" t="str">
        <f>IF(Table4[[#This Row],[CTR]]&lt;=$B$4,"Normal","High CTR")</f>
        <v>Normal</v>
      </c>
      <c r="R821" s="51" t="str">
        <f>IF(Table4[[#This Row],[ROAS]]&lt;1,"Poor",IF(Table4[[#This Row],[ROAS]]&lt;3,"Average",IF(Table4[[#This Row],[ROAS]]&lt;5,"Good",
"Excellent")))</f>
        <v>Excellent</v>
      </c>
      <c r="S821" s="51" t="str">
        <f>IF(AND(Table4[[#This Row],[USD_Spend]]&gt;=$B$5,Table4[[#This Row],[Sales]]&lt;=$B$6),"Wasted Budget","Spend Justified")</f>
        <v>Spend Justified</v>
      </c>
      <c r="T821" s="51" t="str">
        <f>IF(AND(Table4[[#This Row],[Clicks]]&gt;=$B$7,Table4[[#This Row],[Sales]]&lt;=$B$6),"Poor Monetization","Normal Monitization")</f>
        <v>Normal Monitization</v>
      </c>
    </row>
    <row r="822" spans="1:20" x14ac:dyDescent="0.35">
      <c r="A822" s="38" t="s">
        <v>94</v>
      </c>
      <c r="B822" s="38" t="s">
        <v>19</v>
      </c>
      <c r="C822" s="38" t="s">
        <v>20</v>
      </c>
      <c r="D822" s="38" t="s">
        <v>37</v>
      </c>
      <c r="E822" s="38" t="s">
        <v>30</v>
      </c>
      <c r="F822" s="38">
        <v>24641.040000000001</v>
      </c>
      <c r="G822" s="38">
        <v>489341</v>
      </c>
      <c r="H822" s="38">
        <v>49629</v>
      </c>
      <c r="I822" s="38">
        <v>32178.06</v>
      </c>
      <c r="J822" s="38">
        <v>9</v>
      </c>
      <c r="K822" s="39">
        <f t="shared" si="61"/>
        <v>0.10142007311874542</v>
      </c>
      <c r="L822" s="40">
        <f t="shared" si="62"/>
        <v>1.3058726417391473</v>
      </c>
      <c r="M822" s="40">
        <f t="shared" si="63"/>
        <v>0.30587264173914736</v>
      </c>
      <c r="N822" s="40">
        <f t="shared" si="64"/>
        <v>0.64837212113885034</v>
      </c>
      <c r="O822" s="1" t="str">
        <f t="shared" si="60"/>
        <v>Normal</v>
      </c>
      <c r="P822" s="51" t="str">
        <f>IF(Table4[[#This Row],[Sales]]&lt;=$B$3,"Normal","High Revenue")</f>
        <v>Normal</v>
      </c>
      <c r="Q822" s="51" t="str">
        <f>IF(Table4[[#This Row],[CTR]]&lt;=$B$4,"Normal","High CTR")</f>
        <v>Normal</v>
      </c>
      <c r="R822" s="51" t="str">
        <f>IF(Table4[[#This Row],[ROAS]]&lt;1,"Poor",IF(Table4[[#This Row],[ROAS]]&lt;3,"Average",IF(Table4[[#This Row],[ROAS]]&lt;5,"Good",
"Excellent")))</f>
        <v>Average</v>
      </c>
      <c r="S822" s="51" t="str">
        <f>IF(AND(Table4[[#This Row],[USD_Spend]]&gt;=$B$5,Table4[[#This Row],[Sales]]&lt;=$B$6),"Wasted Budget","Spend Justified")</f>
        <v>Wasted Budget</v>
      </c>
      <c r="T822" s="51" t="str">
        <f>IF(AND(Table4[[#This Row],[Clicks]]&gt;=$B$7,Table4[[#This Row],[Sales]]&lt;=$B$6),"Poor Monetization","Normal Monitization")</f>
        <v>Poor Monetization</v>
      </c>
    </row>
    <row r="823" spans="1:20" x14ac:dyDescent="0.35">
      <c r="A823" s="41" t="s">
        <v>87</v>
      </c>
      <c r="B823" s="41" t="s">
        <v>48</v>
      </c>
      <c r="C823" s="41" t="s">
        <v>69</v>
      </c>
      <c r="D823" s="41" t="s">
        <v>21</v>
      </c>
      <c r="E823" s="41" t="s">
        <v>22</v>
      </c>
      <c r="F823" s="41">
        <v>1203.5</v>
      </c>
      <c r="G823" s="41">
        <v>574607</v>
      </c>
      <c r="H823" s="41">
        <v>45113</v>
      </c>
      <c r="I823" s="41">
        <v>181260.35</v>
      </c>
      <c r="J823" s="41">
        <v>33</v>
      </c>
      <c r="K823" s="42">
        <f t="shared" si="61"/>
        <v>7.8511051901560547E-2</v>
      </c>
      <c r="L823" s="43">
        <f t="shared" si="62"/>
        <v>150.61100955546323</v>
      </c>
      <c r="M823" s="43">
        <f t="shared" si="63"/>
        <v>149.61100955546323</v>
      </c>
      <c r="N823" s="43">
        <f t="shared" si="64"/>
        <v>4.0179183383946979</v>
      </c>
      <c r="O823" s="1" t="str">
        <f t="shared" si="60"/>
        <v>Normal</v>
      </c>
      <c r="P823" s="51" t="str">
        <f>IF(Table4[[#This Row],[Sales]]&lt;=$B$3,"Normal","High Revenue")</f>
        <v>Normal</v>
      </c>
      <c r="Q823" s="51" t="str">
        <f>IF(Table4[[#This Row],[CTR]]&lt;=$B$4,"Normal","High CTR")</f>
        <v>Normal</v>
      </c>
      <c r="R823" s="51" t="str">
        <f>IF(Table4[[#This Row],[ROAS]]&lt;1,"Poor",IF(Table4[[#This Row],[ROAS]]&lt;3,"Average",IF(Table4[[#This Row],[ROAS]]&lt;5,"Good",
"Excellent")))</f>
        <v>Excellent</v>
      </c>
      <c r="S823" s="51" t="str">
        <f>IF(AND(Table4[[#This Row],[USD_Spend]]&gt;=$B$5,Table4[[#This Row],[Sales]]&lt;=$B$6),"Wasted Budget","Spend Justified")</f>
        <v>Spend Justified</v>
      </c>
      <c r="T823" s="51" t="str">
        <f>IF(AND(Table4[[#This Row],[Clicks]]&gt;=$B$7,Table4[[#This Row],[Sales]]&lt;=$B$6),"Poor Monetization","Normal Monitization")</f>
        <v>Normal Monitization</v>
      </c>
    </row>
    <row r="824" spans="1:20" x14ac:dyDescent="0.35">
      <c r="A824" s="38" t="s">
        <v>72</v>
      </c>
      <c r="B824" s="38" t="s">
        <v>48</v>
      </c>
      <c r="C824" s="38" t="s">
        <v>36</v>
      </c>
      <c r="D824" s="38" t="s">
        <v>51</v>
      </c>
      <c r="E824" s="38" t="s">
        <v>22</v>
      </c>
      <c r="F824" s="38">
        <v>3817.95</v>
      </c>
      <c r="G824" s="38">
        <v>404220</v>
      </c>
      <c r="H824" s="38">
        <v>43117</v>
      </c>
      <c r="I824" s="38">
        <v>192145.15</v>
      </c>
      <c r="J824" s="38">
        <v>13</v>
      </c>
      <c r="K824" s="39">
        <f t="shared" si="61"/>
        <v>0.10666716144673692</v>
      </c>
      <c r="L824" s="40">
        <f t="shared" si="62"/>
        <v>50.326785316727566</v>
      </c>
      <c r="M824" s="40">
        <f t="shared" si="63"/>
        <v>49.326785316727559</v>
      </c>
      <c r="N824" s="40">
        <f t="shared" si="64"/>
        <v>4.4563663984043416</v>
      </c>
      <c r="O824" s="1" t="str">
        <f t="shared" si="60"/>
        <v>Normal</v>
      </c>
      <c r="P824" s="51" t="str">
        <f>IF(Table4[[#This Row],[Sales]]&lt;=$B$3,"Normal","High Revenue")</f>
        <v>Normal</v>
      </c>
      <c r="Q824" s="51" t="str">
        <f>IF(Table4[[#This Row],[CTR]]&lt;=$B$4,"Normal","High CTR")</f>
        <v>Normal</v>
      </c>
      <c r="R824" s="51" t="str">
        <f>IF(Table4[[#This Row],[ROAS]]&lt;1,"Poor",IF(Table4[[#This Row],[ROAS]]&lt;3,"Average",IF(Table4[[#This Row],[ROAS]]&lt;5,"Good",
"Excellent")))</f>
        <v>Excellent</v>
      </c>
      <c r="S824" s="51" t="str">
        <f>IF(AND(Table4[[#This Row],[USD_Spend]]&gt;=$B$5,Table4[[#This Row],[Sales]]&lt;=$B$6),"Wasted Budget","Spend Justified")</f>
        <v>Spend Justified</v>
      </c>
      <c r="T824" s="51" t="str">
        <f>IF(AND(Table4[[#This Row],[Clicks]]&gt;=$B$7,Table4[[#This Row],[Sales]]&lt;=$B$6),"Poor Monetization","Normal Monitization")</f>
        <v>Normal Monitization</v>
      </c>
    </row>
    <row r="825" spans="1:20" x14ac:dyDescent="0.35">
      <c r="A825" s="41" t="s">
        <v>66</v>
      </c>
      <c r="B825" s="41" t="s">
        <v>28</v>
      </c>
      <c r="C825" s="41" t="s">
        <v>36</v>
      </c>
      <c r="D825" s="41" t="s">
        <v>37</v>
      </c>
      <c r="E825" s="41" t="s">
        <v>22</v>
      </c>
      <c r="F825" s="41">
        <v>10148.709999999999</v>
      </c>
      <c r="G825" s="41">
        <v>650037</v>
      </c>
      <c r="H825" s="41">
        <v>39872</v>
      </c>
      <c r="I825" s="41">
        <v>23374.58</v>
      </c>
      <c r="J825" s="41">
        <v>55</v>
      </c>
      <c r="K825" s="42">
        <f t="shared" si="61"/>
        <v>6.1338046911175823E-2</v>
      </c>
      <c r="L825" s="43">
        <f t="shared" si="62"/>
        <v>2.3032070085754746</v>
      </c>
      <c r="M825" s="43">
        <f t="shared" si="63"/>
        <v>1.3032070085754746</v>
      </c>
      <c r="N825" s="43">
        <f t="shared" si="64"/>
        <v>0.58624046950240771</v>
      </c>
      <c r="O825" s="1" t="str">
        <f t="shared" si="60"/>
        <v>Normal</v>
      </c>
      <c r="P825" s="51" t="str">
        <f>IF(Table4[[#This Row],[Sales]]&lt;=$B$3,"Normal","High Revenue")</f>
        <v>Normal</v>
      </c>
      <c r="Q825" s="51" t="str">
        <f>IF(Table4[[#This Row],[CTR]]&lt;=$B$4,"Normal","High CTR")</f>
        <v>Normal</v>
      </c>
      <c r="R825" s="51" t="str">
        <f>IF(Table4[[#This Row],[ROAS]]&lt;1,"Poor",IF(Table4[[#This Row],[ROAS]]&lt;3,"Average",IF(Table4[[#This Row],[ROAS]]&lt;5,"Good",
"Excellent")))</f>
        <v>Average</v>
      </c>
      <c r="S825" s="51" t="str">
        <f>IF(AND(Table4[[#This Row],[USD_Spend]]&gt;=$B$5,Table4[[#This Row],[Sales]]&lt;=$B$6),"Wasted Budget","Spend Justified")</f>
        <v>Wasted Budget</v>
      </c>
      <c r="T825" s="51" t="str">
        <f>IF(AND(Table4[[#This Row],[Clicks]]&gt;=$B$7,Table4[[#This Row],[Sales]]&lt;=$B$6),"Poor Monetization","Normal Monitization")</f>
        <v>Poor Monetization</v>
      </c>
    </row>
    <row r="826" spans="1:20" x14ac:dyDescent="0.35">
      <c r="A826" s="38" t="s">
        <v>57</v>
      </c>
      <c r="B826" s="38" t="s">
        <v>28</v>
      </c>
      <c r="C826" s="38" t="s">
        <v>29</v>
      </c>
      <c r="D826" s="38" t="s">
        <v>21</v>
      </c>
      <c r="E826" s="38" t="s">
        <v>22</v>
      </c>
      <c r="F826" s="38">
        <v>10705.68</v>
      </c>
      <c r="G826" s="38">
        <v>830114</v>
      </c>
      <c r="H826" s="38">
        <v>17545</v>
      </c>
      <c r="I826" s="38">
        <v>75550.679999999993</v>
      </c>
      <c r="J826" s="38">
        <v>19</v>
      </c>
      <c r="K826" s="39">
        <f t="shared" si="61"/>
        <v>2.1135651247900889E-2</v>
      </c>
      <c r="L826" s="40">
        <f t="shared" si="62"/>
        <v>7.0570650346358184</v>
      </c>
      <c r="M826" s="40">
        <f t="shared" si="63"/>
        <v>6.0570650346358184</v>
      </c>
      <c r="N826" s="40">
        <f t="shared" si="64"/>
        <v>4.3061088629239093</v>
      </c>
      <c r="O826" s="1" t="str">
        <f t="shared" si="60"/>
        <v>Normal</v>
      </c>
      <c r="P826" s="51" t="str">
        <f>IF(Table4[[#This Row],[Sales]]&lt;=$B$3,"Normal","High Revenue")</f>
        <v>Normal</v>
      </c>
      <c r="Q826" s="51" t="str">
        <f>IF(Table4[[#This Row],[CTR]]&lt;=$B$4,"Normal","High CTR")</f>
        <v>Normal</v>
      </c>
      <c r="R826" s="51" t="str">
        <f>IF(Table4[[#This Row],[ROAS]]&lt;1,"Poor",IF(Table4[[#This Row],[ROAS]]&lt;3,"Average",IF(Table4[[#This Row],[ROAS]]&lt;5,"Good",
"Excellent")))</f>
        <v>Excellent</v>
      </c>
      <c r="S826" s="51" t="str">
        <f>IF(AND(Table4[[#This Row],[USD_Spend]]&gt;=$B$5,Table4[[#This Row],[Sales]]&lt;=$B$6),"Wasted Budget","Spend Justified")</f>
        <v>Spend Justified</v>
      </c>
      <c r="T826" s="51" t="str">
        <f>IF(AND(Table4[[#This Row],[Clicks]]&gt;=$B$7,Table4[[#This Row],[Sales]]&lt;=$B$6),"Poor Monetization","Normal Monitization")</f>
        <v>Normal Monitization</v>
      </c>
    </row>
    <row r="827" spans="1:20" x14ac:dyDescent="0.35">
      <c r="A827" s="41" t="s">
        <v>83</v>
      </c>
      <c r="B827" s="41" t="s">
        <v>28</v>
      </c>
      <c r="C827" s="41" t="s">
        <v>36</v>
      </c>
      <c r="D827" s="41" t="s">
        <v>37</v>
      </c>
      <c r="E827" s="41" t="s">
        <v>22</v>
      </c>
      <c r="F827" s="41">
        <v>1989.41</v>
      </c>
      <c r="G827" s="41">
        <v>159380</v>
      </c>
      <c r="H827" s="41">
        <v>27154</v>
      </c>
      <c r="I827" s="41">
        <v>223787.7</v>
      </c>
      <c r="J827" s="41">
        <v>9</v>
      </c>
      <c r="K827" s="42">
        <f t="shared" si="61"/>
        <v>0.17037269418998618</v>
      </c>
      <c r="L827" s="43">
        <f t="shared" si="62"/>
        <v>112.48948180616364</v>
      </c>
      <c r="M827" s="43">
        <f t="shared" si="63"/>
        <v>111.48948180616364</v>
      </c>
      <c r="N827" s="43">
        <f t="shared" si="64"/>
        <v>8.2414266774692493</v>
      </c>
      <c r="O827" s="1" t="str">
        <f t="shared" si="60"/>
        <v>Normal</v>
      </c>
      <c r="P827" s="51" t="str">
        <f>IF(Table4[[#This Row],[Sales]]&lt;=$B$3,"Normal","High Revenue")</f>
        <v>Normal</v>
      </c>
      <c r="Q827" s="51" t="str">
        <f>IF(Table4[[#This Row],[CTR]]&lt;=$B$4,"Normal","High CTR")</f>
        <v>Normal</v>
      </c>
      <c r="R827" s="51" t="str">
        <f>IF(Table4[[#This Row],[ROAS]]&lt;1,"Poor",IF(Table4[[#This Row],[ROAS]]&lt;3,"Average",IF(Table4[[#This Row],[ROAS]]&lt;5,"Good",
"Excellent")))</f>
        <v>Excellent</v>
      </c>
      <c r="S827" s="51" t="str">
        <f>IF(AND(Table4[[#This Row],[USD_Spend]]&gt;=$B$5,Table4[[#This Row],[Sales]]&lt;=$B$6),"Wasted Budget","Spend Justified")</f>
        <v>Spend Justified</v>
      </c>
      <c r="T827" s="51" t="str">
        <f>IF(AND(Table4[[#This Row],[Clicks]]&gt;=$B$7,Table4[[#This Row],[Sales]]&lt;=$B$6),"Poor Monetization","Normal Monitization")</f>
        <v>Normal Monitization</v>
      </c>
    </row>
    <row r="828" spans="1:20" x14ac:dyDescent="0.35">
      <c r="A828" s="38" t="s">
        <v>100</v>
      </c>
      <c r="B828" s="38" t="s">
        <v>35</v>
      </c>
      <c r="C828" s="38" t="s">
        <v>58</v>
      </c>
      <c r="D828" s="38" t="s">
        <v>37</v>
      </c>
      <c r="E828" s="38" t="s">
        <v>22</v>
      </c>
      <c r="F828" s="38">
        <v>8063.48</v>
      </c>
      <c r="G828" s="38">
        <v>353772</v>
      </c>
      <c r="H828" s="38">
        <v>33946</v>
      </c>
      <c r="I828" s="38">
        <v>147680.42000000001</v>
      </c>
      <c r="J828" s="38">
        <v>30</v>
      </c>
      <c r="K828" s="39">
        <f t="shared" si="61"/>
        <v>9.5954456542631975E-2</v>
      </c>
      <c r="L828" s="40">
        <f t="shared" si="62"/>
        <v>18.314725155888031</v>
      </c>
      <c r="M828" s="40">
        <f t="shared" si="63"/>
        <v>17.314725155888031</v>
      </c>
      <c r="N828" s="40">
        <f t="shared" si="64"/>
        <v>4.3504513050138458</v>
      </c>
      <c r="O828" s="1" t="str">
        <f t="shared" si="60"/>
        <v>Normal</v>
      </c>
      <c r="P828" s="51" t="str">
        <f>IF(Table4[[#This Row],[Sales]]&lt;=$B$3,"Normal","High Revenue")</f>
        <v>Normal</v>
      </c>
      <c r="Q828" s="51" t="str">
        <f>IF(Table4[[#This Row],[CTR]]&lt;=$B$4,"Normal","High CTR")</f>
        <v>Normal</v>
      </c>
      <c r="R828" s="51" t="str">
        <f>IF(Table4[[#This Row],[ROAS]]&lt;1,"Poor",IF(Table4[[#This Row],[ROAS]]&lt;3,"Average",IF(Table4[[#This Row],[ROAS]]&lt;5,"Good",
"Excellent")))</f>
        <v>Excellent</v>
      </c>
      <c r="S828" s="51" t="str">
        <f>IF(AND(Table4[[#This Row],[USD_Spend]]&gt;=$B$5,Table4[[#This Row],[Sales]]&lt;=$B$6),"Wasted Budget","Spend Justified")</f>
        <v>Spend Justified</v>
      </c>
      <c r="T828" s="51" t="str">
        <f>IF(AND(Table4[[#This Row],[Clicks]]&gt;=$B$7,Table4[[#This Row],[Sales]]&lt;=$B$6),"Poor Monetization","Normal Monitization")</f>
        <v>Normal Monitization</v>
      </c>
    </row>
    <row r="829" spans="1:20" x14ac:dyDescent="0.35">
      <c r="A829" s="41" t="s">
        <v>18</v>
      </c>
      <c r="B829" s="41" t="s">
        <v>28</v>
      </c>
      <c r="C829" s="41" t="s">
        <v>58</v>
      </c>
      <c r="D829" s="41" t="s">
        <v>43</v>
      </c>
      <c r="E829" s="41" t="s">
        <v>22</v>
      </c>
      <c r="F829" s="41">
        <v>3488.92</v>
      </c>
      <c r="G829" s="41">
        <v>717814</v>
      </c>
      <c r="H829" s="41">
        <v>32248</v>
      </c>
      <c r="I829" s="41">
        <v>166719.25</v>
      </c>
      <c r="J829" s="41">
        <v>30</v>
      </c>
      <c r="K829" s="42">
        <f t="shared" si="61"/>
        <v>4.4925287052077559E-2</v>
      </c>
      <c r="L829" s="43">
        <f t="shared" si="62"/>
        <v>47.785346181626402</v>
      </c>
      <c r="M829" s="43">
        <f t="shared" si="63"/>
        <v>46.785346181626402</v>
      </c>
      <c r="N829" s="43">
        <f t="shared" si="64"/>
        <v>5.1699097618456955</v>
      </c>
      <c r="O829" s="1" t="str">
        <f t="shared" si="60"/>
        <v>Normal</v>
      </c>
      <c r="P829" s="51" t="str">
        <f>IF(Table4[[#This Row],[Sales]]&lt;=$B$3,"Normal","High Revenue")</f>
        <v>Normal</v>
      </c>
      <c r="Q829" s="51" t="str">
        <f>IF(Table4[[#This Row],[CTR]]&lt;=$B$4,"Normal","High CTR")</f>
        <v>Normal</v>
      </c>
      <c r="R829" s="51" t="str">
        <f>IF(Table4[[#This Row],[ROAS]]&lt;1,"Poor",IF(Table4[[#This Row],[ROAS]]&lt;3,"Average",IF(Table4[[#This Row],[ROAS]]&lt;5,"Good",
"Excellent")))</f>
        <v>Excellent</v>
      </c>
      <c r="S829" s="51" t="str">
        <f>IF(AND(Table4[[#This Row],[USD_Spend]]&gt;=$B$5,Table4[[#This Row],[Sales]]&lt;=$B$6),"Wasted Budget","Spend Justified")</f>
        <v>Spend Justified</v>
      </c>
      <c r="T829" s="51" t="str">
        <f>IF(AND(Table4[[#This Row],[Clicks]]&gt;=$B$7,Table4[[#This Row],[Sales]]&lt;=$B$6),"Poor Monetization","Normal Monitization")</f>
        <v>Normal Monitization</v>
      </c>
    </row>
    <row r="830" spans="1:20" x14ac:dyDescent="0.35">
      <c r="A830" s="38" t="s">
        <v>95</v>
      </c>
      <c r="B830" s="38" t="s">
        <v>35</v>
      </c>
      <c r="C830" s="38" t="s">
        <v>20</v>
      </c>
      <c r="D830" s="38" t="s">
        <v>37</v>
      </c>
      <c r="E830" s="38" t="s">
        <v>30</v>
      </c>
      <c r="F830" s="38">
        <v>3929.28</v>
      </c>
      <c r="G830" s="38">
        <v>667711</v>
      </c>
      <c r="H830" s="38">
        <v>16015</v>
      </c>
      <c r="I830" s="38">
        <v>29965.82</v>
      </c>
      <c r="J830" s="38">
        <v>18</v>
      </c>
      <c r="K830" s="39">
        <f t="shared" si="61"/>
        <v>2.398492761089753E-2</v>
      </c>
      <c r="L830" s="40">
        <f t="shared" si="62"/>
        <v>7.6262877677335279</v>
      </c>
      <c r="M830" s="40">
        <f t="shared" si="63"/>
        <v>6.6262877677335288</v>
      </c>
      <c r="N830" s="40">
        <f t="shared" si="64"/>
        <v>1.8711095847642836</v>
      </c>
      <c r="O830" s="1" t="str">
        <f t="shared" si="60"/>
        <v>Normal</v>
      </c>
      <c r="P830" s="51" t="str">
        <f>IF(Table4[[#This Row],[Sales]]&lt;=$B$3,"Normal","High Revenue")</f>
        <v>Normal</v>
      </c>
      <c r="Q830" s="51" t="str">
        <f>IF(Table4[[#This Row],[CTR]]&lt;=$B$4,"Normal","High CTR")</f>
        <v>Normal</v>
      </c>
      <c r="R830" s="51" t="str">
        <f>IF(Table4[[#This Row],[ROAS]]&lt;1,"Poor",IF(Table4[[#This Row],[ROAS]]&lt;3,"Average",IF(Table4[[#This Row],[ROAS]]&lt;5,"Good",
"Excellent")))</f>
        <v>Excellent</v>
      </c>
      <c r="S830" s="51" t="str">
        <f>IF(AND(Table4[[#This Row],[USD_Spend]]&gt;=$B$5,Table4[[#This Row],[Sales]]&lt;=$B$6),"Wasted Budget","Spend Justified")</f>
        <v>Spend Justified</v>
      </c>
      <c r="T830" s="51" t="str">
        <f>IF(AND(Table4[[#This Row],[Clicks]]&gt;=$B$7,Table4[[#This Row],[Sales]]&lt;=$B$6),"Poor Monetization","Normal Monitization")</f>
        <v>Normal Monitization</v>
      </c>
    </row>
    <row r="831" spans="1:20" x14ac:dyDescent="0.35">
      <c r="A831" s="41" t="s">
        <v>72</v>
      </c>
      <c r="B831" s="41" t="s">
        <v>28</v>
      </c>
      <c r="C831" s="41" t="s">
        <v>58</v>
      </c>
      <c r="D831" s="41" t="s">
        <v>63</v>
      </c>
      <c r="E831" s="41" t="s">
        <v>38</v>
      </c>
      <c r="F831" s="41">
        <v>45984.160000000003</v>
      </c>
      <c r="G831" s="41">
        <v>713956</v>
      </c>
      <c r="H831" s="41">
        <v>5003</v>
      </c>
      <c r="I831" s="41">
        <v>145617.35999999999</v>
      </c>
      <c r="J831" s="41">
        <v>44</v>
      </c>
      <c r="K831" s="42">
        <f t="shared" si="61"/>
        <v>7.0074346318260506E-3</v>
      </c>
      <c r="L831" s="43">
        <f t="shared" si="62"/>
        <v>3.166685223781406</v>
      </c>
      <c r="M831" s="43">
        <f t="shared" si="63"/>
        <v>2.166685223781406</v>
      </c>
      <c r="N831" s="43">
        <f t="shared" si="64"/>
        <v>29.10600839496302</v>
      </c>
      <c r="O831" s="1" t="str">
        <f t="shared" si="60"/>
        <v>High Spend</v>
      </c>
      <c r="P831" s="51" t="str">
        <f>IF(Table4[[#This Row],[Sales]]&lt;=$B$3,"Normal","High Revenue")</f>
        <v>Normal</v>
      </c>
      <c r="Q831" s="51" t="str">
        <f>IF(Table4[[#This Row],[CTR]]&lt;=$B$4,"Normal","High CTR")</f>
        <v>Normal</v>
      </c>
      <c r="R831" s="51" t="str">
        <f>IF(Table4[[#This Row],[ROAS]]&lt;1,"Poor",IF(Table4[[#This Row],[ROAS]]&lt;3,"Average",IF(Table4[[#This Row],[ROAS]]&lt;5,"Good",
"Excellent")))</f>
        <v>Good</v>
      </c>
      <c r="S831" s="51" t="str">
        <f>IF(AND(Table4[[#This Row],[USD_Spend]]&gt;=$B$5,Table4[[#This Row],[Sales]]&lt;=$B$6),"Wasted Budget","Spend Justified")</f>
        <v>Spend Justified</v>
      </c>
      <c r="T831" s="51" t="str">
        <f>IF(AND(Table4[[#This Row],[Clicks]]&gt;=$B$7,Table4[[#This Row],[Sales]]&lt;=$B$6),"Poor Monetization","Normal Monitization")</f>
        <v>Normal Monitization</v>
      </c>
    </row>
    <row r="832" spans="1:20" x14ac:dyDescent="0.35">
      <c r="A832" s="38" t="s">
        <v>104</v>
      </c>
      <c r="B832" s="38" t="s">
        <v>28</v>
      </c>
      <c r="C832" s="38" t="s">
        <v>58</v>
      </c>
      <c r="D832" s="38" t="s">
        <v>59</v>
      </c>
      <c r="E832" s="38" t="s">
        <v>38</v>
      </c>
      <c r="F832" s="38">
        <v>20951.47</v>
      </c>
      <c r="G832" s="38">
        <v>296643</v>
      </c>
      <c r="H832" s="38">
        <v>4508</v>
      </c>
      <c r="I832" s="38">
        <v>143774.93</v>
      </c>
      <c r="J832" s="38">
        <v>60</v>
      </c>
      <c r="K832" s="39">
        <f t="shared" si="61"/>
        <v>1.5196717940419966E-2</v>
      </c>
      <c r="L832" s="40">
        <f t="shared" si="62"/>
        <v>6.8622836488322765</v>
      </c>
      <c r="M832" s="40">
        <f t="shared" si="63"/>
        <v>5.8622836488322765</v>
      </c>
      <c r="N832" s="40">
        <f t="shared" si="64"/>
        <v>31.893285270629988</v>
      </c>
      <c r="O832" s="1" t="str">
        <f t="shared" si="60"/>
        <v>Normal</v>
      </c>
      <c r="P832" s="51" t="str">
        <f>IF(Table4[[#This Row],[Sales]]&lt;=$B$3,"Normal","High Revenue")</f>
        <v>Normal</v>
      </c>
      <c r="Q832" s="51" t="str">
        <f>IF(Table4[[#This Row],[CTR]]&lt;=$B$4,"Normal","High CTR")</f>
        <v>Normal</v>
      </c>
      <c r="R832" s="51" t="str">
        <f>IF(Table4[[#This Row],[ROAS]]&lt;1,"Poor",IF(Table4[[#This Row],[ROAS]]&lt;3,"Average",IF(Table4[[#This Row],[ROAS]]&lt;5,"Good",
"Excellent")))</f>
        <v>Excellent</v>
      </c>
      <c r="S832" s="51" t="str">
        <f>IF(AND(Table4[[#This Row],[USD_Spend]]&gt;=$B$5,Table4[[#This Row],[Sales]]&lt;=$B$6),"Wasted Budget","Spend Justified")</f>
        <v>Spend Justified</v>
      </c>
      <c r="T832" s="51" t="str">
        <f>IF(AND(Table4[[#This Row],[Clicks]]&gt;=$B$7,Table4[[#This Row],[Sales]]&lt;=$B$6),"Poor Monetization","Normal Monitization")</f>
        <v>Normal Monitization</v>
      </c>
    </row>
    <row r="833" spans="1:20" x14ac:dyDescent="0.35">
      <c r="A833" s="41" t="s">
        <v>77</v>
      </c>
      <c r="B833" s="41" t="s">
        <v>19</v>
      </c>
      <c r="C833" s="41" t="s">
        <v>69</v>
      </c>
      <c r="D833" s="41" t="s">
        <v>21</v>
      </c>
      <c r="E833" s="41" t="s">
        <v>30</v>
      </c>
      <c r="F833" s="41">
        <v>43350.239999999998</v>
      </c>
      <c r="G833" s="41">
        <v>874446</v>
      </c>
      <c r="H833" s="41">
        <v>10608</v>
      </c>
      <c r="I833" s="41">
        <v>176128.14</v>
      </c>
      <c r="J833" s="41">
        <v>33</v>
      </c>
      <c r="K833" s="42">
        <f t="shared" si="61"/>
        <v>1.2131109296628952E-2</v>
      </c>
      <c r="L833" s="43">
        <f t="shared" si="62"/>
        <v>4.0629103783508471</v>
      </c>
      <c r="M833" s="43">
        <f t="shared" si="63"/>
        <v>3.0629103783508471</v>
      </c>
      <c r="N833" s="43">
        <f t="shared" si="64"/>
        <v>16.603331447963804</v>
      </c>
      <c r="O833" s="1" t="str">
        <f t="shared" si="60"/>
        <v>High Spend</v>
      </c>
      <c r="P833" s="51" t="str">
        <f>IF(Table4[[#This Row],[Sales]]&lt;=$B$3,"Normal","High Revenue")</f>
        <v>Normal</v>
      </c>
      <c r="Q833" s="51" t="str">
        <f>IF(Table4[[#This Row],[CTR]]&lt;=$B$4,"Normal","High CTR")</f>
        <v>Normal</v>
      </c>
      <c r="R833" s="51" t="str">
        <f>IF(Table4[[#This Row],[ROAS]]&lt;1,"Poor",IF(Table4[[#This Row],[ROAS]]&lt;3,"Average",IF(Table4[[#This Row],[ROAS]]&lt;5,"Good",
"Excellent")))</f>
        <v>Good</v>
      </c>
      <c r="S833" s="51" t="str">
        <f>IF(AND(Table4[[#This Row],[USD_Spend]]&gt;=$B$5,Table4[[#This Row],[Sales]]&lt;=$B$6),"Wasted Budget","Spend Justified")</f>
        <v>Spend Justified</v>
      </c>
      <c r="T833" s="51" t="str">
        <f>IF(AND(Table4[[#This Row],[Clicks]]&gt;=$B$7,Table4[[#This Row],[Sales]]&lt;=$B$6),"Poor Monetization","Normal Monitization")</f>
        <v>Normal Monitization</v>
      </c>
    </row>
    <row r="834" spans="1:20" x14ac:dyDescent="0.35">
      <c r="A834" s="38" t="s">
        <v>42</v>
      </c>
      <c r="B834" s="38" t="s">
        <v>28</v>
      </c>
      <c r="C834" s="38" t="s">
        <v>36</v>
      </c>
      <c r="D834" s="38" t="s">
        <v>51</v>
      </c>
      <c r="E834" s="38" t="s">
        <v>38</v>
      </c>
      <c r="F834" s="38">
        <v>38416.35</v>
      </c>
      <c r="G834" s="38">
        <v>713176</v>
      </c>
      <c r="H834" s="38">
        <v>8167</v>
      </c>
      <c r="I834" s="38">
        <v>168041.71</v>
      </c>
      <c r="J834" s="38">
        <v>22</v>
      </c>
      <c r="K834" s="39">
        <f t="shared" si="61"/>
        <v>1.1451591192076008E-2</v>
      </c>
      <c r="L834" s="40">
        <f t="shared" si="62"/>
        <v>4.3742237354668001</v>
      </c>
      <c r="M834" s="40">
        <f t="shared" si="63"/>
        <v>3.3742237354667997</v>
      </c>
      <c r="N834" s="40">
        <f t="shared" si="64"/>
        <v>20.575696094036978</v>
      </c>
      <c r="O834" s="1" t="str">
        <f t="shared" si="60"/>
        <v>Normal</v>
      </c>
      <c r="P834" s="51" t="str">
        <f>IF(Table4[[#This Row],[Sales]]&lt;=$B$3,"Normal","High Revenue")</f>
        <v>Normal</v>
      </c>
      <c r="Q834" s="51" t="str">
        <f>IF(Table4[[#This Row],[CTR]]&lt;=$B$4,"Normal","High CTR")</f>
        <v>Normal</v>
      </c>
      <c r="R834" s="51" t="str">
        <f>IF(Table4[[#This Row],[ROAS]]&lt;1,"Poor",IF(Table4[[#This Row],[ROAS]]&lt;3,"Average",IF(Table4[[#This Row],[ROAS]]&lt;5,"Good",
"Excellent")))</f>
        <v>Good</v>
      </c>
      <c r="S834" s="51" t="str">
        <f>IF(AND(Table4[[#This Row],[USD_Spend]]&gt;=$B$5,Table4[[#This Row],[Sales]]&lt;=$B$6),"Wasted Budget","Spend Justified")</f>
        <v>Spend Justified</v>
      </c>
      <c r="T834" s="51" t="str">
        <f>IF(AND(Table4[[#This Row],[Clicks]]&gt;=$B$7,Table4[[#This Row],[Sales]]&lt;=$B$6),"Poor Monetization","Normal Monitization")</f>
        <v>Normal Monitization</v>
      </c>
    </row>
    <row r="835" spans="1:20" x14ac:dyDescent="0.35">
      <c r="A835" s="41" t="s">
        <v>34</v>
      </c>
      <c r="B835" s="41" t="s">
        <v>19</v>
      </c>
      <c r="C835" s="41" t="s">
        <v>36</v>
      </c>
      <c r="D835" s="41" t="s">
        <v>63</v>
      </c>
      <c r="E835" s="41" t="s">
        <v>38</v>
      </c>
      <c r="F835" s="41">
        <v>26775.119999999999</v>
      </c>
      <c r="G835" s="41">
        <v>99083</v>
      </c>
      <c r="H835" s="41">
        <v>3547</v>
      </c>
      <c r="I835" s="41">
        <v>43117.08</v>
      </c>
      <c r="J835" s="41">
        <v>26</v>
      </c>
      <c r="K835" s="42">
        <f t="shared" si="61"/>
        <v>3.5798270137157737E-2</v>
      </c>
      <c r="L835" s="43">
        <f t="shared" si="62"/>
        <v>1.6103412421681025</v>
      </c>
      <c r="M835" s="43">
        <f t="shared" si="63"/>
        <v>0.61034124216810248</v>
      </c>
      <c r="N835" s="43">
        <f t="shared" si="64"/>
        <v>12.155928954045672</v>
      </c>
      <c r="O835" s="1" t="str">
        <f t="shared" si="60"/>
        <v>Normal</v>
      </c>
      <c r="P835" s="51" t="str">
        <f>IF(Table4[[#This Row],[Sales]]&lt;=$B$3,"Normal","High Revenue")</f>
        <v>Normal</v>
      </c>
      <c r="Q835" s="51" t="str">
        <f>IF(Table4[[#This Row],[CTR]]&lt;=$B$4,"Normal","High CTR")</f>
        <v>Normal</v>
      </c>
      <c r="R835" s="51" t="str">
        <f>IF(Table4[[#This Row],[ROAS]]&lt;1,"Poor",IF(Table4[[#This Row],[ROAS]]&lt;3,"Average",IF(Table4[[#This Row],[ROAS]]&lt;5,"Good",
"Excellent")))</f>
        <v>Average</v>
      </c>
      <c r="S835" s="51" t="str">
        <f>IF(AND(Table4[[#This Row],[USD_Spend]]&gt;=$B$5,Table4[[#This Row],[Sales]]&lt;=$B$6),"Wasted Budget","Spend Justified")</f>
        <v>Wasted Budget</v>
      </c>
      <c r="T835" s="51" t="str">
        <f>IF(AND(Table4[[#This Row],[Clicks]]&gt;=$B$7,Table4[[#This Row],[Sales]]&lt;=$B$6),"Poor Monetization","Normal Monitization")</f>
        <v>Normal Monitization</v>
      </c>
    </row>
    <row r="836" spans="1:20" x14ac:dyDescent="0.35">
      <c r="A836" s="38" t="s">
        <v>55</v>
      </c>
      <c r="B836" s="38" t="s">
        <v>28</v>
      </c>
      <c r="C836" s="38" t="s">
        <v>29</v>
      </c>
      <c r="D836" s="38" t="s">
        <v>51</v>
      </c>
      <c r="E836" s="38" t="s">
        <v>22</v>
      </c>
      <c r="F836" s="38">
        <v>6300.27</v>
      </c>
      <c r="G836" s="38">
        <v>669580</v>
      </c>
      <c r="H836" s="38">
        <v>47363</v>
      </c>
      <c r="I836" s="38">
        <v>156835.26999999999</v>
      </c>
      <c r="J836" s="38">
        <v>9</v>
      </c>
      <c r="K836" s="39">
        <f t="shared" si="61"/>
        <v>7.0735386361599803E-2</v>
      </c>
      <c r="L836" s="40">
        <f t="shared" si="62"/>
        <v>24.893420440711267</v>
      </c>
      <c r="M836" s="40">
        <f t="shared" si="63"/>
        <v>23.893420440711271</v>
      </c>
      <c r="N836" s="40">
        <f t="shared" si="64"/>
        <v>3.3113457762388361</v>
      </c>
      <c r="O836" s="1" t="str">
        <f t="shared" si="60"/>
        <v>Normal</v>
      </c>
      <c r="P836" s="51" t="str">
        <f>IF(Table4[[#This Row],[Sales]]&lt;=$B$3,"Normal","High Revenue")</f>
        <v>Normal</v>
      </c>
      <c r="Q836" s="51" t="str">
        <f>IF(Table4[[#This Row],[CTR]]&lt;=$B$4,"Normal","High CTR")</f>
        <v>Normal</v>
      </c>
      <c r="R836" s="51" t="str">
        <f>IF(Table4[[#This Row],[ROAS]]&lt;1,"Poor",IF(Table4[[#This Row],[ROAS]]&lt;3,"Average",IF(Table4[[#This Row],[ROAS]]&lt;5,"Good",
"Excellent")))</f>
        <v>Excellent</v>
      </c>
      <c r="S836" s="51" t="str">
        <f>IF(AND(Table4[[#This Row],[USD_Spend]]&gt;=$B$5,Table4[[#This Row],[Sales]]&lt;=$B$6),"Wasted Budget","Spend Justified")</f>
        <v>Spend Justified</v>
      </c>
      <c r="T836" s="51" t="str">
        <f>IF(AND(Table4[[#This Row],[Clicks]]&gt;=$B$7,Table4[[#This Row],[Sales]]&lt;=$B$6),"Poor Monetization","Normal Monitization")</f>
        <v>Normal Monitization</v>
      </c>
    </row>
    <row r="837" spans="1:20" x14ac:dyDescent="0.35">
      <c r="A837" s="41" t="s">
        <v>120</v>
      </c>
      <c r="B837" s="41" t="s">
        <v>35</v>
      </c>
      <c r="C837" s="41" t="s">
        <v>29</v>
      </c>
      <c r="D837" s="41" t="s">
        <v>51</v>
      </c>
      <c r="E837" s="41" t="s">
        <v>38</v>
      </c>
      <c r="F837" s="41">
        <v>15498.19</v>
      </c>
      <c r="G837" s="41">
        <v>350404</v>
      </c>
      <c r="H837" s="41">
        <v>3852</v>
      </c>
      <c r="I837" s="41">
        <v>158359.04999999999</v>
      </c>
      <c r="J837" s="41">
        <v>14</v>
      </c>
      <c r="K837" s="42">
        <f t="shared" si="61"/>
        <v>1.0993025193776327E-2</v>
      </c>
      <c r="L837" s="43">
        <f t="shared" si="62"/>
        <v>10.217906090969331</v>
      </c>
      <c r="M837" s="43">
        <f t="shared" si="63"/>
        <v>9.2179060909693309</v>
      </c>
      <c r="N837" s="43">
        <f t="shared" si="64"/>
        <v>41.110864485981303</v>
      </c>
      <c r="O837" s="1" t="str">
        <f t="shared" si="60"/>
        <v>Normal</v>
      </c>
      <c r="P837" s="51" t="str">
        <f>IF(Table4[[#This Row],[Sales]]&lt;=$B$3,"Normal","High Revenue")</f>
        <v>Normal</v>
      </c>
      <c r="Q837" s="51" t="str">
        <f>IF(Table4[[#This Row],[CTR]]&lt;=$B$4,"Normal","High CTR")</f>
        <v>Normal</v>
      </c>
      <c r="R837" s="51" t="str">
        <f>IF(Table4[[#This Row],[ROAS]]&lt;1,"Poor",IF(Table4[[#This Row],[ROAS]]&lt;3,"Average",IF(Table4[[#This Row],[ROAS]]&lt;5,"Good",
"Excellent")))</f>
        <v>Excellent</v>
      </c>
      <c r="S837" s="51" t="str">
        <f>IF(AND(Table4[[#This Row],[USD_Spend]]&gt;=$B$5,Table4[[#This Row],[Sales]]&lt;=$B$6),"Wasted Budget","Spend Justified")</f>
        <v>Spend Justified</v>
      </c>
      <c r="T837" s="51" t="str">
        <f>IF(AND(Table4[[#This Row],[Clicks]]&gt;=$B$7,Table4[[#This Row],[Sales]]&lt;=$B$6),"Poor Monetization","Normal Monitization")</f>
        <v>Normal Monitization</v>
      </c>
    </row>
    <row r="838" spans="1:20" x14ac:dyDescent="0.35">
      <c r="A838" s="38" t="s">
        <v>120</v>
      </c>
      <c r="B838" s="38" t="s">
        <v>35</v>
      </c>
      <c r="C838" s="38" t="s">
        <v>58</v>
      </c>
      <c r="D838" s="38" t="s">
        <v>21</v>
      </c>
      <c r="E838" s="38" t="s">
        <v>38</v>
      </c>
      <c r="F838" s="38">
        <v>29466.92</v>
      </c>
      <c r="G838" s="38">
        <v>544117</v>
      </c>
      <c r="H838" s="38">
        <v>5591</v>
      </c>
      <c r="I838" s="38">
        <v>42302.82</v>
      </c>
      <c r="J838" s="38">
        <v>55</v>
      </c>
      <c r="K838" s="39">
        <f t="shared" si="61"/>
        <v>1.0275363570702625E-2</v>
      </c>
      <c r="L838" s="40">
        <f t="shared" si="62"/>
        <v>1.435603721053982</v>
      </c>
      <c r="M838" s="40">
        <f t="shared" si="63"/>
        <v>0.43560372105398198</v>
      </c>
      <c r="N838" s="40">
        <f t="shared" si="64"/>
        <v>7.5662350205687714</v>
      </c>
      <c r="O838" s="1" t="str">
        <f t="shared" si="60"/>
        <v>Normal</v>
      </c>
      <c r="P838" s="51" t="str">
        <f>IF(Table4[[#This Row],[Sales]]&lt;=$B$3,"Normal","High Revenue")</f>
        <v>Normal</v>
      </c>
      <c r="Q838" s="51" t="str">
        <f>IF(Table4[[#This Row],[CTR]]&lt;=$B$4,"Normal","High CTR")</f>
        <v>Normal</v>
      </c>
      <c r="R838" s="51" t="str">
        <f>IF(Table4[[#This Row],[ROAS]]&lt;1,"Poor",IF(Table4[[#This Row],[ROAS]]&lt;3,"Average",IF(Table4[[#This Row],[ROAS]]&lt;5,"Good",
"Excellent")))</f>
        <v>Average</v>
      </c>
      <c r="S838" s="51" t="str">
        <f>IF(AND(Table4[[#This Row],[USD_Spend]]&gt;=$B$5,Table4[[#This Row],[Sales]]&lt;=$B$6),"Wasted Budget","Spend Justified")</f>
        <v>Wasted Budget</v>
      </c>
      <c r="T838" s="51" t="str">
        <f>IF(AND(Table4[[#This Row],[Clicks]]&gt;=$B$7,Table4[[#This Row],[Sales]]&lt;=$B$6),"Poor Monetization","Normal Monitization")</f>
        <v>Normal Monitization</v>
      </c>
    </row>
    <row r="839" spans="1:20" x14ac:dyDescent="0.35">
      <c r="A839" s="41" t="s">
        <v>105</v>
      </c>
      <c r="B839" s="41" t="s">
        <v>48</v>
      </c>
      <c r="C839" s="41" t="s">
        <v>36</v>
      </c>
      <c r="D839" s="41" t="s">
        <v>37</v>
      </c>
      <c r="E839" s="41" t="s">
        <v>22</v>
      </c>
      <c r="F839" s="41">
        <v>9777.8700000000008</v>
      </c>
      <c r="G839" s="41">
        <v>629284</v>
      </c>
      <c r="H839" s="41">
        <v>4611</v>
      </c>
      <c r="I839" s="41">
        <v>61304.38</v>
      </c>
      <c r="J839" s="41">
        <v>49</v>
      </c>
      <c r="K839" s="42">
        <f t="shared" si="61"/>
        <v>7.327375239160697E-3</v>
      </c>
      <c r="L839" s="43">
        <f t="shared" si="62"/>
        <v>6.2697070016271432</v>
      </c>
      <c r="M839" s="43">
        <f t="shared" si="63"/>
        <v>5.2697070016271423</v>
      </c>
      <c r="N839" s="43">
        <f t="shared" si="64"/>
        <v>13.29524615050965</v>
      </c>
      <c r="O839" s="1" t="str">
        <f t="shared" si="60"/>
        <v>Normal</v>
      </c>
      <c r="P839" s="51" t="str">
        <f>IF(Table4[[#This Row],[Sales]]&lt;=$B$3,"Normal","High Revenue")</f>
        <v>Normal</v>
      </c>
      <c r="Q839" s="51" t="str">
        <f>IF(Table4[[#This Row],[CTR]]&lt;=$B$4,"Normal","High CTR")</f>
        <v>Normal</v>
      </c>
      <c r="R839" s="51" t="str">
        <f>IF(Table4[[#This Row],[ROAS]]&lt;1,"Poor",IF(Table4[[#This Row],[ROAS]]&lt;3,"Average",IF(Table4[[#This Row],[ROAS]]&lt;5,"Good",
"Excellent")))</f>
        <v>Excellent</v>
      </c>
      <c r="S839" s="51" t="str">
        <f>IF(AND(Table4[[#This Row],[USD_Spend]]&gt;=$B$5,Table4[[#This Row],[Sales]]&lt;=$B$6),"Wasted Budget","Spend Justified")</f>
        <v>Wasted Budget</v>
      </c>
      <c r="T839" s="51" t="str">
        <f>IF(AND(Table4[[#This Row],[Clicks]]&gt;=$B$7,Table4[[#This Row],[Sales]]&lt;=$B$6),"Poor Monetization","Normal Monitization")</f>
        <v>Normal Monitization</v>
      </c>
    </row>
    <row r="840" spans="1:20" x14ac:dyDescent="0.35">
      <c r="A840" s="38" t="s">
        <v>97</v>
      </c>
      <c r="B840" s="38" t="s">
        <v>48</v>
      </c>
      <c r="C840" s="38" t="s">
        <v>69</v>
      </c>
      <c r="D840" s="38" t="s">
        <v>59</v>
      </c>
      <c r="E840" s="38" t="s">
        <v>38</v>
      </c>
      <c r="F840" s="38">
        <v>30987.93</v>
      </c>
      <c r="G840" s="38">
        <v>306745</v>
      </c>
      <c r="H840" s="38">
        <v>6688</v>
      </c>
      <c r="I840" s="38">
        <v>208993.95</v>
      </c>
      <c r="J840" s="38">
        <v>43</v>
      </c>
      <c r="K840" s="39">
        <f t="shared" si="61"/>
        <v>2.1803126375328042E-2</v>
      </c>
      <c r="L840" s="40">
        <f t="shared" si="62"/>
        <v>6.7443662742235446</v>
      </c>
      <c r="M840" s="40">
        <f t="shared" si="63"/>
        <v>5.7443662742235446</v>
      </c>
      <c r="N840" s="40">
        <f t="shared" si="64"/>
        <v>31.249095394736845</v>
      </c>
      <c r="O840" s="1" t="str">
        <f t="shared" si="60"/>
        <v>Normal</v>
      </c>
      <c r="P840" s="51" t="str">
        <f>IF(Table4[[#This Row],[Sales]]&lt;=$B$3,"Normal","High Revenue")</f>
        <v>Normal</v>
      </c>
      <c r="Q840" s="51" t="str">
        <f>IF(Table4[[#This Row],[CTR]]&lt;=$B$4,"Normal","High CTR")</f>
        <v>Normal</v>
      </c>
      <c r="R840" s="51" t="str">
        <f>IF(Table4[[#This Row],[ROAS]]&lt;1,"Poor",IF(Table4[[#This Row],[ROAS]]&lt;3,"Average",IF(Table4[[#This Row],[ROAS]]&lt;5,"Good",
"Excellent")))</f>
        <v>Excellent</v>
      </c>
      <c r="S840" s="51" t="str">
        <f>IF(AND(Table4[[#This Row],[USD_Spend]]&gt;=$B$5,Table4[[#This Row],[Sales]]&lt;=$B$6),"Wasted Budget","Spend Justified")</f>
        <v>Spend Justified</v>
      </c>
      <c r="T840" s="51" t="str">
        <f>IF(AND(Table4[[#This Row],[Clicks]]&gt;=$B$7,Table4[[#This Row],[Sales]]&lt;=$B$6),"Poor Monetization","Normal Monitization")</f>
        <v>Normal Monitization</v>
      </c>
    </row>
    <row r="841" spans="1:20" x14ac:dyDescent="0.35">
      <c r="A841" s="41" t="s">
        <v>118</v>
      </c>
      <c r="B841" s="41" t="s">
        <v>35</v>
      </c>
      <c r="C841" s="41" t="s">
        <v>69</v>
      </c>
      <c r="D841" s="41" t="s">
        <v>51</v>
      </c>
      <c r="E841" s="41" t="s">
        <v>38</v>
      </c>
      <c r="F841" s="41">
        <v>52699.05</v>
      </c>
      <c r="G841" s="41">
        <v>231092</v>
      </c>
      <c r="H841" s="41">
        <v>40106</v>
      </c>
      <c r="I841" s="41">
        <v>128680.96000000001</v>
      </c>
      <c r="J841" s="41">
        <v>41</v>
      </c>
      <c r="K841" s="42">
        <f t="shared" si="61"/>
        <v>0.17354992816713691</v>
      </c>
      <c r="L841" s="43">
        <f t="shared" si="62"/>
        <v>2.4418079642801911</v>
      </c>
      <c r="M841" s="43">
        <f t="shared" si="63"/>
        <v>1.4418079642801911</v>
      </c>
      <c r="N841" s="43">
        <f t="shared" si="64"/>
        <v>3.2085214182416597</v>
      </c>
      <c r="O841" s="1" t="str">
        <f t="shared" si="60"/>
        <v>High Spend</v>
      </c>
      <c r="P841" s="51" t="str">
        <f>IF(Table4[[#This Row],[Sales]]&lt;=$B$3,"Normal","High Revenue")</f>
        <v>Normal</v>
      </c>
      <c r="Q841" s="51" t="str">
        <f>IF(Table4[[#This Row],[CTR]]&lt;=$B$4,"Normal","High CTR")</f>
        <v>Normal</v>
      </c>
      <c r="R841" s="51" t="str">
        <f>IF(Table4[[#This Row],[ROAS]]&lt;1,"Poor",IF(Table4[[#This Row],[ROAS]]&lt;3,"Average",IF(Table4[[#This Row],[ROAS]]&lt;5,"Good",
"Excellent")))</f>
        <v>Average</v>
      </c>
      <c r="S841" s="51" t="str">
        <f>IF(AND(Table4[[#This Row],[USD_Spend]]&gt;=$B$5,Table4[[#This Row],[Sales]]&lt;=$B$6),"Wasted Budget","Spend Justified")</f>
        <v>Spend Justified</v>
      </c>
      <c r="T841" s="51" t="str">
        <f>IF(AND(Table4[[#This Row],[Clicks]]&gt;=$B$7,Table4[[#This Row],[Sales]]&lt;=$B$6),"Poor Monetization","Normal Monitization")</f>
        <v>Normal Monitization</v>
      </c>
    </row>
    <row r="842" spans="1:20" x14ac:dyDescent="0.35">
      <c r="A842" s="38" t="s">
        <v>114</v>
      </c>
      <c r="B842" s="38" t="s">
        <v>28</v>
      </c>
      <c r="C842" s="38" t="s">
        <v>20</v>
      </c>
      <c r="D842" s="38" t="s">
        <v>51</v>
      </c>
      <c r="E842" s="38" t="s">
        <v>38</v>
      </c>
      <c r="F842" s="38">
        <v>12392.94</v>
      </c>
      <c r="G842" s="38">
        <v>765781</v>
      </c>
      <c r="H842" s="38">
        <v>10171</v>
      </c>
      <c r="I842" s="38">
        <v>15733.72</v>
      </c>
      <c r="J842" s="38">
        <v>36</v>
      </c>
      <c r="K842" s="39">
        <f t="shared" si="61"/>
        <v>1.3281865180776228E-2</v>
      </c>
      <c r="L842" s="40">
        <f t="shared" si="62"/>
        <v>1.2695712236160264</v>
      </c>
      <c r="M842" s="40">
        <f t="shared" si="63"/>
        <v>0.26957122361602642</v>
      </c>
      <c r="N842" s="40">
        <f t="shared" si="64"/>
        <v>1.5469196735817521</v>
      </c>
      <c r="O842" s="1" t="str">
        <f t="shared" ref="O842:O905" si="65">IF(F842&lt;=$B$2,"Normal","High Spend")</f>
        <v>Normal</v>
      </c>
      <c r="P842" s="51" t="str">
        <f>IF(Table4[[#This Row],[Sales]]&lt;=$B$3,"Normal","High Revenue")</f>
        <v>Normal</v>
      </c>
      <c r="Q842" s="51" t="str">
        <f>IF(Table4[[#This Row],[CTR]]&lt;=$B$4,"Normal","High CTR")</f>
        <v>Normal</v>
      </c>
      <c r="R842" s="51" t="str">
        <f>IF(Table4[[#This Row],[ROAS]]&lt;1,"Poor",IF(Table4[[#This Row],[ROAS]]&lt;3,"Average",IF(Table4[[#This Row],[ROAS]]&lt;5,"Good",
"Excellent")))</f>
        <v>Average</v>
      </c>
      <c r="S842" s="51" t="str">
        <f>IF(AND(Table4[[#This Row],[USD_Spend]]&gt;=$B$5,Table4[[#This Row],[Sales]]&lt;=$B$6),"Wasted Budget","Spend Justified")</f>
        <v>Wasted Budget</v>
      </c>
      <c r="T842" s="51" t="str">
        <f>IF(AND(Table4[[#This Row],[Clicks]]&gt;=$B$7,Table4[[#This Row],[Sales]]&lt;=$B$6),"Poor Monetization","Normal Monitization")</f>
        <v>Normal Monitization</v>
      </c>
    </row>
    <row r="843" spans="1:20" x14ac:dyDescent="0.35">
      <c r="A843" s="41" t="s">
        <v>99</v>
      </c>
      <c r="B843" s="41" t="s">
        <v>48</v>
      </c>
      <c r="C843" s="41" t="s">
        <v>20</v>
      </c>
      <c r="D843" s="41" t="s">
        <v>51</v>
      </c>
      <c r="E843" s="41" t="s">
        <v>30</v>
      </c>
      <c r="F843" s="41">
        <v>6370.6</v>
      </c>
      <c r="G843" s="41">
        <v>561752</v>
      </c>
      <c r="H843" s="41">
        <v>43149</v>
      </c>
      <c r="I843" s="41">
        <v>65946.94</v>
      </c>
      <c r="J843" s="41">
        <v>20</v>
      </c>
      <c r="K843" s="42">
        <f t="shared" ref="K843:K906" si="66">H843/G843</f>
        <v>7.6811475526566877E-2</v>
      </c>
      <c r="L843" s="43">
        <f t="shared" ref="L843:L906" si="67">I843/F843</f>
        <v>10.351762785294948</v>
      </c>
      <c r="M843" s="43">
        <f t="shared" ref="M843:M906" si="68">(I843-F843)/F843</f>
        <v>9.3517627852949481</v>
      </c>
      <c r="N843" s="43">
        <f t="shared" ref="N843:N906" si="69">I843/H843</f>
        <v>1.5283538436580222</v>
      </c>
      <c r="O843" s="1" t="str">
        <f t="shared" si="65"/>
        <v>Normal</v>
      </c>
      <c r="P843" s="51" t="str">
        <f>IF(Table4[[#This Row],[Sales]]&lt;=$B$3,"Normal","High Revenue")</f>
        <v>Normal</v>
      </c>
      <c r="Q843" s="51" t="str">
        <f>IF(Table4[[#This Row],[CTR]]&lt;=$B$4,"Normal","High CTR")</f>
        <v>Normal</v>
      </c>
      <c r="R843" s="51" t="str">
        <f>IF(Table4[[#This Row],[ROAS]]&lt;1,"Poor",IF(Table4[[#This Row],[ROAS]]&lt;3,"Average",IF(Table4[[#This Row],[ROAS]]&lt;5,"Good",
"Excellent")))</f>
        <v>Excellent</v>
      </c>
      <c r="S843" s="51" t="str">
        <f>IF(AND(Table4[[#This Row],[USD_Spend]]&gt;=$B$5,Table4[[#This Row],[Sales]]&lt;=$B$6),"Wasted Budget","Spend Justified")</f>
        <v>Wasted Budget</v>
      </c>
      <c r="T843" s="51" t="str">
        <f>IF(AND(Table4[[#This Row],[Clicks]]&gt;=$B$7,Table4[[#This Row],[Sales]]&lt;=$B$6),"Poor Monetization","Normal Monitization")</f>
        <v>Poor Monetization</v>
      </c>
    </row>
    <row r="844" spans="1:20" x14ac:dyDescent="0.35">
      <c r="A844" s="38" t="s">
        <v>34</v>
      </c>
      <c r="B844" s="38" t="s">
        <v>19</v>
      </c>
      <c r="C844" s="38" t="s">
        <v>36</v>
      </c>
      <c r="D844" s="38" t="s">
        <v>43</v>
      </c>
      <c r="E844" s="38" t="s">
        <v>38</v>
      </c>
      <c r="F844" s="38">
        <v>32719.49</v>
      </c>
      <c r="G844" s="38">
        <v>830628</v>
      </c>
      <c r="H844" s="38">
        <v>47890</v>
      </c>
      <c r="I844" s="38">
        <v>232498.79</v>
      </c>
      <c r="J844" s="38">
        <v>59</v>
      </c>
      <c r="K844" s="39">
        <f t="shared" si="66"/>
        <v>5.7655171749567795E-2</v>
      </c>
      <c r="L844" s="40">
        <f t="shared" si="67"/>
        <v>7.1058194977977953</v>
      </c>
      <c r="M844" s="40">
        <f t="shared" si="68"/>
        <v>6.1058194977977962</v>
      </c>
      <c r="N844" s="40">
        <f t="shared" si="69"/>
        <v>4.8548504907078724</v>
      </c>
      <c r="O844" s="1" t="str">
        <f t="shared" si="65"/>
        <v>Normal</v>
      </c>
      <c r="P844" s="51" t="str">
        <f>IF(Table4[[#This Row],[Sales]]&lt;=$B$3,"Normal","High Revenue")</f>
        <v>Normal</v>
      </c>
      <c r="Q844" s="51" t="str">
        <f>IF(Table4[[#This Row],[CTR]]&lt;=$B$4,"Normal","High CTR")</f>
        <v>Normal</v>
      </c>
      <c r="R844" s="51" t="str">
        <f>IF(Table4[[#This Row],[ROAS]]&lt;1,"Poor",IF(Table4[[#This Row],[ROAS]]&lt;3,"Average",IF(Table4[[#This Row],[ROAS]]&lt;5,"Good",
"Excellent")))</f>
        <v>Excellent</v>
      </c>
      <c r="S844" s="51" t="str">
        <f>IF(AND(Table4[[#This Row],[USD_Spend]]&gt;=$B$5,Table4[[#This Row],[Sales]]&lt;=$B$6),"Wasted Budget","Spend Justified")</f>
        <v>Spend Justified</v>
      </c>
      <c r="T844" s="51" t="str">
        <f>IF(AND(Table4[[#This Row],[Clicks]]&gt;=$B$7,Table4[[#This Row],[Sales]]&lt;=$B$6),"Poor Monetization","Normal Monitization")</f>
        <v>Normal Monitization</v>
      </c>
    </row>
    <row r="845" spans="1:20" x14ac:dyDescent="0.35">
      <c r="A845" s="41" t="s">
        <v>83</v>
      </c>
      <c r="B845" s="41" t="s">
        <v>19</v>
      </c>
      <c r="C845" s="41" t="s">
        <v>36</v>
      </c>
      <c r="D845" s="41" t="s">
        <v>59</v>
      </c>
      <c r="E845" s="41" t="s">
        <v>38</v>
      </c>
      <c r="F845" s="41">
        <v>6414.82</v>
      </c>
      <c r="G845" s="41">
        <v>892725</v>
      </c>
      <c r="H845" s="41">
        <v>22714</v>
      </c>
      <c r="I845" s="41">
        <v>18309.82</v>
      </c>
      <c r="J845" s="41">
        <v>46</v>
      </c>
      <c r="K845" s="42">
        <f t="shared" si="66"/>
        <v>2.5443445629953234E-2</v>
      </c>
      <c r="L845" s="43">
        <f t="shared" si="67"/>
        <v>2.8542998868245721</v>
      </c>
      <c r="M845" s="43">
        <f t="shared" si="68"/>
        <v>1.8542998868245719</v>
      </c>
      <c r="N845" s="43">
        <f t="shared" si="69"/>
        <v>0.80610284406093158</v>
      </c>
      <c r="O845" s="1" t="str">
        <f t="shared" si="65"/>
        <v>Normal</v>
      </c>
      <c r="P845" s="51" t="str">
        <f>IF(Table4[[#This Row],[Sales]]&lt;=$B$3,"Normal","High Revenue")</f>
        <v>Normal</v>
      </c>
      <c r="Q845" s="51" t="str">
        <f>IF(Table4[[#This Row],[CTR]]&lt;=$B$4,"Normal","High CTR")</f>
        <v>Normal</v>
      </c>
      <c r="R845" s="51" t="str">
        <f>IF(Table4[[#This Row],[ROAS]]&lt;1,"Poor",IF(Table4[[#This Row],[ROAS]]&lt;3,"Average",IF(Table4[[#This Row],[ROAS]]&lt;5,"Good",
"Excellent")))</f>
        <v>Average</v>
      </c>
      <c r="S845" s="51" t="str">
        <f>IF(AND(Table4[[#This Row],[USD_Spend]]&gt;=$B$5,Table4[[#This Row],[Sales]]&lt;=$B$6),"Wasted Budget","Spend Justified")</f>
        <v>Wasted Budget</v>
      </c>
      <c r="T845" s="51" t="str">
        <f>IF(AND(Table4[[#This Row],[Clicks]]&gt;=$B$7,Table4[[#This Row],[Sales]]&lt;=$B$6),"Poor Monetization","Normal Monitization")</f>
        <v>Normal Monitization</v>
      </c>
    </row>
    <row r="846" spans="1:20" x14ac:dyDescent="0.35">
      <c r="A846" s="38" t="s">
        <v>87</v>
      </c>
      <c r="B846" s="38" t="s">
        <v>19</v>
      </c>
      <c r="C846" s="38" t="s">
        <v>20</v>
      </c>
      <c r="D846" s="38" t="s">
        <v>59</v>
      </c>
      <c r="E846" s="38" t="s">
        <v>22</v>
      </c>
      <c r="F846" s="38">
        <v>41225.760000000002</v>
      </c>
      <c r="G846" s="38">
        <v>112110</v>
      </c>
      <c r="H846" s="38">
        <v>21813</v>
      </c>
      <c r="I846" s="38">
        <v>104785.21</v>
      </c>
      <c r="J846" s="38">
        <v>28</v>
      </c>
      <c r="K846" s="39">
        <f t="shared" si="66"/>
        <v>0.19456783516189458</v>
      </c>
      <c r="L846" s="40">
        <f t="shared" si="67"/>
        <v>2.5417411346691972</v>
      </c>
      <c r="M846" s="40">
        <f t="shared" si="68"/>
        <v>1.5417411346691972</v>
      </c>
      <c r="N846" s="40">
        <f t="shared" si="69"/>
        <v>4.8037963599688265</v>
      </c>
      <c r="O846" s="1" t="str">
        <f t="shared" si="65"/>
        <v>Normal</v>
      </c>
      <c r="P846" s="51" t="str">
        <f>IF(Table4[[#This Row],[Sales]]&lt;=$B$3,"Normal","High Revenue")</f>
        <v>Normal</v>
      </c>
      <c r="Q846" s="51" t="str">
        <f>IF(Table4[[#This Row],[CTR]]&lt;=$B$4,"Normal","High CTR")</f>
        <v>Normal</v>
      </c>
      <c r="R846" s="51" t="str">
        <f>IF(Table4[[#This Row],[ROAS]]&lt;1,"Poor",IF(Table4[[#This Row],[ROAS]]&lt;3,"Average",IF(Table4[[#This Row],[ROAS]]&lt;5,"Good",
"Excellent")))</f>
        <v>Average</v>
      </c>
      <c r="S846" s="51" t="str">
        <f>IF(AND(Table4[[#This Row],[USD_Spend]]&gt;=$B$5,Table4[[#This Row],[Sales]]&lt;=$B$6),"Wasted Budget","Spend Justified")</f>
        <v>Spend Justified</v>
      </c>
      <c r="T846" s="51" t="str">
        <f>IF(AND(Table4[[#This Row],[Clicks]]&gt;=$B$7,Table4[[#This Row],[Sales]]&lt;=$B$6),"Poor Monetization","Normal Monitization")</f>
        <v>Normal Monitization</v>
      </c>
    </row>
    <row r="847" spans="1:20" x14ac:dyDescent="0.35">
      <c r="A847" s="41" t="s">
        <v>110</v>
      </c>
      <c r="B847" s="41" t="s">
        <v>48</v>
      </c>
      <c r="C847" s="41" t="s">
        <v>36</v>
      </c>
      <c r="D847" s="41" t="s">
        <v>59</v>
      </c>
      <c r="E847" s="41" t="s">
        <v>30</v>
      </c>
      <c r="F847" s="41">
        <v>6062.04</v>
      </c>
      <c r="G847" s="41">
        <v>117798</v>
      </c>
      <c r="H847" s="41">
        <v>9697</v>
      </c>
      <c r="I847" s="41">
        <v>67712.210000000006</v>
      </c>
      <c r="J847" s="41">
        <v>58</v>
      </c>
      <c r="K847" s="42">
        <f t="shared" si="66"/>
        <v>8.2318884870710873E-2</v>
      </c>
      <c r="L847" s="43">
        <f t="shared" si="67"/>
        <v>11.169871858318324</v>
      </c>
      <c r="M847" s="43">
        <f t="shared" si="68"/>
        <v>10.169871858318324</v>
      </c>
      <c r="N847" s="43">
        <f t="shared" si="69"/>
        <v>6.9827998350005167</v>
      </c>
      <c r="O847" s="1" t="str">
        <f t="shared" si="65"/>
        <v>Normal</v>
      </c>
      <c r="P847" s="51" t="str">
        <f>IF(Table4[[#This Row],[Sales]]&lt;=$B$3,"Normal","High Revenue")</f>
        <v>Normal</v>
      </c>
      <c r="Q847" s="51" t="str">
        <f>IF(Table4[[#This Row],[CTR]]&lt;=$B$4,"Normal","High CTR")</f>
        <v>Normal</v>
      </c>
      <c r="R847" s="51" t="str">
        <f>IF(Table4[[#This Row],[ROAS]]&lt;1,"Poor",IF(Table4[[#This Row],[ROAS]]&lt;3,"Average",IF(Table4[[#This Row],[ROAS]]&lt;5,"Good",
"Excellent")))</f>
        <v>Excellent</v>
      </c>
      <c r="S847" s="51" t="str">
        <f>IF(AND(Table4[[#This Row],[USD_Spend]]&gt;=$B$5,Table4[[#This Row],[Sales]]&lt;=$B$6),"Wasted Budget","Spend Justified")</f>
        <v>Wasted Budget</v>
      </c>
      <c r="T847" s="51" t="str">
        <f>IF(AND(Table4[[#This Row],[Clicks]]&gt;=$B$7,Table4[[#This Row],[Sales]]&lt;=$B$6),"Poor Monetization","Normal Monitization")</f>
        <v>Normal Monitization</v>
      </c>
    </row>
    <row r="848" spans="1:20" x14ac:dyDescent="0.35">
      <c r="A848" s="38" t="s">
        <v>117</v>
      </c>
      <c r="B848" s="38" t="s">
        <v>35</v>
      </c>
      <c r="C848" s="38" t="s">
        <v>36</v>
      </c>
      <c r="D848" s="38" t="s">
        <v>43</v>
      </c>
      <c r="E848" s="38" t="s">
        <v>38</v>
      </c>
      <c r="F848" s="38">
        <v>5555.37</v>
      </c>
      <c r="G848" s="38">
        <v>100259</v>
      </c>
      <c r="H848" s="38">
        <v>9513</v>
      </c>
      <c r="I848" s="38">
        <v>55907.03</v>
      </c>
      <c r="J848" s="38">
        <v>32</v>
      </c>
      <c r="K848" s="39">
        <f t="shared" si="66"/>
        <v>9.4884249793036043E-2</v>
      </c>
      <c r="L848" s="40">
        <f t="shared" si="67"/>
        <v>10.063601524290911</v>
      </c>
      <c r="M848" s="40">
        <f t="shared" si="68"/>
        <v>9.0636015242909114</v>
      </c>
      <c r="N848" s="40">
        <f t="shared" si="69"/>
        <v>5.8769084410806265</v>
      </c>
      <c r="O848" s="1" t="str">
        <f t="shared" si="65"/>
        <v>Normal</v>
      </c>
      <c r="P848" s="51" t="str">
        <f>IF(Table4[[#This Row],[Sales]]&lt;=$B$3,"Normal","High Revenue")</f>
        <v>Normal</v>
      </c>
      <c r="Q848" s="51" t="str">
        <f>IF(Table4[[#This Row],[CTR]]&lt;=$B$4,"Normal","High CTR")</f>
        <v>Normal</v>
      </c>
      <c r="R848" s="51" t="str">
        <f>IF(Table4[[#This Row],[ROAS]]&lt;1,"Poor",IF(Table4[[#This Row],[ROAS]]&lt;3,"Average",IF(Table4[[#This Row],[ROAS]]&lt;5,"Good",
"Excellent")))</f>
        <v>Excellent</v>
      </c>
      <c r="S848" s="51" t="str">
        <f>IF(AND(Table4[[#This Row],[USD_Spend]]&gt;=$B$5,Table4[[#This Row],[Sales]]&lt;=$B$6),"Wasted Budget","Spend Justified")</f>
        <v>Wasted Budget</v>
      </c>
      <c r="T848" s="51" t="str">
        <f>IF(AND(Table4[[#This Row],[Clicks]]&gt;=$B$7,Table4[[#This Row],[Sales]]&lt;=$B$6),"Poor Monetization","Normal Monitization")</f>
        <v>Normal Monitization</v>
      </c>
    </row>
    <row r="849" spans="1:20" x14ac:dyDescent="0.35">
      <c r="A849" s="41" t="s">
        <v>78</v>
      </c>
      <c r="B849" s="41" t="s">
        <v>19</v>
      </c>
      <c r="C849" s="41" t="s">
        <v>29</v>
      </c>
      <c r="D849" s="41" t="s">
        <v>21</v>
      </c>
      <c r="E849" s="41" t="s">
        <v>30</v>
      </c>
      <c r="F849" s="41">
        <v>27667.47</v>
      </c>
      <c r="G849" s="41">
        <v>797042</v>
      </c>
      <c r="H849" s="41">
        <v>18412</v>
      </c>
      <c r="I849" s="41">
        <v>118909.4</v>
      </c>
      <c r="J849" s="41">
        <v>52</v>
      </c>
      <c r="K849" s="42">
        <f t="shared" si="66"/>
        <v>2.3100413779951371E-2</v>
      </c>
      <c r="L849" s="43">
        <f t="shared" si="67"/>
        <v>4.2978053287850315</v>
      </c>
      <c r="M849" s="43">
        <f t="shared" si="68"/>
        <v>3.2978053287850311</v>
      </c>
      <c r="N849" s="43">
        <f t="shared" si="69"/>
        <v>6.4582554855529004</v>
      </c>
      <c r="O849" s="1" t="str">
        <f t="shared" si="65"/>
        <v>Normal</v>
      </c>
      <c r="P849" s="51" t="str">
        <f>IF(Table4[[#This Row],[Sales]]&lt;=$B$3,"Normal","High Revenue")</f>
        <v>Normal</v>
      </c>
      <c r="Q849" s="51" t="str">
        <f>IF(Table4[[#This Row],[CTR]]&lt;=$B$4,"Normal","High CTR")</f>
        <v>Normal</v>
      </c>
      <c r="R849" s="51" t="str">
        <f>IF(Table4[[#This Row],[ROAS]]&lt;1,"Poor",IF(Table4[[#This Row],[ROAS]]&lt;3,"Average",IF(Table4[[#This Row],[ROAS]]&lt;5,"Good",
"Excellent")))</f>
        <v>Good</v>
      </c>
      <c r="S849" s="51" t="str">
        <f>IF(AND(Table4[[#This Row],[USD_Spend]]&gt;=$B$5,Table4[[#This Row],[Sales]]&lt;=$B$6),"Wasted Budget","Spend Justified")</f>
        <v>Spend Justified</v>
      </c>
      <c r="T849" s="51" t="str">
        <f>IF(AND(Table4[[#This Row],[Clicks]]&gt;=$B$7,Table4[[#This Row],[Sales]]&lt;=$B$6),"Poor Monetization","Normal Monitization")</f>
        <v>Normal Monitization</v>
      </c>
    </row>
    <row r="850" spans="1:20" x14ac:dyDescent="0.35">
      <c r="A850" s="38" t="s">
        <v>106</v>
      </c>
      <c r="B850" s="38" t="s">
        <v>35</v>
      </c>
      <c r="C850" s="38" t="s">
        <v>20</v>
      </c>
      <c r="D850" s="38" t="s">
        <v>43</v>
      </c>
      <c r="E850" s="38" t="s">
        <v>38</v>
      </c>
      <c r="F850" s="38">
        <v>1956.45</v>
      </c>
      <c r="G850" s="38">
        <v>793790</v>
      </c>
      <c r="H850" s="38">
        <v>27330</v>
      </c>
      <c r="I850" s="38">
        <v>48031.82</v>
      </c>
      <c r="J850" s="38">
        <v>14</v>
      </c>
      <c r="K850" s="39">
        <f t="shared" si="66"/>
        <v>3.4429761019917106E-2</v>
      </c>
      <c r="L850" s="40">
        <f t="shared" si="67"/>
        <v>24.550497073781592</v>
      </c>
      <c r="M850" s="40">
        <f t="shared" si="68"/>
        <v>23.550497073781596</v>
      </c>
      <c r="N850" s="40">
        <f t="shared" si="69"/>
        <v>1.7574760336626418</v>
      </c>
      <c r="O850" s="1" t="str">
        <f t="shared" si="65"/>
        <v>Normal</v>
      </c>
      <c r="P850" s="51" t="str">
        <f>IF(Table4[[#This Row],[Sales]]&lt;=$B$3,"Normal","High Revenue")</f>
        <v>Normal</v>
      </c>
      <c r="Q850" s="51" t="str">
        <f>IF(Table4[[#This Row],[CTR]]&lt;=$B$4,"Normal","High CTR")</f>
        <v>Normal</v>
      </c>
      <c r="R850" s="51" t="str">
        <f>IF(Table4[[#This Row],[ROAS]]&lt;1,"Poor",IF(Table4[[#This Row],[ROAS]]&lt;3,"Average",IF(Table4[[#This Row],[ROAS]]&lt;5,"Good",
"Excellent")))</f>
        <v>Excellent</v>
      </c>
      <c r="S850" s="51" t="str">
        <f>IF(AND(Table4[[#This Row],[USD_Spend]]&gt;=$B$5,Table4[[#This Row],[Sales]]&lt;=$B$6),"Wasted Budget","Spend Justified")</f>
        <v>Spend Justified</v>
      </c>
      <c r="T850" s="51" t="str">
        <f>IF(AND(Table4[[#This Row],[Clicks]]&gt;=$B$7,Table4[[#This Row],[Sales]]&lt;=$B$6),"Poor Monetization","Normal Monitization")</f>
        <v>Normal Monitization</v>
      </c>
    </row>
    <row r="851" spans="1:20" x14ac:dyDescent="0.35">
      <c r="A851" s="41" t="s">
        <v>100</v>
      </c>
      <c r="B851" s="41" t="s">
        <v>28</v>
      </c>
      <c r="C851" s="41" t="s">
        <v>20</v>
      </c>
      <c r="D851" s="41" t="s">
        <v>59</v>
      </c>
      <c r="E851" s="41" t="s">
        <v>22</v>
      </c>
      <c r="F851" s="41">
        <v>473.24</v>
      </c>
      <c r="G851" s="41">
        <v>29535</v>
      </c>
      <c r="H851" s="41">
        <v>33338</v>
      </c>
      <c r="I851" s="41">
        <v>159748.49</v>
      </c>
      <c r="J851" s="41">
        <v>46</v>
      </c>
      <c r="K851" s="42">
        <f t="shared" si="66"/>
        <v>1.1287624851870661</v>
      </c>
      <c r="L851" s="43">
        <f t="shared" si="67"/>
        <v>337.56337165074802</v>
      </c>
      <c r="M851" s="43">
        <f t="shared" si="68"/>
        <v>336.56337165074802</v>
      </c>
      <c r="N851" s="43">
        <f t="shared" si="69"/>
        <v>4.7917838502609635</v>
      </c>
      <c r="O851" s="1" t="str">
        <f t="shared" si="65"/>
        <v>Normal</v>
      </c>
      <c r="P851" s="51" t="str">
        <f>IF(Table4[[#This Row],[Sales]]&lt;=$B$3,"Normal","High Revenue")</f>
        <v>Normal</v>
      </c>
      <c r="Q851" s="51" t="str">
        <f>IF(Table4[[#This Row],[CTR]]&lt;=$B$4,"Normal","High CTR")</f>
        <v>High CTR</v>
      </c>
      <c r="R851" s="51" t="str">
        <f>IF(Table4[[#This Row],[ROAS]]&lt;1,"Poor",IF(Table4[[#This Row],[ROAS]]&lt;3,"Average",IF(Table4[[#This Row],[ROAS]]&lt;5,"Good",
"Excellent")))</f>
        <v>Excellent</v>
      </c>
      <c r="S851" s="51" t="str">
        <f>IF(AND(Table4[[#This Row],[USD_Spend]]&gt;=$B$5,Table4[[#This Row],[Sales]]&lt;=$B$6),"Wasted Budget","Spend Justified")</f>
        <v>Spend Justified</v>
      </c>
      <c r="T851" s="51" t="str">
        <f>IF(AND(Table4[[#This Row],[Clicks]]&gt;=$B$7,Table4[[#This Row],[Sales]]&lt;=$B$6),"Poor Monetization","Normal Monitization")</f>
        <v>Normal Monitization</v>
      </c>
    </row>
    <row r="852" spans="1:20" x14ac:dyDescent="0.35">
      <c r="A852" s="38" t="s">
        <v>94</v>
      </c>
      <c r="B852" s="38" t="s">
        <v>35</v>
      </c>
      <c r="C852" s="38" t="s">
        <v>20</v>
      </c>
      <c r="D852" s="38" t="s">
        <v>59</v>
      </c>
      <c r="E852" s="38" t="s">
        <v>38</v>
      </c>
      <c r="F852" s="38">
        <v>50105.63</v>
      </c>
      <c r="G852" s="38">
        <v>642829</v>
      </c>
      <c r="H852" s="38">
        <v>8704</v>
      </c>
      <c r="I852" s="38">
        <v>92965.84</v>
      </c>
      <c r="J852" s="38">
        <v>57</v>
      </c>
      <c r="K852" s="39">
        <f t="shared" si="66"/>
        <v>1.3540148313159488E-2</v>
      </c>
      <c r="L852" s="40">
        <f t="shared" si="67"/>
        <v>1.8553970881116553</v>
      </c>
      <c r="M852" s="40">
        <f t="shared" si="68"/>
        <v>0.85539708811165538</v>
      </c>
      <c r="N852" s="40">
        <f t="shared" si="69"/>
        <v>10.680818014705881</v>
      </c>
      <c r="O852" s="1" t="str">
        <f t="shared" si="65"/>
        <v>High Spend</v>
      </c>
      <c r="P852" s="51" t="str">
        <f>IF(Table4[[#This Row],[Sales]]&lt;=$B$3,"Normal","High Revenue")</f>
        <v>Normal</v>
      </c>
      <c r="Q852" s="51" t="str">
        <f>IF(Table4[[#This Row],[CTR]]&lt;=$B$4,"Normal","High CTR")</f>
        <v>Normal</v>
      </c>
      <c r="R852" s="51" t="str">
        <f>IF(Table4[[#This Row],[ROAS]]&lt;1,"Poor",IF(Table4[[#This Row],[ROAS]]&lt;3,"Average",IF(Table4[[#This Row],[ROAS]]&lt;5,"Good",
"Excellent")))</f>
        <v>Average</v>
      </c>
      <c r="S852" s="51" t="str">
        <f>IF(AND(Table4[[#This Row],[USD_Spend]]&gt;=$B$5,Table4[[#This Row],[Sales]]&lt;=$B$6),"Wasted Budget","Spend Justified")</f>
        <v>Spend Justified</v>
      </c>
      <c r="T852" s="51" t="str">
        <f>IF(AND(Table4[[#This Row],[Clicks]]&gt;=$B$7,Table4[[#This Row],[Sales]]&lt;=$B$6),"Poor Monetization","Normal Monitization")</f>
        <v>Normal Monitization</v>
      </c>
    </row>
    <row r="853" spans="1:20" x14ac:dyDescent="0.35">
      <c r="A853" s="41" t="s">
        <v>83</v>
      </c>
      <c r="B853" s="41" t="s">
        <v>35</v>
      </c>
      <c r="C853" s="41" t="s">
        <v>29</v>
      </c>
      <c r="D853" s="41" t="s">
        <v>37</v>
      </c>
      <c r="E853" s="41" t="s">
        <v>30</v>
      </c>
      <c r="F853" s="41">
        <v>10790.26</v>
      </c>
      <c r="G853" s="41">
        <v>239448</v>
      </c>
      <c r="H853" s="41">
        <v>32058</v>
      </c>
      <c r="I853" s="41">
        <v>61778.73</v>
      </c>
      <c r="J853" s="41">
        <v>52</v>
      </c>
      <c r="K853" s="42">
        <f t="shared" si="66"/>
        <v>0.13388293074070362</v>
      </c>
      <c r="L853" s="43">
        <f t="shared" si="67"/>
        <v>5.7254162550299998</v>
      </c>
      <c r="M853" s="43">
        <f t="shared" si="68"/>
        <v>4.725416255029999</v>
      </c>
      <c r="N853" s="43">
        <f t="shared" si="69"/>
        <v>1.9270924574209247</v>
      </c>
      <c r="O853" s="1" t="str">
        <f t="shared" si="65"/>
        <v>Normal</v>
      </c>
      <c r="P853" s="51" t="str">
        <f>IF(Table4[[#This Row],[Sales]]&lt;=$B$3,"Normal","High Revenue")</f>
        <v>Normal</v>
      </c>
      <c r="Q853" s="51" t="str">
        <f>IF(Table4[[#This Row],[CTR]]&lt;=$B$4,"Normal","High CTR")</f>
        <v>Normal</v>
      </c>
      <c r="R853" s="51" t="str">
        <f>IF(Table4[[#This Row],[ROAS]]&lt;1,"Poor",IF(Table4[[#This Row],[ROAS]]&lt;3,"Average",IF(Table4[[#This Row],[ROAS]]&lt;5,"Good",
"Excellent")))</f>
        <v>Excellent</v>
      </c>
      <c r="S853" s="51" t="str">
        <f>IF(AND(Table4[[#This Row],[USD_Spend]]&gt;=$B$5,Table4[[#This Row],[Sales]]&lt;=$B$6),"Wasted Budget","Spend Justified")</f>
        <v>Wasted Budget</v>
      </c>
      <c r="T853" s="51" t="str">
        <f>IF(AND(Table4[[#This Row],[Clicks]]&gt;=$B$7,Table4[[#This Row],[Sales]]&lt;=$B$6),"Poor Monetization","Normal Monitization")</f>
        <v>Normal Monitization</v>
      </c>
    </row>
    <row r="854" spans="1:20" x14ac:dyDescent="0.35">
      <c r="A854" s="38" t="s">
        <v>85</v>
      </c>
      <c r="B854" s="38" t="s">
        <v>48</v>
      </c>
      <c r="C854" s="38" t="s">
        <v>36</v>
      </c>
      <c r="D854" s="38" t="s">
        <v>21</v>
      </c>
      <c r="E854" s="38" t="s">
        <v>22</v>
      </c>
      <c r="F854" s="38">
        <v>19664.54</v>
      </c>
      <c r="G854" s="38">
        <v>712448</v>
      </c>
      <c r="H854" s="38">
        <v>48272</v>
      </c>
      <c r="I854" s="38">
        <v>203633.58</v>
      </c>
      <c r="J854" s="38">
        <v>27</v>
      </c>
      <c r="K854" s="39">
        <f t="shared" si="66"/>
        <v>6.775512037369745E-2</v>
      </c>
      <c r="L854" s="40">
        <f t="shared" si="67"/>
        <v>10.355369614544758</v>
      </c>
      <c r="M854" s="40">
        <f t="shared" si="68"/>
        <v>9.3553696145447578</v>
      </c>
      <c r="N854" s="40">
        <f t="shared" si="69"/>
        <v>4.2184616340735825</v>
      </c>
      <c r="O854" s="1" t="str">
        <f t="shared" si="65"/>
        <v>Normal</v>
      </c>
      <c r="P854" s="51" t="str">
        <f>IF(Table4[[#This Row],[Sales]]&lt;=$B$3,"Normal","High Revenue")</f>
        <v>Normal</v>
      </c>
      <c r="Q854" s="51" t="str">
        <f>IF(Table4[[#This Row],[CTR]]&lt;=$B$4,"Normal","High CTR")</f>
        <v>Normal</v>
      </c>
      <c r="R854" s="51" t="str">
        <f>IF(Table4[[#This Row],[ROAS]]&lt;1,"Poor",IF(Table4[[#This Row],[ROAS]]&lt;3,"Average",IF(Table4[[#This Row],[ROAS]]&lt;5,"Good",
"Excellent")))</f>
        <v>Excellent</v>
      </c>
      <c r="S854" s="51" t="str">
        <f>IF(AND(Table4[[#This Row],[USD_Spend]]&gt;=$B$5,Table4[[#This Row],[Sales]]&lt;=$B$6),"Wasted Budget","Spend Justified")</f>
        <v>Spend Justified</v>
      </c>
      <c r="T854" s="51" t="str">
        <f>IF(AND(Table4[[#This Row],[Clicks]]&gt;=$B$7,Table4[[#This Row],[Sales]]&lt;=$B$6),"Poor Monetization","Normal Monitization")</f>
        <v>Normal Monitization</v>
      </c>
    </row>
    <row r="855" spans="1:20" x14ac:dyDescent="0.35">
      <c r="A855" s="41" t="s">
        <v>109</v>
      </c>
      <c r="B855" s="41" t="s">
        <v>35</v>
      </c>
      <c r="C855" s="41" t="s">
        <v>58</v>
      </c>
      <c r="D855" s="41" t="s">
        <v>43</v>
      </c>
      <c r="E855" s="41" t="s">
        <v>22</v>
      </c>
      <c r="F855" s="41">
        <v>15989.97</v>
      </c>
      <c r="G855" s="41">
        <v>488472</v>
      </c>
      <c r="H855" s="41">
        <v>22826</v>
      </c>
      <c r="I855" s="41">
        <v>176577.55</v>
      </c>
      <c r="J855" s="41">
        <v>11</v>
      </c>
      <c r="K855" s="42">
        <f t="shared" si="66"/>
        <v>4.6729392882294177E-2</v>
      </c>
      <c r="L855" s="43">
        <f t="shared" si="67"/>
        <v>11.043019467828895</v>
      </c>
      <c r="M855" s="43">
        <f t="shared" si="68"/>
        <v>10.043019467828895</v>
      </c>
      <c r="N855" s="43">
        <f t="shared" si="69"/>
        <v>7.735807850696574</v>
      </c>
      <c r="O855" s="1" t="str">
        <f t="shared" si="65"/>
        <v>Normal</v>
      </c>
      <c r="P855" s="51" t="str">
        <f>IF(Table4[[#This Row],[Sales]]&lt;=$B$3,"Normal","High Revenue")</f>
        <v>Normal</v>
      </c>
      <c r="Q855" s="51" t="str">
        <f>IF(Table4[[#This Row],[CTR]]&lt;=$B$4,"Normal","High CTR")</f>
        <v>Normal</v>
      </c>
      <c r="R855" s="51" t="str">
        <f>IF(Table4[[#This Row],[ROAS]]&lt;1,"Poor",IF(Table4[[#This Row],[ROAS]]&lt;3,"Average",IF(Table4[[#This Row],[ROAS]]&lt;5,"Good",
"Excellent")))</f>
        <v>Excellent</v>
      </c>
      <c r="S855" s="51" t="str">
        <f>IF(AND(Table4[[#This Row],[USD_Spend]]&gt;=$B$5,Table4[[#This Row],[Sales]]&lt;=$B$6),"Wasted Budget","Spend Justified")</f>
        <v>Spend Justified</v>
      </c>
      <c r="T855" s="51" t="str">
        <f>IF(AND(Table4[[#This Row],[Clicks]]&gt;=$B$7,Table4[[#This Row],[Sales]]&lt;=$B$6),"Poor Monetization","Normal Monitization")</f>
        <v>Normal Monitization</v>
      </c>
    </row>
    <row r="856" spans="1:20" x14ac:dyDescent="0.35">
      <c r="A856" s="38" t="s">
        <v>71</v>
      </c>
      <c r="B856" s="38" t="s">
        <v>28</v>
      </c>
      <c r="C856" s="38" t="s">
        <v>69</v>
      </c>
      <c r="D856" s="38" t="s">
        <v>37</v>
      </c>
      <c r="E856" s="38" t="s">
        <v>22</v>
      </c>
      <c r="F856" s="38">
        <v>2939.93</v>
      </c>
      <c r="G856" s="38">
        <v>835198</v>
      </c>
      <c r="H856" s="38">
        <v>49939</v>
      </c>
      <c r="I856" s="38">
        <v>14703.83</v>
      </c>
      <c r="J856" s="38">
        <v>27</v>
      </c>
      <c r="K856" s="39">
        <f t="shared" si="66"/>
        <v>5.9793007167162758E-2</v>
      </c>
      <c r="L856" s="40">
        <f t="shared" si="67"/>
        <v>5.0014218025599249</v>
      </c>
      <c r="M856" s="40">
        <f t="shared" si="68"/>
        <v>4.0014218025599249</v>
      </c>
      <c r="N856" s="40">
        <f t="shared" si="69"/>
        <v>0.29443581169026212</v>
      </c>
      <c r="O856" s="1" t="str">
        <f t="shared" si="65"/>
        <v>Normal</v>
      </c>
      <c r="P856" s="51" t="str">
        <f>IF(Table4[[#This Row],[Sales]]&lt;=$B$3,"Normal","High Revenue")</f>
        <v>Normal</v>
      </c>
      <c r="Q856" s="51" t="str">
        <f>IF(Table4[[#This Row],[CTR]]&lt;=$B$4,"Normal","High CTR")</f>
        <v>Normal</v>
      </c>
      <c r="R856" s="51" t="str">
        <f>IF(Table4[[#This Row],[ROAS]]&lt;1,"Poor",IF(Table4[[#This Row],[ROAS]]&lt;3,"Average",IF(Table4[[#This Row],[ROAS]]&lt;5,"Good",
"Excellent")))</f>
        <v>Excellent</v>
      </c>
      <c r="S856" s="51" t="str">
        <f>IF(AND(Table4[[#This Row],[USD_Spend]]&gt;=$B$5,Table4[[#This Row],[Sales]]&lt;=$B$6),"Wasted Budget","Spend Justified")</f>
        <v>Spend Justified</v>
      </c>
      <c r="T856" s="51" t="str">
        <f>IF(AND(Table4[[#This Row],[Clicks]]&gt;=$B$7,Table4[[#This Row],[Sales]]&lt;=$B$6),"Poor Monetization","Normal Monitization")</f>
        <v>Poor Monetization</v>
      </c>
    </row>
    <row r="857" spans="1:20" x14ac:dyDescent="0.35">
      <c r="A857" s="41" t="s">
        <v>64</v>
      </c>
      <c r="B857" s="41" t="s">
        <v>48</v>
      </c>
      <c r="C857" s="41" t="s">
        <v>69</v>
      </c>
      <c r="D857" s="41" t="s">
        <v>21</v>
      </c>
      <c r="E857" s="41" t="s">
        <v>22</v>
      </c>
      <c r="F857" s="41">
        <v>35443.89</v>
      </c>
      <c r="G857" s="41">
        <v>188501</v>
      </c>
      <c r="H857" s="41">
        <v>20751</v>
      </c>
      <c r="I857" s="41">
        <v>171953.41</v>
      </c>
      <c r="J857" s="41">
        <v>25</v>
      </c>
      <c r="K857" s="42">
        <f t="shared" si="66"/>
        <v>0.11008429663503111</v>
      </c>
      <c r="L857" s="43">
        <f t="shared" si="67"/>
        <v>4.8514260144696308</v>
      </c>
      <c r="M857" s="43">
        <f t="shared" si="68"/>
        <v>3.8514260144696313</v>
      </c>
      <c r="N857" s="43">
        <f t="shared" si="69"/>
        <v>8.2865119753264906</v>
      </c>
      <c r="O857" s="1" t="str">
        <f t="shared" si="65"/>
        <v>Normal</v>
      </c>
      <c r="P857" s="51" t="str">
        <f>IF(Table4[[#This Row],[Sales]]&lt;=$B$3,"Normal","High Revenue")</f>
        <v>Normal</v>
      </c>
      <c r="Q857" s="51" t="str">
        <f>IF(Table4[[#This Row],[CTR]]&lt;=$B$4,"Normal","High CTR")</f>
        <v>Normal</v>
      </c>
      <c r="R857" s="51" t="str">
        <f>IF(Table4[[#This Row],[ROAS]]&lt;1,"Poor",IF(Table4[[#This Row],[ROAS]]&lt;3,"Average",IF(Table4[[#This Row],[ROAS]]&lt;5,"Good",
"Excellent")))</f>
        <v>Good</v>
      </c>
      <c r="S857" s="51" t="str">
        <f>IF(AND(Table4[[#This Row],[USD_Spend]]&gt;=$B$5,Table4[[#This Row],[Sales]]&lt;=$B$6),"Wasted Budget","Spend Justified")</f>
        <v>Spend Justified</v>
      </c>
      <c r="T857" s="51" t="str">
        <f>IF(AND(Table4[[#This Row],[Clicks]]&gt;=$B$7,Table4[[#This Row],[Sales]]&lt;=$B$6),"Poor Monetization","Normal Monitization")</f>
        <v>Normal Monitization</v>
      </c>
    </row>
    <row r="858" spans="1:20" x14ac:dyDescent="0.35">
      <c r="A858" s="38" t="s">
        <v>90</v>
      </c>
      <c r="B858" s="38" t="s">
        <v>28</v>
      </c>
      <c r="C858" s="38" t="s">
        <v>36</v>
      </c>
      <c r="D858" s="38" t="s">
        <v>37</v>
      </c>
      <c r="E858" s="38" t="s">
        <v>22</v>
      </c>
      <c r="F858" s="38">
        <v>21783.4</v>
      </c>
      <c r="G858" s="38">
        <v>259825</v>
      </c>
      <c r="H858" s="38">
        <v>42714</v>
      </c>
      <c r="I858" s="38">
        <v>72607</v>
      </c>
      <c r="J858" s="38">
        <v>55</v>
      </c>
      <c r="K858" s="39">
        <f t="shared" si="66"/>
        <v>0.16439526604445301</v>
      </c>
      <c r="L858" s="40">
        <f t="shared" si="67"/>
        <v>3.3331344050974594</v>
      </c>
      <c r="M858" s="40">
        <f t="shared" si="68"/>
        <v>2.3331344050974594</v>
      </c>
      <c r="N858" s="40">
        <f t="shared" si="69"/>
        <v>1.6998408016107132</v>
      </c>
      <c r="O858" s="1" t="str">
        <f t="shared" si="65"/>
        <v>Normal</v>
      </c>
      <c r="P858" s="51" t="str">
        <f>IF(Table4[[#This Row],[Sales]]&lt;=$B$3,"Normal","High Revenue")</f>
        <v>Normal</v>
      </c>
      <c r="Q858" s="51" t="str">
        <f>IF(Table4[[#This Row],[CTR]]&lt;=$B$4,"Normal","High CTR")</f>
        <v>Normal</v>
      </c>
      <c r="R858" s="51" t="str">
        <f>IF(Table4[[#This Row],[ROAS]]&lt;1,"Poor",IF(Table4[[#This Row],[ROAS]]&lt;3,"Average",IF(Table4[[#This Row],[ROAS]]&lt;5,"Good",
"Excellent")))</f>
        <v>Good</v>
      </c>
      <c r="S858" s="51" t="str">
        <f>IF(AND(Table4[[#This Row],[USD_Spend]]&gt;=$B$5,Table4[[#This Row],[Sales]]&lt;=$B$6),"Wasted Budget","Spend Justified")</f>
        <v>Spend Justified</v>
      </c>
      <c r="T858" s="51" t="str">
        <f>IF(AND(Table4[[#This Row],[Clicks]]&gt;=$B$7,Table4[[#This Row],[Sales]]&lt;=$B$6),"Poor Monetization","Normal Monitization")</f>
        <v>Normal Monitization</v>
      </c>
    </row>
    <row r="859" spans="1:20" x14ac:dyDescent="0.35">
      <c r="A859" s="41" t="s">
        <v>98</v>
      </c>
      <c r="B859" s="41" t="s">
        <v>48</v>
      </c>
      <c r="C859" s="41" t="s">
        <v>20</v>
      </c>
      <c r="D859" s="41" t="s">
        <v>43</v>
      </c>
      <c r="E859" s="41" t="s">
        <v>38</v>
      </c>
      <c r="F859" s="41">
        <v>363.99</v>
      </c>
      <c r="G859" s="41">
        <v>462376</v>
      </c>
      <c r="H859" s="41">
        <v>1668</v>
      </c>
      <c r="I859" s="41">
        <v>174061.41</v>
      </c>
      <c r="J859" s="41">
        <v>12</v>
      </c>
      <c r="K859" s="42">
        <f t="shared" si="66"/>
        <v>3.607453674066128E-3</v>
      </c>
      <c r="L859" s="43">
        <f t="shared" si="67"/>
        <v>478.20382428088686</v>
      </c>
      <c r="M859" s="43">
        <f t="shared" si="68"/>
        <v>477.20382428088686</v>
      </c>
      <c r="N859" s="43">
        <f t="shared" si="69"/>
        <v>104.35336330935252</v>
      </c>
      <c r="O859" s="1" t="str">
        <f t="shared" si="65"/>
        <v>Normal</v>
      </c>
      <c r="P859" s="51" t="str">
        <f>IF(Table4[[#This Row],[Sales]]&lt;=$B$3,"Normal","High Revenue")</f>
        <v>Normal</v>
      </c>
      <c r="Q859" s="51" t="str">
        <f>IF(Table4[[#This Row],[CTR]]&lt;=$B$4,"Normal","High CTR")</f>
        <v>Normal</v>
      </c>
      <c r="R859" s="51" t="str">
        <f>IF(Table4[[#This Row],[ROAS]]&lt;1,"Poor",IF(Table4[[#This Row],[ROAS]]&lt;3,"Average",IF(Table4[[#This Row],[ROAS]]&lt;5,"Good",
"Excellent")))</f>
        <v>Excellent</v>
      </c>
      <c r="S859" s="51" t="str">
        <f>IF(AND(Table4[[#This Row],[USD_Spend]]&gt;=$B$5,Table4[[#This Row],[Sales]]&lt;=$B$6),"Wasted Budget","Spend Justified")</f>
        <v>Spend Justified</v>
      </c>
      <c r="T859" s="51" t="str">
        <f>IF(AND(Table4[[#This Row],[Clicks]]&gt;=$B$7,Table4[[#This Row],[Sales]]&lt;=$B$6),"Poor Monetization","Normal Monitization")</f>
        <v>Normal Monitization</v>
      </c>
    </row>
    <row r="860" spans="1:20" x14ac:dyDescent="0.35">
      <c r="A860" s="38" t="s">
        <v>62</v>
      </c>
      <c r="B860" s="38" t="s">
        <v>48</v>
      </c>
      <c r="C860" s="38" t="s">
        <v>20</v>
      </c>
      <c r="D860" s="38" t="s">
        <v>21</v>
      </c>
      <c r="E860" s="38" t="s">
        <v>22</v>
      </c>
      <c r="F860" s="38">
        <v>24638.75</v>
      </c>
      <c r="G860" s="38">
        <v>459245</v>
      </c>
      <c r="H860" s="38">
        <v>38342</v>
      </c>
      <c r="I860" s="38">
        <v>102853.12</v>
      </c>
      <c r="J860" s="38">
        <v>41</v>
      </c>
      <c r="K860" s="39">
        <f t="shared" si="66"/>
        <v>8.3489205108384409E-2</v>
      </c>
      <c r="L860" s="40">
        <f t="shared" si="67"/>
        <v>4.174445538024453</v>
      </c>
      <c r="M860" s="40">
        <f t="shared" si="68"/>
        <v>3.174445538024453</v>
      </c>
      <c r="N860" s="40">
        <f t="shared" si="69"/>
        <v>2.6825183871472533</v>
      </c>
      <c r="O860" s="1" t="str">
        <f t="shared" si="65"/>
        <v>Normal</v>
      </c>
      <c r="P860" s="51" t="str">
        <f>IF(Table4[[#This Row],[Sales]]&lt;=$B$3,"Normal","High Revenue")</f>
        <v>Normal</v>
      </c>
      <c r="Q860" s="51" t="str">
        <f>IF(Table4[[#This Row],[CTR]]&lt;=$B$4,"Normal","High CTR")</f>
        <v>Normal</v>
      </c>
      <c r="R860" s="51" t="str">
        <f>IF(Table4[[#This Row],[ROAS]]&lt;1,"Poor",IF(Table4[[#This Row],[ROAS]]&lt;3,"Average",IF(Table4[[#This Row],[ROAS]]&lt;5,"Good",
"Excellent")))</f>
        <v>Good</v>
      </c>
      <c r="S860" s="51" t="str">
        <f>IF(AND(Table4[[#This Row],[USD_Spend]]&gt;=$B$5,Table4[[#This Row],[Sales]]&lt;=$B$6),"Wasted Budget","Spend Justified")</f>
        <v>Spend Justified</v>
      </c>
      <c r="T860" s="51" t="str">
        <f>IF(AND(Table4[[#This Row],[Clicks]]&gt;=$B$7,Table4[[#This Row],[Sales]]&lt;=$B$6),"Poor Monetization","Normal Monitization")</f>
        <v>Normal Monitization</v>
      </c>
    </row>
    <row r="861" spans="1:20" x14ac:dyDescent="0.35">
      <c r="A861" s="41" t="s">
        <v>96</v>
      </c>
      <c r="B861" s="41" t="s">
        <v>19</v>
      </c>
      <c r="C861" s="41" t="s">
        <v>69</v>
      </c>
      <c r="D861" s="41" t="s">
        <v>51</v>
      </c>
      <c r="E861" s="41" t="s">
        <v>30</v>
      </c>
      <c r="F861" s="41">
        <v>6024.15</v>
      </c>
      <c r="G861" s="41">
        <v>594572</v>
      </c>
      <c r="H861" s="41">
        <v>16989</v>
      </c>
      <c r="I861" s="41">
        <v>89314.37</v>
      </c>
      <c r="J861" s="41">
        <v>27</v>
      </c>
      <c r="K861" s="42">
        <f t="shared" si="66"/>
        <v>2.8573494883714672E-2</v>
      </c>
      <c r="L861" s="43">
        <f t="shared" si="67"/>
        <v>14.826053468124133</v>
      </c>
      <c r="M861" s="43">
        <f t="shared" si="68"/>
        <v>13.826053468124135</v>
      </c>
      <c r="N861" s="43">
        <f t="shared" si="69"/>
        <v>5.2571881805874385</v>
      </c>
      <c r="O861" s="1" t="str">
        <f t="shared" si="65"/>
        <v>Normal</v>
      </c>
      <c r="P861" s="51" t="str">
        <f>IF(Table4[[#This Row],[Sales]]&lt;=$B$3,"Normal","High Revenue")</f>
        <v>Normal</v>
      </c>
      <c r="Q861" s="51" t="str">
        <f>IF(Table4[[#This Row],[CTR]]&lt;=$B$4,"Normal","High CTR")</f>
        <v>Normal</v>
      </c>
      <c r="R861" s="51" t="str">
        <f>IF(Table4[[#This Row],[ROAS]]&lt;1,"Poor",IF(Table4[[#This Row],[ROAS]]&lt;3,"Average",IF(Table4[[#This Row],[ROAS]]&lt;5,"Good",
"Excellent")))</f>
        <v>Excellent</v>
      </c>
      <c r="S861" s="51" t="str">
        <f>IF(AND(Table4[[#This Row],[USD_Spend]]&gt;=$B$5,Table4[[#This Row],[Sales]]&lt;=$B$6),"Wasted Budget","Spend Justified")</f>
        <v>Spend Justified</v>
      </c>
      <c r="T861" s="51" t="str">
        <f>IF(AND(Table4[[#This Row],[Clicks]]&gt;=$B$7,Table4[[#This Row],[Sales]]&lt;=$B$6),"Poor Monetization","Normal Monitization")</f>
        <v>Normal Monitization</v>
      </c>
    </row>
    <row r="862" spans="1:20" x14ac:dyDescent="0.35">
      <c r="A862" s="38" t="s">
        <v>106</v>
      </c>
      <c r="B862" s="38" t="s">
        <v>35</v>
      </c>
      <c r="C862" s="38" t="s">
        <v>36</v>
      </c>
      <c r="D862" s="38" t="s">
        <v>63</v>
      </c>
      <c r="E862" s="38" t="s">
        <v>38</v>
      </c>
      <c r="F862" s="38">
        <v>39278.019999999997</v>
      </c>
      <c r="G862" s="38">
        <v>209903</v>
      </c>
      <c r="H862" s="38">
        <v>46344</v>
      </c>
      <c r="I862" s="38">
        <v>152988.34</v>
      </c>
      <c r="J862" s="38">
        <v>58</v>
      </c>
      <c r="K862" s="39">
        <f t="shared" si="66"/>
        <v>0.22078769717440913</v>
      </c>
      <c r="L862" s="40">
        <f t="shared" si="67"/>
        <v>3.8950115102543359</v>
      </c>
      <c r="M862" s="40">
        <f t="shared" si="68"/>
        <v>2.8950115102543359</v>
      </c>
      <c r="N862" s="40">
        <f t="shared" si="69"/>
        <v>3.3011466424995684</v>
      </c>
      <c r="O862" s="1" t="str">
        <f t="shared" si="65"/>
        <v>Normal</v>
      </c>
      <c r="P862" s="51" t="str">
        <f>IF(Table4[[#This Row],[Sales]]&lt;=$B$3,"Normal","High Revenue")</f>
        <v>Normal</v>
      </c>
      <c r="Q862" s="51" t="str">
        <f>IF(Table4[[#This Row],[CTR]]&lt;=$B$4,"Normal","High CTR")</f>
        <v>Normal</v>
      </c>
      <c r="R862" s="51" t="str">
        <f>IF(Table4[[#This Row],[ROAS]]&lt;1,"Poor",IF(Table4[[#This Row],[ROAS]]&lt;3,"Average",IF(Table4[[#This Row],[ROAS]]&lt;5,"Good",
"Excellent")))</f>
        <v>Good</v>
      </c>
      <c r="S862" s="51" t="str">
        <f>IF(AND(Table4[[#This Row],[USD_Spend]]&gt;=$B$5,Table4[[#This Row],[Sales]]&lt;=$B$6),"Wasted Budget","Spend Justified")</f>
        <v>Spend Justified</v>
      </c>
      <c r="T862" s="51" t="str">
        <f>IF(AND(Table4[[#This Row],[Clicks]]&gt;=$B$7,Table4[[#This Row],[Sales]]&lt;=$B$6),"Poor Monetization","Normal Monitization")</f>
        <v>Normal Monitization</v>
      </c>
    </row>
    <row r="863" spans="1:20" x14ac:dyDescent="0.35">
      <c r="A863" s="41" t="s">
        <v>93</v>
      </c>
      <c r="B863" s="41" t="s">
        <v>48</v>
      </c>
      <c r="C863" s="41" t="s">
        <v>58</v>
      </c>
      <c r="D863" s="41" t="s">
        <v>51</v>
      </c>
      <c r="E863" s="41" t="s">
        <v>30</v>
      </c>
      <c r="F863" s="41">
        <v>1159.57</v>
      </c>
      <c r="G863" s="41">
        <v>951529</v>
      </c>
      <c r="H863" s="41">
        <v>15785</v>
      </c>
      <c r="I863" s="41">
        <v>126247.49</v>
      </c>
      <c r="J863" s="41">
        <v>31</v>
      </c>
      <c r="K863" s="42">
        <f t="shared" si="66"/>
        <v>1.658908977025398E-2</v>
      </c>
      <c r="L863" s="43">
        <f t="shared" si="67"/>
        <v>108.87440171787819</v>
      </c>
      <c r="M863" s="43">
        <f t="shared" si="68"/>
        <v>107.87440171787819</v>
      </c>
      <c r="N863" s="43">
        <f t="shared" si="69"/>
        <v>7.9979404497941085</v>
      </c>
      <c r="O863" s="1" t="str">
        <f t="shared" si="65"/>
        <v>Normal</v>
      </c>
      <c r="P863" s="51" t="str">
        <f>IF(Table4[[#This Row],[Sales]]&lt;=$B$3,"Normal","High Revenue")</f>
        <v>Normal</v>
      </c>
      <c r="Q863" s="51" t="str">
        <f>IF(Table4[[#This Row],[CTR]]&lt;=$B$4,"Normal","High CTR")</f>
        <v>Normal</v>
      </c>
      <c r="R863" s="51" t="str">
        <f>IF(Table4[[#This Row],[ROAS]]&lt;1,"Poor",IF(Table4[[#This Row],[ROAS]]&lt;3,"Average",IF(Table4[[#This Row],[ROAS]]&lt;5,"Good",
"Excellent")))</f>
        <v>Excellent</v>
      </c>
      <c r="S863" s="51" t="str">
        <f>IF(AND(Table4[[#This Row],[USD_Spend]]&gt;=$B$5,Table4[[#This Row],[Sales]]&lt;=$B$6),"Wasted Budget","Spend Justified")</f>
        <v>Spend Justified</v>
      </c>
      <c r="T863" s="51" t="str">
        <f>IF(AND(Table4[[#This Row],[Clicks]]&gt;=$B$7,Table4[[#This Row],[Sales]]&lt;=$B$6),"Poor Monetization","Normal Monitization")</f>
        <v>Normal Monitization</v>
      </c>
    </row>
    <row r="864" spans="1:20" x14ac:dyDescent="0.35">
      <c r="A864" s="38" t="s">
        <v>77</v>
      </c>
      <c r="B864" s="38" t="s">
        <v>19</v>
      </c>
      <c r="C864" s="38" t="s">
        <v>29</v>
      </c>
      <c r="D864" s="38" t="s">
        <v>37</v>
      </c>
      <c r="E864" s="38" t="s">
        <v>30</v>
      </c>
      <c r="F864" s="38">
        <v>2680.54</v>
      </c>
      <c r="G864" s="38">
        <v>537276</v>
      </c>
      <c r="H864" s="38">
        <v>34907</v>
      </c>
      <c r="I864" s="38">
        <v>43571.02</v>
      </c>
      <c r="J864" s="38">
        <v>26</v>
      </c>
      <c r="K864" s="39">
        <f t="shared" si="66"/>
        <v>6.4970331822005817E-2</v>
      </c>
      <c r="L864" s="40">
        <f t="shared" si="67"/>
        <v>16.254568109410791</v>
      </c>
      <c r="M864" s="40">
        <f t="shared" si="68"/>
        <v>15.254568109410789</v>
      </c>
      <c r="N864" s="40">
        <f t="shared" si="69"/>
        <v>1.2482029392385481</v>
      </c>
      <c r="O864" s="1" t="str">
        <f t="shared" si="65"/>
        <v>Normal</v>
      </c>
      <c r="P864" s="51" t="str">
        <f>IF(Table4[[#This Row],[Sales]]&lt;=$B$3,"Normal","High Revenue")</f>
        <v>Normal</v>
      </c>
      <c r="Q864" s="51" t="str">
        <f>IF(Table4[[#This Row],[CTR]]&lt;=$B$4,"Normal","High CTR")</f>
        <v>Normal</v>
      </c>
      <c r="R864" s="51" t="str">
        <f>IF(Table4[[#This Row],[ROAS]]&lt;1,"Poor",IF(Table4[[#This Row],[ROAS]]&lt;3,"Average",IF(Table4[[#This Row],[ROAS]]&lt;5,"Good",
"Excellent")))</f>
        <v>Excellent</v>
      </c>
      <c r="S864" s="51" t="str">
        <f>IF(AND(Table4[[#This Row],[USD_Spend]]&gt;=$B$5,Table4[[#This Row],[Sales]]&lt;=$B$6),"Wasted Budget","Spend Justified")</f>
        <v>Spend Justified</v>
      </c>
      <c r="T864" s="51" t="str">
        <f>IF(AND(Table4[[#This Row],[Clicks]]&gt;=$B$7,Table4[[#This Row],[Sales]]&lt;=$B$6),"Poor Monetization","Normal Monitization")</f>
        <v>Normal Monitization</v>
      </c>
    </row>
    <row r="865" spans="1:20" x14ac:dyDescent="0.35">
      <c r="A865" s="41" t="s">
        <v>101</v>
      </c>
      <c r="B865" s="41" t="s">
        <v>19</v>
      </c>
      <c r="C865" s="41" t="s">
        <v>58</v>
      </c>
      <c r="D865" s="41" t="s">
        <v>51</v>
      </c>
      <c r="E865" s="41" t="s">
        <v>22</v>
      </c>
      <c r="F865" s="41">
        <v>18013.419999999998</v>
      </c>
      <c r="G865" s="41">
        <v>678169</v>
      </c>
      <c r="H865" s="41">
        <v>25944</v>
      </c>
      <c r="I865" s="41">
        <v>23333.47</v>
      </c>
      <c r="J865" s="41">
        <v>11</v>
      </c>
      <c r="K865" s="42">
        <f t="shared" si="66"/>
        <v>3.8255950950279352E-2</v>
      </c>
      <c r="L865" s="43">
        <f t="shared" si="67"/>
        <v>1.2953381423405441</v>
      </c>
      <c r="M865" s="43">
        <f t="shared" si="68"/>
        <v>0.29533814234054406</v>
      </c>
      <c r="N865" s="43">
        <f t="shared" si="69"/>
        <v>0.89937827628738831</v>
      </c>
      <c r="O865" s="1" t="str">
        <f t="shared" si="65"/>
        <v>Normal</v>
      </c>
      <c r="P865" s="51" t="str">
        <f>IF(Table4[[#This Row],[Sales]]&lt;=$B$3,"Normal","High Revenue")</f>
        <v>Normal</v>
      </c>
      <c r="Q865" s="51" t="str">
        <f>IF(Table4[[#This Row],[CTR]]&lt;=$B$4,"Normal","High CTR")</f>
        <v>Normal</v>
      </c>
      <c r="R865" s="51" t="str">
        <f>IF(Table4[[#This Row],[ROAS]]&lt;1,"Poor",IF(Table4[[#This Row],[ROAS]]&lt;3,"Average",IF(Table4[[#This Row],[ROAS]]&lt;5,"Good",
"Excellent")))</f>
        <v>Average</v>
      </c>
      <c r="S865" s="51" t="str">
        <f>IF(AND(Table4[[#This Row],[USD_Spend]]&gt;=$B$5,Table4[[#This Row],[Sales]]&lt;=$B$6),"Wasted Budget","Spend Justified")</f>
        <v>Wasted Budget</v>
      </c>
      <c r="T865" s="51" t="str">
        <f>IF(AND(Table4[[#This Row],[Clicks]]&gt;=$B$7,Table4[[#This Row],[Sales]]&lt;=$B$6),"Poor Monetization","Normal Monitization")</f>
        <v>Normal Monitization</v>
      </c>
    </row>
    <row r="866" spans="1:20" x14ac:dyDescent="0.35">
      <c r="A866" s="38" t="s">
        <v>94</v>
      </c>
      <c r="B866" s="38" t="s">
        <v>35</v>
      </c>
      <c r="C866" s="38" t="s">
        <v>29</v>
      </c>
      <c r="D866" s="38" t="s">
        <v>37</v>
      </c>
      <c r="E866" s="38" t="s">
        <v>38</v>
      </c>
      <c r="F866" s="38">
        <v>1672.18</v>
      </c>
      <c r="G866" s="38">
        <v>262838</v>
      </c>
      <c r="H866" s="38">
        <v>48134</v>
      </c>
      <c r="I866" s="38">
        <v>165990.57999999999</v>
      </c>
      <c r="J866" s="38">
        <v>7</v>
      </c>
      <c r="K866" s="39">
        <f t="shared" si="66"/>
        <v>0.18313181503435577</v>
      </c>
      <c r="L866" s="40">
        <f t="shared" si="67"/>
        <v>99.26597615089284</v>
      </c>
      <c r="M866" s="40">
        <f t="shared" si="68"/>
        <v>98.26597615089284</v>
      </c>
      <c r="N866" s="40">
        <f t="shared" si="69"/>
        <v>3.4485099929363856</v>
      </c>
      <c r="O866" s="1" t="str">
        <f t="shared" si="65"/>
        <v>Normal</v>
      </c>
      <c r="P866" s="51" t="str">
        <f>IF(Table4[[#This Row],[Sales]]&lt;=$B$3,"Normal","High Revenue")</f>
        <v>Normal</v>
      </c>
      <c r="Q866" s="51" t="str">
        <f>IF(Table4[[#This Row],[CTR]]&lt;=$B$4,"Normal","High CTR")</f>
        <v>Normal</v>
      </c>
      <c r="R866" s="51" t="str">
        <f>IF(Table4[[#This Row],[ROAS]]&lt;1,"Poor",IF(Table4[[#This Row],[ROAS]]&lt;3,"Average",IF(Table4[[#This Row],[ROAS]]&lt;5,"Good",
"Excellent")))</f>
        <v>Excellent</v>
      </c>
      <c r="S866" s="51" t="str">
        <f>IF(AND(Table4[[#This Row],[USD_Spend]]&gt;=$B$5,Table4[[#This Row],[Sales]]&lt;=$B$6),"Wasted Budget","Spend Justified")</f>
        <v>Spend Justified</v>
      </c>
      <c r="T866" s="51" t="str">
        <f>IF(AND(Table4[[#This Row],[Clicks]]&gt;=$B$7,Table4[[#This Row],[Sales]]&lt;=$B$6),"Poor Monetization","Normal Monitization")</f>
        <v>Normal Monitization</v>
      </c>
    </row>
    <row r="867" spans="1:20" x14ac:dyDescent="0.35">
      <c r="A867" s="41" t="s">
        <v>94</v>
      </c>
      <c r="B867" s="41" t="s">
        <v>35</v>
      </c>
      <c r="C867" s="41" t="s">
        <v>69</v>
      </c>
      <c r="D867" s="41" t="s">
        <v>21</v>
      </c>
      <c r="E867" s="41" t="s">
        <v>30</v>
      </c>
      <c r="F867" s="41">
        <v>48847.79</v>
      </c>
      <c r="G867" s="41">
        <v>19717</v>
      </c>
      <c r="H867" s="41">
        <v>19655</v>
      </c>
      <c r="I867" s="41">
        <v>144150.66</v>
      </c>
      <c r="J867" s="41">
        <v>61</v>
      </c>
      <c r="K867" s="42">
        <f t="shared" si="66"/>
        <v>0.9968555054014302</v>
      </c>
      <c r="L867" s="43">
        <f t="shared" si="67"/>
        <v>2.9510170265635356</v>
      </c>
      <c r="M867" s="43">
        <f t="shared" si="68"/>
        <v>1.9510170265635354</v>
      </c>
      <c r="N867" s="43">
        <f t="shared" si="69"/>
        <v>7.3340452810989571</v>
      </c>
      <c r="O867" s="1" t="str">
        <f t="shared" si="65"/>
        <v>High Spend</v>
      </c>
      <c r="P867" s="51" t="str">
        <f>IF(Table4[[#This Row],[Sales]]&lt;=$B$3,"Normal","High Revenue")</f>
        <v>Normal</v>
      </c>
      <c r="Q867" s="51" t="str">
        <f>IF(Table4[[#This Row],[CTR]]&lt;=$B$4,"Normal","High CTR")</f>
        <v>High CTR</v>
      </c>
      <c r="R867" s="51" t="str">
        <f>IF(Table4[[#This Row],[ROAS]]&lt;1,"Poor",IF(Table4[[#This Row],[ROAS]]&lt;3,"Average",IF(Table4[[#This Row],[ROAS]]&lt;5,"Good",
"Excellent")))</f>
        <v>Average</v>
      </c>
      <c r="S867" s="51" t="str">
        <f>IF(AND(Table4[[#This Row],[USD_Spend]]&gt;=$B$5,Table4[[#This Row],[Sales]]&lt;=$B$6),"Wasted Budget","Spend Justified")</f>
        <v>Spend Justified</v>
      </c>
      <c r="T867" s="51" t="str">
        <f>IF(AND(Table4[[#This Row],[Clicks]]&gt;=$B$7,Table4[[#This Row],[Sales]]&lt;=$B$6),"Poor Monetization","Normal Monitization")</f>
        <v>Normal Monitization</v>
      </c>
    </row>
    <row r="868" spans="1:20" x14ac:dyDescent="0.35">
      <c r="A868" s="38" t="s">
        <v>120</v>
      </c>
      <c r="B868" s="38" t="s">
        <v>48</v>
      </c>
      <c r="C868" s="38" t="s">
        <v>58</v>
      </c>
      <c r="D868" s="38" t="s">
        <v>37</v>
      </c>
      <c r="E868" s="38" t="s">
        <v>22</v>
      </c>
      <c r="F868" s="38">
        <v>28100.49</v>
      </c>
      <c r="G868" s="38">
        <v>705350</v>
      </c>
      <c r="H868" s="38">
        <v>38482</v>
      </c>
      <c r="I868" s="38">
        <v>57037.06</v>
      </c>
      <c r="J868" s="38">
        <v>38</v>
      </c>
      <c r="K868" s="39">
        <f t="shared" si="66"/>
        <v>5.4557311972779472E-2</v>
      </c>
      <c r="L868" s="40">
        <f t="shared" si="67"/>
        <v>2.0297532178264506</v>
      </c>
      <c r="M868" s="40">
        <f t="shared" si="68"/>
        <v>1.0297532178264506</v>
      </c>
      <c r="N868" s="40">
        <f t="shared" si="69"/>
        <v>1.4821750428771894</v>
      </c>
      <c r="O868" s="1" t="str">
        <f t="shared" si="65"/>
        <v>Normal</v>
      </c>
      <c r="P868" s="51" t="str">
        <f>IF(Table4[[#This Row],[Sales]]&lt;=$B$3,"Normal","High Revenue")</f>
        <v>Normal</v>
      </c>
      <c r="Q868" s="51" t="str">
        <f>IF(Table4[[#This Row],[CTR]]&lt;=$B$4,"Normal","High CTR")</f>
        <v>Normal</v>
      </c>
      <c r="R868" s="51" t="str">
        <f>IF(Table4[[#This Row],[ROAS]]&lt;1,"Poor",IF(Table4[[#This Row],[ROAS]]&lt;3,"Average",IF(Table4[[#This Row],[ROAS]]&lt;5,"Good",
"Excellent")))</f>
        <v>Average</v>
      </c>
      <c r="S868" s="51" t="str">
        <f>IF(AND(Table4[[#This Row],[USD_Spend]]&gt;=$B$5,Table4[[#This Row],[Sales]]&lt;=$B$6),"Wasted Budget","Spend Justified")</f>
        <v>Wasted Budget</v>
      </c>
      <c r="T868" s="51" t="str">
        <f>IF(AND(Table4[[#This Row],[Clicks]]&gt;=$B$7,Table4[[#This Row],[Sales]]&lt;=$B$6),"Poor Monetization","Normal Monitization")</f>
        <v>Poor Monetization</v>
      </c>
    </row>
    <row r="869" spans="1:20" x14ac:dyDescent="0.35">
      <c r="A869" s="41" t="s">
        <v>81</v>
      </c>
      <c r="B869" s="41" t="s">
        <v>28</v>
      </c>
      <c r="C869" s="41" t="s">
        <v>58</v>
      </c>
      <c r="D869" s="41" t="s">
        <v>43</v>
      </c>
      <c r="E869" s="41" t="s">
        <v>22</v>
      </c>
      <c r="F869" s="41">
        <v>9549.48</v>
      </c>
      <c r="G869" s="41">
        <v>720737</v>
      </c>
      <c r="H869" s="41">
        <v>34944</v>
      </c>
      <c r="I869" s="41">
        <v>140159.57</v>
      </c>
      <c r="J869" s="41">
        <v>30</v>
      </c>
      <c r="K869" s="42">
        <f t="shared" si="66"/>
        <v>4.848370487431615E-2</v>
      </c>
      <c r="L869" s="43">
        <f t="shared" si="67"/>
        <v>14.677193941450216</v>
      </c>
      <c r="M869" s="43">
        <f t="shared" si="68"/>
        <v>13.677193941450216</v>
      </c>
      <c r="N869" s="43">
        <f t="shared" si="69"/>
        <v>4.0109767055860805</v>
      </c>
      <c r="O869" s="1" t="str">
        <f t="shared" si="65"/>
        <v>Normal</v>
      </c>
      <c r="P869" s="51" t="str">
        <f>IF(Table4[[#This Row],[Sales]]&lt;=$B$3,"Normal","High Revenue")</f>
        <v>Normal</v>
      </c>
      <c r="Q869" s="51" t="str">
        <f>IF(Table4[[#This Row],[CTR]]&lt;=$B$4,"Normal","High CTR")</f>
        <v>Normal</v>
      </c>
      <c r="R869" s="51" t="str">
        <f>IF(Table4[[#This Row],[ROAS]]&lt;1,"Poor",IF(Table4[[#This Row],[ROAS]]&lt;3,"Average",IF(Table4[[#This Row],[ROAS]]&lt;5,"Good",
"Excellent")))</f>
        <v>Excellent</v>
      </c>
      <c r="S869" s="51" t="str">
        <f>IF(AND(Table4[[#This Row],[USD_Spend]]&gt;=$B$5,Table4[[#This Row],[Sales]]&lt;=$B$6),"Wasted Budget","Spend Justified")</f>
        <v>Spend Justified</v>
      </c>
      <c r="T869" s="51" t="str">
        <f>IF(AND(Table4[[#This Row],[Clicks]]&gt;=$B$7,Table4[[#This Row],[Sales]]&lt;=$B$6),"Poor Monetization","Normal Monitization")</f>
        <v>Normal Monitization</v>
      </c>
    </row>
    <row r="870" spans="1:20" x14ac:dyDescent="0.35">
      <c r="A870" s="38" t="s">
        <v>67</v>
      </c>
      <c r="B870" s="38" t="s">
        <v>35</v>
      </c>
      <c r="C870" s="38" t="s">
        <v>58</v>
      </c>
      <c r="D870" s="38" t="s">
        <v>37</v>
      </c>
      <c r="E870" s="38" t="s">
        <v>30</v>
      </c>
      <c r="F870" s="38">
        <v>14332.12</v>
      </c>
      <c r="G870" s="38">
        <v>825451</v>
      </c>
      <c r="H870" s="38">
        <v>34263</v>
      </c>
      <c r="I870" s="38">
        <v>123726.27</v>
      </c>
      <c r="J870" s="38">
        <v>21</v>
      </c>
      <c r="K870" s="39">
        <f t="shared" si="66"/>
        <v>4.1508217931773055E-2</v>
      </c>
      <c r="L870" s="40">
        <f t="shared" si="67"/>
        <v>8.6327961250673315</v>
      </c>
      <c r="M870" s="40">
        <f t="shared" si="68"/>
        <v>7.6327961250673315</v>
      </c>
      <c r="N870" s="40">
        <f t="shared" si="69"/>
        <v>3.6110752123281675</v>
      </c>
      <c r="O870" s="1" t="str">
        <f t="shared" si="65"/>
        <v>Normal</v>
      </c>
      <c r="P870" s="51" t="str">
        <f>IF(Table4[[#This Row],[Sales]]&lt;=$B$3,"Normal","High Revenue")</f>
        <v>Normal</v>
      </c>
      <c r="Q870" s="51" t="str">
        <f>IF(Table4[[#This Row],[CTR]]&lt;=$B$4,"Normal","High CTR")</f>
        <v>Normal</v>
      </c>
      <c r="R870" s="51" t="str">
        <f>IF(Table4[[#This Row],[ROAS]]&lt;1,"Poor",IF(Table4[[#This Row],[ROAS]]&lt;3,"Average",IF(Table4[[#This Row],[ROAS]]&lt;5,"Good",
"Excellent")))</f>
        <v>Excellent</v>
      </c>
      <c r="S870" s="51" t="str">
        <f>IF(AND(Table4[[#This Row],[USD_Spend]]&gt;=$B$5,Table4[[#This Row],[Sales]]&lt;=$B$6),"Wasted Budget","Spend Justified")</f>
        <v>Spend Justified</v>
      </c>
      <c r="T870" s="51" t="str">
        <f>IF(AND(Table4[[#This Row],[Clicks]]&gt;=$B$7,Table4[[#This Row],[Sales]]&lt;=$B$6),"Poor Monetization","Normal Monitization")</f>
        <v>Normal Monitization</v>
      </c>
    </row>
    <row r="871" spans="1:20" x14ac:dyDescent="0.35">
      <c r="A871" s="41" t="s">
        <v>92</v>
      </c>
      <c r="B871" s="41" t="s">
        <v>35</v>
      </c>
      <c r="C871" s="41" t="s">
        <v>29</v>
      </c>
      <c r="D871" s="41" t="s">
        <v>51</v>
      </c>
      <c r="E871" s="41" t="s">
        <v>22</v>
      </c>
      <c r="F871" s="41">
        <v>21732.48</v>
      </c>
      <c r="G871" s="41">
        <v>503152</v>
      </c>
      <c r="H871" s="41">
        <v>1370</v>
      </c>
      <c r="I871" s="41">
        <v>188510.94</v>
      </c>
      <c r="J871" s="41">
        <v>59</v>
      </c>
      <c r="K871" s="42">
        <f t="shared" si="66"/>
        <v>2.7228352466053996E-3</v>
      </c>
      <c r="L871" s="43">
        <f t="shared" si="67"/>
        <v>8.6741568380598988</v>
      </c>
      <c r="M871" s="43">
        <f t="shared" si="68"/>
        <v>7.6741568380598988</v>
      </c>
      <c r="N871" s="43">
        <f t="shared" si="69"/>
        <v>137.59922627737225</v>
      </c>
      <c r="O871" s="1" t="str">
        <f t="shared" si="65"/>
        <v>Normal</v>
      </c>
      <c r="P871" s="51" t="str">
        <f>IF(Table4[[#This Row],[Sales]]&lt;=$B$3,"Normal","High Revenue")</f>
        <v>Normal</v>
      </c>
      <c r="Q871" s="51" t="str">
        <f>IF(Table4[[#This Row],[CTR]]&lt;=$B$4,"Normal","High CTR")</f>
        <v>Normal</v>
      </c>
      <c r="R871" s="51" t="str">
        <f>IF(Table4[[#This Row],[ROAS]]&lt;1,"Poor",IF(Table4[[#This Row],[ROAS]]&lt;3,"Average",IF(Table4[[#This Row],[ROAS]]&lt;5,"Good",
"Excellent")))</f>
        <v>Excellent</v>
      </c>
      <c r="S871" s="51" t="str">
        <f>IF(AND(Table4[[#This Row],[USD_Spend]]&gt;=$B$5,Table4[[#This Row],[Sales]]&lt;=$B$6),"Wasted Budget","Spend Justified")</f>
        <v>Spend Justified</v>
      </c>
      <c r="T871" s="51" t="str">
        <f>IF(AND(Table4[[#This Row],[Clicks]]&gt;=$B$7,Table4[[#This Row],[Sales]]&lt;=$B$6),"Poor Monetization","Normal Monitization")</f>
        <v>Normal Monitization</v>
      </c>
    </row>
    <row r="872" spans="1:20" x14ac:dyDescent="0.35">
      <c r="A872" s="38" t="s">
        <v>72</v>
      </c>
      <c r="B872" s="38" t="s">
        <v>48</v>
      </c>
      <c r="C872" s="38" t="s">
        <v>20</v>
      </c>
      <c r="D872" s="38" t="s">
        <v>59</v>
      </c>
      <c r="E872" s="38" t="s">
        <v>38</v>
      </c>
      <c r="F872" s="38">
        <v>28496.76</v>
      </c>
      <c r="G872" s="38">
        <v>901090</v>
      </c>
      <c r="H872" s="38">
        <v>46603</v>
      </c>
      <c r="I872" s="38">
        <v>79498.13</v>
      </c>
      <c r="J872" s="38">
        <v>56</v>
      </c>
      <c r="K872" s="39">
        <f t="shared" si="66"/>
        <v>5.1718474292246054E-2</v>
      </c>
      <c r="L872" s="40">
        <f t="shared" si="67"/>
        <v>2.7897252178844196</v>
      </c>
      <c r="M872" s="40">
        <f t="shared" si="68"/>
        <v>1.7897252178844196</v>
      </c>
      <c r="N872" s="40">
        <f t="shared" si="69"/>
        <v>1.7058586357101475</v>
      </c>
      <c r="O872" s="1" t="str">
        <f t="shared" si="65"/>
        <v>Normal</v>
      </c>
      <c r="P872" s="51" t="str">
        <f>IF(Table4[[#This Row],[Sales]]&lt;=$B$3,"Normal","High Revenue")</f>
        <v>Normal</v>
      </c>
      <c r="Q872" s="51" t="str">
        <f>IF(Table4[[#This Row],[CTR]]&lt;=$B$4,"Normal","High CTR")</f>
        <v>Normal</v>
      </c>
      <c r="R872" s="51" t="str">
        <f>IF(Table4[[#This Row],[ROAS]]&lt;1,"Poor",IF(Table4[[#This Row],[ROAS]]&lt;3,"Average",IF(Table4[[#This Row],[ROAS]]&lt;5,"Good",
"Excellent")))</f>
        <v>Average</v>
      </c>
      <c r="S872" s="51" t="str">
        <f>IF(AND(Table4[[#This Row],[USD_Spend]]&gt;=$B$5,Table4[[#This Row],[Sales]]&lt;=$B$6),"Wasted Budget","Spend Justified")</f>
        <v>Spend Justified</v>
      </c>
      <c r="T872" s="51" t="str">
        <f>IF(AND(Table4[[#This Row],[Clicks]]&gt;=$B$7,Table4[[#This Row],[Sales]]&lt;=$B$6),"Poor Monetization","Normal Monitization")</f>
        <v>Normal Monitization</v>
      </c>
    </row>
    <row r="873" spans="1:20" x14ac:dyDescent="0.35">
      <c r="A873" s="41" t="s">
        <v>34</v>
      </c>
      <c r="B873" s="41" t="s">
        <v>48</v>
      </c>
      <c r="C873" s="41" t="s">
        <v>20</v>
      </c>
      <c r="D873" s="41" t="s">
        <v>37</v>
      </c>
      <c r="E873" s="41" t="s">
        <v>38</v>
      </c>
      <c r="F873" s="41">
        <v>3775.07</v>
      </c>
      <c r="G873" s="41">
        <v>370491</v>
      </c>
      <c r="H873" s="41">
        <v>35584</v>
      </c>
      <c r="I873" s="41">
        <v>106426.73</v>
      </c>
      <c r="J873" s="41">
        <v>50</v>
      </c>
      <c r="K873" s="42">
        <f t="shared" si="66"/>
        <v>9.6045517974795602E-2</v>
      </c>
      <c r="L873" s="43">
        <f t="shared" si="67"/>
        <v>28.191988492928605</v>
      </c>
      <c r="M873" s="43">
        <f t="shared" si="68"/>
        <v>27.191988492928605</v>
      </c>
      <c r="N873" s="43">
        <f t="shared" si="69"/>
        <v>2.9908590939748199</v>
      </c>
      <c r="O873" s="1" t="str">
        <f t="shared" si="65"/>
        <v>Normal</v>
      </c>
      <c r="P873" s="51" t="str">
        <f>IF(Table4[[#This Row],[Sales]]&lt;=$B$3,"Normal","High Revenue")</f>
        <v>Normal</v>
      </c>
      <c r="Q873" s="51" t="str">
        <f>IF(Table4[[#This Row],[CTR]]&lt;=$B$4,"Normal","High CTR")</f>
        <v>Normal</v>
      </c>
      <c r="R873" s="51" t="str">
        <f>IF(Table4[[#This Row],[ROAS]]&lt;1,"Poor",IF(Table4[[#This Row],[ROAS]]&lt;3,"Average",IF(Table4[[#This Row],[ROAS]]&lt;5,"Good",
"Excellent")))</f>
        <v>Excellent</v>
      </c>
      <c r="S873" s="51" t="str">
        <f>IF(AND(Table4[[#This Row],[USD_Spend]]&gt;=$B$5,Table4[[#This Row],[Sales]]&lt;=$B$6),"Wasted Budget","Spend Justified")</f>
        <v>Spend Justified</v>
      </c>
      <c r="T873" s="51" t="str">
        <f>IF(AND(Table4[[#This Row],[Clicks]]&gt;=$B$7,Table4[[#This Row],[Sales]]&lt;=$B$6),"Poor Monetization","Normal Monitization")</f>
        <v>Normal Monitization</v>
      </c>
    </row>
    <row r="874" spans="1:20" x14ac:dyDescent="0.35">
      <c r="A874" s="38" t="s">
        <v>87</v>
      </c>
      <c r="B874" s="38" t="s">
        <v>48</v>
      </c>
      <c r="C874" s="38" t="s">
        <v>20</v>
      </c>
      <c r="D874" s="38" t="s">
        <v>21</v>
      </c>
      <c r="E874" s="38" t="s">
        <v>22</v>
      </c>
      <c r="F874" s="38">
        <v>2527.9899999999998</v>
      </c>
      <c r="G874" s="38">
        <v>117458</v>
      </c>
      <c r="H874" s="38">
        <v>40477</v>
      </c>
      <c r="I874" s="38">
        <v>217668.67</v>
      </c>
      <c r="J874" s="38">
        <v>40</v>
      </c>
      <c r="K874" s="39">
        <f t="shared" si="66"/>
        <v>0.34460828551482231</v>
      </c>
      <c r="L874" s="40">
        <f t="shared" si="67"/>
        <v>86.103453732016362</v>
      </c>
      <c r="M874" s="40">
        <f t="shared" si="68"/>
        <v>85.103453732016362</v>
      </c>
      <c r="N874" s="40">
        <f t="shared" si="69"/>
        <v>5.3775890011611533</v>
      </c>
      <c r="O874" s="1" t="str">
        <f t="shared" si="65"/>
        <v>Normal</v>
      </c>
      <c r="P874" s="51" t="str">
        <f>IF(Table4[[#This Row],[Sales]]&lt;=$B$3,"Normal","High Revenue")</f>
        <v>Normal</v>
      </c>
      <c r="Q874" s="51" t="str">
        <f>IF(Table4[[#This Row],[CTR]]&lt;=$B$4,"Normal","High CTR")</f>
        <v>Normal</v>
      </c>
      <c r="R874" s="51" t="str">
        <f>IF(Table4[[#This Row],[ROAS]]&lt;1,"Poor",IF(Table4[[#This Row],[ROAS]]&lt;3,"Average",IF(Table4[[#This Row],[ROAS]]&lt;5,"Good",
"Excellent")))</f>
        <v>Excellent</v>
      </c>
      <c r="S874" s="51" t="str">
        <f>IF(AND(Table4[[#This Row],[USD_Spend]]&gt;=$B$5,Table4[[#This Row],[Sales]]&lt;=$B$6),"Wasted Budget","Spend Justified")</f>
        <v>Spend Justified</v>
      </c>
      <c r="T874" s="51" t="str">
        <f>IF(AND(Table4[[#This Row],[Clicks]]&gt;=$B$7,Table4[[#This Row],[Sales]]&lt;=$B$6),"Poor Monetization","Normal Monitization")</f>
        <v>Normal Monitization</v>
      </c>
    </row>
    <row r="875" spans="1:20" x14ac:dyDescent="0.35">
      <c r="A875" s="41" t="s">
        <v>107</v>
      </c>
      <c r="B875" s="41" t="s">
        <v>35</v>
      </c>
      <c r="C875" s="41" t="s">
        <v>69</v>
      </c>
      <c r="D875" s="41" t="s">
        <v>59</v>
      </c>
      <c r="E875" s="41" t="s">
        <v>38</v>
      </c>
      <c r="F875" s="41">
        <v>20806.93</v>
      </c>
      <c r="G875" s="41">
        <v>979045</v>
      </c>
      <c r="H875" s="41">
        <v>37094</v>
      </c>
      <c r="I875" s="41">
        <v>162533</v>
      </c>
      <c r="J875" s="41">
        <v>42</v>
      </c>
      <c r="K875" s="42">
        <f t="shared" si="66"/>
        <v>3.7887941820856037E-2</v>
      </c>
      <c r="L875" s="43">
        <f t="shared" si="67"/>
        <v>7.8114839623144787</v>
      </c>
      <c r="M875" s="43">
        <f t="shared" si="68"/>
        <v>6.8114839623144787</v>
      </c>
      <c r="N875" s="43">
        <f t="shared" si="69"/>
        <v>4.3816520191944788</v>
      </c>
      <c r="O875" s="1" t="str">
        <f t="shared" si="65"/>
        <v>Normal</v>
      </c>
      <c r="P875" s="51" t="str">
        <f>IF(Table4[[#This Row],[Sales]]&lt;=$B$3,"Normal","High Revenue")</f>
        <v>Normal</v>
      </c>
      <c r="Q875" s="51" t="str">
        <f>IF(Table4[[#This Row],[CTR]]&lt;=$B$4,"Normal","High CTR")</f>
        <v>Normal</v>
      </c>
      <c r="R875" s="51" t="str">
        <f>IF(Table4[[#This Row],[ROAS]]&lt;1,"Poor",IF(Table4[[#This Row],[ROAS]]&lt;3,"Average",IF(Table4[[#This Row],[ROAS]]&lt;5,"Good",
"Excellent")))</f>
        <v>Excellent</v>
      </c>
      <c r="S875" s="51" t="str">
        <f>IF(AND(Table4[[#This Row],[USD_Spend]]&gt;=$B$5,Table4[[#This Row],[Sales]]&lt;=$B$6),"Wasted Budget","Spend Justified")</f>
        <v>Spend Justified</v>
      </c>
      <c r="T875" s="51" t="str">
        <f>IF(AND(Table4[[#This Row],[Clicks]]&gt;=$B$7,Table4[[#This Row],[Sales]]&lt;=$B$6),"Poor Monetization","Normal Monitization")</f>
        <v>Normal Monitization</v>
      </c>
    </row>
    <row r="876" spans="1:20" x14ac:dyDescent="0.35">
      <c r="A876" s="38" t="s">
        <v>84</v>
      </c>
      <c r="B876" s="38" t="s">
        <v>28</v>
      </c>
      <c r="C876" s="38" t="s">
        <v>29</v>
      </c>
      <c r="D876" s="38" t="s">
        <v>51</v>
      </c>
      <c r="E876" s="38" t="s">
        <v>38</v>
      </c>
      <c r="F876" s="38">
        <v>26860.18</v>
      </c>
      <c r="G876" s="38">
        <v>539298</v>
      </c>
      <c r="H876" s="38">
        <v>28066</v>
      </c>
      <c r="I876" s="38">
        <v>208489.45</v>
      </c>
      <c r="J876" s="38">
        <v>34</v>
      </c>
      <c r="K876" s="39">
        <f t="shared" si="66"/>
        <v>5.2041728320891233E-2</v>
      </c>
      <c r="L876" s="40">
        <f t="shared" si="67"/>
        <v>7.7620272835103865</v>
      </c>
      <c r="M876" s="40">
        <f t="shared" si="68"/>
        <v>6.7620272835103865</v>
      </c>
      <c r="N876" s="40">
        <f t="shared" si="69"/>
        <v>7.4285416518207086</v>
      </c>
      <c r="O876" s="1" t="str">
        <f t="shared" si="65"/>
        <v>Normal</v>
      </c>
      <c r="P876" s="51" t="str">
        <f>IF(Table4[[#This Row],[Sales]]&lt;=$B$3,"Normal","High Revenue")</f>
        <v>Normal</v>
      </c>
      <c r="Q876" s="51" t="str">
        <f>IF(Table4[[#This Row],[CTR]]&lt;=$B$4,"Normal","High CTR")</f>
        <v>Normal</v>
      </c>
      <c r="R876" s="51" t="str">
        <f>IF(Table4[[#This Row],[ROAS]]&lt;1,"Poor",IF(Table4[[#This Row],[ROAS]]&lt;3,"Average",IF(Table4[[#This Row],[ROAS]]&lt;5,"Good",
"Excellent")))</f>
        <v>Excellent</v>
      </c>
      <c r="S876" s="51" t="str">
        <f>IF(AND(Table4[[#This Row],[USD_Spend]]&gt;=$B$5,Table4[[#This Row],[Sales]]&lt;=$B$6),"Wasted Budget","Spend Justified")</f>
        <v>Spend Justified</v>
      </c>
      <c r="T876" s="51" t="str">
        <f>IF(AND(Table4[[#This Row],[Clicks]]&gt;=$B$7,Table4[[#This Row],[Sales]]&lt;=$B$6),"Poor Monetization","Normal Monitization")</f>
        <v>Normal Monitization</v>
      </c>
    </row>
    <row r="877" spans="1:20" x14ac:dyDescent="0.35">
      <c r="A877" s="41" t="s">
        <v>106</v>
      </c>
      <c r="B877" s="41" t="s">
        <v>35</v>
      </c>
      <c r="C877" s="41" t="s">
        <v>36</v>
      </c>
      <c r="D877" s="41" t="s">
        <v>21</v>
      </c>
      <c r="E877" s="41" t="s">
        <v>22</v>
      </c>
      <c r="F877" s="41">
        <v>11517.5</v>
      </c>
      <c r="G877" s="41">
        <v>264432</v>
      </c>
      <c r="H877" s="41">
        <v>38132</v>
      </c>
      <c r="I877" s="41">
        <v>130490.66</v>
      </c>
      <c r="J877" s="41">
        <v>14</v>
      </c>
      <c r="K877" s="42">
        <f t="shared" si="66"/>
        <v>0.14420342469897743</v>
      </c>
      <c r="L877" s="43">
        <f t="shared" si="67"/>
        <v>11.329772954200131</v>
      </c>
      <c r="M877" s="43">
        <f t="shared" si="68"/>
        <v>10.329772954200131</v>
      </c>
      <c r="N877" s="43">
        <f t="shared" si="69"/>
        <v>3.4220775201930138</v>
      </c>
      <c r="O877" s="1" t="str">
        <f t="shared" si="65"/>
        <v>Normal</v>
      </c>
      <c r="P877" s="51" t="str">
        <f>IF(Table4[[#This Row],[Sales]]&lt;=$B$3,"Normal","High Revenue")</f>
        <v>Normal</v>
      </c>
      <c r="Q877" s="51" t="str">
        <f>IF(Table4[[#This Row],[CTR]]&lt;=$B$4,"Normal","High CTR")</f>
        <v>Normal</v>
      </c>
      <c r="R877" s="51" t="str">
        <f>IF(Table4[[#This Row],[ROAS]]&lt;1,"Poor",IF(Table4[[#This Row],[ROAS]]&lt;3,"Average",IF(Table4[[#This Row],[ROAS]]&lt;5,"Good",
"Excellent")))</f>
        <v>Excellent</v>
      </c>
      <c r="S877" s="51" t="str">
        <f>IF(AND(Table4[[#This Row],[USD_Spend]]&gt;=$B$5,Table4[[#This Row],[Sales]]&lt;=$B$6),"Wasted Budget","Spend Justified")</f>
        <v>Spend Justified</v>
      </c>
      <c r="T877" s="51" t="str">
        <f>IF(AND(Table4[[#This Row],[Clicks]]&gt;=$B$7,Table4[[#This Row],[Sales]]&lt;=$B$6),"Poor Monetization","Normal Monitization")</f>
        <v>Normal Monitization</v>
      </c>
    </row>
    <row r="878" spans="1:20" x14ac:dyDescent="0.35">
      <c r="A878" s="38" t="s">
        <v>108</v>
      </c>
      <c r="B878" s="38" t="s">
        <v>28</v>
      </c>
      <c r="C878" s="38" t="s">
        <v>58</v>
      </c>
      <c r="D878" s="38" t="s">
        <v>51</v>
      </c>
      <c r="E878" s="38" t="s">
        <v>30</v>
      </c>
      <c r="F878" s="38">
        <v>2503.48</v>
      </c>
      <c r="G878" s="38">
        <v>714791</v>
      </c>
      <c r="H878" s="38">
        <v>38688</v>
      </c>
      <c r="I878" s="38">
        <v>35188.699999999997</v>
      </c>
      <c r="J878" s="38">
        <v>32</v>
      </c>
      <c r="K878" s="39">
        <f t="shared" si="66"/>
        <v>5.4124912037224866E-2</v>
      </c>
      <c r="L878" s="40">
        <f t="shared" si="67"/>
        <v>14.055914167478868</v>
      </c>
      <c r="M878" s="40">
        <f t="shared" si="68"/>
        <v>13.055914167478868</v>
      </c>
      <c r="N878" s="40">
        <f t="shared" si="69"/>
        <v>0.9095507650951199</v>
      </c>
      <c r="O878" s="1" t="str">
        <f t="shared" si="65"/>
        <v>Normal</v>
      </c>
      <c r="P878" s="51" t="str">
        <f>IF(Table4[[#This Row],[Sales]]&lt;=$B$3,"Normal","High Revenue")</f>
        <v>Normal</v>
      </c>
      <c r="Q878" s="51" t="str">
        <f>IF(Table4[[#This Row],[CTR]]&lt;=$B$4,"Normal","High CTR")</f>
        <v>Normal</v>
      </c>
      <c r="R878" s="51" t="str">
        <f>IF(Table4[[#This Row],[ROAS]]&lt;1,"Poor",IF(Table4[[#This Row],[ROAS]]&lt;3,"Average",IF(Table4[[#This Row],[ROAS]]&lt;5,"Good",
"Excellent")))</f>
        <v>Excellent</v>
      </c>
      <c r="S878" s="51" t="str">
        <f>IF(AND(Table4[[#This Row],[USD_Spend]]&gt;=$B$5,Table4[[#This Row],[Sales]]&lt;=$B$6),"Wasted Budget","Spend Justified")</f>
        <v>Spend Justified</v>
      </c>
      <c r="T878" s="51" t="str">
        <f>IF(AND(Table4[[#This Row],[Clicks]]&gt;=$B$7,Table4[[#This Row],[Sales]]&lt;=$B$6),"Poor Monetization","Normal Monitization")</f>
        <v>Poor Monetization</v>
      </c>
    </row>
    <row r="879" spans="1:20" x14ac:dyDescent="0.35">
      <c r="A879" s="41" t="s">
        <v>90</v>
      </c>
      <c r="B879" s="41" t="s">
        <v>19</v>
      </c>
      <c r="C879" s="41" t="s">
        <v>29</v>
      </c>
      <c r="D879" s="41" t="s">
        <v>37</v>
      </c>
      <c r="E879" s="41" t="s">
        <v>30</v>
      </c>
      <c r="F879" s="41">
        <v>4157.37</v>
      </c>
      <c r="G879" s="41">
        <v>183021</v>
      </c>
      <c r="H879" s="41">
        <v>28848</v>
      </c>
      <c r="I879" s="41">
        <v>64692.93</v>
      </c>
      <c r="J879" s="41">
        <v>32</v>
      </c>
      <c r="K879" s="42">
        <f t="shared" si="66"/>
        <v>0.15762125657711409</v>
      </c>
      <c r="L879" s="43">
        <f t="shared" si="67"/>
        <v>15.561022954415893</v>
      </c>
      <c r="M879" s="43">
        <f t="shared" si="68"/>
        <v>14.561022954415893</v>
      </c>
      <c r="N879" s="43">
        <f t="shared" si="69"/>
        <v>2.2425447171381032</v>
      </c>
      <c r="O879" s="1" t="str">
        <f t="shared" si="65"/>
        <v>Normal</v>
      </c>
      <c r="P879" s="51" t="str">
        <f>IF(Table4[[#This Row],[Sales]]&lt;=$B$3,"Normal","High Revenue")</f>
        <v>Normal</v>
      </c>
      <c r="Q879" s="51" t="str">
        <f>IF(Table4[[#This Row],[CTR]]&lt;=$B$4,"Normal","High CTR")</f>
        <v>Normal</v>
      </c>
      <c r="R879" s="51" t="str">
        <f>IF(Table4[[#This Row],[ROAS]]&lt;1,"Poor",IF(Table4[[#This Row],[ROAS]]&lt;3,"Average",IF(Table4[[#This Row],[ROAS]]&lt;5,"Good",
"Excellent")))</f>
        <v>Excellent</v>
      </c>
      <c r="S879" s="51" t="str">
        <f>IF(AND(Table4[[#This Row],[USD_Spend]]&gt;=$B$5,Table4[[#This Row],[Sales]]&lt;=$B$6),"Wasted Budget","Spend Justified")</f>
        <v>Spend Justified</v>
      </c>
      <c r="T879" s="51" t="str">
        <f>IF(AND(Table4[[#This Row],[Clicks]]&gt;=$B$7,Table4[[#This Row],[Sales]]&lt;=$B$6),"Poor Monetization","Normal Monitization")</f>
        <v>Normal Monitization</v>
      </c>
    </row>
    <row r="880" spans="1:20" x14ac:dyDescent="0.35">
      <c r="A880" s="38" t="s">
        <v>117</v>
      </c>
      <c r="B880" s="38" t="s">
        <v>19</v>
      </c>
      <c r="C880" s="38" t="s">
        <v>69</v>
      </c>
      <c r="D880" s="38" t="s">
        <v>37</v>
      </c>
      <c r="E880" s="38" t="s">
        <v>38</v>
      </c>
      <c r="F880" s="38">
        <v>26743.99</v>
      </c>
      <c r="G880" s="38">
        <v>493100</v>
      </c>
      <c r="H880" s="38">
        <v>38558</v>
      </c>
      <c r="I880" s="38">
        <v>216195.7</v>
      </c>
      <c r="J880" s="38">
        <v>27</v>
      </c>
      <c r="K880" s="39">
        <f t="shared" si="66"/>
        <v>7.8195092273372541E-2</v>
      </c>
      <c r="L880" s="40">
        <f t="shared" si="67"/>
        <v>8.0838984758818704</v>
      </c>
      <c r="M880" s="40">
        <f t="shared" si="68"/>
        <v>7.0838984758818713</v>
      </c>
      <c r="N880" s="40">
        <f t="shared" si="69"/>
        <v>5.6070257793454017</v>
      </c>
      <c r="O880" s="1" t="str">
        <f t="shared" si="65"/>
        <v>Normal</v>
      </c>
      <c r="P880" s="51" t="str">
        <f>IF(Table4[[#This Row],[Sales]]&lt;=$B$3,"Normal","High Revenue")</f>
        <v>Normal</v>
      </c>
      <c r="Q880" s="51" t="str">
        <f>IF(Table4[[#This Row],[CTR]]&lt;=$B$4,"Normal","High CTR")</f>
        <v>Normal</v>
      </c>
      <c r="R880" s="51" t="str">
        <f>IF(Table4[[#This Row],[ROAS]]&lt;1,"Poor",IF(Table4[[#This Row],[ROAS]]&lt;3,"Average",IF(Table4[[#This Row],[ROAS]]&lt;5,"Good",
"Excellent")))</f>
        <v>Excellent</v>
      </c>
      <c r="S880" s="51" t="str">
        <f>IF(AND(Table4[[#This Row],[USD_Spend]]&gt;=$B$5,Table4[[#This Row],[Sales]]&lt;=$B$6),"Wasted Budget","Spend Justified")</f>
        <v>Spend Justified</v>
      </c>
      <c r="T880" s="51" t="str">
        <f>IF(AND(Table4[[#This Row],[Clicks]]&gt;=$B$7,Table4[[#This Row],[Sales]]&lt;=$B$6),"Poor Monetization","Normal Monitization")</f>
        <v>Normal Monitization</v>
      </c>
    </row>
    <row r="881" spans="1:20" x14ac:dyDescent="0.35">
      <c r="A881" s="41" t="s">
        <v>66</v>
      </c>
      <c r="B881" s="41" t="s">
        <v>28</v>
      </c>
      <c r="C881" s="41" t="s">
        <v>29</v>
      </c>
      <c r="D881" s="41" t="s">
        <v>51</v>
      </c>
      <c r="E881" s="41" t="s">
        <v>22</v>
      </c>
      <c r="F881" s="41">
        <v>2550.2600000000002</v>
      </c>
      <c r="G881" s="41">
        <v>402716</v>
      </c>
      <c r="H881" s="41">
        <v>32784</v>
      </c>
      <c r="I881" s="41">
        <v>77670.61</v>
      </c>
      <c r="J881" s="41">
        <v>21</v>
      </c>
      <c r="K881" s="42">
        <f t="shared" si="66"/>
        <v>8.1407244807755338E-2</v>
      </c>
      <c r="L881" s="43">
        <f t="shared" si="67"/>
        <v>30.455957431791266</v>
      </c>
      <c r="M881" s="43">
        <f t="shared" si="68"/>
        <v>29.455957431791269</v>
      </c>
      <c r="N881" s="43">
        <f t="shared" si="69"/>
        <v>2.3691620912640312</v>
      </c>
      <c r="O881" s="1" t="str">
        <f t="shared" si="65"/>
        <v>Normal</v>
      </c>
      <c r="P881" s="51" t="str">
        <f>IF(Table4[[#This Row],[Sales]]&lt;=$B$3,"Normal","High Revenue")</f>
        <v>Normal</v>
      </c>
      <c r="Q881" s="51" t="str">
        <f>IF(Table4[[#This Row],[CTR]]&lt;=$B$4,"Normal","High CTR")</f>
        <v>Normal</v>
      </c>
      <c r="R881" s="51" t="str">
        <f>IF(Table4[[#This Row],[ROAS]]&lt;1,"Poor",IF(Table4[[#This Row],[ROAS]]&lt;3,"Average",IF(Table4[[#This Row],[ROAS]]&lt;5,"Good",
"Excellent")))</f>
        <v>Excellent</v>
      </c>
      <c r="S881" s="51" t="str">
        <f>IF(AND(Table4[[#This Row],[USD_Spend]]&gt;=$B$5,Table4[[#This Row],[Sales]]&lt;=$B$6),"Wasted Budget","Spend Justified")</f>
        <v>Spend Justified</v>
      </c>
      <c r="T881" s="51" t="str">
        <f>IF(AND(Table4[[#This Row],[Clicks]]&gt;=$B$7,Table4[[#This Row],[Sales]]&lt;=$B$6),"Poor Monetization","Normal Monitization")</f>
        <v>Normal Monitization</v>
      </c>
    </row>
    <row r="882" spans="1:20" x14ac:dyDescent="0.35">
      <c r="A882" s="38" t="s">
        <v>34</v>
      </c>
      <c r="B882" s="38" t="s">
        <v>35</v>
      </c>
      <c r="C882" s="38" t="s">
        <v>36</v>
      </c>
      <c r="D882" s="38" t="s">
        <v>37</v>
      </c>
      <c r="E882" s="38" t="s">
        <v>38</v>
      </c>
      <c r="F882" s="38">
        <v>4525.4799999999996</v>
      </c>
      <c r="G882" s="38">
        <v>301369</v>
      </c>
      <c r="H882" s="38">
        <v>10289</v>
      </c>
      <c r="I882" s="38">
        <v>57751.87</v>
      </c>
      <c r="J882" s="38">
        <v>57</v>
      </c>
      <c r="K882" s="39">
        <f t="shared" si="66"/>
        <v>3.4140870494310964E-2</v>
      </c>
      <c r="L882" s="40">
        <f t="shared" si="67"/>
        <v>12.761490493826072</v>
      </c>
      <c r="M882" s="40">
        <f t="shared" si="68"/>
        <v>11.76149049382607</v>
      </c>
      <c r="N882" s="40">
        <f t="shared" si="69"/>
        <v>5.6129721061327631</v>
      </c>
      <c r="O882" s="1" t="str">
        <f t="shared" si="65"/>
        <v>Normal</v>
      </c>
      <c r="P882" s="51" t="str">
        <f>IF(Table4[[#This Row],[Sales]]&lt;=$B$3,"Normal","High Revenue")</f>
        <v>Normal</v>
      </c>
      <c r="Q882" s="51" t="str">
        <f>IF(Table4[[#This Row],[CTR]]&lt;=$B$4,"Normal","High CTR")</f>
        <v>Normal</v>
      </c>
      <c r="R882" s="51" t="str">
        <f>IF(Table4[[#This Row],[ROAS]]&lt;1,"Poor",IF(Table4[[#This Row],[ROAS]]&lt;3,"Average",IF(Table4[[#This Row],[ROAS]]&lt;5,"Good",
"Excellent")))</f>
        <v>Excellent</v>
      </c>
      <c r="S882" s="51" t="str">
        <f>IF(AND(Table4[[#This Row],[USD_Spend]]&gt;=$B$5,Table4[[#This Row],[Sales]]&lt;=$B$6),"Wasted Budget","Spend Justified")</f>
        <v>Spend Justified</v>
      </c>
      <c r="T882" s="51" t="str">
        <f>IF(AND(Table4[[#This Row],[Clicks]]&gt;=$B$7,Table4[[#This Row],[Sales]]&lt;=$B$6),"Poor Monetization","Normal Monitization")</f>
        <v>Normal Monitization</v>
      </c>
    </row>
    <row r="883" spans="1:20" x14ac:dyDescent="0.35">
      <c r="A883" s="41" t="s">
        <v>97</v>
      </c>
      <c r="B883" s="41" t="s">
        <v>35</v>
      </c>
      <c r="C883" s="41" t="s">
        <v>36</v>
      </c>
      <c r="D883" s="41" t="s">
        <v>37</v>
      </c>
      <c r="E883" s="41" t="s">
        <v>22</v>
      </c>
      <c r="F883" s="41">
        <v>4938.47</v>
      </c>
      <c r="G883" s="41">
        <v>880196</v>
      </c>
      <c r="H883" s="41">
        <v>41627</v>
      </c>
      <c r="I883" s="41">
        <v>241286.25</v>
      </c>
      <c r="J883" s="41">
        <v>48</v>
      </c>
      <c r="K883" s="42">
        <f t="shared" si="66"/>
        <v>4.7292875677689972E-2</v>
      </c>
      <c r="L883" s="43">
        <f t="shared" si="67"/>
        <v>48.858502734652632</v>
      </c>
      <c r="M883" s="43">
        <f t="shared" si="68"/>
        <v>47.858502734652632</v>
      </c>
      <c r="N883" s="43">
        <f t="shared" si="69"/>
        <v>5.7963881615297765</v>
      </c>
      <c r="O883" s="1" t="str">
        <f t="shared" si="65"/>
        <v>Normal</v>
      </c>
      <c r="P883" s="51" t="str">
        <f>IF(Table4[[#This Row],[Sales]]&lt;=$B$3,"Normal","High Revenue")</f>
        <v>High Revenue</v>
      </c>
      <c r="Q883" s="51" t="str">
        <f>IF(Table4[[#This Row],[CTR]]&lt;=$B$4,"Normal","High CTR")</f>
        <v>Normal</v>
      </c>
      <c r="R883" s="51" t="str">
        <f>IF(Table4[[#This Row],[ROAS]]&lt;1,"Poor",IF(Table4[[#This Row],[ROAS]]&lt;3,"Average",IF(Table4[[#This Row],[ROAS]]&lt;5,"Good",
"Excellent")))</f>
        <v>Excellent</v>
      </c>
      <c r="S883" s="51" t="str">
        <f>IF(AND(Table4[[#This Row],[USD_Spend]]&gt;=$B$5,Table4[[#This Row],[Sales]]&lt;=$B$6),"Wasted Budget","Spend Justified")</f>
        <v>Spend Justified</v>
      </c>
      <c r="T883" s="51" t="str">
        <f>IF(AND(Table4[[#This Row],[Clicks]]&gt;=$B$7,Table4[[#This Row],[Sales]]&lt;=$B$6),"Poor Monetization","Normal Monitization")</f>
        <v>Normal Monitization</v>
      </c>
    </row>
    <row r="884" spans="1:20" x14ac:dyDescent="0.35">
      <c r="A884" s="38" t="s">
        <v>82</v>
      </c>
      <c r="B884" s="38" t="s">
        <v>48</v>
      </c>
      <c r="C884" s="38" t="s">
        <v>69</v>
      </c>
      <c r="D884" s="38" t="s">
        <v>51</v>
      </c>
      <c r="E884" s="38" t="s">
        <v>38</v>
      </c>
      <c r="F884" s="38">
        <v>3827.85</v>
      </c>
      <c r="G884" s="38">
        <v>591409</v>
      </c>
      <c r="H884" s="38">
        <v>2677</v>
      </c>
      <c r="I884" s="38">
        <v>242040.68</v>
      </c>
      <c r="J884" s="38">
        <v>55</v>
      </c>
      <c r="K884" s="39">
        <f t="shared" si="66"/>
        <v>4.5264782916729371E-3</v>
      </c>
      <c r="L884" s="40">
        <f t="shared" si="67"/>
        <v>63.231495487022741</v>
      </c>
      <c r="M884" s="40">
        <f t="shared" si="68"/>
        <v>62.231495487022741</v>
      </c>
      <c r="N884" s="40">
        <f t="shared" si="69"/>
        <v>90.41489727306687</v>
      </c>
      <c r="O884" s="1" t="str">
        <f t="shared" si="65"/>
        <v>Normal</v>
      </c>
      <c r="P884" s="51" t="str">
        <f>IF(Table4[[#This Row],[Sales]]&lt;=$B$3,"Normal","High Revenue")</f>
        <v>High Revenue</v>
      </c>
      <c r="Q884" s="51" t="str">
        <f>IF(Table4[[#This Row],[CTR]]&lt;=$B$4,"Normal","High CTR")</f>
        <v>Normal</v>
      </c>
      <c r="R884" s="51" t="str">
        <f>IF(Table4[[#This Row],[ROAS]]&lt;1,"Poor",IF(Table4[[#This Row],[ROAS]]&lt;3,"Average",IF(Table4[[#This Row],[ROAS]]&lt;5,"Good",
"Excellent")))</f>
        <v>Excellent</v>
      </c>
      <c r="S884" s="51" t="str">
        <f>IF(AND(Table4[[#This Row],[USD_Spend]]&gt;=$B$5,Table4[[#This Row],[Sales]]&lt;=$B$6),"Wasted Budget","Spend Justified")</f>
        <v>Spend Justified</v>
      </c>
      <c r="T884" s="51" t="str">
        <f>IF(AND(Table4[[#This Row],[Clicks]]&gt;=$B$7,Table4[[#This Row],[Sales]]&lt;=$B$6),"Poor Monetization","Normal Monitization")</f>
        <v>Normal Monitization</v>
      </c>
    </row>
    <row r="885" spans="1:20" x14ac:dyDescent="0.35">
      <c r="A885" s="41" t="s">
        <v>68</v>
      </c>
      <c r="B885" s="41" t="s">
        <v>28</v>
      </c>
      <c r="C885" s="41" t="s">
        <v>58</v>
      </c>
      <c r="D885" s="41" t="s">
        <v>21</v>
      </c>
      <c r="E885" s="41" t="s">
        <v>38</v>
      </c>
      <c r="F885" s="41">
        <v>8517.9699999999993</v>
      </c>
      <c r="G885" s="41">
        <v>523358</v>
      </c>
      <c r="H885" s="41">
        <v>5869</v>
      </c>
      <c r="I885" s="41">
        <v>36704.46</v>
      </c>
      <c r="J885" s="41">
        <v>55</v>
      </c>
      <c r="K885" s="42">
        <f t="shared" si="66"/>
        <v>1.1214121117858139E-2</v>
      </c>
      <c r="L885" s="43">
        <f t="shared" si="67"/>
        <v>4.3090619008989233</v>
      </c>
      <c r="M885" s="43">
        <f t="shared" si="68"/>
        <v>3.3090619008989233</v>
      </c>
      <c r="N885" s="43">
        <f t="shared" si="69"/>
        <v>6.253954677117056</v>
      </c>
      <c r="O885" s="1" t="str">
        <f t="shared" si="65"/>
        <v>Normal</v>
      </c>
      <c r="P885" s="51" t="str">
        <f>IF(Table4[[#This Row],[Sales]]&lt;=$B$3,"Normal","High Revenue")</f>
        <v>Normal</v>
      </c>
      <c r="Q885" s="51" t="str">
        <f>IF(Table4[[#This Row],[CTR]]&lt;=$B$4,"Normal","High CTR")</f>
        <v>Normal</v>
      </c>
      <c r="R885" s="51" t="str">
        <f>IF(Table4[[#This Row],[ROAS]]&lt;1,"Poor",IF(Table4[[#This Row],[ROAS]]&lt;3,"Average",IF(Table4[[#This Row],[ROAS]]&lt;5,"Good",
"Excellent")))</f>
        <v>Good</v>
      </c>
      <c r="S885" s="51" t="str">
        <f>IF(AND(Table4[[#This Row],[USD_Spend]]&gt;=$B$5,Table4[[#This Row],[Sales]]&lt;=$B$6),"Wasted Budget","Spend Justified")</f>
        <v>Wasted Budget</v>
      </c>
      <c r="T885" s="51" t="str">
        <f>IF(AND(Table4[[#This Row],[Clicks]]&gt;=$B$7,Table4[[#This Row],[Sales]]&lt;=$B$6),"Poor Monetization","Normal Monitization")</f>
        <v>Normal Monitization</v>
      </c>
    </row>
    <row r="886" spans="1:20" x14ac:dyDescent="0.35">
      <c r="A886" s="38" t="s">
        <v>18</v>
      </c>
      <c r="B886" s="38" t="s">
        <v>35</v>
      </c>
      <c r="C886" s="38" t="s">
        <v>58</v>
      </c>
      <c r="D886" s="38" t="s">
        <v>37</v>
      </c>
      <c r="E886" s="38" t="s">
        <v>30</v>
      </c>
      <c r="F886" s="38">
        <v>20086.14</v>
      </c>
      <c r="G886" s="38">
        <v>998464</v>
      </c>
      <c r="H886" s="38">
        <v>43822</v>
      </c>
      <c r="I886" s="38">
        <v>178980.29</v>
      </c>
      <c r="J886" s="38">
        <v>28</v>
      </c>
      <c r="K886" s="39">
        <f t="shared" si="66"/>
        <v>4.3889414140119223E-2</v>
      </c>
      <c r="L886" s="40">
        <f t="shared" si="67"/>
        <v>8.9106363890722662</v>
      </c>
      <c r="M886" s="40">
        <f t="shared" si="68"/>
        <v>7.9106363890722671</v>
      </c>
      <c r="N886" s="40">
        <f t="shared" si="69"/>
        <v>4.0842565378120579</v>
      </c>
      <c r="O886" s="1" t="str">
        <f t="shared" si="65"/>
        <v>Normal</v>
      </c>
      <c r="P886" s="51" t="str">
        <f>IF(Table4[[#This Row],[Sales]]&lt;=$B$3,"Normal","High Revenue")</f>
        <v>Normal</v>
      </c>
      <c r="Q886" s="51" t="str">
        <f>IF(Table4[[#This Row],[CTR]]&lt;=$B$4,"Normal","High CTR")</f>
        <v>Normal</v>
      </c>
      <c r="R886" s="51" t="str">
        <f>IF(Table4[[#This Row],[ROAS]]&lt;1,"Poor",IF(Table4[[#This Row],[ROAS]]&lt;3,"Average",IF(Table4[[#This Row],[ROAS]]&lt;5,"Good",
"Excellent")))</f>
        <v>Excellent</v>
      </c>
      <c r="S886" s="51" t="str">
        <f>IF(AND(Table4[[#This Row],[USD_Spend]]&gt;=$B$5,Table4[[#This Row],[Sales]]&lt;=$B$6),"Wasted Budget","Spend Justified")</f>
        <v>Spend Justified</v>
      </c>
      <c r="T886" s="51" t="str">
        <f>IF(AND(Table4[[#This Row],[Clicks]]&gt;=$B$7,Table4[[#This Row],[Sales]]&lt;=$B$6),"Poor Monetization","Normal Monitization")</f>
        <v>Normal Monitization</v>
      </c>
    </row>
    <row r="887" spans="1:20" x14ac:dyDescent="0.35">
      <c r="A887" s="41" t="s">
        <v>109</v>
      </c>
      <c r="B887" s="41" t="s">
        <v>35</v>
      </c>
      <c r="C887" s="41" t="s">
        <v>20</v>
      </c>
      <c r="D887" s="41" t="s">
        <v>51</v>
      </c>
      <c r="E887" s="41" t="s">
        <v>22</v>
      </c>
      <c r="F887" s="41">
        <v>997.18</v>
      </c>
      <c r="G887" s="41">
        <v>152514</v>
      </c>
      <c r="H887" s="41">
        <v>32593</v>
      </c>
      <c r="I887" s="41">
        <v>191757.05</v>
      </c>
      <c r="J887" s="41">
        <v>26</v>
      </c>
      <c r="K887" s="42">
        <f t="shared" si="66"/>
        <v>0.21370497134689276</v>
      </c>
      <c r="L887" s="43">
        <f t="shared" si="67"/>
        <v>192.29933412222468</v>
      </c>
      <c r="M887" s="43">
        <f t="shared" si="68"/>
        <v>191.29933412222468</v>
      </c>
      <c r="N887" s="43">
        <f t="shared" si="69"/>
        <v>5.8833814009143062</v>
      </c>
      <c r="O887" s="1" t="str">
        <f t="shared" si="65"/>
        <v>Normal</v>
      </c>
      <c r="P887" s="51" t="str">
        <f>IF(Table4[[#This Row],[Sales]]&lt;=$B$3,"Normal","High Revenue")</f>
        <v>Normal</v>
      </c>
      <c r="Q887" s="51" t="str">
        <f>IF(Table4[[#This Row],[CTR]]&lt;=$B$4,"Normal","High CTR")</f>
        <v>Normal</v>
      </c>
      <c r="R887" s="51" t="str">
        <f>IF(Table4[[#This Row],[ROAS]]&lt;1,"Poor",IF(Table4[[#This Row],[ROAS]]&lt;3,"Average",IF(Table4[[#This Row],[ROAS]]&lt;5,"Good",
"Excellent")))</f>
        <v>Excellent</v>
      </c>
      <c r="S887" s="51" t="str">
        <f>IF(AND(Table4[[#This Row],[USD_Spend]]&gt;=$B$5,Table4[[#This Row],[Sales]]&lt;=$B$6),"Wasted Budget","Spend Justified")</f>
        <v>Spend Justified</v>
      </c>
      <c r="T887" s="51" t="str">
        <f>IF(AND(Table4[[#This Row],[Clicks]]&gt;=$B$7,Table4[[#This Row],[Sales]]&lt;=$B$6),"Poor Monetization","Normal Monitization")</f>
        <v>Normal Monitization</v>
      </c>
    </row>
    <row r="888" spans="1:20" x14ac:dyDescent="0.35">
      <c r="A888" s="38" t="s">
        <v>77</v>
      </c>
      <c r="B888" s="38" t="s">
        <v>28</v>
      </c>
      <c r="C888" s="38" t="s">
        <v>36</v>
      </c>
      <c r="D888" s="38" t="s">
        <v>37</v>
      </c>
      <c r="E888" s="38" t="s">
        <v>22</v>
      </c>
      <c r="F888" s="38">
        <v>684.46</v>
      </c>
      <c r="G888" s="38">
        <v>461914</v>
      </c>
      <c r="H888" s="38">
        <v>29515</v>
      </c>
      <c r="I888" s="38">
        <v>141461.32999999999</v>
      </c>
      <c r="J888" s="38">
        <v>23</v>
      </c>
      <c r="K888" s="39">
        <f t="shared" si="66"/>
        <v>6.3897175664734129E-2</v>
      </c>
      <c r="L888" s="40">
        <f t="shared" si="67"/>
        <v>206.67581743272066</v>
      </c>
      <c r="M888" s="40">
        <f t="shared" si="68"/>
        <v>205.67581743272066</v>
      </c>
      <c r="N888" s="40">
        <f t="shared" si="69"/>
        <v>4.7928622734202939</v>
      </c>
      <c r="O888" s="1" t="str">
        <f t="shared" si="65"/>
        <v>Normal</v>
      </c>
      <c r="P888" s="51" t="str">
        <f>IF(Table4[[#This Row],[Sales]]&lt;=$B$3,"Normal","High Revenue")</f>
        <v>Normal</v>
      </c>
      <c r="Q888" s="51" t="str">
        <f>IF(Table4[[#This Row],[CTR]]&lt;=$B$4,"Normal","High CTR")</f>
        <v>Normal</v>
      </c>
      <c r="R888" s="51" t="str">
        <f>IF(Table4[[#This Row],[ROAS]]&lt;1,"Poor",IF(Table4[[#This Row],[ROAS]]&lt;3,"Average",IF(Table4[[#This Row],[ROAS]]&lt;5,"Good",
"Excellent")))</f>
        <v>Excellent</v>
      </c>
      <c r="S888" s="51" t="str">
        <f>IF(AND(Table4[[#This Row],[USD_Spend]]&gt;=$B$5,Table4[[#This Row],[Sales]]&lt;=$B$6),"Wasted Budget","Spend Justified")</f>
        <v>Spend Justified</v>
      </c>
      <c r="T888" s="51" t="str">
        <f>IF(AND(Table4[[#This Row],[Clicks]]&gt;=$B$7,Table4[[#This Row],[Sales]]&lt;=$B$6),"Poor Monetization","Normal Monitization")</f>
        <v>Normal Monitization</v>
      </c>
    </row>
    <row r="889" spans="1:20" x14ac:dyDescent="0.35">
      <c r="A889" s="41" t="s">
        <v>104</v>
      </c>
      <c r="B889" s="41" t="s">
        <v>35</v>
      </c>
      <c r="C889" s="41" t="s">
        <v>36</v>
      </c>
      <c r="D889" s="41" t="s">
        <v>43</v>
      </c>
      <c r="E889" s="41" t="s">
        <v>22</v>
      </c>
      <c r="F889" s="41">
        <v>24688.12</v>
      </c>
      <c r="G889" s="41">
        <v>835618</v>
      </c>
      <c r="H889" s="41">
        <v>5465</v>
      </c>
      <c r="I889" s="41">
        <v>133749.13</v>
      </c>
      <c r="J889" s="41">
        <v>21</v>
      </c>
      <c r="K889" s="42">
        <f t="shared" si="66"/>
        <v>6.5400697447876898E-3</v>
      </c>
      <c r="L889" s="43">
        <f t="shared" si="67"/>
        <v>5.4175502225361836</v>
      </c>
      <c r="M889" s="43">
        <f t="shared" si="68"/>
        <v>4.4175502225361836</v>
      </c>
      <c r="N889" s="43">
        <f t="shared" si="69"/>
        <v>24.473765782250688</v>
      </c>
      <c r="O889" s="1" t="str">
        <f t="shared" si="65"/>
        <v>Normal</v>
      </c>
      <c r="P889" s="51" t="str">
        <f>IF(Table4[[#This Row],[Sales]]&lt;=$B$3,"Normal","High Revenue")</f>
        <v>Normal</v>
      </c>
      <c r="Q889" s="51" t="str">
        <f>IF(Table4[[#This Row],[CTR]]&lt;=$B$4,"Normal","High CTR")</f>
        <v>Normal</v>
      </c>
      <c r="R889" s="51" t="str">
        <f>IF(Table4[[#This Row],[ROAS]]&lt;1,"Poor",IF(Table4[[#This Row],[ROAS]]&lt;3,"Average",IF(Table4[[#This Row],[ROAS]]&lt;5,"Good",
"Excellent")))</f>
        <v>Excellent</v>
      </c>
      <c r="S889" s="51" t="str">
        <f>IF(AND(Table4[[#This Row],[USD_Spend]]&gt;=$B$5,Table4[[#This Row],[Sales]]&lt;=$B$6),"Wasted Budget","Spend Justified")</f>
        <v>Spend Justified</v>
      </c>
      <c r="T889" s="51" t="str">
        <f>IF(AND(Table4[[#This Row],[Clicks]]&gt;=$B$7,Table4[[#This Row],[Sales]]&lt;=$B$6),"Poor Monetization","Normal Monitization")</f>
        <v>Normal Monitization</v>
      </c>
    </row>
    <row r="890" spans="1:20" x14ac:dyDescent="0.35">
      <c r="A890" s="38" t="s">
        <v>57</v>
      </c>
      <c r="B890" s="38" t="s">
        <v>35</v>
      </c>
      <c r="C890" s="38" t="s">
        <v>58</v>
      </c>
      <c r="D890" s="38" t="s">
        <v>59</v>
      </c>
      <c r="E890" s="38" t="s">
        <v>30</v>
      </c>
      <c r="F890" s="38">
        <v>1660.19</v>
      </c>
      <c r="G890" s="38">
        <v>515719</v>
      </c>
      <c r="H890" s="38">
        <v>24426</v>
      </c>
      <c r="I890" s="38">
        <v>157063.53</v>
      </c>
      <c r="J890" s="38">
        <v>60</v>
      </c>
      <c r="K890" s="39">
        <f t="shared" si="66"/>
        <v>4.7363001944857569E-2</v>
      </c>
      <c r="L890" s="40">
        <f t="shared" si="67"/>
        <v>94.605755967690442</v>
      </c>
      <c r="M890" s="40">
        <f t="shared" si="68"/>
        <v>93.605755967690442</v>
      </c>
      <c r="N890" s="40">
        <f t="shared" si="69"/>
        <v>6.4301780889216404</v>
      </c>
      <c r="O890" s="1" t="str">
        <f t="shared" si="65"/>
        <v>Normal</v>
      </c>
      <c r="P890" s="51" t="str">
        <f>IF(Table4[[#This Row],[Sales]]&lt;=$B$3,"Normal","High Revenue")</f>
        <v>Normal</v>
      </c>
      <c r="Q890" s="51" t="str">
        <f>IF(Table4[[#This Row],[CTR]]&lt;=$B$4,"Normal","High CTR")</f>
        <v>Normal</v>
      </c>
      <c r="R890" s="51" t="str">
        <f>IF(Table4[[#This Row],[ROAS]]&lt;1,"Poor",IF(Table4[[#This Row],[ROAS]]&lt;3,"Average",IF(Table4[[#This Row],[ROAS]]&lt;5,"Good",
"Excellent")))</f>
        <v>Excellent</v>
      </c>
      <c r="S890" s="51" t="str">
        <f>IF(AND(Table4[[#This Row],[USD_Spend]]&gt;=$B$5,Table4[[#This Row],[Sales]]&lt;=$B$6),"Wasted Budget","Spend Justified")</f>
        <v>Spend Justified</v>
      </c>
      <c r="T890" s="51" t="str">
        <f>IF(AND(Table4[[#This Row],[Clicks]]&gt;=$B$7,Table4[[#This Row],[Sales]]&lt;=$B$6),"Poor Monetization","Normal Monitization")</f>
        <v>Normal Monitization</v>
      </c>
    </row>
    <row r="891" spans="1:20" x14ac:dyDescent="0.35">
      <c r="A891" s="41" t="s">
        <v>94</v>
      </c>
      <c r="B891" s="41" t="s">
        <v>48</v>
      </c>
      <c r="C891" s="41" t="s">
        <v>29</v>
      </c>
      <c r="D891" s="41" t="s">
        <v>43</v>
      </c>
      <c r="E891" s="41" t="s">
        <v>38</v>
      </c>
      <c r="F891" s="41">
        <v>23769.87</v>
      </c>
      <c r="G891" s="41">
        <v>746677</v>
      </c>
      <c r="H891" s="41">
        <v>43697</v>
      </c>
      <c r="I891" s="41">
        <v>109633.37</v>
      </c>
      <c r="J891" s="41">
        <v>46</v>
      </c>
      <c r="K891" s="42">
        <f t="shared" si="66"/>
        <v>5.852195795504616E-2</v>
      </c>
      <c r="L891" s="43">
        <f t="shared" si="67"/>
        <v>4.612283113033433</v>
      </c>
      <c r="M891" s="43">
        <f t="shared" si="68"/>
        <v>3.612283113033433</v>
      </c>
      <c r="N891" s="43">
        <f t="shared" si="69"/>
        <v>2.5089450076664299</v>
      </c>
      <c r="O891" s="1" t="str">
        <f t="shared" si="65"/>
        <v>Normal</v>
      </c>
      <c r="P891" s="51" t="str">
        <f>IF(Table4[[#This Row],[Sales]]&lt;=$B$3,"Normal","High Revenue")</f>
        <v>Normal</v>
      </c>
      <c r="Q891" s="51" t="str">
        <f>IF(Table4[[#This Row],[CTR]]&lt;=$B$4,"Normal","High CTR")</f>
        <v>Normal</v>
      </c>
      <c r="R891" s="51" t="str">
        <f>IF(Table4[[#This Row],[ROAS]]&lt;1,"Poor",IF(Table4[[#This Row],[ROAS]]&lt;3,"Average",IF(Table4[[#This Row],[ROAS]]&lt;5,"Good",
"Excellent")))</f>
        <v>Good</v>
      </c>
      <c r="S891" s="51" t="str">
        <f>IF(AND(Table4[[#This Row],[USD_Spend]]&gt;=$B$5,Table4[[#This Row],[Sales]]&lt;=$B$6),"Wasted Budget","Spend Justified")</f>
        <v>Spend Justified</v>
      </c>
      <c r="T891" s="51" t="str">
        <f>IF(AND(Table4[[#This Row],[Clicks]]&gt;=$B$7,Table4[[#This Row],[Sales]]&lt;=$B$6),"Poor Monetization","Normal Monitization")</f>
        <v>Normal Monitization</v>
      </c>
    </row>
    <row r="892" spans="1:20" x14ac:dyDescent="0.35">
      <c r="A892" s="38" t="s">
        <v>114</v>
      </c>
      <c r="B892" s="38" t="s">
        <v>48</v>
      </c>
      <c r="C892" s="38" t="s">
        <v>20</v>
      </c>
      <c r="D892" s="38" t="s">
        <v>21</v>
      </c>
      <c r="E892" s="38" t="s">
        <v>30</v>
      </c>
      <c r="F892" s="38">
        <v>22175.68</v>
      </c>
      <c r="G892" s="38">
        <v>553842</v>
      </c>
      <c r="H892" s="38">
        <v>13892</v>
      </c>
      <c r="I892" s="38">
        <v>93713.95</v>
      </c>
      <c r="J892" s="38">
        <v>55</v>
      </c>
      <c r="K892" s="39">
        <f t="shared" si="66"/>
        <v>2.5082965900022028E-2</v>
      </c>
      <c r="L892" s="40">
        <f t="shared" si="67"/>
        <v>4.2259786396629098</v>
      </c>
      <c r="M892" s="40">
        <f t="shared" si="68"/>
        <v>3.2259786396629093</v>
      </c>
      <c r="N892" s="40">
        <f t="shared" si="69"/>
        <v>6.7458933198963429</v>
      </c>
      <c r="O892" s="1" t="str">
        <f t="shared" si="65"/>
        <v>Normal</v>
      </c>
      <c r="P892" s="51" t="str">
        <f>IF(Table4[[#This Row],[Sales]]&lt;=$B$3,"Normal","High Revenue")</f>
        <v>Normal</v>
      </c>
      <c r="Q892" s="51" t="str">
        <f>IF(Table4[[#This Row],[CTR]]&lt;=$B$4,"Normal","High CTR")</f>
        <v>Normal</v>
      </c>
      <c r="R892" s="51" t="str">
        <f>IF(Table4[[#This Row],[ROAS]]&lt;1,"Poor",IF(Table4[[#This Row],[ROAS]]&lt;3,"Average",IF(Table4[[#This Row],[ROAS]]&lt;5,"Good",
"Excellent")))</f>
        <v>Good</v>
      </c>
      <c r="S892" s="51" t="str">
        <f>IF(AND(Table4[[#This Row],[USD_Spend]]&gt;=$B$5,Table4[[#This Row],[Sales]]&lt;=$B$6),"Wasted Budget","Spend Justified")</f>
        <v>Spend Justified</v>
      </c>
      <c r="T892" s="51" t="str">
        <f>IF(AND(Table4[[#This Row],[Clicks]]&gt;=$B$7,Table4[[#This Row],[Sales]]&lt;=$B$6),"Poor Monetization","Normal Monitization")</f>
        <v>Normal Monitization</v>
      </c>
    </row>
    <row r="893" spans="1:20" x14ac:dyDescent="0.35">
      <c r="A893" s="41" t="s">
        <v>85</v>
      </c>
      <c r="B893" s="41" t="s">
        <v>19</v>
      </c>
      <c r="C893" s="41" t="s">
        <v>29</v>
      </c>
      <c r="D893" s="41" t="s">
        <v>43</v>
      </c>
      <c r="E893" s="41" t="s">
        <v>38</v>
      </c>
      <c r="F893" s="41">
        <v>58427.41</v>
      </c>
      <c r="G893" s="41">
        <v>114998</v>
      </c>
      <c r="H893" s="41">
        <v>16343</v>
      </c>
      <c r="I893" s="41">
        <v>165931.78</v>
      </c>
      <c r="J893" s="41">
        <v>43</v>
      </c>
      <c r="K893" s="42">
        <f t="shared" si="66"/>
        <v>0.14211551505243569</v>
      </c>
      <c r="L893" s="43">
        <f t="shared" si="67"/>
        <v>2.8399646672683247</v>
      </c>
      <c r="M893" s="43">
        <f t="shared" si="68"/>
        <v>1.8399646672683247</v>
      </c>
      <c r="N893" s="43">
        <f t="shared" si="69"/>
        <v>10.1530796059475</v>
      </c>
      <c r="O893" s="1" t="str">
        <f t="shared" si="65"/>
        <v>High Spend</v>
      </c>
      <c r="P893" s="51" t="str">
        <f>IF(Table4[[#This Row],[Sales]]&lt;=$B$3,"Normal","High Revenue")</f>
        <v>Normal</v>
      </c>
      <c r="Q893" s="51" t="str">
        <f>IF(Table4[[#This Row],[CTR]]&lt;=$B$4,"Normal","High CTR")</f>
        <v>Normal</v>
      </c>
      <c r="R893" s="51" t="str">
        <f>IF(Table4[[#This Row],[ROAS]]&lt;1,"Poor",IF(Table4[[#This Row],[ROAS]]&lt;3,"Average",IF(Table4[[#This Row],[ROAS]]&lt;5,"Good",
"Excellent")))</f>
        <v>Average</v>
      </c>
      <c r="S893" s="51" t="str">
        <f>IF(AND(Table4[[#This Row],[USD_Spend]]&gt;=$B$5,Table4[[#This Row],[Sales]]&lt;=$B$6),"Wasted Budget","Spend Justified")</f>
        <v>Spend Justified</v>
      </c>
      <c r="T893" s="51" t="str">
        <f>IF(AND(Table4[[#This Row],[Clicks]]&gt;=$B$7,Table4[[#This Row],[Sales]]&lt;=$B$6),"Poor Monetization","Normal Monitization")</f>
        <v>Normal Monitization</v>
      </c>
    </row>
    <row r="894" spans="1:20" x14ac:dyDescent="0.35">
      <c r="A894" s="38" t="s">
        <v>89</v>
      </c>
      <c r="B894" s="38" t="s">
        <v>28</v>
      </c>
      <c r="C894" s="38" t="s">
        <v>36</v>
      </c>
      <c r="D894" s="38" t="s">
        <v>63</v>
      </c>
      <c r="E894" s="38" t="s">
        <v>30</v>
      </c>
      <c r="F894" s="38">
        <v>5080.6899999999996</v>
      </c>
      <c r="G894" s="38">
        <v>364280</v>
      </c>
      <c r="H894" s="38">
        <v>9970</v>
      </c>
      <c r="I894" s="38">
        <v>13944.88</v>
      </c>
      <c r="J894" s="38">
        <v>37</v>
      </c>
      <c r="K894" s="39">
        <f t="shared" si="66"/>
        <v>2.7369056769517952E-2</v>
      </c>
      <c r="L894" s="40">
        <f t="shared" si="67"/>
        <v>2.7446823167719345</v>
      </c>
      <c r="M894" s="40">
        <f t="shared" si="68"/>
        <v>1.7446823167719343</v>
      </c>
      <c r="N894" s="40">
        <f t="shared" si="69"/>
        <v>1.3986840521564694</v>
      </c>
      <c r="O894" s="1" t="str">
        <f t="shared" si="65"/>
        <v>Normal</v>
      </c>
      <c r="P894" s="51" t="str">
        <f>IF(Table4[[#This Row],[Sales]]&lt;=$B$3,"Normal","High Revenue")</f>
        <v>Normal</v>
      </c>
      <c r="Q894" s="51" t="str">
        <f>IF(Table4[[#This Row],[CTR]]&lt;=$B$4,"Normal","High CTR")</f>
        <v>Normal</v>
      </c>
      <c r="R894" s="51" t="str">
        <f>IF(Table4[[#This Row],[ROAS]]&lt;1,"Poor",IF(Table4[[#This Row],[ROAS]]&lt;3,"Average",IF(Table4[[#This Row],[ROAS]]&lt;5,"Good",
"Excellent")))</f>
        <v>Average</v>
      </c>
      <c r="S894" s="51" t="str">
        <f>IF(AND(Table4[[#This Row],[USD_Spend]]&gt;=$B$5,Table4[[#This Row],[Sales]]&lt;=$B$6),"Wasted Budget","Spend Justified")</f>
        <v>Wasted Budget</v>
      </c>
      <c r="T894" s="51" t="str">
        <f>IF(AND(Table4[[#This Row],[Clicks]]&gt;=$B$7,Table4[[#This Row],[Sales]]&lt;=$B$6),"Poor Monetization","Normal Monitization")</f>
        <v>Normal Monitization</v>
      </c>
    </row>
    <row r="895" spans="1:20" x14ac:dyDescent="0.35">
      <c r="A895" s="41" t="s">
        <v>86</v>
      </c>
      <c r="B895" s="41" t="s">
        <v>48</v>
      </c>
      <c r="C895" s="41" t="s">
        <v>29</v>
      </c>
      <c r="D895" s="41" t="s">
        <v>63</v>
      </c>
      <c r="E895" s="41" t="s">
        <v>38</v>
      </c>
      <c r="F895" s="41">
        <v>2674.61</v>
      </c>
      <c r="G895" s="41">
        <v>425287</v>
      </c>
      <c r="H895" s="41">
        <v>47574</v>
      </c>
      <c r="I895" s="41">
        <v>144385.78</v>
      </c>
      <c r="J895" s="41">
        <v>6</v>
      </c>
      <c r="K895" s="42">
        <f t="shared" si="66"/>
        <v>0.11186328291248028</v>
      </c>
      <c r="L895" s="43">
        <f t="shared" si="67"/>
        <v>53.983863067886531</v>
      </c>
      <c r="M895" s="43">
        <f t="shared" si="68"/>
        <v>52.983863067886539</v>
      </c>
      <c r="N895" s="43">
        <f t="shared" si="69"/>
        <v>3.0349724639508975</v>
      </c>
      <c r="O895" s="1" t="str">
        <f t="shared" si="65"/>
        <v>Normal</v>
      </c>
      <c r="P895" s="51" t="str">
        <f>IF(Table4[[#This Row],[Sales]]&lt;=$B$3,"Normal","High Revenue")</f>
        <v>Normal</v>
      </c>
      <c r="Q895" s="51" t="str">
        <f>IF(Table4[[#This Row],[CTR]]&lt;=$B$4,"Normal","High CTR")</f>
        <v>Normal</v>
      </c>
      <c r="R895" s="51" t="str">
        <f>IF(Table4[[#This Row],[ROAS]]&lt;1,"Poor",IF(Table4[[#This Row],[ROAS]]&lt;3,"Average",IF(Table4[[#This Row],[ROAS]]&lt;5,"Good",
"Excellent")))</f>
        <v>Excellent</v>
      </c>
      <c r="S895" s="51" t="str">
        <f>IF(AND(Table4[[#This Row],[USD_Spend]]&gt;=$B$5,Table4[[#This Row],[Sales]]&lt;=$B$6),"Wasted Budget","Spend Justified")</f>
        <v>Spend Justified</v>
      </c>
      <c r="T895" s="51" t="str">
        <f>IF(AND(Table4[[#This Row],[Clicks]]&gt;=$B$7,Table4[[#This Row],[Sales]]&lt;=$B$6),"Poor Monetization","Normal Monitization")</f>
        <v>Normal Monitization</v>
      </c>
    </row>
    <row r="896" spans="1:20" x14ac:dyDescent="0.35">
      <c r="A896" s="38" t="s">
        <v>70</v>
      </c>
      <c r="B896" s="38" t="s">
        <v>48</v>
      </c>
      <c r="C896" s="38" t="s">
        <v>58</v>
      </c>
      <c r="D896" s="38" t="s">
        <v>51</v>
      </c>
      <c r="E896" s="38" t="s">
        <v>22</v>
      </c>
      <c r="F896" s="38">
        <v>12246.18</v>
      </c>
      <c r="G896" s="38">
        <v>474478</v>
      </c>
      <c r="H896" s="38">
        <v>16298</v>
      </c>
      <c r="I896" s="38">
        <v>185716.66</v>
      </c>
      <c r="J896" s="38">
        <v>51</v>
      </c>
      <c r="K896" s="39">
        <f t="shared" si="66"/>
        <v>3.4349327049936984E-2</v>
      </c>
      <c r="L896" s="40">
        <f t="shared" si="67"/>
        <v>15.165272762608421</v>
      </c>
      <c r="M896" s="40">
        <f t="shared" si="68"/>
        <v>14.165272762608422</v>
      </c>
      <c r="N896" s="40">
        <f t="shared" si="69"/>
        <v>11.395058289360659</v>
      </c>
      <c r="O896" s="1" t="str">
        <f t="shared" si="65"/>
        <v>Normal</v>
      </c>
      <c r="P896" s="51" t="str">
        <f>IF(Table4[[#This Row],[Sales]]&lt;=$B$3,"Normal","High Revenue")</f>
        <v>Normal</v>
      </c>
      <c r="Q896" s="51" t="str">
        <f>IF(Table4[[#This Row],[CTR]]&lt;=$B$4,"Normal","High CTR")</f>
        <v>Normal</v>
      </c>
      <c r="R896" s="51" t="str">
        <f>IF(Table4[[#This Row],[ROAS]]&lt;1,"Poor",IF(Table4[[#This Row],[ROAS]]&lt;3,"Average",IF(Table4[[#This Row],[ROAS]]&lt;5,"Good",
"Excellent")))</f>
        <v>Excellent</v>
      </c>
      <c r="S896" s="51" t="str">
        <f>IF(AND(Table4[[#This Row],[USD_Spend]]&gt;=$B$5,Table4[[#This Row],[Sales]]&lt;=$B$6),"Wasted Budget","Spend Justified")</f>
        <v>Spend Justified</v>
      </c>
      <c r="T896" s="51" t="str">
        <f>IF(AND(Table4[[#This Row],[Clicks]]&gt;=$B$7,Table4[[#This Row],[Sales]]&lt;=$B$6),"Poor Monetization","Normal Monitization")</f>
        <v>Normal Monitization</v>
      </c>
    </row>
    <row r="897" spans="1:20" x14ac:dyDescent="0.35">
      <c r="A897" s="41" t="s">
        <v>79</v>
      </c>
      <c r="B897" s="41" t="s">
        <v>48</v>
      </c>
      <c r="C897" s="41" t="s">
        <v>29</v>
      </c>
      <c r="D897" s="41" t="s">
        <v>63</v>
      </c>
      <c r="E897" s="41" t="s">
        <v>30</v>
      </c>
      <c r="F897" s="41">
        <v>24278.28</v>
      </c>
      <c r="G897" s="41">
        <v>68104</v>
      </c>
      <c r="H897" s="41">
        <v>8237</v>
      </c>
      <c r="I897" s="41">
        <v>131935.01999999999</v>
      </c>
      <c r="J897" s="41">
        <v>14</v>
      </c>
      <c r="K897" s="42">
        <f t="shared" si="66"/>
        <v>0.12094737460354751</v>
      </c>
      <c r="L897" s="43">
        <f t="shared" si="67"/>
        <v>5.4342820002075927</v>
      </c>
      <c r="M897" s="43">
        <f t="shared" si="68"/>
        <v>4.4342820002075927</v>
      </c>
      <c r="N897" s="43">
        <f t="shared" si="69"/>
        <v>16.017363117639917</v>
      </c>
      <c r="O897" s="1" t="str">
        <f t="shared" si="65"/>
        <v>Normal</v>
      </c>
      <c r="P897" s="51" t="str">
        <f>IF(Table4[[#This Row],[Sales]]&lt;=$B$3,"Normal","High Revenue")</f>
        <v>Normal</v>
      </c>
      <c r="Q897" s="51" t="str">
        <f>IF(Table4[[#This Row],[CTR]]&lt;=$B$4,"Normal","High CTR")</f>
        <v>Normal</v>
      </c>
      <c r="R897" s="51" t="str">
        <f>IF(Table4[[#This Row],[ROAS]]&lt;1,"Poor",IF(Table4[[#This Row],[ROAS]]&lt;3,"Average",IF(Table4[[#This Row],[ROAS]]&lt;5,"Good",
"Excellent")))</f>
        <v>Excellent</v>
      </c>
      <c r="S897" s="51" t="str">
        <f>IF(AND(Table4[[#This Row],[USD_Spend]]&gt;=$B$5,Table4[[#This Row],[Sales]]&lt;=$B$6),"Wasted Budget","Spend Justified")</f>
        <v>Spend Justified</v>
      </c>
      <c r="T897" s="51" t="str">
        <f>IF(AND(Table4[[#This Row],[Clicks]]&gt;=$B$7,Table4[[#This Row],[Sales]]&lt;=$B$6),"Poor Monetization","Normal Monitization")</f>
        <v>Normal Monitization</v>
      </c>
    </row>
    <row r="898" spans="1:20" x14ac:dyDescent="0.35">
      <c r="A898" s="38" t="s">
        <v>91</v>
      </c>
      <c r="B898" s="38" t="s">
        <v>35</v>
      </c>
      <c r="C898" s="38" t="s">
        <v>29</v>
      </c>
      <c r="D898" s="38" t="s">
        <v>43</v>
      </c>
      <c r="E898" s="38" t="s">
        <v>30</v>
      </c>
      <c r="F898" s="38">
        <v>4043.41</v>
      </c>
      <c r="G898" s="38">
        <v>342427</v>
      </c>
      <c r="H898" s="38">
        <v>42196</v>
      </c>
      <c r="I898" s="38">
        <v>23170.43</v>
      </c>
      <c r="J898" s="38">
        <v>32</v>
      </c>
      <c r="K898" s="39">
        <f t="shared" si="66"/>
        <v>0.12322626428406638</v>
      </c>
      <c r="L898" s="40">
        <f t="shared" si="67"/>
        <v>5.730418137166402</v>
      </c>
      <c r="M898" s="40">
        <f t="shared" si="68"/>
        <v>4.730418137166402</v>
      </c>
      <c r="N898" s="40">
        <f t="shared" si="69"/>
        <v>0.54911437103042948</v>
      </c>
      <c r="O898" s="1" t="str">
        <f t="shared" si="65"/>
        <v>Normal</v>
      </c>
      <c r="P898" s="51" t="str">
        <f>IF(Table4[[#This Row],[Sales]]&lt;=$B$3,"Normal","High Revenue")</f>
        <v>Normal</v>
      </c>
      <c r="Q898" s="51" t="str">
        <f>IF(Table4[[#This Row],[CTR]]&lt;=$B$4,"Normal","High CTR")</f>
        <v>Normal</v>
      </c>
      <c r="R898" s="51" t="str">
        <f>IF(Table4[[#This Row],[ROAS]]&lt;1,"Poor",IF(Table4[[#This Row],[ROAS]]&lt;3,"Average",IF(Table4[[#This Row],[ROAS]]&lt;5,"Good",
"Excellent")))</f>
        <v>Excellent</v>
      </c>
      <c r="S898" s="51" t="str">
        <f>IF(AND(Table4[[#This Row],[USD_Spend]]&gt;=$B$5,Table4[[#This Row],[Sales]]&lt;=$B$6),"Wasted Budget","Spend Justified")</f>
        <v>Spend Justified</v>
      </c>
      <c r="T898" s="51" t="str">
        <f>IF(AND(Table4[[#This Row],[Clicks]]&gt;=$B$7,Table4[[#This Row],[Sales]]&lt;=$B$6),"Poor Monetization","Normal Monitization")</f>
        <v>Poor Monetization</v>
      </c>
    </row>
    <row r="899" spans="1:20" x14ac:dyDescent="0.35">
      <c r="A899" s="41" t="s">
        <v>75</v>
      </c>
      <c r="B899" s="41" t="s">
        <v>35</v>
      </c>
      <c r="C899" s="41" t="s">
        <v>29</v>
      </c>
      <c r="D899" s="41" t="s">
        <v>37</v>
      </c>
      <c r="E899" s="41" t="s">
        <v>38</v>
      </c>
      <c r="F899" s="41">
        <v>706.82</v>
      </c>
      <c r="G899" s="41">
        <v>228337</v>
      </c>
      <c r="H899" s="41">
        <v>10778</v>
      </c>
      <c r="I899" s="41">
        <v>100183.21</v>
      </c>
      <c r="J899" s="41">
        <v>61</v>
      </c>
      <c r="K899" s="42">
        <f t="shared" si="66"/>
        <v>4.7202161717111113E-2</v>
      </c>
      <c r="L899" s="43">
        <f t="shared" si="67"/>
        <v>141.73793893777764</v>
      </c>
      <c r="M899" s="43">
        <f t="shared" si="68"/>
        <v>140.73793893777764</v>
      </c>
      <c r="N899" s="43">
        <f t="shared" si="69"/>
        <v>9.2951577287066254</v>
      </c>
      <c r="O899" s="1" t="str">
        <f t="shared" si="65"/>
        <v>Normal</v>
      </c>
      <c r="P899" s="51" t="str">
        <f>IF(Table4[[#This Row],[Sales]]&lt;=$B$3,"Normal","High Revenue")</f>
        <v>Normal</v>
      </c>
      <c r="Q899" s="51" t="str">
        <f>IF(Table4[[#This Row],[CTR]]&lt;=$B$4,"Normal","High CTR")</f>
        <v>Normal</v>
      </c>
      <c r="R899" s="51" t="str">
        <f>IF(Table4[[#This Row],[ROAS]]&lt;1,"Poor",IF(Table4[[#This Row],[ROAS]]&lt;3,"Average",IF(Table4[[#This Row],[ROAS]]&lt;5,"Good",
"Excellent")))</f>
        <v>Excellent</v>
      </c>
      <c r="S899" s="51" t="str">
        <f>IF(AND(Table4[[#This Row],[USD_Spend]]&gt;=$B$5,Table4[[#This Row],[Sales]]&lt;=$B$6),"Wasted Budget","Spend Justified")</f>
        <v>Spend Justified</v>
      </c>
      <c r="T899" s="51" t="str">
        <f>IF(AND(Table4[[#This Row],[Clicks]]&gt;=$B$7,Table4[[#This Row],[Sales]]&lt;=$B$6),"Poor Monetization","Normal Monitization")</f>
        <v>Normal Monitization</v>
      </c>
    </row>
    <row r="900" spans="1:20" x14ac:dyDescent="0.35">
      <c r="A900" s="38" t="s">
        <v>89</v>
      </c>
      <c r="B900" s="38" t="s">
        <v>19</v>
      </c>
      <c r="C900" s="38" t="s">
        <v>58</v>
      </c>
      <c r="D900" s="38" t="s">
        <v>21</v>
      </c>
      <c r="E900" s="38" t="s">
        <v>30</v>
      </c>
      <c r="F900" s="38">
        <v>22430.81</v>
      </c>
      <c r="G900" s="38">
        <v>522357</v>
      </c>
      <c r="H900" s="38">
        <v>41714</v>
      </c>
      <c r="I900" s="38">
        <v>173679.9</v>
      </c>
      <c r="J900" s="38">
        <v>54</v>
      </c>
      <c r="K900" s="39">
        <f t="shared" si="66"/>
        <v>7.9857262370371218E-2</v>
      </c>
      <c r="L900" s="40">
        <f t="shared" si="67"/>
        <v>7.7429169967558007</v>
      </c>
      <c r="M900" s="40">
        <f t="shared" si="68"/>
        <v>6.7429169967558007</v>
      </c>
      <c r="N900" s="40">
        <f t="shared" si="69"/>
        <v>4.1635877642997556</v>
      </c>
      <c r="O900" s="1" t="str">
        <f t="shared" si="65"/>
        <v>Normal</v>
      </c>
      <c r="P900" s="51" t="str">
        <f>IF(Table4[[#This Row],[Sales]]&lt;=$B$3,"Normal","High Revenue")</f>
        <v>Normal</v>
      </c>
      <c r="Q900" s="51" t="str">
        <f>IF(Table4[[#This Row],[CTR]]&lt;=$B$4,"Normal","High CTR")</f>
        <v>Normal</v>
      </c>
      <c r="R900" s="51" t="str">
        <f>IF(Table4[[#This Row],[ROAS]]&lt;1,"Poor",IF(Table4[[#This Row],[ROAS]]&lt;3,"Average",IF(Table4[[#This Row],[ROAS]]&lt;5,"Good",
"Excellent")))</f>
        <v>Excellent</v>
      </c>
      <c r="S900" s="51" t="str">
        <f>IF(AND(Table4[[#This Row],[USD_Spend]]&gt;=$B$5,Table4[[#This Row],[Sales]]&lt;=$B$6),"Wasted Budget","Spend Justified")</f>
        <v>Spend Justified</v>
      </c>
      <c r="T900" s="51" t="str">
        <f>IF(AND(Table4[[#This Row],[Clicks]]&gt;=$B$7,Table4[[#This Row],[Sales]]&lt;=$B$6),"Poor Monetization","Normal Monitization")</f>
        <v>Normal Monitization</v>
      </c>
    </row>
    <row r="901" spans="1:20" x14ac:dyDescent="0.35">
      <c r="A901" s="41" t="s">
        <v>105</v>
      </c>
      <c r="B901" s="41" t="s">
        <v>28</v>
      </c>
      <c r="C901" s="41" t="s">
        <v>36</v>
      </c>
      <c r="D901" s="41" t="s">
        <v>37</v>
      </c>
      <c r="E901" s="41" t="s">
        <v>30</v>
      </c>
      <c r="F901" s="41">
        <v>43961.279999999999</v>
      </c>
      <c r="G901" s="41">
        <v>120553</v>
      </c>
      <c r="H901" s="41">
        <v>11503</v>
      </c>
      <c r="I901" s="41">
        <v>183399.97</v>
      </c>
      <c r="J901" s="41">
        <v>57</v>
      </c>
      <c r="K901" s="42">
        <f t="shared" si="66"/>
        <v>9.5418612560450589E-2</v>
      </c>
      <c r="L901" s="43">
        <f t="shared" si="67"/>
        <v>4.1718523664461094</v>
      </c>
      <c r="M901" s="43">
        <f t="shared" si="68"/>
        <v>3.1718523664461089</v>
      </c>
      <c r="N901" s="43">
        <f t="shared" si="69"/>
        <v>15.943664261497</v>
      </c>
      <c r="O901" s="1" t="str">
        <f t="shared" si="65"/>
        <v>High Spend</v>
      </c>
      <c r="P901" s="51" t="str">
        <f>IF(Table4[[#This Row],[Sales]]&lt;=$B$3,"Normal","High Revenue")</f>
        <v>Normal</v>
      </c>
      <c r="Q901" s="51" t="str">
        <f>IF(Table4[[#This Row],[CTR]]&lt;=$B$4,"Normal","High CTR")</f>
        <v>Normal</v>
      </c>
      <c r="R901" s="51" t="str">
        <f>IF(Table4[[#This Row],[ROAS]]&lt;1,"Poor",IF(Table4[[#This Row],[ROAS]]&lt;3,"Average",IF(Table4[[#This Row],[ROAS]]&lt;5,"Good",
"Excellent")))</f>
        <v>Good</v>
      </c>
      <c r="S901" s="51" t="str">
        <f>IF(AND(Table4[[#This Row],[USD_Spend]]&gt;=$B$5,Table4[[#This Row],[Sales]]&lt;=$B$6),"Wasted Budget","Spend Justified")</f>
        <v>Spend Justified</v>
      </c>
      <c r="T901" s="51" t="str">
        <f>IF(AND(Table4[[#This Row],[Clicks]]&gt;=$B$7,Table4[[#This Row],[Sales]]&lt;=$B$6),"Poor Monetization","Normal Monitization")</f>
        <v>Normal Monitization</v>
      </c>
    </row>
    <row r="902" spans="1:20" x14ac:dyDescent="0.35">
      <c r="A902" s="38" t="s">
        <v>82</v>
      </c>
      <c r="B902" s="38" t="s">
        <v>28</v>
      </c>
      <c r="C902" s="38" t="s">
        <v>20</v>
      </c>
      <c r="D902" s="38" t="s">
        <v>37</v>
      </c>
      <c r="E902" s="38" t="s">
        <v>38</v>
      </c>
      <c r="F902" s="38">
        <v>43930.29</v>
      </c>
      <c r="G902" s="38">
        <v>86054</v>
      </c>
      <c r="H902" s="38">
        <v>24583</v>
      </c>
      <c r="I902" s="38">
        <v>177611.81</v>
      </c>
      <c r="J902" s="38">
        <v>13</v>
      </c>
      <c r="K902" s="39">
        <f t="shared" si="66"/>
        <v>0.2856694633602157</v>
      </c>
      <c r="L902" s="40">
        <f t="shared" si="67"/>
        <v>4.0430375032807655</v>
      </c>
      <c r="M902" s="40">
        <f t="shared" si="68"/>
        <v>3.0430375032807655</v>
      </c>
      <c r="N902" s="40">
        <f t="shared" si="69"/>
        <v>7.2249851523410484</v>
      </c>
      <c r="O902" s="1" t="str">
        <f t="shared" si="65"/>
        <v>High Spend</v>
      </c>
      <c r="P902" s="51" t="str">
        <f>IF(Table4[[#This Row],[Sales]]&lt;=$B$3,"Normal","High Revenue")</f>
        <v>Normal</v>
      </c>
      <c r="Q902" s="51" t="str">
        <f>IF(Table4[[#This Row],[CTR]]&lt;=$B$4,"Normal","High CTR")</f>
        <v>Normal</v>
      </c>
      <c r="R902" s="51" t="str">
        <f>IF(Table4[[#This Row],[ROAS]]&lt;1,"Poor",IF(Table4[[#This Row],[ROAS]]&lt;3,"Average",IF(Table4[[#This Row],[ROAS]]&lt;5,"Good",
"Excellent")))</f>
        <v>Good</v>
      </c>
      <c r="S902" s="51" t="str">
        <f>IF(AND(Table4[[#This Row],[USD_Spend]]&gt;=$B$5,Table4[[#This Row],[Sales]]&lt;=$B$6),"Wasted Budget","Spend Justified")</f>
        <v>Spend Justified</v>
      </c>
      <c r="T902" s="51" t="str">
        <f>IF(AND(Table4[[#This Row],[Clicks]]&gt;=$B$7,Table4[[#This Row],[Sales]]&lt;=$B$6),"Poor Monetization","Normal Monitization")</f>
        <v>Normal Monitization</v>
      </c>
    </row>
    <row r="903" spans="1:20" x14ac:dyDescent="0.35">
      <c r="A903" s="41" t="s">
        <v>68</v>
      </c>
      <c r="B903" s="41" t="s">
        <v>48</v>
      </c>
      <c r="C903" s="41" t="s">
        <v>58</v>
      </c>
      <c r="D903" s="41" t="s">
        <v>21</v>
      </c>
      <c r="E903" s="41" t="s">
        <v>38</v>
      </c>
      <c r="F903" s="41">
        <v>20711.16</v>
      </c>
      <c r="G903" s="41">
        <v>398368</v>
      </c>
      <c r="H903" s="41">
        <v>2946</v>
      </c>
      <c r="I903" s="41">
        <v>175922.49</v>
      </c>
      <c r="J903" s="41">
        <v>49</v>
      </c>
      <c r="K903" s="42">
        <f t="shared" si="66"/>
        <v>7.3951723029962247E-3</v>
      </c>
      <c r="L903" s="43">
        <f t="shared" si="67"/>
        <v>8.4940915912001067</v>
      </c>
      <c r="M903" s="43">
        <f t="shared" si="68"/>
        <v>7.4940915912001058</v>
      </c>
      <c r="N903" s="43">
        <f t="shared" si="69"/>
        <v>59.71571283095723</v>
      </c>
      <c r="O903" s="1" t="str">
        <f t="shared" si="65"/>
        <v>Normal</v>
      </c>
      <c r="P903" s="51" t="str">
        <f>IF(Table4[[#This Row],[Sales]]&lt;=$B$3,"Normal","High Revenue")</f>
        <v>Normal</v>
      </c>
      <c r="Q903" s="51" t="str">
        <f>IF(Table4[[#This Row],[CTR]]&lt;=$B$4,"Normal","High CTR")</f>
        <v>Normal</v>
      </c>
      <c r="R903" s="51" t="str">
        <f>IF(Table4[[#This Row],[ROAS]]&lt;1,"Poor",IF(Table4[[#This Row],[ROAS]]&lt;3,"Average",IF(Table4[[#This Row],[ROAS]]&lt;5,"Good",
"Excellent")))</f>
        <v>Excellent</v>
      </c>
      <c r="S903" s="51" t="str">
        <f>IF(AND(Table4[[#This Row],[USD_Spend]]&gt;=$B$5,Table4[[#This Row],[Sales]]&lt;=$B$6),"Wasted Budget","Spend Justified")</f>
        <v>Spend Justified</v>
      </c>
      <c r="T903" s="51" t="str">
        <f>IF(AND(Table4[[#This Row],[Clicks]]&gt;=$B$7,Table4[[#This Row],[Sales]]&lt;=$B$6),"Poor Monetization","Normal Monitization")</f>
        <v>Normal Monitization</v>
      </c>
    </row>
    <row r="904" spans="1:20" x14ac:dyDescent="0.35">
      <c r="A904" s="38" t="s">
        <v>77</v>
      </c>
      <c r="B904" s="38" t="s">
        <v>19</v>
      </c>
      <c r="C904" s="38" t="s">
        <v>58</v>
      </c>
      <c r="D904" s="38" t="s">
        <v>37</v>
      </c>
      <c r="E904" s="38" t="s">
        <v>38</v>
      </c>
      <c r="F904" s="38">
        <v>2309.4299999999998</v>
      </c>
      <c r="G904" s="38">
        <v>123054</v>
      </c>
      <c r="H904" s="38">
        <v>2249</v>
      </c>
      <c r="I904" s="38">
        <v>199298.52</v>
      </c>
      <c r="J904" s="38">
        <v>36</v>
      </c>
      <c r="K904" s="39">
        <f t="shared" si="66"/>
        <v>1.8276529003526908E-2</v>
      </c>
      <c r="L904" s="40">
        <f t="shared" si="67"/>
        <v>86.297709824502149</v>
      </c>
      <c r="M904" s="40">
        <f t="shared" si="68"/>
        <v>85.297709824502149</v>
      </c>
      <c r="N904" s="40">
        <f t="shared" si="69"/>
        <v>88.616505113383724</v>
      </c>
      <c r="O904" s="1" t="str">
        <f t="shared" si="65"/>
        <v>Normal</v>
      </c>
      <c r="P904" s="51" t="str">
        <f>IF(Table4[[#This Row],[Sales]]&lt;=$B$3,"Normal","High Revenue")</f>
        <v>Normal</v>
      </c>
      <c r="Q904" s="51" t="str">
        <f>IF(Table4[[#This Row],[CTR]]&lt;=$B$4,"Normal","High CTR")</f>
        <v>Normal</v>
      </c>
      <c r="R904" s="51" t="str">
        <f>IF(Table4[[#This Row],[ROAS]]&lt;1,"Poor",IF(Table4[[#This Row],[ROAS]]&lt;3,"Average",IF(Table4[[#This Row],[ROAS]]&lt;5,"Good",
"Excellent")))</f>
        <v>Excellent</v>
      </c>
      <c r="S904" s="51" t="str">
        <f>IF(AND(Table4[[#This Row],[USD_Spend]]&gt;=$B$5,Table4[[#This Row],[Sales]]&lt;=$B$6),"Wasted Budget","Spend Justified")</f>
        <v>Spend Justified</v>
      </c>
      <c r="T904" s="51" t="str">
        <f>IF(AND(Table4[[#This Row],[Clicks]]&gt;=$B$7,Table4[[#This Row],[Sales]]&lt;=$B$6),"Poor Monetization","Normal Monitization")</f>
        <v>Normal Monitization</v>
      </c>
    </row>
    <row r="905" spans="1:20" x14ac:dyDescent="0.35">
      <c r="A905" s="41" t="s">
        <v>70</v>
      </c>
      <c r="B905" s="41" t="s">
        <v>28</v>
      </c>
      <c r="C905" s="41" t="s">
        <v>69</v>
      </c>
      <c r="D905" s="41" t="s">
        <v>59</v>
      </c>
      <c r="E905" s="41" t="s">
        <v>30</v>
      </c>
      <c r="F905" s="41">
        <v>1156.0999999999999</v>
      </c>
      <c r="G905" s="41">
        <v>694578</v>
      </c>
      <c r="H905" s="41">
        <v>42065</v>
      </c>
      <c r="I905" s="41">
        <v>5212.57</v>
      </c>
      <c r="J905" s="41">
        <v>34</v>
      </c>
      <c r="K905" s="42">
        <f t="shared" si="66"/>
        <v>6.0561952725251882E-2</v>
      </c>
      <c r="L905" s="43">
        <f t="shared" si="67"/>
        <v>4.5087535680304471</v>
      </c>
      <c r="M905" s="43">
        <f t="shared" si="68"/>
        <v>3.5087535680304471</v>
      </c>
      <c r="N905" s="43">
        <f t="shared" si="69"/>
        <v>0.12391703316296207</v>
      </c>
      <c r="O905" s="1" t="str">
        <f t="shared" si="65"/>
        <v>Normal</v>
      </c>
      <c r="P905" s="51" t="str">
        <f>IF(Table4[[#This Row],[Sales]]&lt;=$B$3,"Normal","High Revenue")</f>
        <v>Normal</v>
      </c>
      <c r="Q905" s="51" t="str">
        <f>IF(Table4[[#This Row],[CTR]]&lt;=$B$4,"Normal","High CTR")</f>
        <v>Normal</v>
      </c>
      <c r="R905" s="51" t="str">
        <f>IF(Table4[[#This Row],[ROAS]]&lt;1,"Poor",IF(Table4[[#This Row],[ROAS]]&lt;3,"Average",IF(Table4[[#This Row],[ROAS]]&lt;5,"Good",
"Excellent")))</f>
        <v>Good</v>
      </c>
      <c r="S905" s="51" t="str">
        <f>IF(AND(Table4[[#This Row],[USD_Spend]]&gt;=$B$5,Table4[[#This Row],[Sales]]&lt;=$B$6),"Wasted Budget","Spend Justified")</f>
        <v>Spend Justified</v>
      </c>
      <c r="T905" s="51" t="str">
        <f>IF(AND(Table4[[#This Row],[Clicks]]&gt;=$B$7,Table4[[#This Row],[Sales]]&lt;=$B$6),"Poor Monetization","Normal Monitization")</f>
        <v>Poor Monetization</v>
      </c>
    </row>
    <row r="906" spans="1:20" x14ac:dyDescent="0.35">
      <c r="A906" s="38" t="s">
        <v>102</v>
      </c>
      <c r="B906" s="38" t="s">
        <v>35</v>
      </c>
      <c r="C906" s="38" t="s">
        <v>36</v>
      </c>
      <c r="D906" s="38" t="s">
        <v>37</v>
      </c>
      <c r="E906" s="38" t="s">
        <v>38</v>
      </c>
      <c r="F906" s="38">
        <v>27306.59</v>
      </c>
      <c r="G906" s="38">
        <v>644960</v>
      </c>
      <c r="H906" s="38">
        <v>17157</v>
      </c>
      <c r="I906" s="38">
        <v>199984.71</v>
      </c>
      <c r="J906" s="38">
        <v>32</v>
      </c>
      <c r="K906" s="39">
        <f t="shared" si="66"/>
        <v>2.660164971471099E-2</v>
      </c>
      <c r="L906" s="40">
        <f t="shared" si="67"/>
        <v>7.3236793755646525</v>
      </c>
      <c r="M906" s="40">
        <f t="shared" si="68"/>
        <v>6.3236793755646525</v>
      </c>
      <c r="N906" s="40">
        <f t="shared" si="69"/>
        <v>11.656158419304074</v>
      </c>
      <c r="O906" s="1" t="str">
        <f t="shared" ref="O906:O969" si="70">IF(F906&lt;=$B$2,"Normal","High Spend")</f>
        <v>Normal</v>
      </c>
      <c r="P906" s="51" t="str">
        <f>IF(Table4[[#This Row],[Sales]]&lt;=$B$3,"Normal","High Revenue")</f>
        <v>Normal</v>
      </c>
      <c r="Q906" s="51" t="str">
        <f>IF(Table4[[#This Row],[CTR]]&lt;=$B$4,"Normal","High CTR")</f>
        <v>Normal</v>
      </c>
      <c r="R906" s="51" t="str">
        <f>IF(Table4[[#This Row],[ROAS]]&lt;1,"Poor",IF(Table4[[#This Row],[ROAS]]&lt;3,"Average",IF(Table4[[#This Row],[ROAS]]&lt;5,"Good",
"Excellent")))</f>
        <v>Excellent</v>
      </c>
      <c r="S906" s="51" t="str">
        <f>IF(AND(Table4[[#This Row],[USD_Spend]]&gt;=$B$5,Table4[[#This Row],[Sales]]&lt;=$B$6),"Wasted Budget","Spend Justified")</f>
        <v>Spend Justified</v>
      </c>
      <c r="T906" s="51" t="str">
        <f>IF(AND(Table4[[#This Row],[Clicks]]&gt;=$B$7,Table4[[#This Row],[Sales]]&lt;=$B$6),"Poor Monetization","Normal Monitization")</f>
        <v>Normal Monitization</v>
      </c>
    </row>
    <row r="907" spans="1:20" x14ac:dyDescent="0.35">
      <c r="A907" s="41" t="s">
        <v>62</v>
      </c>
      <c r="B907" s="41" t="s">
        <v>28</v>
      </c>
      <c r="C907" s="41" t="s">
        <v>36</v>
      </c>
      <c r="D907" s="41" t="s">
        <v>37</v>
      </c>
      <c r="E907" s="41" t="s">
        <v>22</v>
      </c>
      <c r="F907" s="41">
        <v>7840.89</v>
      </c>
      <c r="G907" s="41">
        <v>296939</v>
      </c>
      <c r="H907" s="41">
        <v>746</v>
      </c>
      <c r="I907" s="41">
        <v>28996.98</v>
      </c>
      <c r="J907" s="41">
        <v>23</v>
      </c>
      <c r="K907" s="42">
        <f t="shared" ref="K907:K970" si="71">H907/G907</f>
        <v>2.5123005061645659E-3</v>
      </c>
      <c r="L907" s="43">
        <f t="shared" ref="L907:L970" si="72">I907/F907</f>
        <v>3.6981745694685166</v>
      </c>
      <c r="M907" s="43">
        <f t="shared" ref="M907:M970" si="73">(I907-F907)/F907</f>
        <v>2.6981745694685171</v>
      </c>
      <c r="N907" s="43">
        <f t="shared" ref="N907:N970" si="74">I907/H907</f>
        <v>38.869946380697051</v>
      </c>
      <c r="O907" s="1" t="str">
        <f t="shared" si="70"/>
        <v>Normal</v>
      </c>
      <c r="P907" s="51" t="str">
        <f>IF(Table4[[#This Row],[Sales]]&lt;=$B$3,"Normal","High Revenue")</f>
        <v>Normal</v>
      </c>
      <c r="Q907" s="51" t="str">
        <f>IF(Table4[[#This Row],[CTR]]&lt;=$B$4,"Normal","High CTR")</f>
        <v>Normal</v>
      </c>
      <c r="R907" s="51" t="str">
        <f>IF(Table4[[#This Row],[ROAS]]&lt;1,"Poor",IF(Table4[[#This Row],[ROAS]]&lt;3,"Average",IF(Table4[[#This Row],[ROAS]]&lt;5,"Good",
"Excellent")))</f>
        <v>Good</v>
      </c>
      <c r="S907" s="51" t="str">
        <f>IF(AND(Table4[[#This Row],[USD_Spend]]&gt;=$B$5,Table4[[#This Row],[Sales]]&lt;=$B$6),"Wasted Budget","Spend Justified")</f>
        <v>Wasted Budget</v>
      </c>
      <c r="T907" s="51" t="str">
        <f>IF(AND(Table4[[#This Row],[Clicks]]&gt;=$B$7,Table4[[#This Row],[Sales]]&lt;=$B$6),"Poor Monetization","Normal Monitization")</f>
        <v>Normal Monitization</v>
      </c>
    </row>
    <row r="908" spans="1:20" x14ac:dyDescent="0.35">
      <c r="A908" s="38" t="s">
        <v>78</v>
      </c>
      <c r="B908" s="38" t="s">
        <v>35</v>
      </c>
      <c r="C908" s="38" t="s">
        <v>58</v>
      </c>
      <c r="D908" s="38" t="s">
        <v>51</v>
      </c>
      <c r="E908" s="38" t="s">
        <v>38</v>
      </c>
      <c r="F908" s="38">
        <v>1040.99</v>
      </c>
      <c r="G908" s="38">
        <v>16658</v>
      </c>
      <c r="H908" s="38">
        <v>573</v>
      </c>
      <c r="I908" s="38">
        <v>48956.15</v>
      </c>
      <c r="J908" s="38">
        <v>16</v>
      </c>
      <c r="K908" s="39">
        <f t="shared" si="71"/>
        <v>3.4397886901188619E-2</v>
      </c>
      <c r="L908" s="40">
        <f t="shared" si="72"/>
        <v>47.028453683512808</v>
      </c>
      <c r="M908" s="40">
        <f t="shared" si="73"/>
        <v>46.028453683512815</v>
      </c>
      <c r="N908" s="40">
        <f t="shared" si="74"/>
        <v>85.43830715532286</v>
      </c>
      <c r="O908" s="1" t="str">
        <f t="shared" si="70"/>
        <v>Normal</v>
      </c>
      <c r="P908" s="51" t="str">
        <f>IF(Table4[[#This Row],[Sales]]&lt;=$B$3,"Normal","High Revenue")</f>
        <v>Normal</v>
      </c>
      <c r="Q908" s="51" t="str">
        <f>IF(Table4[[#This Row],[CTR]]&lt;=$B$4,"Normal","High CTR")</f>
        <v>Normal</v>
      </c>
      <c r="R908" s="51" t="str">
        <f>IF(Table4[[#This Row],[ROAS]]&lt;1,"Poor",IF(Table4[[#This Row],[ROAS]]&lt;3,"Average",IF(Table4[[#This Row],[ROAS]]&lt;5,"Good",
"Excellent")))</f>
        <v>Excellent</v>
      </c>
      <c r="S908" s="51" t="str">
        <f>IF(AND(Table4[[#This Row],[USD_Spend]]&gt;=$B$5,Table4[[#This Row],[Sales]]&lt;=$B$6),"Wasted Budget","Spend Justified")</f>
        <v>Spend Justified</v>
      </c>
      <c r="T908" s="51" t="str">
        <f>IF(AND(Table4[[#This Row],[Clicks]]&gt;=$B$7,Table4[[#This Row],[Sales]]&lt;=$B$6),"Poor Monetization","Normal Monitization")</f>
        <v>Normal Monitization</v>
      </c>
    </row>
    <row r="909" spans="1:20" x14ac:dyDescent="0.35">
      <c r="A909" s="41" t="s">
        <v>84</v>
      </c>
      <c r="B909" s="41" t="s">
        <v>48</v>
      </c>
      <c r="C909" s="41" t="s">
        <v>36</v>
      </c>
      <c r="D909" s="41" t="s">
        <v>21</v>
      </c>
      <c r="E909" s="41" t="s">
        <v>22</v>
      </c>
      <c r="F909" s="41">
        <v>11335.18</v>
      </c>
      <c r="G909" s="41">
        <v>739716</v>
      </c>
      <c r="H909" s="41">
        <v>34044</v>
      </c>
      <c r="I909" s="41">
        <v>118814.72</v>
      </c>
      <c r="J909" s="41">
        <v>33</v>
      </c>
      <c r="K909" s="42">
        <f t="shared" si="71"/>
        <v>4.6023068312703794E-2</v>
      </c>
      <c r="L909" s="43">
        <f t="shared" si="72"/>
        <v>10.481943824447429</v>
      </c>
      <c r="M909" s="43">
        <f t="shared" si="73"/>
        <v>9.4819438244474288</v>
      </c>
      <c r="N909" s="43">
        <f t="shared" si="74"/>
        <v>3.490034073551874</v>
      </c>
      <c r="O909" s="1" t="str">
        <f t="shared" si="70"/>
        <v>Normal</v>
      </c>
      <c r="P909" s="51" t="str">
        <f>IF(Table4[[#This Row],[Sales]]&lt;=$B$3,"Normal","High Revenue")</f>
        <v>Normal</v>
      </c>
      <c r="Q909" s="51" t="str">
        <f>IF(Table4[[#This Row],[CTR]]&lt;=$B$4,"Normal","High CTR")</f>
        <v>Normal</v>
      </c>
      <c r="R909" s="51" t="str">
        <f>IF(Table4[[#This Row],[ROAS]]&lt;1,"Poor",IF(Table4[[#This Row],[ROAS]]&lt;3,"Average",IF(Table4[[#This Row],[ROAS]]&lt;5,"Good",
"Excellent")))</f>
        <v>Excellent</v>
      </c>
      <c r="S909" s="51" t="str">
        <f>IF(AND(Table4[[#This Row],[USD_Spend]]&gt;=$B$5,Table4[[#This Row],[Sales]]&lt;=$B$6),"Wasted Budget","Spend Justified")</f>
        <v>Spend Justified</v>
      </c>
      <c r="T909" s="51" t="str">
        <f>IF(AND(Table4[[#This Row],[Clicks]]&gt;=$B$7,Table4[[#This Row],[Sales]]&lt;=$B$6),"Poor Monetization","Normal Monitization")</f>
        <v>Normal Monitization</v>
      </c>
    </row>
    <row r="910" spans="1:20" x14ac:dyDescent="0.35">
      <c r="A910" s="38" t="s">
        <v>50</v>
      </c>
      <c r="B910" s="38" t="s">
        <v>48</v>
      </c>
      <c r="C910" s="38" t="s">
        <v>20</v>
      </c>
      <c r="D910" s="38" t="s">
        <v>59</v>
      </c>
      <c r="E910" s="38" t="s">
        <v>22</v>
      </c>
      <c r="F910" s="38">
        <v>1432.07</v>
      </c>
      <c r="G910" s="38">
        <v>809484</v>
      </c>
      <c r="H910" s="38">
        <v>40206</v>
      </c>
      <c r="I910" s="38">
        <v>156151.89000000001</v>
      </c>
      <c r="J910" s="38">
        <v>18</v>
      </c>
      <c r="K910" s="39">
        <f t="shared" si="71"/>
        <v>4.9668677824391834E-2</v>
      </c>
      <c r="L910" s="40">
        <f t="shared" si="72"/>
        <v>109.03928578910251</v>
      </c>
      <c r="M910" s="40">
        <f t="shared" si="73"/>
        <v>108.03928578910249</v>
      </c>
      <c r="N910" s="40">
        <f t="shared" si="74"/>
        <v>3.8837957021340102</v>
      </c>
      <c r="O910" s="1" t="str">
        <f t="shared" si="70"/>
        <v>Normal</v>
      </c>
      <c r="P910" s="51" t="str">
        <f>IF(Table4[[#This Row],[Sales]]&lt;=$B$3,"Normal","High Revenue")</f>
        <v>Normal</v>
      </c>
      <c r="Q910" s="51" t="str">
        <f>IF(Table4[[#This Row],[CTR]]&lt;=$B$4,"Normal","High CTR")</f>
        <v>Normal</v>
      </c>
      <c r="R910" s="51" t="str">
        <f>IF(Table4[[#This Row],[ROAS]]&lt;1,"Poor",IF(Table4[[#This Row],[ROAS]]&lt;3,"Average",IF(Table4[[#This Row],[ROAS]]&lt;5,"Good",
"Excellent")))</f>
        <v>Excellent</v>
      </c>
      <c r="S910" s="51" t="str">
        <f>IF(AND(Table4[[#This Row],[USD_Spend]]&gt;=$B$5,Table4[[#This Row],[Sales]]&lt;=$B$6),"Wasted Budget","Spend Justified")</f>
        <v>Spend Justified</v>
      </c>
      <c r="T910" s="51" t="str">
        <f>IF(AND(Table4[[#This Row],[Clicks]]&gt;=$B$7,Table4[[#This Row],[Sales]]&lt;=$B$6),"Poor Monetization","Normal Monitization")</f>
        <v>Normal Monitization</v>
      </c>
    </row>
    <row r="911" spans="1:20" x14ac:dyDescent="0.35">
      <c r="A911" s="41" t="s">
        <v>27</v>
      </c>
      <c r="B911" s="41" t="s">
        <v>19</v>
      </c>
      <c r="C911" s="41" t="s">
        <v>36</v>
      </c>
      <c r="D911" s="41" t="s">
        <v>63</v>
      </c>
      <c r="E911" s="41" t="s">
        <v>38</v>
      </c>
      <c r="F911" s="41">
        <v>12086.03</v>
      </c>
      <c r="G911" s="41">
        <v>562436</v>
      </c>
      <c r="H911" s="41">
        <v>17633</v>
      </c>
      <c r="I911" s="41">
        <v>83120.44</v>
      </c>
      <c r="J911" s="41">
        <v>41</v>
      </c>
      <c r="K911" s="42">
        <f t="shared" si="71"/>
        <v>3.135112261661771E-2</v>
      </c>
      <c r="L911" s="43">
        <f t="shared" si="72"/>
        <v>6.8773981199781895</v>
      </c>
      <c r="M911" s="43">
        <f t="shared" si="73"/>
        <v>5.8773981199781895</v>
      </c>
      <c r="N911" s="43">
        <f t="shared" si="74"/>
        <v>4.7139136845687064</v>
      </c>
      <c r="O911" s="1" t="str">
        <f t="shared" si="70"/>
        <v>Normal</v>
      </c>
      <c r="P911" s="51" t="str">
        <f>IF(Table4[[#This Row],[Sales]]&lt;=$B$3,"Normal","High Revenue")</f>
        <v>Normal</v>
      </c>
      <c r="Q911" s="51" t="str">
        <f>IF(Table4[[#This Row],[CTR]]&lt;=$B$4,"Normal","High CTR")</f>
        <v>Normal</v>
      </c>
      <c r="R911" s="51" t="str">
        <f>IF(Table4[[#This Row],[ROAS]]&lt;1,"Poor",IF(Table4[[#This Row],[ROAS]]&lt;3,"Average",IF(Table4[[#This Row],[ROAS]]&lt;5,"Good",
"Excellent")))</f>
        <v>Excellent</v>
      </c>
      <c r="S911" s="51" t="str">
        <f>IF(AND(Table4[[#This Row],[USD_Spend]]&gt;=$B$5,Table4[[#This Row],[Sales]]&lt;=$B$6),"Wasted Budget","Spend Justified")</f>
        <v>Spend Justified</v>
      </c>
      <c r="T911" s="51" t="str">
        <f>IF(AND(Table4[[#This Row],[Clicks]]&gt;=$B$7,Table4[[#This Row],[Sales]]&lt;=$B$6),"Poor Monetization","Normal Monitization")</f>
        <v>Normal Monitization</v>
      </c>
    </row>
    <row r="912" spans="1:20" x14ac:dyDescent="0.35">
      <c r="A912" s="38" t="s">
        <v>78</v>
      </c>
      <c r="B912" s="38" t="s">
        <v>28</v>
      </c>
      <c r="C912" s="38" t="s">
        <v>20</v>
      </c>
      <c r="D912" s="38" t="s">
        <v>63</v>
      </c>
      <c r="E912" s="38" t="s">
        <v>38</v>
      </c>
      <c r="F912" s="38">
        <v>14924.52</v>
      </c>
      <c r="G912" s="38">
        <v>521174</v>
      </c>
      <c r="H912" s="38">
        <v>48368</v>
      </c>
      <c r="I912" s="38">
        <v>114497.88</v>
      </c>
      <c r="J912" s="38">
        <v>24</v>
      </c>
      <c r="K912" s="39">
        <f t="shared" si="71"/>
        <v>9.2805857544697168E-2</v>
      </c>
      <c r="L912" s="40">
        <f t="shared" si="72"/>
        <v>7.6717964798867904</v>
      </c>
      <c r="M912" s="40">
        <f t="shared" si="73"/>
        <v>6.6717964798867904</v>
      </c>
      <c r="N912" s="40">
        <f t="shared" si="74"/>
        <v>2.367223784320212</v>
      </c>
      <c r="O912" s="1" t="str">
        <f t="shared" si="70"/>
        <v>Normal</v>
      </c>
      <c r="P912" s="51" t="str">
        <f>IF(Table4[[#This Row],[Sales]]&lt;=$B$3,"Normal","High Revenue")</f>
        <v>Normal</v>
      </c>
      <c r="Q912" s="51" t="str">
        <f>IF(Table4[[#This Row],[CTR]]&lt;=$B$4,"Normal","High CTR")</f>
        <v>Normal</v>
      </c>
      <c r="R912" s="51" t="str">
        <f>IF(Table4[[#This Row],[ROAS]]&lt;1,"Poor",IF(Table4[[#This Row],[ROAS]]&lt;3,"Average",IF(Table4[[#This Row],[ROAS]]&lt;5,"Good",
"Excellent")))</f>
        <v>Excellent</v>
      </c>
      <c r="S912" s="51" t="str">
        <f>IF(AND(Table4[[#This Row],[USD_Spend]]&gt;=$B$5,Table4[[#This Row],[Sales]]&lt;=$B$6),"Wasted Budget","Spend Justified")</f>
        <v>Spend Justified</v>
      </c>
      <c r="T912" s="51" t="str">
        <f>IF(AND(Table4[[#This Row],[Clicks]]&gt;=$B$7,Table4[[#This Row],[Sales]]&lt;=$B$6),"Poor Monetization","Normal Monitization")</f>
        <v>Normal Monitization</v>
      </c>
    </row>
    <row r="913" spans="1:20" x14ac:dyDescent="0.35">
      <c r="A913" s="41" t="s">
        <v>70</v>
      </c>
      <c r="B913" s="41" t="s">
        <v>48</v>
      </c>
      <c r="C913" s="41" t="s">
        <v>20</v>
      </c>
      <c r="D913" s="41" t="s">
        <v>59</v>
      </c>
      <c r="E913" s="41" t="s">
        <v>22</v>
      </c>
      <c r="F913" s="41">
        <v>12319.07</v>
      </c>
      <c r="G913" s="41">
        <v>173459</v>
      </c>
      <c r="H913" s="41">
        <v>4032</v>
      </c>
      <c r="I913" s="41">
        <v>220883.5</v>
      </c>
      <c r="J913" s="41">
        <v>47</v>
      </c>
      <c r="K913" s="42">
        <f t="shared" si="71"/>
        <v>2.324468606414196E-2</v>
      </c>
      <c r="L913" s="43">
        <f t="shared" si="72"/>
        <v>17.930209017401477</v>
      </c>
      <c r="M913" s="43">
        <f t="shared" si="73"/>
        <v>16.930209017401477</v>
      </c>
      <c r="N913" s="43">
        <f t="shared" si="74"/>
        <v>54.782614087301589</v>
      </c>
      <c r="O913" s="1" t="str">
        <f t="shared" si="70"/>
        <v>Normal</v>
      </c>
      <c r="P913" s="51" t="str">
        <f>IF(Table4[[#This Row],[Sales]]&lt;=$B$3,"Normal","High Revenue")</f>
        <v>Normal</v>
      </c>
      <c r="Q913" s="51" t="str">
        <f>IF(Table4[[#This Row],[CTR]]&lt;=$B$4,"Normal","High CTR")</f>
        <v>Normal</v>
      </c>
      <c r="R913" s="51" t="str">
        <f>IF(Table4[[#This Row],[ROAS]]&lt;1,"Poor",IF(Table4[[#This Row],[ROAS]]&lt;3,"Average",IF(Table4[[#This Row],[ROAS]]&lt;5,"Good",
"Excellent")))</f>
        <v>Excellent</v>
      </c>
      <c r="S913" s="51" t="str">
        <f>IF(AND(Table4[[#This Row],[USD_Spend]]&gt;=$B$5,Table4[[#This Row],[Sales]]&lt;=$B$6),"Wasted Budget","Spend Justified")</f>
        <v>Spend Justified</v>
      </c>
      <c r="T913" s="51" t="str">
        <f>IF(AND(Table4[[#This Row],[Clicks]]&gt;=$B$7,Table4[[#This Row],[Sales]]&lt;=$B$6),"Poor Monetization","Normal Monitization")</f>
        <v>Normal Monitization</v>
      </c>
    </row>
    <row r="914" spans="1:20" x14ac:dyDescent="0.35">
      <c r="A914" s="38" t="s">
        <v>57</v>
      </c>
      <c r="B914" s="38" t="s">
        <v>48</v>
      </c>
      <c r="C914" s="38" t="s">
        <v>29</v>
      </c>
      <c r="D914" s="38" t="s">
        <v>63</v>
      </c>
      <c r="E914" s="38" t="s">
        <v>22</v>
      </c>
      <c r="F914" s="38">
        <v>11959.86</v>
      </c>
      <c r="G914" s="38">
        <v>775990</v>
      </c>
      <c r="H914" s="38">
        <v>36522</v>
      </c>
      <c r="I914" s="38">
        <v>167158.47</v>
      </c>
      <c r="J914" s="38">
        <v>56</v>
      </c>
      <c r="K914" s="39">
        <f t="shared" si="71"/>
        <v>4.7065039497931671E-2</v>
      </c>
      <c r="L914" s="40">
        <f t="shared" si="72"/>
        <v>13.976624308311301</v>
      </c>
      <c r="M914" s="40">
        <f t="shared" si="73"/>
        <v>12.976624308311299</v>
      </c>
      <c r="N914" s="40">
        <f t="shared" si="74"/>
        <v>4.5769254148184659</v>
      </c>
      <c r="O914" s="1" t="str">
        <f t="shared" si="70"/>
        <v>Normal</v>
      </c>
      <c r="P914" s="51" t="str">
        <f>IF(Table4[[#This Row],[Sales]]&lt;=$B$3,"Normal","High Revenue")</f>
        <v>Normal</v>
      </c>
      <c r="Q914" s="51" t="str">
        <f>IF(Table4[[#This Row],[CTR]]&lt;=$B$4,"Normal","High CTR")</f>
        <v>Normal</v>
      </c>
      <c r="R914" s="51" t="str">
        <f>IF(Table4[[#This Row],[ROAS]]&lt;1,"Poor",IF(Table4[[#This Row],[ROAS]]&lt;3,"Average",IF(Table4[[#This Row],[ROAS]]&lt;5,"Good",
"Excellent")))</f>
        <v>Excellent</v>
      </c>
      <c r="S914" s="51" t="str">
        <f>IF(AND(Table4[[#This Row],[USD_Spend]]&gt;=$B$5,Table4[[#This Row],[Sales]]&lt;=$B$6),"Wasted Budget","Spend Justified")</f>
        <v>Spend Justified</v>
      </c>
      <c r="T914" s="51" t="str">
        <f>IF(AND(Table4[[#This Row],[Clicks]]&gt;=$B$7,Table4[[#This Row],[Sales]]&lt;=$B$6),"Poor Monetization","Normal Monitization")</f>
        <v>Normal Monitization</v>
      </c>
    </row>
    <row r="915" spans="1:20" x14ac:dyDescent="0.35">
      <c r="A915" s="41" t="s">
        <v>77</v>
      </c>
      <c r="B915" s="41" t="s">
        <v>48</v>
      </c>
      <c r="C915" s="41" t="s">
        <v>58</v>
      </c>
      <c r="D915" s="41" t="s">
        <v>43</v>
      </c>
      <c r="E915" s="41" t="s">
        <v>30</v>
      </c>
      <c r="F915" s="41">
        <v>4505.1099999999997</v>
      </c>
      <c r="G915" s="41">
        <v>202800</v>
      </c>
      <c r="H915" s="41">
        <v>34218</v>
      </c>
      <c r="I915" s="41">
        <v>21703.23</v>
      </c>
      <c r="J915" s="41">
        <v>51</v>
      </c>
      <c r="K915" s="42">
        <f t="shared" si="71"/>
        <v>0.16872781065088757</v>
      </c>
      <c r="L915" s="43">
        <f t="shared" si="72"/>
        <v>4.8174694957503812</v>
      </c>
      <c r="M915" s="43">
        <f t="shared" si="73"/>
        <v>3.8174694957503812</v>
      </c>
      <c r="N915" s="43">
        <f t="shared" si="74"/>
        <v>0.63426354550236719</v>
      </c>
      <c r="O915" s="1" t="str">
        <f t="shared" si="70"/>
        <v>Normal</v>
      </c>
      <c r="P915" s="51" t="str">
        <f>IF(Table4[[#This Row],[Sales]]&lt;=$B$3,"Normal","High Revenue")</f>
        <v>Normal</v>
      </c>
      <c r="Q915" s="51" t="str">
        <f>IF(Table4[[#This Row],[CTR]]&lt;=$B$4,"Normal","High CTR")</f>
        <v>Normal</v>
      </c>
      <c r="R915" s="51" t="str">
        <f>IF(Table4[[#This Row],[ROAS]]&lt;1,"Poor",IF(Table4[[#This Row],[ROAS]]&lt;3,"Average",IF(Table4[[#This Row],[ROAS]]&lt;5,"Good",
"Excellent")))</f>
        <v>Good</v>
      </c>
      <c r="S915" s="51" t="str">
        <f>IF(AND(Table4[[#This Row],[USD_Spend]]&gt;=$B$5,Table4[[#This Row],[Sales]]&lt;=$B$6),"Wasted Budget","Spend Justified")</f>
        <v>Spend Justified</v>
      </c>
      <c r="T915" s="51" t="str">
        <f>IF(AND(Table4[[#This Row],[Clicks]]&gt;=$B$7,Table4[[#This Row],[Sales]]&lt;=$B$6),"Poor Monetization","Normal Monitization")</f>
        <v>Normal Monitization</v>
      </c>
    </row>
    <row r="916" spans="1:20" x14ac:dyDescent="0.35">
      <c r="A916" s="38" t="s">
        <v>82</v>
      </c>
      <c r="B916" s="38" t="s">
        <v>19</v>
      </c>
      <c r="C916" s="38" t="s">
        <v>20</v>
      </c>
      <c r="D916" s="38" t="s">
        <v>21</v>
      </c>
      <c r="E916" s="38" t="s">
        <v>22</v>
      </c>
      <c r="F916" s="38">
        <v>12012.59</v>
      </c>
      <c r="G916" s="38">
        <v>737851</v>
      </c>
      <c r="H916" s="38">
        <v>15576</v>
      </c>
      <c r="I916" s="38">
        <v>47405.94</v>
      </c>
      <c r="J916" s="38">
        <v>33</v>
      </c>
      <c r="K916" s="39">
        <f t="shared" si="71"/>
        <v>2.1109953093510749E-2</v>
      </c>
      <c r="L916" s="40">
        <f t="shared" si="72"/>
        <v>3.9463546162817513</v>
      </c>
      <c r="M916" s="40">
        <f t="shared" si="73"/>
        <v>2.9463546162817513</v>
      </c>
      <c r="N916" s="40">
        <f t="shared" si="74"/>
        <v>3.0435246533127889</v>
      </c>
      <c r="O916" s="1" t="str">
        <f t="shared" si="70"/>
        <v>Normal</v>
      </c>
      <c r="P916" s="51" t="str">
        <f>IF(Table4[[#This Row],[Sales]]&lt;=$B$3,"Normal","High Revenue")</f>
        <v>Normal</v>
      </c>
      <c r="Q916" s="51" t="str">
        <f>IF(Table4[[#This Row],[CTR]]&lt;=$B$4,"Normal","High CTR")</f>
        <v>Normal</v>
      </c>
      <c r="R916" s="51" t="str">
        <f>IF(Table4[[#This Row],[ROAS]]&lt;1,"Poor",IF(Table4[[#This Row],[ROAS]]&lt;3,"Average",IF(Table4[[#This Row],[ROAS]]&lt;5,"Good",
"Excellent")))</f>
        <v>Good</v>
      </c>
      <c r="S916" s="51" t="str">
        <f>IF(AND(Table4[[#This Row],[USD_Spend]]&gt;=$B$5,Table4[[#This Row],[Sales]]&lt;=$B$6),"Wasted Budget","Spend Justified")</f>
        <v>Wasted Budget</v>
      </c>
      <c r="T916" s="51" t="str">
        <f>IF(AND(Table4[[#This Row],[Clicks]]&gt;=$B$7,Table4[[#This Row],[Sales]]&lt;=$B$6),"Poor Monetization","Normal Monitization")</f>
        <v>Normal Monitization</v>
      </c>
    </row>
    <row r="917" spans="1:20" x14ac:dyDescent="0.35">
      <c r="A917" s="41" t="s">
        <v>34</v>
      </c>
      <c r="B917" s="41" t="s">
        <v>28</v>
      </c>
      <c r="C917" s="41" t="s">
        <v>29</v>
      </c>
      <c r="D917" s="41" t="s">
        <v>59</v>
      </c>
      <c r="E917" s="41" t="s">
        <v>38</v>
      </c>
      <c r="F917" s="41">
        <v>8398.73</v>
      </c>
      <c r="G917" s="41">
        <v>166466</v>
      </c>
      <c r="H917" s="41">
        <v>19753</v>
      </c>
      <c r="I917" s="41">
        <v>97232.75</v>
      </c>
      <c r="J917" s="41">
        <v>39</v>
      </c>
      <c r="K917" s="42">
        <f t="shared" si="71"/>
        <v>0.11866086768469238</v>
      </c>
      <c r="L917" s="43">
        <f t="shared" si="72"/>
        <v>11.577077724846495</v>
      </c>
      <c r="M917" s="43">
        <f t="shared" si="73"/>
        <v>10.577077724846495</v>
      </c>
      <c r="N917" s="43">
        <f t="shared" si="74"/>
        <v>4.9224295043790818</v>
      </c>
      <c r="O917" s="1" t="str">
        <f t="shared" si="70"/>
        <v>Normal</v>
      </c>
      <c r="P917" s="51" t="str">
        <f>IF(Table4[[#This Row],[Sales]]&lt;=$B$3,"Normal","High Revenue")</f>
        <v>Normal</v>
      </c>
      <c r="Q917" s="51" t="str">
        <f>IF(Table4[[#This Row],[CTR]]&lt;=$B$4,"Normal","High CTR")</f>
        <v>Normal</v>
      </c>
      <c r="R917" s="51" t="str">
        <f>IF(Table4[[#This Row],[ROAS]]&lt;1,"Poor",IF(Table4[[#This Row],[ROAS]]&lt;3,"Average",IF(Table4[[#This Row],[ROAS]]&lt;5,"Good",
"Excellent")))</f>
        <v>Excellent</v>
      </c>
      <c r="S917" s="51" t="str">
        <f>IF(AND(Table4[[#This Row],[USD_Spend]]&gt;=$B$5,Table4[[#This Row],[Sales]]&lt;=$B$6),"Wasted Budget","Spend Justified")</f>
        <v>Spend Justified</v>
      </c>
      <c r="T917" s="51" t="str">
        <f>IF(AND(Table4[[#This Row],[Clicks]]&gt;=$B$7,Table4[[#This Row],[Sales]]&lt;=$B$6),"Poor Monetization","Normal Monitization")</f>
        <v>Normal Monitization</v>
      </c>
    </row>
    <row r="918" spans="1:20" x14ac:dyDescent="0.35">
      <c r="A918" s="38" t="s">
        <v>114</v>
      </c>
      <c r="B918" s="38" t="s">
        <v>35</v>
      </c>
      <c r="C918" s="38" t="s">
        <v>29</v>
      </c>
      <c r="D918" s="38" t="s">
        <v>51</v>
      </c>
      <c r="E918" s="38" t="s">
        <v>38</v>
      </c>
      <c r="F918" s="38">
        <v>5897.91</v>
      </c>
      <c r="G918" s="38">
        <v>84814</v>
      </c>
      <c r="H918" s="38">
        <v>23708</v>
      </c>
      <c r="I918" s="38">
        <v>14378.94</v>
      </c>
      <c r="J918" s="38">
        <v>23</v>
      </c>
      <c r="K918" s="39">
        <f t="shared" si="71"/>
        <v>0.27952932298912914</v>
      </c>
      <c r="L918" s="40">
        <f t="shared" si="72"/>
        <v>2.4379720951998252</v>
      </c>
      <c r="M918" s="40">
        <f t="shared" si="73"/>
        <v>1.4379720951998252</v>
      </c>
      <c r="N918" s="40">
        <f t="shared" si="74"/>
        <v>0.60650160283448629</v>
      </c>
      <c r="O918" s="1" t="str">
        <f t="shared" si="70"/>
        <v>Normal</v>
      </c>
      <c r="P918" s="51" t="str">
        <f>IF(Table4[[#This Row],[Sales]]&lt;=$B$3,"Normal","High Revenue")</f>
        <v>Normal</v>
      </c>
      <c r="Q918" s="51" t="str">
        <f>IF(Table4[[#This Row],[CTR]]&lt;=$B$4,"Normal","High CTR")</f>
        <v>Normal</v>
      </c>
      <c r="R918" s="51" t="str">
        <f>IF(Table4[[#This Row],[ROAS]]&lt;1,"Poor",IF(Table4[[#This Row],[ROAS]]&lt;3,"Average",IF(Table4[[#This Row],[ROAS]]&lt;5,"Good",
"Excellent")))</f>
        <v>Average</v>
      </c>
      <c r="S918" s="51" t="str">
        <f>IF(AND(Table4[[#This Row],[USD_Spend]]&gt;=$B$5,Table4[[#This Row],[Sales]]&lt;=$B$6),"Wasted Budget","Spend Justified")</f>
        <v>Wasted Budget</v>
      </c>
      <c r="T918" s="51" t="str">
        <f>IF(AND(Table4[[#This Row],[Clicks]]&gt;=$B$7,Table4[[#This Row],[Sales]]&lt;=$B$6),"Poor Monetization","Normal Monitization")</f>
        <v>Normal Monitization</v>
      </c>
    </row>
    <row r="919" spans="1:20" x14ac:dyDescent="0.35">
      <c r="A919" s="41" t="s">
        <v>97</v>
      </c>
      <c r="B919" s="41" t="s">
        <v>35</v>
      </c>
      <c r="C919" s="41" t="s">
        <v>20</v>
      </c>
      <c r="D919" s="41" t="s">
        <v>59</v>
      </c>
      <c r="E919" s="41" t="s">
        <v>38</v>
      </c>
      <c r="F919" s="41">
        <v>2892.27</v>
      </c>
      <c r="G919" s="41">
        <v>109096</v>
      </c>
      <c r="H919" s="41">
        <v>36666</v>
      </c>
      <c r="I919" s="41">
        <v>171202.94</v>
      </c>
      <c r="J919" s="41">
        <v>46</v>
      </c>
      <c r="K919" s="42">
        <f t="shared" si="71"/>
        <v>0.33608931583192786</v>
      </c>
      <c r="L919" s="43">
        <f t="shared" si="72"/>
        <v>59.193277252815264</v>
      </c>
      <c r="M919" s="43">
        <f t="shared" si="73"/>
        <v>58.193277252815271</v>
      </c>
      <c r="N919" s="43">
        <f t="shared" si="74"/>
        <v>4.6692559864724812</v>
      </c>
      <c r="O919" s="1" t="str">
        <f t="shared" si="70"/>
        <v>Normal</v>
      </c>
      <c r="P919" s="51" t="str">
        <f>IF(Table4[[#This Row],[Sales]]&lt;=$B$3,"Normal","High Revenue")</f>
        <v>Normal</v>
      </c>
      <c r="Q919" s="51" t="str">
        <f>IF(Table4[[#This Row],[CTR]]&lt;=$B$4,"Normal","High CTR")</f>
        <v>Normal</v>
      </c>
      <c r="R919" s="51" t="str">
        <f>IF(Table4[[#This Row],[ROAS]]&lt;1,"Poor",IF(Table4[[#This Row],[ROAS]]&lt;3,"Average",IF(Table4[[#This Row],[ROAS]]&lt;5,"Good",
"Excellent")))</f>
        <v>Excellent</v>
      </c>
      <c r="S919" s="51" t="str">
        <f>IF(AND(Table4[[#This Row],[USD_Spend]]&gt;=$B$5,Table4[[#This Row],[Sales]]&lt;=$B$6),"Wasted Budget","Spend Justified")</f>
        <v>Spend Justified</v>
      </c>
      <c r="T919" s="51" t="str">
        <f>IF(AND(Table4[[#This Row],[Clicks]]&gt;=$B$7,Table4[[#This Row],[Sales]]&lt;=$B$6),"Poor Monetization","Normal Monitization")</f>
        <v>Normal Monitization</v>
      </c>
    </row>
    <row r="920" spans="1:20" x14ac:dyDescent="0.35">
      <c r="A920" s="38" t="s">
        <v>50</v>
      </c>
      <c r="B920" s="38" t="s">
        <v>48</v>
      </c>
      <c r="C920" s="38" t="s">
        <v>69</v>
      </c>
      <c r="D920" s="38" t="s">
        <v>37</v>
      </c>
      <c r="E920" s="38" t="s">
        <v>22</v>
      </c>
      <c r="F920" s="38">
        <v>86.25</v>
      </c>
      <c r="G920" s="38">
        <v>831533</v>
      </c>
      <c r="H920" s="38">
        <v>45369</v>
      </c>
      <c r="I920" s="38">
        <v>121441.32</v>
      </c>
      <c r="J920" s="38">
        <v>21</v>
      </c>
      <c r="K920" s="39">
        <f t="shared" si="71"/>
        <v>5.456067287768495E-2</v>
      </c>
      <c r="L920" s="40">
        <f t="shared" si="72"/>
        <v>1408.0153043478263</v>
      </c>
      <c r="M920" s="40">
        <f t="shared" si="73"/>
        <v>1407.0153043478263</v>
      </c>
      <c r="N920" s="40">
        <f t="shared" si="74"/>
        <v>2.676746677246578</v>
      </c>
      <c r="O920" s="1" t="str">
        <f t="shared" si="70"/>
        <v>Normal</v>
      </c>
      <c r="P920" s="51" t="str">
        <f>IF(Table4[[#This Row],[Sales]]&lt;=$B$3,"Normal","High Revenue")</f>
        <v>Normal</v>
      </c>
      <c r="Q920" s="51" t="str">
        <f>IF(Table4[[#This Row],[CTR]]&lt;=$B$4,"Normal","High CTR")</f>
        <v>Normal</v>
      </c>
      <c r="R920" s="51" t="str">
        <f>IF(Table4[[#This Row],[ROAS]]&lt;1,"Poor",IF(Table4[[#This Row],[ROAS]]&lt;3,"Average",IF(Table4[[#This Row],[ROAS]]&lt;5,"Good",
"Excellent")))</f>
        <v>Excellent</v>
      </c>
      <c r="S920" s="51" t="str">
        <f>IF(AND(Table4[[#This Row],[USD_Spend]]&gt;=$B$5,Table4[[#This Row],[Sales]]&lt;=$B$6),"Wasted Budget","Spend Justified")</f>
        <v>Spend Justified</v>
      </c>
      <c r="T920" s="51" t="str">
        <f>IF(AND(Table4[[#This Row],[Clicks]]&gt;=$B$7,Table4[[#This Row],[Sales]]&lt;=$B$6),"Poor Monetization","Normal Monitization")</f>
        <v>Normal Monitization</v>
      </c>
    </row>
    <row r="921" spans="1:20" x14ac:dyDescent="0.35">
      <c r="A921" s="41" t="s">
        <v>108</v>
      </c>
      <c r="B921" s="41" t="s">
        <v>28</v>
      </c>
      <c r="C921" s="41" t="s">
        <v>58</v>
      </c>
      <c r="D921" s="41" t="s">
        <v>43</v>
      </c>
      <c r="E921" s="41" t="s">
        <v>38</v>
      </c>
      <c r="F921" s="41">
        <v>26261.95</v>
      </c>
      <c r="G921" s="41">
        <v>194019</v>
      </c>
      <c r="H921" s="41">
        <v>40139</v>
      </c>
      <c r="I921" s="41">
        <v>214755.89</v>
      </c>
      <c r="J921" s="41">
        <v>24</v>
      </c>
      <c r="K921" s="42">
        <f t="shared" si="71"/>
        <v>0.20688180023605934</v>
      </c>
      <c r="L921" s="43">
        <f t="shared" si="72"/>
        <v>8.1774540732885406</v>
      </c>
      <c r="M921" s="43">
        <f t="shared" si="73"/>
        <v>7.1774540732885406</v>
      </c>
      <c r="N921" s="43">
        <f t="shared" si="74"/>
        <v>5.3503049403323457</v>
      </c>
      <c r="O921" s="1" t="str">
        <f t="shared" si="70"/>
        <v>Normal</v>
      </c>
      <c r="P921" s="51" t="str">
        <f>IF(Table4[[#This Row],[Sales]]&lt;=$B$3,"Normal","High Revenue")</f>
        <v>Normal</v>
      </c>
      <c r="Q921" s="51" t="str">
        <f>IF(Table4[[#This Row],[CTR]]&lt;=$B$4,"Normal","High CTR")</f>
        <v>Normal</v>
      </c>
      <c r="R921" s="51" t="str">
        <f>IF(Table4[[#This Row],[ROAS]]&lt;1,"Poor",IF(Table4[[#This Row],[ROAS]]&lt;3,"Average",IF(Table4[[#This Row],[ROAS]]&lt;5,"Good",
"Excellent")))</f>
        <v>Excellent</v>
      </c>
      <c r="S921" s="51" t="str">
        <f>IF(AND(Table4[[#This Row],[USD_Spend]]&gt;=$B$5,Table4[[#This Row],[Sales]]&lt;=$B$6),"Wasted Budget","Spend Justified")</f>
        <v>Spend Justified</v>
      </c>
      <c r="T921" s="51" t="str">
        <f>IF(AND(Table4[[#This Row],[Clicks]]&gt;=$B$7,Table4[[#This Row],[Sales]]&lt;=$B$6),"Poor Monetization","Normal Monitization")</f>
        <v>Normal Monitization</v>
      </c>
    </row>
    <row r="922" spans="1:20" x14ac:dyDescent="0.35">
      <c r="A922" s="38" t="s">
        <v>89</v>
      </c>
      <c r="B922" s="38" t="s">
        <v>48</v>
      </c>
      <c r="C922" s="38" t="s">
        <v>36</v>
      </c>
      <c r="D922" s="38" t="s">
        <v>63</v>
      </c>
      <c r="E922" s="38" t="s">
        <v>30</v>
      </c>
      <c r="F922" s="38">
        <v>1065.67</v>
      </c>
      <c r="G922" s="38">
        <v>35422</v>
      </c>
      <c r="H922" s="38">
        <v>15173</v>
      </c>
      <c r="I922" s="38">
        <v>159731.1</v>
      </c>
      <c r="J922" s="38">
        <v>37</v>
      </c>
      <c r="K922" s="39">
        <f t="shared" si="71"/>
        <v>0.42834961323471288</v>
      </c>
      <c r="L922" s="40">
        <f t="shared" si="72"/>
        <v>149.88795781057925</v>
      </c>
      <c r="M922" s="40">
        <f t="shared" si="73"/>
        <v>148.88795781057925</v>
      </c>
      <c r="N922" s="40">
        <f t="shared" si="74"/>
        <v>10.527324853357939</v>
      </c>
      <c r="O922" s="1" t="str">
        <f t="shared" si="70"/>
        <v>Normal</v>
      </c>
      <c r="P922" s="51" t="str">
        <f>IF(Table4[[#This Row],[Sales]]&lt;=$B$3,"Normal","High Revenue")</f>
        <v>Normal</v>
      </c>
      <c r="Q922" s="51" t="str">
        <f>IF(Table4[[#This Row],[CTR]]&lt;=$B$4,"Normal","High CTR")</f>
        <v>High CTR</v>
      </c>
      <c r="R922" s="51" t="str">
        <f>IF(Table4[[#This Row],[ROAS]]&lt;1,"Poor",IF(Table4[[#This Row],[ROAS]]&lt;3,"Average",IF(Table4[[#This Row],[ROAS]]&lt;5,"Good",
"Excellent")))</f>
        <v>Excellent</v>
      </c>
      <c r="S922" s="51" t="str">
        <f>IF(AND(Table4[[#This Row],[USD_Spend]]&gt;=$B$5,Table4[[#This Row],[Sales]]&lt;=$B$6),"Wasted Budget","Spend Justified")</f>
        <v>Spend Justified</v>
      </c>
      <c r="T922" s="51" t="str">
        <f>IF(AND(Table4[[#This Row],[Clicks]]&gt;=$B$7,Table4[[#This Row],[Sales]]&lt;=$B$6),"Poor Monetization","Normal Monitization")</f>
        <v>Normal Monitization</v>
      </c>
    </row>
    <row r="923" spans="1:20" x14ac:dyDescent="0.35">
      <c r="A923" s="41" t="s">
        <v>62</v>
      </c>
      <c r="B923" s="41" t="s">
        <v>19</v>
      </c>
      <c r="C923" s="41" t="s">
        <v>20</v>
      </c>
      <c r="D923" s="41" t="s">
        <v>51</v>
      </c>
      <c r="E923" s="41" t="s">
        <v>38</v>
      </c>
      <c r="F923" s="41">
        <v>796.04</v>
      </c>
      <c r="G923" s="41">
        <v>934879</v>
      </c>
      <c r="H923" s="41">
        <v>9207</v>
      </c>
      <c r="I923" s="41">
        <v>112775.18</v>
      </c>
      <c r="J923" s="41">
        <v>36</v>
      </c>
      <c r="K923" s="42">
        <f t="shared" si="71"/>
        <v>9.8483333137229529E-3</v>
      </c>
      <c r="L923" s="43">
        <f t="shared" si="72"/>
        <v>141.67024270137179</v>
      </c>
      <c r="M923" s="43">
        <f t="shared" si="73"/>
        <v>140.67024270137179</v>
      </c>
      <c r="N923" s="43">
        <f t="shared" si="74"/>
        <v>12.248851960464863</v>
      </c>
      <c r="O923" s="1" t="str">
        <f t="shared" si="70"/>
        <v>Normal</v>
      </c>
      <c r="P923" s="51" t="str">
        <f>IF(Table4[[#This Row],[Sales]]&lt;=$B$3,"Normal","High Revenue")</f>
        <v>Normal</v>
      </c>
      <c r="Q923" s="51" t="str">
        <f>IF(Table4[[#This Row],[CTR]]&lt;=$B$4,"Normal","High CTR")</f>
        <v>Normal</v>
      </c>
      <c r="R923" s="51" t="str">
        <f>IF(Table4[[#This Row],[ROAS]]&lt;1,"Poor",IF(Table4[[#This Row],[ROAS]]&lt;3,"Average",IF(Table4[[#This Row],[ROAS]]&lt;5,"Good",
"Excellent")))</f>
        <v>Excellent</v>
      </c>
      <c r="S923" s="51" t="str">
        <f>IF(AND(Table4[[#This Row],[USD_Spend]]&gt;=$B$5,Table4[[#This Row],[Sales]]&lt;=$B$6),"Wasted Budget","Spend Justified")</f>
        <v>Spend Justified</v>
      </c>
      <c r="T923" s="51" t="str">
        <f>IF(AND(Table4[[#This Row],[Clicks]]&gt;=$B$7,Table4[[#This Row],[Sales]]&lt;=$B$6),"Poor Monetization","Normal Monitization")</f>
        <v>Normal Monitization</v>
      </c>
    </row>
    <row r="924" spans="1:20" x14ac:dyDescent="0.35">
      <c r="A924" s="38" t="s">
        <v>55</v>
      </c>
      <c r="B924" s="38" t="s">
        <v>35</v>
      </c>
      <c r="C924" s="38" t="s">
        <v>36</v>
      </c>
      <c r="D924" s="38" t="s">
        <v>59</v>
      </c>
      <c r="E924" s="38" t="s">
        <v>30</v>
      </c>
      <c r="F924" s="38">
        <v>2870.16</v>
      </c>
      <c r="G924" s="38">
        <v>564718</v>
      </c>
      <c r="H924" s="38">
        <v>2764</v>
      </c>
      <c r="I924" s="38">
        <v>184903.58</v>
      </c>
      <c r="J924" s="38">
        <v>51</v>
      </c>
      <c r="K924" s="39">
        <f t="shared" si="71"/>
        <v>4.8944783059863507E-3</v>
      </c>
      <c r="L924" s="40">
        <f t="shared" si="72"/>
        <v>64.422742982969595</v>
      </c>
      <c r="M924" s="40">
        <f t="shared" si="73"/>
        <v>63.422742982969588</v>
      </c>
      <c r="N924" s="40">
        <f t="shared" si="74"/>
        <v>66.897098408104199</v>
      </c>
      <c r="O924" s="1" t="str">
        <f t="shared" si="70"/>
        <v>Normal</v>
      </c>
      <c r="P924" s="51" t="str">
        <f>IF(Table4[[#This Row],[Sales]]&lt;=$B$3,"Normal","High Revenue")</f>
        <v>Normal</v>
      </c>
      <c r="Q924" s="51" t="str">
        <f>IF(Table4[[#This Row],[CTR]]&lt;=$B$4,"Normal","High CTR")</f>
        <v>Normal</v>
      </c>
      <c r="R924" s="51" t="str">
        <f>IF(Table4[[#This Row],[ROAS]]&lt;1,"Poor",IF(Table4[[#This Row],[ROAS]]&lt;3,"Average",IF(Table4[[#This Row],[ROAS]]&lt;5,"Good",
"Excellent")))</f>
        <v>Excellent</v>
      </c>
      <c r="S924" s="51" t="str">
        <f>IF(AND(Table4[[#This Row],[USD_Spend]]&gt;=$B$5,Table4[[#This Row],[Sales]]&lt;=$B$6),"Wasted Budget","Spend Justified")</f>
        <v>Spend Justified</v>
      </c>
      <c r="T924" s="51" t="str">
        <f>IF(AND(Table4[[#This Row],[Clicks]]&gt;=$B$7,Table4[[#This Row],[Sales]]&lt;=$B$6),"Poor Monetization","Normal Monitization")</f>
        <v>Normal Monitization</v>
      </c>
    </row>
    <row r="925" spans="1:20" x14ac:dyDescent="0.35">
      <c r="A925" s="41" t="s">
        <v>81</v>
      </c>
      <c r="B925" s="41" t="s">
        <v>35</v>
      </c>
      <c r="C925" s="41" t="s">
        <v>36</v>
      </c>
      <c r="D925" s="41" t="s">
        <v>43</v>
      </c>
      <c r="E925" s="41" t="s">
        <v>30</v>
      </c>
      <c r="F925" s="41">
        <v>15387.23</v>
      </c>
      <c r="G925" s="41">
        <v>674845</v>
      </c>
      <c r="H925" s="41">
        <v>9542</v>
      </c>
      <c r="I925" s="41">
        <v>78023.839999999997</v>
      </c>
      <c r="J925" s="41">
        <v>57</v>
      </c>
      <c r="K925" s="42">
        <f t="shared" si="71"/>
        <v>1.4139543154353963E-2</v>
      </c>
      <c r="L925" s="43">
        <f t="shared" si="72"/>
        <v>5.0706878366021693</v>
      </c>
      <c r="M925" s="43">
        <f t="shared" si="73"/>
        <v>4.0706878366021693</v>
      </c>
      <c r="N925" s="43">
        <f t="shared" si="74"/>
        <v>8.1768853489834417</v>
      </c>
      <c r="O925" s="1" t="str">
        <f t="shared" si="70"/>
        <v>Normal</v>
      </c>
      <c r="P925" s="51" t="str">
        <f>IF(Table4[[#This Row],[Sales]]&lt;=$B$3,"Normal","High Revenue")</f>
        <v>Normal</v>
      </c>
      <c r="Q925" s="51" t="str">
        <f>IF(Table4[[#This Row],[CTR]]&lt;=$B$4,"Normal","High CTR")</f>
        <v>Normal</v>
      </c>
      <c r="R925" s="51" t="str">
        <f>IF(Table4[[#This Row],[ROAS]]&lt;1,"Poor",IF(Table4[[#This Row],[ROAS]]&lt;3,"Average",IF(Table4[[#This Row],[ROAS]]&lt;5,"Good",
"Excellent")))</f>
        <v>Excellent</v>
      </c>
      <c r="S925" s="51" t="str">
        <f>IF(AND(Table4[[#This Row],[USD_Spend]]&gt;=$B$5,Table4[[#This Row],[Sales]]&lt;=$B$6),"Wasted Budget","Spend Justified")</f>
        <v>Spend Justified</v>
      </c>
      <c r="T925" s="51" t="str">
        <f>IF(AND(Table4[[#This Row],[Clicks]]&gt;=$B$7,Table4[[#This Row],[Sales]]&lt;=$B$6),"Poor Monetization","Normal Monitization")</f>
        <v>Normal Monitization</v>
      </c>
    </row>
    <row r="926" spans="1:20" x14ac:dyDescent="0.35">
      <c r="A926" s="38" t="s">
        <v>87</v>
      </c>
      <c r="B926" s="38" t="s">
        <v>48</v>
      </c>
      <c r="C926" s="38" t="s">
        <v>58</v>
      </c>
      <c r="D926" s="38" t="s">
        <v>43</v>
      </c>
      <c r="E926" s="38" t="s">
        <v>38</v>
      </c>
      <c r="F926" s="38">
        <v>7384.74</v>
      </c>
      <c r="G926" s="38">
        <v>699237</v>
      </c>
      <c r="H926" s="38">
        <v>28420</v>
      </c>
      <c r="I926" s="38">
        <v>101917.68</v>
      </c>
      <c r="J926" s="38">
        <v>31</v>
      </c>
      <c r="K926" s="39">
        <f t="shared" si="71"/>
        <v>4.0644302289495553E-2</v>
      </c>
      <c r="L926" s="40">
        <f t="shared" si="72"/>
        <v>13.801119606106646</v>
      </c>
      <c r="M926" s="40">
        <f t="shared" si="73"/>
        <v>12.801119606106646</v>
      </c>
      <c r="N926" s="40">
        <f t="shared" si="74"/>
        <v>3.5861252638986625</v>
      </c>
      <c r="O926" s="1" t="str">
        <f t="shared" si="70"/>
        <v>Normal</v>
      </c>
      <c r="P926" s="51" t="str">
        <f>IF(Table4[[#This Row],[Sales]]&lt;=$B$3,"Normal","High Revenue")</f>
        <v>Normal</v>
      </c>
      <c r="Q926" s="51" t="str">
        <f>IF(Table4[[#This Row],[CTR]]&lt;=$B$4,"Normal","High CTR")</f>
        <v>Normal</v>
      </c>
      <c r="R926" s="51" t="str">
        <f>IF(Table4[[#This Row],[ROAS]]&lt;1,"Poor",IF(Table4[[#This Row],[ROAS]]&lt;3,"Average",IF(Table4[[#This Row],[ROAS]]&lt;5,"Good",
"Excellent")))</f>
        <v>Excellent</v>
      </c>
      <c r="S926" s="51" t="str">
        <f>IF(AND(Table4[[#This Row],[USD_Spend]]&gt;=$B$5,Table4[[#This Row],[Sales]]&lt;=$B$6),"Wasted Budget","Spend Justified")</f>
        <v>Spend Justified</v>
      </c>
      <c r="T926" s="51" t="str">
        <f>IF(AND(Table4[[#This Row],[Clicks]]&gt;=$B$7,Table4[[#This Row],[Sales]]&lt;=$B$6),"Poor Monetization","Normal Monitization")</f>
        <v>Normal Monitization</v>
      </c>
    </row>
    <row r="927" spans="1:20" x14ac:dyDescent="0.35">
      <c r="A927" s="41" t="s">
        <v>27</v>
      </c>
      <c r="B927" s="41" t="s">
        <v>35</v>
      </c>
      <c r="C927" s="41" t="s">
        <v>58</v>
      </c>
      <c r="D927" s="41" t="s">
        <v>21</v>
      </c>
      <c r="E927" s="41" t="s">
        <v>30</v>
      </c>
      <c r="F927" s="41">
        <v>19027.349999999999</v>
      </c>
      <c r="G927" s="41">
        <v>667667</v>
      </c>
      <c r="H927" s="41">
        <v>30287</v>
      </c>
      <c r="I927" s="41">
        <v>223554.29</v>
      </c>
      <c r="J927" s="41">
        <v>8</v>
      </c>
      <c r="K927" s="42">
        <f t="shared" si="71"/>
        <v>4.5362433668280744E-2</v>
      </c>
      <c r="L927" s="43">
        <f t="shared" si="72"/>
        <v>11.749102738952089</v>
      </c>
      <c r="M927" s="43">
        <f t="shared" si="73"/>
        <v>10.749102738952088</v>
      </c>
      <c r="N927" s="43">
        <f t="shared" si="74"/>
        <v>7.3811962228018624</v>
      </c>
      <c r="O927" s="1" t="str">
        <f t="shared" si="70"/>
        <v>Normal</v>
      </c>
      <c r="P927" s="51" t="str">
        <f>IF(Table4[[#This Row],[Sales]]&lt;=$B$3,"Normal","High Revenue")</f>
        <v>Normal</v>
      </c>
      <c r="Q927" s="51" t="str">
        <f>IF(Table4[[#This Row],[CTR]]&lt;=$B$4,"Normal","High CTR")</f>
        <v>Normal</v>
      </c>
      <c r="R927" s="51" t="str">
        <f>IF(Table4[[#This Row],[ROAS]]&lt;1,"Poor",IF(Table4[[#This Row],[ROAS]]&lt;3,"Average",IF(Table4[[#This Row],[ROAS]]&lt;5,"Good",
"Excellent")))</f>
        <v>Excellent</v>
      </c>
      <c r="S927" s="51" t="str">
        <f>IF(AND(Table4[[#This Row],[USD_Spend]]&gt;=$B$5,Table4[[#This Row],[Sales]]&lt;=$B$6),"Wasted Budget","Spend Justified")</f>
        <v>Spend Justified</v>
      </c>
      <c r="T927" s="51" t="str">
        <f>IF(AND(Table4[[#This Row],[Clicks]]&gt;=$B$7,Table4[[#This Row],[Sales]]&lt;=$B$6),"Poor Monetization","Normal Monitization")</f>
        <v>Normal Monitization</v>
      </c>
    </row>
    <row r="928" spans="1:20" x14ac:dyDescent="0.35">
      <c r="A928" s="38" t="s">
        <v>81</v>
      </c>
      <c r="B928" s="38" t="s">
        <v>28</v>
      </c>
      <c r="C928" s="38" t="s">
        <v>58</v>
      </c>
      <c r="D928" s="38" t="s">
        <v>59</v>
      </c>
      <c r="E928" s="38" t="s">
        <v>22</v>
      </c>
      <c r="F928" s="38">
        <v>28988.6</v>
      </c>
      <c r="G928" s="38">
        <v>584842</v>
      </c>
      <c r="H928" s="38">
        <v>24587</v>
      </c>
      <c r="I928" s="38">
        <v>51199.89</v>
      </c>
      <c r="J928" s="38">
        <v>24</v>
      </c>
      <c r="K928" s="39">
        <f t="shared" si="71"/>
        <v>4.2040414334127849E-2</v>
      </c>
      <c r="L928" s="40">
        <f t="shared" si="72"/>
        <v>1.7662077506330076</v>
      </c>
      <c r="M928" s="40">
        <f t="shared" si="73"/>
        <v>0.7662077506330075</v>
      </c>
      <c r="N928" s="40">
        <f t="shared" si="74"/>
        <v>2.0823967950542968</v>
      </c>
      <c r="O928" s="1" t="str">
        <f t="shared" si="70"/>
        <v>Normal</v>
      </c>
      <c r="P928" s="51" t="str">
        <f>IF(Table4[[#This Row],[Sales]]&lt;=$B$3,"Normal","High Revenue")</f>
        <v>Normal</v>
      </c>
      <c r="Q928" s="51" t="str">
        <f>IF(Table4[[#This Row],[CTR]]&lt;=$B$4,"Normal","High CTR")</f>
        <v>Normal</v>
      </c>
      <c r="R928" s="51" t="str">
        <f>IF(Table4[[#This Row],[ROAS]]&lt;1,"Poor",IF(Table4[[#This Row],[ROAS]]&lt;3,"Average",IF(Table4[[#This Row],[ROAS]]&lt;5,"Good",
"Excellent")))</f>
        <v>Average</v>
      </c>
      <c r="S928" s="51" t="str">
        <f>IF(AND(Table4[[#This Row],[USD_Spend]]&gt;=$B$5,Table4[[#This Row],[Sales]]&lt;=$B$6),"Wasted Budget","Spend Justified")</f>
        <v>Wasted Budget</v>
      </c>
      <c r="T928" s="51" t="str">
        <f>IF(AND(Table4[[#This Row],[Clicks]]&gt;=$B$7,Table4[[#This Row],[Sales]]&lt;=$B$6),"Poor Monetization","Normal Monitization")</f>
        <v>Normal Monitization</v>
      </c>
    </row>
    <row r="929" spans="1:20" x14ac:dyDescent="0.35">
      <c r="A929" s="41" t="s">
        <v>115</v>
      </c>
      <c r="B929" s="41" t="s">
        <v>35</v>
      </c>
      <c r="C929" s="41" t="s">
        <v>36</v>
      </c>
      <c r="D929" s="41" t="s">
        <v>51</v>
      </c>
      <c r="E929" s="41" t="s">
        <v>38</v>
      </c>
      <c r="F929" s="41">
        <v>788.9</v>
      </c>
      <c r="G929" s="41">
        <v>977693</v>
      </c>
      <c r="H929" s="41">
        <v>39266</v>
      </c>
      <c r="I929" s="41">
        <v>188609.19</v>
      </c>
      <c r="J929" s="41">
        <v>24</v>
      </c>
      <c r="K929" s="42">
        <f t="shared" si="71"/>
        <v>4.0161891309439673E-2</v>
      </c>
      <c r="L929" s="43">
        <f t="shared" si="72"/>
        <v>239.07870452528837</v>
      </c>
      <c r="M929" s="43">
        <f t="shared" si="73"/>
        <v>238.0787045252884</v>
      </c>
      <c r="N929" s="43">
        <f t="shared" si="74"/>
        <v>4.80337161921255</v>
      </c>
      <c r="O929" s="1" t="str">
        <f t="shared" si="70"/>
        <v>Normal</v>
      </c>
      <c r="P929" s="51" t="str">
        <f>IF(Table4[[#This Row],[Sales]]&lt;=$B$3,"Normal","High Revenue")</f>
        <v>Normal</v>
      </c>
      <c r="Q929" s="51" t="str">
        <f>IF(Table4[[#This Row],[CTR]]&lt;=$B$4,"Normal","High CTR")</f>
        <v>Normal</v>
      </c>
      <c r="R929" s="51" t="str">
        <f>IF(Table4[[#This Row],[ROAS]]&lt;1,"Poor",IF(Table4[[#This Row],[ROAS]]&lt;3,"Average",IF(Table4[[#This Row],[ROAS]]&lt;5,"Good",
"Excellent")))</f>
        <v>Excellent</v>
      </c>
      <c r="S929" s="51" t="str">
        <f>IF(AND(Table4[[#This Row],[USD_Spend]]&gt;=$B$5,Table4[[#This Row],[Sales]]&lt;=$B$6),"Wasted Budget","Spend Justified")</f>
        <v>Spend Justified</v>
      </c>
      <c r="T929" s="51" t="str">
        <f>IF(AND(Table4[[#This Row],[Clicks]]&gt;=$B$7,Table4[[#This Row],[Sales]]&lt;=$B$6),"Poor Monetization","Normal Monitization")</f>
        <v>Normal Monitization</v>
      </c>
    </row>
    <row r="930" spans="1:20" x14ac:dyDescent="0.35">
      <c r="A930" s="38" t="s">
        <v>71</v>
      </c>
      <c r="B930" s="38" t="s">
        <v>48</v>
      </c>
      <c r="C930" s="38" t="s">
        <v>20</v>
      </c>
      <c r="D930" s="38" t="s">
        <v>63</v>
      </c>
      <c r="E930" s="38" t="s">
        <v>22</v>
      </c>
      <c r="F930" s="38">
        <v>6648.87</v>
      </c>
      <c r="G930" s="38">
        <v>148205</v>
      </c>
      <c r="H930" s="38">
        <v>1073</v>
      </c>
      <c r="I930" s="38">
        <v>92769.36</v>
      </c>
      <c r="J930" s="38">
        <v>17</v>
      </c>
      <c r="K930" s="39">
        <f t="shared" si="71"/>
        <v>7.2399716608751389E-3</v>
      </c>
      <c r="L930" s="40">
        <f t="shared" si="72"/>
        <v>13.95265060077878</v>
      </c>
      <c r="M930" s="40">
        <f t="shared" si="73"/>
        <v>12.95265060077878</v>
      </c>
      <c r="N930" s="40">
        <f t="shared" si="74"/>
        <v>86.457931034482755</v>
      </c>
      <c r="O930" s="1" t="str">
        <f t="shared" si="70"/>
        <v>Normal</v>
      </c>
      <c r="P930" s="51" t="str">
        <f>IF(Table4[[#This Row],[Sales]]&lt;=$B$3,"Normal","High Revenue")</f>
        <v>Normal</v>
      </c>
      <c r="Q930" s="51" t="str">
        <f>IF(Table4[[#This Row],[CTR]]&lt;=$B$4,"Normal","High CTR")</f>
        <v>Normal</v>
      </c>
      <c r="R930" s="51" t="str">
        <f>IF(Table4[[#This Row],[ROAS]]&lt;1,"Poor",IF(Table4[[#This Row],[ROAS]]&lt;3,"Average",IF(Table4[[#This Row],[ROAS]]&lt;5,"Good",
"Excellent")))</f>
        <v>Excellent</v>
      </c>
      <c r="S930" s="51" t="str">
        <f>IF(AND(Table4[[#This Row],[USD_Spend]]&gt;=$B$5,Table4[[#This Row],[Sales]]&lt;=$B$6),"Wasted Budget","Spend Justified")</f>
        <v>Spend Justified</v>
      </c>
      <c r="T930" s="51" t="str">
        <f>IF(AND(Table4[[#This Row],[Clicks]]&gt;=$B$7,Table4[[#This Row],[Sales]]&lt;=$B$6),"Poor Monetization","Normal Monitization")</f>
        <v>Normal Monitization</v>
      </c>
    </row>
    <row r="931" spans="1:20" x14ac:dyDescent="0.35">
      <c r="A931" s="41" t="s">
        <v>83</v>
      </c>
      <c r="B931" s="41" t="s">
        <v>48</v>
      </c>
      <c r="C931" s="41" t="s">
        <v>69</v>
      </c>
      <c r="D931" s="41" t="s">
        <v>37</v>
      </c>
      <c r="E931" s="41" t="s">
        <v>38</v>
      </c>
      <c r="F931" s="41">
        <v>9124.06</v>
      </c>
      <c r="G931" s="41">
        <v>571671</v>
      </c>
      <c r="H931" s="41">
        <v>737</v>
      </c>
      <c r="I931" s="41">
        <v>176700.55</v>
      </c>
      <c r="J931" s="41">
        <v>26</v>
      </c>
      <c r="K931" s="42">
        <f t="shared" si="71"/>
        <v>1.2892030556036602E-3</v>
      </c>
      <c r="L931" s="43">
        <f t="shared" si="72"/>
        <v>19.366438844111066</v>
      </c>
      <c r="M931" s="43">
        <f t="shared" si="73"/>
        <v>18.366438844111066</v>
      </c>
      <c r="N931" s="43">
        <f t="shared" si="74"/>
        <v>239.75651289009497</v>
      </c>
      <c r="O931" s="1" t="str">
        <f t="shared" si="70"/>
        <v>Normal</v>
      </c>
      <c r="P931" s="51" t="str">
        <f>IF(Table4[[#This Row],[Sales]]&lt;=$B$3,"Normal","High Revenue")</f>
        <v>Normal</v>
      </c>
      <c r="Q931" s="51" t="str">
        <f>IF(Table4[[#This Row],[CTR]]&lt;=$B$4,"Normal","High CTR")</f>
        <v>Normal</v>
      </c>
      <c r="R931" s="51" t="str">
        <f>IF(Table4[[#This Row],[ROAS]]&lt;1,"Poor",IF(Table4[[#This Row],[ROAS]]&lt;3,"Average",IF(Table4[[#This Row],[ROAS]]&lt;5,"Good",
"Excellent")))</f>
        <v>Excellent</v>
      </c>
      <c r="S931" s="51" t="str">
        <f>IF(AND(Table4[[#This Row],[USD_Spend]]&gt;=$B$5,Table4[[#This Row],[Sales]]&lt;=$B$6),"Wasted Budget","Spend Justified")</f>
        <v>Spend Justified</v>
      </c>
      <c r="T931" s="51" t="str">
        <f>IF(AND(Table4[[#This Row],[Clicks]]&gt;=$B$7,Table4[[#This Row],[Sales]]&lt;=$B$6),"Poor Monetization","Normal Monitization")</f>
        <v>Normal Monitization</v>
      </c>
    </row>
    <row r="932" spans="1:20" x14ac:dyDescent="0.35">
      <c r="A932" s="38" t="s">
        <v>120</v>
      </c>
      <c r="B932" s="38" t="s">
        <v>19</v>
      </c>
      <c r="C932" s="38" t="s">
        <v>36</v>
      </c>
      <c r="D932" s="38" t="s">
        <v>43</v>
      </c>
      <c r="E932" s="38" t="s">
        <v>22</v>
      </c>
      <c r="F932" s="38">
        <v>18454.12</v>
      </c>
      <c r="G932" s="38">
        <v>236088</v>
      </c>
      <c r="H932" s="38">
        <v>36338</v>
      </c>
      <c r="I932" s="38">
        <v>184666.92</v>
      </c>
      <c r="J932" s="38">
        <v>16</v>
      </c>
      <c r="K932" s="39">
        <f t="shared" si="71"/>
        <v>0.15391718342313035</v>
      </c>
      <c r="L932" s="40">
        <f t="shared" si="72"/>
        <v>10.006812570851388</v>
      </c>
      <c r="M932" s="40">
        <f t="shared" si="73"/>
        <v>9.0068125708513893</v>
      </c>
      <c r="N932" s="40">
        <f t="shared" si="74"/>
        <v>5.0819230557543067</v>
      </c>
      <c r="O932" s="1" t="str">
        <f t="shared" si="70"/>
        <v>Normal</v>
      </c>
      <c r="P932" s="51" t="str">
        <f>IF(Table4[[#This Row],[Sales]]&lt;=$B$3,"Normal","High Revenue")</f>
        <v>Normal</v>
      </c>
      <c r="Q932" s="51" t="str">
        <f>IF(Table4[[#This Row],[CTR]]&lt;=$B$4,"Normal","High CTR")</f>
        <v>Normal</v>
      </c>
      <c r="R932" s="51" t="str">
        <f>IF(Table4[[#This Row],[ROAS]]&lt;1,"Poor",IF(Table4[[#This Row],[ROAS]]&lt;3,"Average",IF(Table4[[#This Row],[ROAS]]&lt;5,"Good",
"Excellent")))</f>
        <v>Excellent</v>
      </c>
      <c r="S932" s="51" t="str">
        <f>IF(AND(Table4[[#This Row],[USD_Spend]]&gt;=$B$5,Table4[[#This Row],[Sales]]&lt;=$B$6),"Wasted Budget","Spend Justified")</f>
        <v>Spend Justified</v>
      </c>
      <c r="T932" s="51" t="str">
        <f>IF(AND(Table4[[#This Row],[Clicks]]&gt;=$B$7,Table4[[#This Row],[Sales]]&lt;=$B$6),"Poor Monetization","Normal Monitization")</f>
        <v>Normal Monitization</v>
      </c>
    </row>
    <row r="933" spans="1:20" x14ac:dyDescent="0.35">
      <c r="A933" s="41" t="s">
        <v>89</v>
      </c>
      <c r="B933" s="41" t="s">
        <v>48</v>
      </c>
      <c r="C933" s="41" t="s">
        <v>36</v>
      </c>
      <c r="D933" s="41" t="s">
        <v>59</v>
      </c>
      <c r="E933" s="41" t="s">
        <v>38</v>
      </c>
      <c r="F933" s="41">
        <v>904.24</v>
      </c>
      <c r="G933" s="41">
        <v>210070</v>
      </c>
      <c r="H933" s="41">
        <v>7434</v>
      </c>
      <c r="I933" s="41">
        <v>204912.21</v>
      </c>
      <c r="J933" s="41">
        <v>25</v>
      </c>
      <c r="K933" s="42">
        <f t="shared" si="71"/>
        <v>3.538820393202266E-2</v>
      </c>
      <c r="L933" s="43">
        <f t="shared" si="72"/>
        <v>226.61263602583384</v>
      </c>
      <c r="M933" s="43">
        <f t="shared" si="73"/>
        <v>225.61263602583384</v>
      </c>
      <c r="N933" s="43">
        <f t="shared" si="74"/>
        <v>27.564192897497982</v>
      </c>
      <c r="O933" s="1" t="str">
        <f t="shared" si="70"/>
        <v>Normal</v>
      </c>
      <c r="P933" s="51" t="str">
        <f>IF(Table4[[#This Row],[Sales]]&lt;=$B$3,"Normal","High Revenue")</f>
        <v>Normal</v>
      </c>
      <c r="Q933" s="51" t="str">
        <f>IF(Table4[[#This Row],[CTR]]&lt;=$B$4,"Normal","High CTR")</f>
        <v>Normal</v>
      </c>
      <c r="R933" s="51" t="str">
        <f>IF(Table4[[#This Row],[ROAS]]&lt;1,"Poor",IF(Table4[[#This Row],[ROAS]]&lt;3,"Average",IF(Table4[[#This Row],[ROAS]]&lt;5,"Good",
"Excellent")))</f>
        <v>Excellent</v>
      </c>
      <c r="S933" s="51" t="str">
        <f>IF(AND(Table4[[#This Row],[USD_Spend]]&gt;=$B$5,Table4[[#This Row],[Sales]]&lt;=$B$6),"Wasted Budget","Spend Justified")</f>
        <v>Spend Justified</v>
      </c>
      <c r="T933" s="51" t="str">
        <f>IF(AND(Table4[[#This Row],[Clicks]]&gt;=$B$7,Table4[[#This Row],[Sales]]&lt;=$B$6),"Poor Monetization","Normal Monitization")</f>
        <v>Normal Monitization</v>
      </c>
    </row>
    <row r="934" spans="1:20" x14ac:dyDescent="0.35">
      <c r="A934" s="38" t="s">
        <v>55</v>
      </c>
      <c r="B934" s="38" t="s">
        <v>35</v>
      </c>
      <c r="C934" s="38" t="s">
        <v>20</v>
      </c>
      <c r="D934" s="38" t="s">
        <v>51</v>
      </c>
      <c r="E934" s="38" t="s">
        <v>22</v>
      </c>
      <c r="F934" s="38">
        <v>5649.39</v>
      </c>
      <c r="G934" s="38">
        <v>939496</v>
      </c>
      <c r="H934" s="38">
        <v>49148</v>
      </c>
      <c r="I934" s="38">
        <v>130512.18</v>
      </c>
      <c r="J934" s="38">
        <v>14</v>
      </c>
      <c r="K934" s="39">
        <f t="shared" si="71"/>
        <v>5.2313155138499788E-2</v>
      </c>
      <c r="L934" s="40">
        <f t="shared" si="72"/>
        <v>23.101995082654938</v>
      </c>
      <c r="M934" s="40">
        <f t="shared" si="73"/>
        <v>22.101995082654938</v>
      </c>
      <c r="N934" s="40">
        <f t="shared" si="74"/>
        <v>2.6554932041995603</v>
      </c>
      <c r="O934" s="1" t="str">
        <f t="shared" si="70"/>
        <v>Normal</v>
      </c>
      <c r="P934" s="51" t="str">
        <f>IF(Table4[[#This Row],[Sales]]&lt;=$B$3,"Normal","High Revenue")</f>
        <v>Normal</v>
      </c>
      <c r="Q934" s="51" t="str">
        <f>IF(Table4[[#This Row],[CTR]]&lt;=$B$4,"Normal","High CTR")</f>
        <v>Normal</v>
      </c>
      <c r="R934" s="51" t="str">
        <f>IF(Table4[[#This Row],[ROAS]]&lt;1,"Poor",IF(Table4[[#This Row],[ROAS]]&lt;3,"Average",IF(Table4[[#This Row],[ROAS]]&lt;5,"Good",
"Excellent")))</f>
        <v>Excellent</v>
      </c>
      <c r="S934" s="51" t="str">
        <f>IF(AND(Table4[[#This Row],[USD_Spend]]&gt;=$B$5,Table4[[#This Row],[Sales]]&lt;=$B$6),"Wasted Budget","Spend Justified")</f>
        <v>Spend Justified</v>
      </c>
      <c r="T934" s="51" t="str">
        <f>IF(AND(Table4[[#This Row],[Clicks]]&gt;=$B$7,Table4[[#This Row],[Sales]]&lt;=$B$6),"Poor Monetization","Normal Monitization")</f>
        <v>Normal Monitization</v>
      </c>
    </row>
    <row r="935" spans="1:20" x14ac:dyDescent="0.35">
      <c r="A935" s="41" t="s">
        <v>87</v>
      </c>
      <c r="B935" s="41" t="s">
        <v>19</v>
      </c>
      <c r="C935" s="41" t="s">
        <v>58</v>
      </c>
      <c r="D935" s="41" t="s">
        <v>43</v>
      </c>
      <c r="E935" s="41" t="s">
        <v>30</v>
      </c>
      <c r="F935" s="41">
        <v>4766.57</v>
      </c>
      <c r="G935" s="41">
        <v>656195</v>
      </c>
      <c r="H935" s="41">
        <v>27053</v>
      </c>
      <c r="I935" s="41">
        <v>30400.45</v>
      </c>
      <c r="J935" s="41">
        <v>59</v>
      </c>
      <c r="K935" s="42">
        <f t="shared" si="71"/>
        <v>4.12270742690816E-2</v>
      </c>
      <c r="L935" s="43">
        <f t="shared" si="72"/>
        <v>6.3778461241521684</v>
      </c>
      <c r="M935" s="43">
        <f t="shared" si="73"/>
        <v>5.3778461241521684</v>
      </c>
      <c r="N935" s="43">
        <f t="shared" si="74"/>
        <v>1.1237367389938269</v>
      </c>
      <c r="O935" s="1" t="str">
        <f t="shared" si="70"/>
        <v>Normal</v>
      </c>
      <c r="P935" s="51" t="str">
        <f>IF(Table4[[#This Row],[Sales]]&lt;=$B$3,"Normal","High Revenue")</f>
        <v>Normal</v>
      </c>
      <c r="Q935" s="51" t="str">
        <f>IF(Table4[[#This Row],[CTR]]&lt;=$B$4,"Normal","High CTR")</f>
        <v>Normal</v>
      </c>
      <c r="R935" s="51" t="str">
        <f>IF(Table4[[#This Row],[ROAS]]&lt;1,"Poor",IF(Table4[[#This Row],[ROAS]]&lt;3,"Average",IF(Table4[[#This Row],[ROAS]]&lt;5,"Good",
"Excellent")))</f>
        <v>Excellent</v>
      </c>
      <c r="S935" s="51" t="str">
        <f>IF(AND(Table4[[#This Row],[USD_Spend]]&gt;=$B$5,Table4[[#This Row],[Sales]]&lt;=$B$6),"Wasted Budget","Spend Justified")</f>
        <v>Wasted Budget</v>
      </c>
      <c r="T935" s="51" t="str">
        <f>IF(AND(Table4[[#This Row],[Clicks]]&gt;=$B$7,Table4[[#This Row],[Sales]]&lt;=$B$6),"Poor Monetization","Normal Monitization")</f>
        <v>Normal Monitization</v>
      </c>
    </row>
    <row r="936" spans="1:20" x14ac:dyDescent="0.35">
      <c r="A936" s="38" t="s">
        <v>104</v>
      </c>
      <c r="B936" s="38" t="s">
        <v>35</v>
      </c>
      <c r="C936" s="38" t="s">
        <v>69</v>
      </c>
      <c r="D936" s="38" t="s">
        <v>63</v>
      </c>
      <c r="E936" s="38" t="s">
        <v>38</v>
      </c>
      <c r="F936" s="38">
        <v>777.98</v>
      </c>
      <c r="G936" s="38">
        <v>166130</v>
      </c>
      <c r="H936" s="38">
        <v>15892</v>
      </c>
      <c r="I936" s="38">
        <v>52023.35</v>
      </c>
      <c r="J936" s="38">
        <v>17</v>
      </c>
      <c r="K936" s="39">
        <f t="shared" si="71"/>
        <v>9.566002528140613E-2</v>
      </c>
      <c r="L936" s="40">
        <f t="shared" si="72"/>
        <v>66.869778143396999</v>
      </c>
      <c r="M936" s="40">
        <f t="shared" si="73"/>
        <v>65.869778143396999</v>
      </c>
      <c r="N936" s="40">
        <f t="shared" si="74"/>
        <v>3.2735558771709035</v>
      </c>
      <c r="O936" s="1" t="str">
        <f t="shared" si="70"/>
        <v>Normal</v>
      </c>
      <c r="P936" s="51" t="str">
        <f>IF(Table4[[#This Row],[Sales]]&lt;=$B$3,"Normal","High Revenue")</f>
        <v>Normal</v>
      </c>
      <c r="Q936" s="51" t="str">
        <f>IF(Table4[[#This Row],[CTR]]&lt;=$B$4,"Normal","High CTR")</f>
        <v>Normal</v>
      </c>
      <c r="R936" s="51" t="str">
        <f>IF(Table4[[#This Row],[ROAS]]&lt;1,"Poor",IF(Table4[[#This Row],[ROAS]]&lt;3,"Average",IF(Table4[[#This Row],[ROAS]]&lt;5,"Good",
"Excellent")))</f>
        <v>Excellent</v>
      </c>
      <c r="S936" s="51" t="str">
        <f>IF(AND(Table4[[#This Row],[USD_Spend]]&gt;=$B$5,Table4[[#This Row],[Sales]]&lt;=$B$6),"Wasted Budget","Spend Justified")</f>
        <v>Spend Justified</v>
      </c>
      <c r="T936" s="51" t="str">
        <f>IF(AND(Table4[[#This Row],[Clicks]]&gt;=$B$7,Table4[[#This Row],[Sales]]&lt;=$B$6),"Poor Monetization","Normal Monitization")</f>
        <v>Normal Monitization</v>
      </c>
    </row>
    <row r="937" spans="1:20" x14ac:dyDescent="0.35">
      <c r="A937" s="41" t="s">
        <v>57</v>
      </c>
      <c r="B937" s="41" t="s">
        <v>28</v>
      </c>
      <c r="C937" s="41" t="s">
        <v>20</v>
      </c>
      <c r="D937" s="41" t="s">
        <v>63</v>
      </c>
      <c r="E937" s="41" t="s">
        <v>22</v>
      </c>
      <c r="F937" s="41">
        <v>1232.1300000000001</v>
      </c>
      <c r="G937" s="41">
        <v>756925</v>
      </c>
      <c r="H937" s="41">
        <v>37891</v>
      </c>
      <c r="I937" s="41">
        <v>158745.54</v>
      </c>
      <c r="J937" s="41">
        <v>33</v>
      </c>
      <c r="K937" s="42">
        <f t="shared" si="71"/>
        <v>5.0059120784754101E-2</v>
      </c>
      <c r="L937" s="43">
        <f t="shared" si="72"/>
        <v>128.83830439969807</v>
      </c>
      <c r="M937" s="43">
        <f t="shared" si="73"/>
        <v>127.83830439969807</v>
      </c>
      <c r="N937" s="43">
        <f t="shared" si="74"/>
        <v>4.1895315510279492</v>
      </c>
      <c r="O937" s="1" t="str">
        <f t="shared" si="70"/>
        <v>Normal</v>
      </c>
      <c r="P937" s="51" t="str">
        <f>IF(Table4[[#This Row],[Sales]]&lt;=$B$3,"Normal","High Revenue")</f>
        <v>Normal</v>
      </c>
      <c r="Q937" s="51" t="str">
        <f>IF(Table4[[#This Row],[CTR]]&lt;=$B$4,"Normal","High CTR")</f>
        <v>Normal</v>
      </c>
      <c r="R937" s="51" t="str">
        <f>IF(Table4[[#This Row],[ROAS]]&lt;1,"Poor",IF(Table4[[#This Row],[ROAS]]&lt;3,"Average",IF(Table4[[#This Row],[ROAS]]&lt;5,"Good",
"Excellent")))</f>
        <v>Excellent</v>
      </c>
      <c r="S937" s="51" t="str">
        <f>IF(AND(Table4[[#This Row],[USD_Spend]]&gt;=$B$5,Table4[[#This Row],[Sales]]&lt;=$B$6),"Wasted Budget","Spend Justified")</f>
        <v>Spend Justified</v>
      </c>
      <c r="T937" s="51" t="str">
        <f>IF(AND(Table4[[#This Row],[Clicks]]&gt;=$B$7,Table4[[#This Row],[Sales]]&lt;=$B$6),"Poor Monetization","Normal Monitization")</f>
        <v>Normal Monitization</v>
      </c>
    </row>
    <row r="938" spans="1:20" x14ac:dyDescent="0.35">
      <c r="A938" s="38" t="s">
        <v>109</v>
      </c>
      <c r="B938" s="38" t="s">
        <v>28</v>
      </c>
      <c r="C938" s="38" t="s">
        <v>69</v>
      </c>
      <c r="D938" s="38" t="s">
        <v>63</v>
      </c>
      <c r="E938" s="38" t="s">
        <v>22</v>
      </c>
      <c r="F938" s="38">
        <v>10108.18</v>
      </c>
      <c r="G938" s="38">
        <v>338429</v>
      </c>
      <c r="H938" s="38">
        <v>16233</v>
      </c>
      <c r="I938" s="38">
        <v>197486.73</v>
      </c>
      <c r="J938" s="38">
        <v>26</v>
      </c>
      <c r="K938" s="39">
        <f t="shared" si="71"/>
        <v>4.7965747616191282E-2</v>
      </c>
      <c r="L938" s="40">
        <f t="shared" si="72"/>
        <v>19.537318290730873</v>
      </c>
      <c r="M938" s="40">
        <f t="shared" si="73"/>
        <v>18.537318290730873</v>
      </c>
      <c r="N938" s="40">
        <f t="shared" si="74"/>
        <v>12.16575679172057</v>
      </c>
      <c r="O938" s="1" t="str">
        <f t="shared" si="70"/>
        <v>Normal</v>
      </c>
      <c r="P938" s="51" t="str">
        <f>IF(Table4[[#This Row],[Sales]]&lt;=$B$3,"Normal","High Revenue")</f>
        <v>Normal</v>
      </c>
      <c r="Q938" s="51" t="str">
        <f>IF(Table4[[#This Row],[CTR]]&lt;=$B$4,"Normal","High CTR")</f>
        <v>Normal</v>
      </c>
      <c r="R938" s="51" t="str">
        <f>IF(Table4[[#This Row],[ROAS]]&lt;1,"Poor",IF(Table4[[#This Row],[ROAS]]&lt;3,"Average",IF(Table4[[#This Row],[ROAS]]&lt;5,"Good",
"Excellent")))</f>
        <v>Excellent</v>
      </c>
      <c r="S938" s="51" t="str">
        <f>IF(AND(Table4[[#This Row],[USD_Spend]]&gt;=$B$5,Table4[[#This Row],[Sales]]&lt;=$B$6),"Wasted Budget","Spend Justified")</f>
        <v>Spend Justified</v>
      </c>
      <c r="T938" s="51" t="str">
        <f>IF(AND(Table4[[#This Row],[Clicks]]&gt;=$B$7,Table4[[#This Row],[Sales]]&lt;=$B$6),"Poor Monetization","Normal Monitization")</f>
        <v>Normal Monitization</v>
      </c>
    </row>
    <row r="939" spans="1:20" x14ac:dyDescent="0.35">
      <c r="A939" s="41" t="s">
        <v>86</v>
      </c>
      <c r="B939" s="41" t="s">
        <v>28</v>
      </c>
      <c r="C939" s="41" t="s">
        <v>36</v>
      </c>
      <c r="D939" s="41" t="s">
        <v>51</v>
      </c>
      <c r="E939" s="41" t="s">
        <v>22</v>
      </c>
      <c r="F939" s="41">
        <v>12709.53</v>
      </c>
      <c r="G939" s="41">
        <v>314598</v>
      </c>
      <c r="H939" s="41">
        <v>12784</v>
      </c>
      <c r="I939" s="41">
        <v>5387.32</v>
      </c>
      <c r="J939" s="41">
        <v>17</v>
      </c>
      <c r="K939" s="42">
        <f t="shared" si="71"/>
        <v>4.0635986242760602E-2</v>
      </c>
      <c r="L939" s="43">
        <f t="shared" si="72"/>
        <v>0.42388034805378322</v>
      </c>
      <c r="M939" s="43">
        <f t="shared" si="73"/>
        <v>-0.57611965194621673</v>
      </c>
      <c r="N939" s="43">
        <f t="shared" si="74"/>
        <v>0.42141113892365456</v>
      </c>
      <c r="O939" s="1" t="str">
        <f t="shared" si="70"/>
        <v>Normal</v>
      </c>
      <c r="P939" s="51" t="str">
        <f>IF(Table4[[#This Row],[Sales]]&lt;=$B$3,"Normal","High Revenue")</f>
        <v>Normal</v>
      </c>
      <c r="Q939" s="51" t="str">
        <f>IF(Table4[[#This Row],[CTR]]&lt;=$B$4,"Normal","High CTR")</f>
        <v>Normal</v>
      </c>
      <c r="R939" s="51" t="str">
        <f>IF(Table4[[#This Row],[ROAS]]&lt;1,"Poor",IF(Table4[[#This Row],[ROAS]]&lt;3,"Average",IF(Table4[[#This Row],[ROAS]]&lt;5,"Good",
"Excellent")))</f>
        <v>Poor</v>
      </c>
      <c r="S939" s="51" t="str">
        <f>IF(AND(Table4[[#This Row],[USD_Spend]]&gt;=$B$5,Table4[[#This Row],[Sales]]&lt;=$B$6),"Wasted Budget","Spend Justified")</f>
        <v>Wasted Budget</v>
      </c>
      <c r="T939" s="51" t="str">
        <f>IF(AND(Table4[[#This Row],[Clicks]]&gt;=$B$7,Table4[[#This Row],[Sales]]&lt;=$B$6),"Poor Monetization","Normal Monitization")</f>
        <v>Normal Monitization</v>
      </c>
    </row>
    <row r="940" spans="1:20" x14ac:dyDescent="0.35">
      <c r="A940" s="38" t="s">
        <v>87</v>
      </c>
      <c r="B940" s="38" t="s">
        <v>19</v>
      </c>
      <c r="C940" s="38" t="s">
        <v>29</v>
      </c>
      <c r="D940" s="38" t="s">
        <v>63</v>
      </c>
      <c r="E940" s="38" t="s">
        <v>38</v>
      </c>
      <c r="F940" s="38">
        <v>8075.7</v>
      </c>
      <c r="G940" s="38">
        <v>992188</v>
      </c>
      <c r="H940" s="38">
        <v>32617</v>
      </c>
      <c r="I940" s="38">
        <v>39457.629999999997</v>
      </c>
      <c r="J940" s="38">
        <v>45</v>
      </c>
      <c r="K940" s="39">
        <f t="shared" si="71"/>
        <v>3.287381020532399E-2</v>
      </c>
      <c r="L940" s="40">
        <f t="shared" si="72"/>
        <v>4.8859702564483571</v>
      </c>
      <c r="M940" s="40">
        <f t="shared" si="73"/>
        <v>3.8859702564483571</v>
      </c>
      <c r="N940" s="40">
        <f t="shared" si="74"/>
        <v>1.2097259098016371</v>
      </c>
      <c r="O940" s="1" t="str">
        <f t="shared" si="70"/>
        <v>Normal</v>
      </c>
      <c r="P940" s="51" t="str">
        <f>IF(Table4[[#This Row],[Sales]]&lt;=$B$3,"Normal","High Revenue")</f>
        <v>Normal</v>
      </c>
      <c r="Q940" s="51" t="str">
        <f>IF(Table4[[#This Row],[CTR]]&lt;=$B$4,"Normal","High CTR")</f>
        <v>Normal</v>
      </c>
      <c r="R940" s="51" t="str">
        <f>IF(Table4[[#This Row],[ROAS]]&lt;1,"Poor",IF(Table4[[#This Row],[ROAS]]&lt;3,"Average",IF(Table4[[#This Row],[ROAS]]&lt;5,"Good",
"Excellent")))</f>
        <v>Good</v>
      </c>
      <c r="S940" s="51" t="str">
        <f>IF(AND(Table4[[#This Row],[USD_Spend]]&gt;=$B$5,Table4[[#This Row],[Sales]]&lt;=$B$6),"Wasted Budget","Spend Justified")</f>
        <v>Wasted Budget</v>
      </c>
      <c r="T940" s="51" t="str">
        <f>IF(AND(Table4[[#This Row],[Clicks]]&gt;=$B$7,Table4[[#This Row],[Sales]]&lt;=$B$6),"Poor Monetization","Normal Monitization")</f>
        <v>Normal Monitization</v>
      </c>
    </row>
    <row r="941" spans="1:20" x14ac:dyDescent="0.35">
      <c r="A941" s="41" t="s">
        <v>62</v>
      </c>
      <c r="B941" s="41" t="s">
        <v>35</v>
      </c>
      <c r="C941" s="41" t="s">
        <v>36</v>
      </c>
      <c r="D941" s="41" t="s">
        <v>63</v>
      </c>
      <c r="E941" s="41" t="s">
        <v>38</v>
      </c>
      <c r="F941" s="41">
        <v>6991.49</v>
      </c>
      <c r="G941" s="41">
        <v>67287</v>
      </c>
      <c r="H941" s="41">
        <v>17684</v>
      </c>
      <c r="I941" s="41">
        <v>123948.82</v>
      </c>
      <c r="J941" s="41">
        <v>34</v>
      </c>
      <c r="K941" s="42">
        <f t="shared" si="71"/>
        <v>0.26281451097537412</v>
      </c>
      <c r="L941" s="43">
        <f t="shared" si="72"/>
        <v>17.728527109385841</v>
      </c>
      <c r="M941" s="43">
        <f t="shared" si="73"/>
        <v>16.728527109385841</v>
      </c>
      <c r="N941" s="43">
        <f t="shared" si="74"/>
        <v>7.0090940963582904</v>
      </c>
      <c r="O941" s="1" t="str">
        <f t="shared" si="70"/>
        <v>Normal</v>
      </c>
      <c r="P941" s="51" t="str">
        <f>IF(Table4[[#This Row],[Sales]]&lt;=$B$3,"Normal","High Revenue")</f>
        <v>Normal</v>
      </c>
      <c r="Q941" s="51" t="str">
        <f>IF(Table4[[#This Row],[CTR]]&lt;=$B$4,"Normal","High CTR")</f>
        <v>Normal</v>
      </c>
      <c r="R941" s="51" t="str">
        <f>IF(Table4[[#This Row],[ROAS]]&lt;1,"Poor",IF(Table4[[#This Row],[ROAS]]&lt;3,"Average",IF(Table4[[#This Row],[ROAS]]&lt;5,"Good",
"Excellent")))</f>
        <v>Excellent</v>
      </c>
      <c r="S941" s="51" t="str">
        <f>IF(AND(Table4[[#This Row],[USD_Spend]]&gt;=$B$5,Table4[[#This Row],[Sales]]&lt;=$B$6),"Wasted Budget","Spend Justified")</f>
        <v>Spend Justified</v>
      </c>
      <c r="T941" s="51" t="str">
        <f>IF(AND(Table4[[#This Row],[Clicks]]&gt;=$B$7,Table4[[#This Row],[Sales]]&lt;=$B$6),"Poor Monetization","Normal Monitization")</f>
        <v>Normal Monitization</v>
      </c>
    </row>
    <row r="942" spans="1:20" x14ac:dyDescent="0.35">
      <c r="A942" s="38" t="s">
        <v>106</v>
      </c>
      <c r="B942" s="38" t="s">
        <v>19</v>
      </c>
      <c r="C942" s="38" t="s">
        <v>69</v>
      </c>
      <c r="D942" s="38" t="s">
        <v>37</v>
      </c>
      <c r="E942" s="38" t="s">
        <v>22</v>
      </c>
      <c r="F942" s="38">
        <v>179.31</v>
      </c>
      <c r="G942" s="38">
        <v>956335</v>
      </c>
      <c r="H942" s="38">
        <v>42435</v>
      </c>
      <c r="I942" s="38">
        <v>113640.67</v>
      </c>
      <c r="J942" s="38">
        <v>10</v>
      </c>
      <c r="K942" s="39">
        <f t="shared" si="71"/>
        <v>4.4372526363669632E-2</v>
      </c>
      <c r="L942" s="40">
        <f t="shared" si="72"/>
        <v>633.76649378171874</v>
      </c>
      <c r="M942" s="40">
        <f t="shared" si="73"/>
        <v>632.76649378171885</v>
      </c>
      <c r="N942" s="40">
        <f t="shared" si="74"/>
        <v>2.6779938729822081</v>
      </c>
      <c r="O942" s="1" t="str">
        <f t="shared" si="70"/>
        <v>Normal</v>
      </c>
      <c r="P942" s="51" t="str">
        <f>IF(Table4[[#This Row],[Sales]]&lt;=$B$3,"Normal","High Revenue")</f>
        <v>Normal</v>
      </c>
      <c r="Q942" s="51" t="str">
        <f>IF(Table4[[#This Row],[CTR]]&lt;=$B$4,"Normal","High CTR")</f>
        <v>Normal</v>
      </c>
      <c r="R942" s="51" t="str">
        <f>IF(Table4[[#This Row],[ROAS]]&lt;1,"Poor",IF(Table4[[#This Row],[ROAS]]&lt;3,"Average",IF(Table4[[#This Row],[ROAS]]&lt;5,"Good",
"Excellent")))</f>
        <v>Excellent</v>
      </c>
      <c r="S942" s="51" t="str">
        <f>IF(AND(Table4[[#This Row],[USD_Spend]]&gt;=$B$5,Table4[[#This Row],[Sales]]&lt;=$B$6),"Wasted Budget","Spend Justified")</f>
        <v>Spend Justified</v>
      </c>
      <c r="T942" s="51" t="str">
        <f>IF(AND(Table4[[#This Row],[Clicks]]&gt;=$B$7,Table4[[#This Row],[Sales]]&lt;=$B$6),"Poor Monetization","Normal Monitization")</f>
        <v>Normal Monitization</v>
      </c>
    </row>
    <row r="943" spans="1:20" x14ac:dyDescent="0.35">
      <c r="A943" s="41" t="s">
        <v>110</v>
      </c>
      <c r="B943" s="41" t="s">
        <v>48</v>
      </c>
      <c r="C943" s="41" t="s">
        <v>36</v>
      </c>
      <c r="D943" s="41" t="s">
        <v>51</v>
      </c>
      <c r="E943" s="41" t="s">
        <v>38</v>
      </c>
      <c r="F943" s="41">
        <v>8977.7900000000009</v>
      </c>
      <c r="G943" s="41">
        <v>497192</v>
      </c>
      <c r="H943" s="41">
        <v>45673</v>
      </c>
      <c r="I943" s="41">
        <v>122240.14</v>
      </c>
      <c r="J943" s="41">
        <v>47</v>
      </c>
      <c r="K943" s="42">
        <f t="shared" si="71"/>
        <v>9.186189641023991E-2</v>
      </c>
      <c r="L943" s="43">
        <f t="shared" si="72"/>
        <v>13.615838641803828</v>
      </c>
      <c r="M943" s="43">
        <f t="shared" si="73"/>
        <v>12.615838641803828</v>
      </c>
      <c r="N943" s="43">
        <f t="shared" si="74"/>
        <v>2.6764202044971865</v>
      </c>
      <c r="O943" s="1" t="str">
        <f t="shared" si="70"/>
        <v>Normal</v>
      </c>
      <c r="P943" s="51" t="str">
        <f>IF(Table4[[#This Row],[Sales]]&lt;=$B$3,"Normal","High Revenue")</f>
        <v>Normal</v>
      </c>
      <c r="Q943" s="51" t="str">
        <f>IF(Table4[[#This Row],[CTR]]&lt;=$B$4,"Normal","High CTR")</f>
        <v>Normal</v>
      </c>
      <c r="R943" s="51" t="str">
        <f>IF(Table4[[#This Row],[ROAS]]&lt;1,"Poor",IF(Table4[[#This Row],[ROAS]]&lt;3,"Average",IF(Table4[[#This Row],[ROAS]]&lt;5,"Good",
"Excellent")))</f>
        <v>Excellent</v>
      </c>
      <c r="S943" s="51" t="str">
        <f>IF(AND(Table4[[#This Row],[USD_Spend]]&gt;=$B$5,Table4[[#This Row],[Sales]]&lt;=$B$6),"Wasted Budget","Spend Justified")</f>
        <v>Spend Justified</v>
      </c>
      <c r="T943" s="51" t="str">
        <f>IF(AND(Table4[[#This Row],[Clicks]]&gt;=$B$7,Table4[[#This Row],[Sales]]&lt;=$B$6),"Poor Monetization","Normal Monitization")</f>
        <v>Normal Monitization</v>
      </c>
    </row>
    <row r="944" spans="1:20" x14ac:dyDescent="0.35">
      <c r="A944" s="38" t="s">
        <v>75</v>
      </c>
      <c r="B944" s="38" t="s">
        <v>48</v>
      </c>
      <c r="C944" s="38" t="s">
        <v>36</v>
      </c>
      <c r="D944" s="38" t="s">
        <v>51</v>
      </c>
      <c r="E944" s="38" t="s">
        <v>38</v>
      </c>
      <c r="F944" s="38">
        <v>53851.12</v>
      </c>
      <c r="G944" s="38">
        <v>246540</v>
      </c>
      <c r="H944" s="38">
        <v>10042</v>
      </c>
      <c r="I944" s="38">
        <v>88737.61</v>
      </c>
      <c r="J944" s="38">
        <v>7</v>
      </c>
      <c r="K944" s="39">
        <f t="shared" si="71"/>
        <v>4.0731727103106997E-2</v>
      </c>
      <c r="L944" s="40">
        <f t="shared" si="72"/>
        <v>1.6478322085037413</v>
      </c>
      <c r="M944" s="40">
        <f t="shared" si="73"/>
        <v>0.64783220850374135</v>
      </c>
      <c r="N944" s="40">
        <f t="shared" si="74"/>
        <v>8.8366470822545313</v>
      </c>
      <c r="O944" s="1" t="str">
        <f t="shared" si="70"/>
        <v>High Spend</v>
      </c>
      <c r="P944" s="51" t="str">
        <f>IF(Table4[[#This Row],[Sales]]&lt;=$B$3,"Normal","High Revenue")</f>
        <v>Normal</v>
      </c>
      <c r="Q944" s="51" t="str">
        <f>IF(Table4[[#This Row],[CTR]]&lt;=$B$4,"Normal","High CTR")</f>
        <v>Normal</v>
      </c>
      <c r="R944" s="51" t="str">
        <f>IF(Table4[[#This Row],[ROAS]]&lt;1,"Poor",IF(Table4[[#This Row],[ROAS]]&lt;3,"Average",IF(Table4[[#This Row],[ROAS]]&lt;5,"Good",
"Excellent")))</f>
        <v>Average</v>
      </c>
      <c r="S944" s="51" t="str">
        <f>IF(AND(Table4[[#This Row],[USD_Spend]]&gt;=$B$5,Table4[[#This Row],[Sales]]&lt;=$B$6),"Wasted Budget","Spend Justified")</f>
        <v>Spend Justified</v>
      </c>
      <c r="T944" s="51" t="str">
        <f>IF(AND(Table4[[#This Row],[Clicks]]&gt;=$B$7,Table4[[#This Row],[Sales]]&lt;=$B$6),"Poor Monetization","Normal Monitization")</f>
        <v>Normal Monitization</v>
      </c>
    </row>
    <row r="945" spans="1:20" x14ac:dyDescent="0.35">
      <c r="A945" s="41" t="s">
        <v>85</v>
      </c>
      <c r="B945" s="41" t="s">
        <v>19</v>
      </c>
      <c r="C945" s="41" t="s">
        <v>36</v>
      </c>
      <c r="D945" s="41" t="s">
        <v>37</v>
      </c>
      <c r="E945" s="41" t="s">
        <v>22</v>
      </c>
      <c r="F945" s="41">
        <v>9314.27</v>
      </c>
      <c r="G945" s="41">
        <v>265652</v>
      </c>
      <c r="H945" s="41">
        <v>3761</v>
      </c>
      <c r="I945" s="41">
        <v>138163.98000000001</v>
      </c>
      <c r="J945" s="41">
        <v>16</v>
      </c>
      <c r="K945" s="42">
        <f t="shared" si="71"/>
        <v>1.4157619743122581E-2</v>
      </c>
      <c r="L945" s="43">
        <f t="shared" si="72"/>
        <v>14.833581160949812</v>
      </c>
      <c r="M945" s="43">
        <f t="shared" si="73"/>
        <v>13.833581160949812</v>
      </c>
      <c r="N945" s="43">
        <f t="shared" si="74"/>
        <v>36.73596915713906</v>
      </c>
      <c r="O945" s="1" t="str">
        <f t="shared" si="70"/>
        <v>Normal</v>
      </c>
      <c r="P945" s="51" t="str">
        <f>IF(Table4[[#This Row],[Sales]]&lt;=$B$3,"Normal","High Revenue")</f>
        <v>Normal</v>
      </c>
      <c r="Q945" s="51" t="str">
        <f>IF(Table4[[#This Row],[CTR]]&lt;=$B$4,"Normal","High CTR")</f>
        <v>Normal</v>
      </c>
      <c r="R945" s="51" t="str">
        <f>IF(Table4[[#This Row],[ROAS]]&lt;1,"Poor",IF(Table4[[#This Row],[ROAS]]&lt;3,"Average",IF(Table4[[#This Row],[ROAS]]&lt;5,"Good",
"Excellent")))</f>
        <v>Excellent</v>
      </c>
      <c r="S945" s="51" t="str">
        <f>IF(AND(Table4[[#This Row],[USD_Spend]]&gt;=$B$5,Table4[[#This Row],[Sales]]&lt;=$B$6),"Wasted Budget","Spend Justified")</f>
        <v>Spend Justified</v>
      </c>
      <c r="T945" s="51" t="str">
        <f>IF(AND(Table4[[#This Row],[Clicks]]&gt;=$B$7,Table4[[#This Row],[Sales]]&lt;=$B$6),"Poor Monetization","Normal Monitization")</f>
        <v>Normal Monitization</v>
      </c>
    </row>
    <row r="946" spans="1:20" x14ac:dyDescent="0.35">
      <c r="A946" s="38" t="s">
        <v>34</v>
      </c>
      <c r="B946" s="38" t="s">
        <v>28</v>
      </c>
      <c r="C946" s="38" t="s">
        <v>29</v>
      </c>
      <c r="D946" s="38" t="s">
        <v>21</v>
      </c>
      <c r="E946" s="38" t="s">
        <v>22</v>
      </c>
      <c r="F946" s="38">
        <v>3896.55</v>
      </c>
      <c r="G946" s="38">
        <v>619918</v>
      </c>
      <c r="H946" s="38">
        <v>41374</v>
      </c>
      <c r="I946" s="38">
        <v>202894.58</v>
      </c>
      <c r="J946" s="38">
        <v>34</v>
      </c>
      <c r="K946" s="39">
        <f t="shared" si="71"/>
        <v>6.6741085111256648E-2</v>
      </c>
      <c r="L946" s="40">
        <f t="shared" si="72"/>
        <v>52.070313482439587</v>
      </c>
      <c r="M946" s="40">
        <f t="shared" si="73"/>
        <v>51.070313482439595</v>
      </c>
      <c r="N946" s="40">
        <f t="shared" si="74"/>
        <v>4.903915019094117</v>
      </c>
      <c r="O946" s="1" t="str">
        <f t="shared" si="70"/>
        <v>Normal</v>
      </c>
      <c r="P946" s="51" t="str">
        <f>IF(Table4[[#This Row],[Sales]]&lt;=$B$3,"Normal","High Revenue")</f>
        <v>Normal</v>
      </c>
      <c r="Q946" s="51" t="str">
        <f>IF(Table4[[#This Row],[CTR]]&lt;=$B$4,"Normal","High CTR")</f>
        <v>Normal</v>
      </c>
      <c r="R946" s="51" t="str">
        <f>IF(Table4[[#This Row],[ROAS]]&lt;1,"Poor",IF(Table4[[#This Row],[ROAS]]&lt;3,"Average",IF(Table4[[#This Row],[ROAS]]&lt;5,"Good",
"Excellent")))</f>
        <v>Excellent</v>
      </c>
      <c r="S946" s="51" t="str">
        <f>IF(AND(Table4[[#This Row],[USD_Spend]]&gt;=$B$5,Table4[[#This Row],[Sales]]&lt;=$B$6),"Wasted Budget","Spend Justified")</f>
        <v>Spend Justified</v>
      </c>
      <c r="T946" s="51" t="str">
        <f>IF(AND(Table4[[#This Row],[Clicks]]&gt;=$B$7,Table4[[#This Row],[Sales]]&lt;=$B$6),"Poor Monetization","Normal Monitization")</f>
        <v>Normal Monitization</v>
      </c>
    </row>
    <row r="947" spans="1:20" x14ac:dyDescent="0.35">
      <c r="A947" s="41" t="s">
        <v>57</v>
      </c>
      <c r="B947" s="41" t="s">
        <v>28</v>
      </c>
      <c r="C947" s="41" t="s">
        <v>69</v>
      </c>
      <c r="D947" s="41" t="s">
        <v>37</v>
      </c>
      <c r="E947" s="41" t="s">
        <v>38</v>
      </c>
      <c r="F947" s="41">
        <v>2619.0500000000002</v>
      </c>
      <c r="G947" s="41">
        <v>610870</v>
      </c>
      <c r="H947" s="41">
        <v>29466</v>
      </c>
      <c r="I947" s="41">
        <v>26564.87</v>
      </c>
      <c r="J947" s="41">
        <v>21</v>
      </c>
      <c r="K947" s="42">
        <f t="shared" si="71"/>
        <v>4.8236122251870281E-2</v>
      </c>
      <c r="L947" s="43">
        <f t="shared" si="72"/>
        <v>10.142941142780778</v>
      </c>
      <c r="M947" s="43">
        <f t="shared" si="73"/>
        <v>9.1429411427807779</v>
      </c>
      <c r="N947" s="43">
        <f t="shared" si="74"/>
        <v>0.90154313446005563</v>
      </c>
      <c r="O947" s="1" t="str">
        <f t="shared" si="70"/>
        <v>Normal</v>
      </c>
      <c r="P947" s="51" t="str">
        <f>IF(Table4[[#This Row],[Sales]]&lt;=$B$3,"Normal","High Revenue")</f>
        <v>Normal</v>
      </c>
      <c r="Q947" s="51" t="str">
        <f>IF(Table4[[#This Row],[CTR]]&lt;=$B$4,"Normal","High CTR")</f>
        <v>Normal</v>
      </c>
      <c r="R947" s="51" t="str">
        <f>IF(Table4[[#This Row],[ROAS]]&lt;1,"Poor",IF(Table4[[#This Row],[ROAS]]&lt;3,"Average",IF(Table4[[#This Row],[ROAS]]&lt;5,"Good",
"Excellent")))</f>
        <v>Excellent</v>
      </c>
      <c r="S947" s="51" t="str">
        <f>IF(AND(Table4[[#This Row],[USD_Spend]]&gt;=$B$5,Table4[[#This Row],[Sales]]&lt;=$B$6),"Wasted Budget","Spend Justified")</f>
        <v>Spend Justified</v>
      </c>
      <c r="T947" s="51" t="str">
        <f>IF(AND(Table4[[#This Row],[Clicks]]&gt;=$B$7,Table4[[#This Row],[Sales]]&lt;=$B$6),"Poor Monetization","Normal Monitization")</f>
        <v>Normal Monitization</v>
      </c>
    </row>
    <row r="948" spans="1:20" x14ac:dyDescent="0.35">
      <c r="A948" s="38" t="s">
        <v>118</v>
      </c>
      <c r="B948" s="38" t="s">
        <v>48</v>
      </c>
      <c r="C948" s="38" t="s">
        <v>58</v>
      </c>
      <c r="D948" s="38" t="s">
        <v>63</v>
      </c>
      <c r="E948" s="38" t="s">
        <v>30</v>
      </c>
      <c r="F948" s="38">
        <v>3736.07</v>
      </c>
      <c r="G948" s="38">
        <v>847995</v>
      </c>
      <c r="H948" s="38">
        <v>40445</v>
      </c>
      <c r="I948" s="38">
        <v>59040.27</v>
      </c>
      <c r="J948" s="38">
        <v>58</v>
      </c>
      <c r="K948" s="39">
        <f t="shared" si="71"/>
        <v>4.7694856691372002E-2</v>
      </c>
      <c r="L948" s="40">
        <f t="shared" si="72"/>
        <v>15.802774037959672</v>
      </c>
      <c r="M948" s="40">
        <f t="shared" si="73"/>
        <v>14.802774037959672</v>
      </c>
      <c r="N948" s="40">
        <f t="shared" si="74"/>
        <v>1.4597668438620348</v>
      </c>
      <c r="O948" s="1" t="str">
        <f t="shared" si="70"/>
        <v>Normal</v>
      </c>
      <c r="P948" s="51" t="str">
        <f>IF(Table4[[#This Row],[Sales]]&lt;=$B$3,"Normal","High Revenue")</f>
        <v>Normal</v>
      </c>
      <c r="Q948" s="51" t="str">
        <f>IF(Table4[[#This Row],[CTR]]&lt;=$B$4,"Normal","High CTR")</f>
        <v>Normal</v>
      </c>
      <c r="R948" s="51" t="str">
        <f>IF(Table4[[#This Row],[ROAS]]&lt;1,"Poor",IF(Table4[[#This Row],[ROAS]]&lt;3,"Average",IF(Table4[[#This Row],[ROAS]]&lt;5,"Good",
"Excellent")))</f>
        <v>Excellent</v>
      </c>
      <c r="S948" s="51" t="str">
        <f>IF(AND(Table4[[#This Row],[USD_Spend]]&gt;=$B$5,Table4[[#This Row],[Sales]]&lt;=$B$6),"Wasted Budget","Spend Justified")</f>
        <v>Spend Justified</v>
      </c>
      <c r="T948" s="51" t="str">
        <f>IF(AND(Table4[[#This Row],[Clicks]]&gt;=$B$7,Table4[[#This Row],[Sales]]&lt;=$B$6),"Poor Monetization","Normal Monitization")</f>
        <v>Poor Monetization</v>
      </c>
    </row>
    <row r="949" spans="1:20" x14ac:dyDescent="0.35">
      <c r="A949" s="41" t="s">
        <v>91</v>
      </c>
      <c r="B949" s="41" t="s">
        <v>28</v>
      </c>
      <c r="C949" s="41" t="s">
        <v>36</v>
      </c>
      <c r="D949" s="41" t="s">
        <v>51</v>
      </c>
      <c r="E949" s="41" t="s">
        <v>30</v>
      </c>
      <c r="F949" s="41">
        <v>8098.01</v>
      </c>
      <c r="G949" s="41">
        <v>160494</v>
      </c>
      <c r="H949" s="41">
        <v>4821</v>
      </c>
      <c r="I949" s="41">
        <v>109466.78</v>
      </c>
      <c r="J949" s="41">
        <v>31</v>
      </c>
      <c r="K949" s="42">
        <f t="shared" si="71"/>
        <v>3.0038506112378034E-2</v>
      </c>
      <c r="L949" s="43">
        <f t="shared" si="72"/>
        <v>13.517738308547408</v>
      </c>
      <c r="M949" s="43">
        <f t="shared" si="73"/>
        <v>12.517738308547409</v>
      </c>
      <c r="N949" s="43">
        <f t="shared" si="74"/>
        <v>22.706239369425429</v>
      </c>
      <c r="O949" s="1" t="str">
        <f t="shared" si="70"/>
        <v>Normal</v>
      </c>
      <c r="P949" s="51" t="str">
        <f>IF(Table4[[#This Row],[Sales]]&lt;=$B$3,"Normal","High Revenue")</f>
        <v>Normal</v>
      </c>
      <c r="Q949" s="51" t="str">
        <f>IF(Table4[[#This Row],[CTR]]&lt;=$B$4,"Normal","High CTR")</f>
        <v>Normal</v>
      </c>
      <c r="R949" s="51" t="str">
        <f>IF(Table4[[#This Row],[ROAS]]&lt;1,"Poor",IF(Table4[[#This Row],[ROAS]]&lt;3,"Average",IF(Table4[[#This Row],[ROAS]]&lt;5,"Good",
"Excellent")))</f>
        <v>Excellent</v>
      </c>
      <c r="S949" s="51" t="str">
        <f>IF(AND(Table4[[#This Row],[USD_Spend]]&gt;=$B$5,Table4[[#This Row],[Sales]]&lt;=$B$6),"Wasted Budget","Spend Justified")</f>
        <v>Spend Justified</v>
      </c>
      <c r="T949" s="51" t="str">
        <f>IF(AND(Table4[[#This Row],[Clicks]]&gt;=$B$7,Table4[[#This Row],[Sales]]&lt;=$B$6),"Poor Monetization","Normal Monitization")</f>
        <v>Normal Monitization</v>
      </c>
    </row>
    <row r="950" spans="1:20" x14ac:dyDescent="0.35">
      <c r="A950" s="38" t="s">
        <v>118</v>
      </c>
      <c r="B950" s="38" t="s">
        <v>28</v>
      </c>
      <c r="C950" s="38" t="s">
        <v>69</v>
      </c>
      <c r="D950" s="38" t="s">
        <v>63</v>
      </c>
      <c r="E950" s="38" t="s">
        <v>30</v>
      </c>
      <c r="F950" s="38">
        <v>1757.95</v>
      </c>
      <c r="G950" s="38">
        <v>445945</v>
      </c>
      <c r="H950" s="38">
        <v>531</v>
      </c>
      <c r="I950" s="38">
        <v>65102.44</v>
      </c>
      <c r="J950" s="38">
        <v>14</v>
      </c>
      <c r="K950" s="39">
        <f t="shared" si="71"/>
        <v>1.1907297985177545E-3</v>
      </c>
      <c r="L950" s="40">
        <f t="shared" si="72"/>
        <v>37.033157939645612</v>
      </c>
      <c r="M950" s="40">
        <f t="shared" si="73"/>
        <v>36.033157939645612</v>
      </c>
      <c r="N950" s="40">
        <f t="shared" si="74"/>
        <v>122.60346516007533</v>
      </c>
      <c r="O950" s="1" t="str">
        <f t="shared" si="70"/>
        <v>Normal</v>
      </c>
      <c r="P950" s="51" t="str">
        <f>IF(Table4[[#This Row],[Sales]]&lt;=$B$3,"Normal","High Revenue")</f>
        <v>Normal</v>
      </c>
      <c r="Q950" s="51" t="str">
        <f>IF(Table4[[#This Row],[CTR]]&lt;=$B$4,"Normal","High CTR")</f>
        <v>Normal</v>
      </c>
      <c r="R950" s="51" t="str">
        <f>IF(Table4[[#This Row],[ROAS]]&lt;1,"Poor",IF(Table4[[#This Row],[ROAS]]&lt;3,"Average",IF(Table4[[#This Row],[ROAS]]&lt;5,"Good",
"Excellent")))</f>
        <v>Excellent</v>
      </c>
      <c r="S950" s="51" t="str">
        <f>IF(AND(Table4[[#This Row],[USD_Spend]]&gt;=$B$5,Table4[[#This Row],[Sales]]&lt;=$B$6),"Wasted Budget","Spend Justified")</f>
        <v>Spend Justified</v>
      </c>
      <c r="T950" s="51" t="str">
        <f>IF(AND(Table4[[#This Row],[Clicks]]&gt;=$B$7,Table4[[#This Row],[Sales]]&lt;=$B$6),"Poor Monetization","Normal Monitization")</f>
        <v>Normal Monitization</v>
      </c>
    </row>
    <row r="951" spans="1:20" x14ac:dyDescent="0.35">
      <c r="A951" s="41" t="s">
        <v>57</v>
      </c>
      <c r="B951" s="41" t="s">
        <v>48</v>
      </c>
      <c r="C951" s="41" t="s">
        <v>58</v>
      </c>
      <c r="D951" s="41" t="s">
        <v>43</v>
      </c>
      <c r="E951" s="41" t="s">
        <v>38</v>
      </c>
      <c r="F951" s="41">
        <v>5428.03</v>
      </c>
      <c r="G951" s="41">
        <v>625448</v>
      </c>
      <c r="H951" s="41">
        <v>38105</v>
      </c>
      <c r="I951" s="41">
        <v>249731.07</v>
      </c>
      <c r="J951" s="41">
        <v>6</v>
      </c>
      <c r="K951" s="42">
        <f t="shared" si="71"/>
        <v>6.0924329440656934E-2</v>
      </c>
      <c r="L951" s="43">
        <f t="shared" si="72"/>
        <v>46.00768050287121</v>
      </c>
      <c r="M951" s="43">
        <f t="shared" si="73"/>
        <v>45.00768050287121</v>
      </c>
      <c r="N951" s="43">
        <f t="shared" si="74"/>
        <v>6.5537611861960379</v>
      </c>
      <c r="O951" s="1" t="str">
        <f t="shared" si="70"/>
        <v>Normal</v>
      </c>
      <c r="P951" s="51" t="str">
        <f>IF(Table4[[#This Row],[Sales]]&lt;=$B$3,"Normal","High Revenue")</f>
        <v>High Revenue</v>
      </c>
      <c r="Q951" s="51" t="str">
        <f>IF(Table4[[#This Row],[CTR]]&lt;=$B$4,"Normal","High CTR")</f>
        <v>Normal</v>
      </c>
      <c r="R951" s="51" t="str">
        <f>IF(Table4[[#This Row],[ROAS]]&lt;1,"Poor",IF(Table4[[#This Row],[ROAS]]&lt;3,"Average",IF(Table4[[#This Row],[ROAS]]&lt;5,"Good",
"Excellent")))</f>
        <v>Excellent</v>
      </c>
      <c r="S951" s="51" t="str">
        <f>IF(AND(Table4[[#This Row],[USD_Spend]]&gt;=$B$5,Table4[[#This Row],[Sales]]&lt;=$B$6),"Wasted Budget","Spend Justified")</f>
        <v>Spend Justified</v>
      </c>
      <c r="T951" s="51" t="str">
        <f>IF(AND(Table4[[#This Row],[Clicks]]&gt;=$B$7,Table4[[#This Row],[Sales]]&lt;=$B$6),"Poor Monetization","Normal Monitization")</f>
        <v>Normal Monitization</v>
      </c>
    </row>
    <row r="952" spans="1:20" x14ac:dyDescent="0.35">
      <c r="A952" s="38" t="s">
        <v>116</v>
      </c>
      <c r="B952" s="38" t="s">
        <v>48</v>
      </c>
      <c r="C952" s="38" t="s">
        <v>36</v>
      </c>
      <c r="D952" s="38" t="s">
        <v>63</v>
      </c>
      <c r="E952" s="38" t="s">
        <v>38</v>
      </c>
      <c r="F952" s="38">
        <v>29700.41</v>
      </c>
      <c r="G952" s="38">
        <v>362058</v>
      </c>
      <c r="H952" s="38">
        <v>29370</v>
      </c>
      <c r="I952" s="38">
        <v>7791.93</v>
      </c>
      <c r="J952" s="38">
        <v>51</v>
      </c>
      <c r="K952" s="39">
        <f t="shared" si="71"/>
        <v>8.1119599622159991E-2</v>
      </c>
      <c r="L952" s="40">
        <f t="shared" si="72"/>
        <v>0.26235092377512637</v>
      </c>
      <c r="M952" s="40">
        <f t="shared" si="73"/>
        <v>-0.73764907622487363</v>
      </c>
      <c r="N952" s="40">
        <f t="shared" si="74"/>
        <v>0.26530234933605723</v>
      </c>
      <c r="O952" s="1" t="str">
        <f t="shared" si="70"/>
        <v>Normal</v>
      </c>
      <c r="P952" s="51" t="str">
        <f>IF(Table4[[#This Row],[Sales]]&lt;=$B$3,"Normal","High Revenue")</f>
        <v>Normal</v>
      </c>
      <c r="Q952" s="51" t="str">
        <f>IF(Table4[[#This Row],[CTR]]&lt;=$B$4,"Normal","High CTR")</f>
        <v>Normal</v>
      </c>
      <c r="R952" s="51" t="str">
        <f>IF(Table4[[#This Row],[ROAS]]&lt;1,"Poor",IF(Table4[[#This Row],[ROAS]]&lt;3,"Average",IF(Table4[[#This Row],[ROAS]]&lt;5,"Good",
"Excellent")))</f>
        <v>Poor</v>
      </c>
      <c r="S952" s="51" t="str">
        <f>IF(AND(Table4[[#This Row],[USD_Spend]]&gt;=$B$5,Table4[[#This Row],[Sales]]&lt;=$B$6),"Wasted Budget","Spend Justified")</f>
        <v>Wasted Budget</v>
      </c>
      <c r="T952" s="51" t="str">
        <f>IF(AND(Table4[[#This Row],[Clicks]]&gt;=$B$7,Table4[[#This Row],[Sales]]&lt;=$B$6),"Poor Monetization","Normal Monitization")</f>
        <v>Normal Monitization</v>
      </c>
    </row>
    <row r="953" spans="1:20" x14ac:dyDescent="0.35">
      <c r="A953" s="41" t="s">
        <v>93</v>
      </c>
      <c r="B953" s="41" t="s">
        <v>28</v>
      </c>
      <c r="C953" s="41" t="s">
        <v>29</v>
      </c>
      <c r="D953" s="41" t="s">
        <v>21</v>
      </c>
      <c r="E953" s="41" t="s">
        <v>22</v>
      </c>
      <c r="F953" s="41">
        <v>18579.37</v>
      </c>
      <c r="G953" s="41">
        <v>276641</v>
      </c>
      <c r="H953" s="41">
        <v>40132</v>
      </c>
      <c r="I953" s="41">
        <v>53000.76</v>
      </c>
      <c r="J953" s="41">
        <v>51</v>
      </c>
      <c r="K953" s="42">
        <f t="shared" si="71"/>
        <v>0.14506887988403744</v>
      </c>
      <c r="L953" s="43">
        <f t="shared" si="72"/>
        <v>2.8526672325272604</v>
      </c>
      <c r="M953" s="43">
        <f t="shared" si="73"/>
        <v>1.8526672325272602</v>
      </c>
      <c r="N953" s="43">
        <f t="shared" si="74"/>
        <v>1.3206608192963223</v>
      </c>
      <c r="O953" s="1" t="str">
        <f t="shared" si="70"/>
        <v>Normal</v>
      </c>
      <c r="P953" s="51" t="str">
        <f>IF(Table4[[#This Row],[Sales]]&lt;=$B$3,"Normal","High Revenue")</f>
        <v>Normal</v>
      </c>
      <c r="Q953" s="51" t="str">
        <f>IF(Table4[[#This Row],[CTR]]&lt;=$B$4,"Normal","High CTR")</f>
        <v>Normal</v>
      </c>
      <c r="R953" s="51" t="str">
        <f>IF(Table4[[#This Row],[ROAS]]&lt;1,"Poor",IF(Table4[[#This Row],[ROAS]]&lt;3,"Average",IF(Table4[[#This Row],[ROAS]]&lt;5,"Good",
"Excellent")))</f>
        <v>Average</v>
      </c>
      <c r="S953" s="51" t="str">
        <f>IF(AND(Table4[[#This Row],[USD_Spend]]&gt;=$B$5,Table4[[#This Row],[Sales]]&lt;=$B$6),"Wasted Budget","Spend Justified")</f>
        <v>Wasted Budget</v>
      </c>
      <c r="T953" s="51" t="str">
        <f>IF(AND(Table4[[#This Row],[Clicks]]&gt;=$B$7,Table4[[#This Row],[Sales]]&lt;=$B$6),"Poor Monetization","Normal Monitization")</f>
        <v>Poor Monetization</v>
      </c>
    </row>
    <row r="954" spans="1:20" x14ac:dyDescent="0.35">
      <c r="A954" s="38" t="s">
        <v>109</v>
      </c>
      <c r="B954" s="38" t="s">
        <v>19</v>
      </c>
      <c r="C954" s="38" t="s">
        <v>36</v>
      </c>
      <c r="D954" s="38" t="s">
        <v>63</v>
      </c>
      <c r="E954" s="38" t="s">
        <v>22</v>
      </c>
      <c r="F954" s="38">
        <v>5735.32</v>
      </c>
      <c r="G954" s="38">
        <v>769767</v>
      </c>
      <c r="H954" s="38">
        <v>2495</v>
      </c>
      <c r="I954" s="38">
        <v>117545.26</v>
      </c>
      <c r="J954" s="38">
        <v>39</v>
      </c>
      <c r="K954" s="39">
        <f t="shared" si="71"/>
        <v>3.2412405312256826E-3</v>
      </c>
      <c r="L954" s="40">
        <f t="shared" si="72"/>
        <v>20.49497848419966</v>
      </c>
      <c r="M954" s="40">
        <f t="shared" si="73"/>
        <v>19.494978484199663</v>
      </c>
      <c r="N954" s="40">
        <f t="shared" si="74"/>
        <v>47.112328657314627</v>
      </c>
      <c r="O954" s="1" t="str">
        <f t="shared" si="70"/>
        <v>Normal</v>
      </c>
      <c r="P954" s="51" t="str">
        <f>IF(Table4[[#This Row],[Sales]]&lt;=$B$3,"Normal","High Revenue")</f>
        <v>Normal</v>
      </c>
      <c r="Q954" s="51" t="str">
        <f>IF(Table4[[#This Row],[CTR]]&lt;=$B$4,"Normal","High CTR")</f>
        <v>Normal</v>
      </c>
      <c r="R954" s="51" t="str">
        <f>IF(Table4[[#This Row],[ROAS]]&lt;1,"Poor",IF(Table4[[#This Row],[ROAS]]&lt;3,"Average",IF(Table4[[#This Row],[ROAS]]&lt;5,"Good",
"Excellent")))</f>
        <v>Excellent</v>
      </c>
      <c r="S954" s="51" t="str">
        <f>IF(AND(Table4[[#This Row],[USD_Spend]]&gt;=$B$5,Table4[[#This Row],[Sales]]&lt;=$B$6),"Wasted Budget","Spend Justified")</f>
        <v>Spend Justified</v>
      </c>
      <c r="T954" s="51" t="str">
        <f>IF(AND(Table4[[#This Row],[Clicks]]&gt;=$B$7,Table4[[#This Row],[Sales]]&lt;=$B$6),"Poor Monetization","Normal Monitization")</f>
        <v>Normal Monitization</v>
      </c>
    </row>
    <row r="955" spans="1:20" x14ac:dyDescent="0.35">
      <c r="A955" s="41" t="s">
        <v>98</v>
      </c>
      <c r="B955" s="41" t="s">
        <v>19</v>
      </c>
      <c r="C955" s="41" t="s">
        <v>58</v>
      </c>
      <c r="D955" s="41" t="s">
        <v>43</v>
      </c>
      <c r="E955" s="41" t="s">
        <v>38</v>
      </c>
      <c r="F955" s="41">
        <v>5921.47</v>
      </c>
      <c r="G955" s="41">
        <v>345281</v>
      </c>
      <c r="H955" s="41">
        <v>47751</v>
      </c>
      <c r="I955" s="41">
        <v>228972.61</v>
      </c>
      <c r="J955" s="41">
        <v>46</v>
      </c>
      <c r="K955" s="42">
        <f t="shared" si="71"/>
        <v>0.13829605451791441</v>
      </c>
      <c r="L955" s="43">
        <f t="shared" si="72"/>
        <v>38.668204010152877</v>
      </c>
      <c r="M955" s="43">
        <f t="shared" si="73"/>
        <v>37.668204010152877</v>
      </c>
      <c r="N955" s="43">
        <f t="shared" si="74"/>
        <v>4.7951374840317476</v>
      </c>
      <c r="O955" s="1" t="str">
        <f t="shared" si="70"/>
        <v>Normal</v>
      </c>
      <c r="P955" s="51" t="str">
        <f>IF(Table4[[#This Row],[Sales]]&lt;=$B$3,"Normal","High Revenue")</f>
        <v>Normal</v>
      </c>
      <c r="Q955" s="51" t="str">
        <f>IF(Table4[[#This Row],[CTR]]&lt;=$B$4,"Normal","High CTR")</f>
        <v>Normal</v>
      </c>
      <c r="R955" s="51" t="str">
        <f>IF(Table4[[#This Row],[ROAS]]&lt;1,"Poor",IF(Table4[[#This Row],[ROAS]]&lt;3,"Average",IF(Table4[[#This Row],[ROAS]]&lt;5,"Good",
"Excellent")))</f>
        <v>Excellent</v>
      </c>
      <c r="S955" s="51" t="str">
        <f>IF(AND(Table4[[#This Row],[USD_Spend]]&gt;=$B$5,Table4[[#This Row],[Sales]]&lt;=$B$6),"Wasted Budget","Spend Justified")</f>
        <v>Spend Justified</v>
      </c>
      <c r="T955" s="51" t="str">
        <f>IF(AND(Table4[[#This Row],[Clicks]]&gt;=$B$7,Table4[[#This Row],[Sales]]&lt;=$B$6),"Poor Monetization","Normal Monitization")</f>
        <v>Normal Monitization</v>
      </c>
    </row>
    <row r="956" spans="1:20" x14ac:dyDescent="0.35">
      <c r="A956" s="38" t="s">
        <v>90</v>
      </c>
      <c r="B956" s="38" t="s">
        <v>48</v>
      </c>
      <c r="C956" s="38" t="s">
        <v>69</v>
      </c>
      <c r="D956" s="38" t="s">
        <v>51</v>
      </c>
      <c r="E956" s="38" t="s">
        <v>30</v>
      </c>
      <c r="F956" s="38">
        <v>30580.97</v>
      </c>
      <c r="G956" s="38">
        <v>218205</v>
      </c>
      <c r="H956" s="38">
        <v>5199</v>
      </c>
      <c r="I956" s="38">
        <v>182067.3</v>
      </c>
      <c r="J956" s="38">
        <v>6</v>
      </c>
      <c r="K956" s="39">
        <f t="shared" si="71"/>
        <v>2.382621846428817E-2</v>
      </c>
      <c r="L956" s="40">
        <f t="shared" si="72"/>
        <v>5.9536142901941957</v>
      </c>
      <c r="M956" s="40">
        <f t="shared" si="73"/>
        <v>4.9536142901941957</v>
      </c>
      <c r="N956" s="40">
        <f t="shared" si="74"/>
        <v>35.019676860934794</v>
      </c>
      <c r="O956" s="1" t="str">
        <f t="shared" si="70"/>
        <v>Normal</v>
      </c>
      <c r="P956" s="51" t="str">
        <f>IF(Table4[[#This Row],[Sales]]&lt;=$B$3,"Normal","High Revenue")</f>
        <v>Normal</v>
      </c>
      <c r="Q956" s="51" t="str">
        <f>IF(Table4[[#This Row],[CTR]]&lt;=$B$4,"Normal","High CTR")</f>
        <v>Normal</v>
      </c>
      <c r="R956" s="51" t="str">
        <f>IF(Table4[[#This Row],[ROAS]]&lt;1,"Poor",IF(Table4[[#This Row],[ROAS]]&lt;3,"Average",IF(Table4[[#This Row],[ROAS]]&lt;5,"Good",
"Excellent")))</f>
        <v>Excellent</v>
      </c>
      <c r="S956" s="51" t="str">
        <f>IF(AND(Table4[[#This Row],[USD_Spend]]&gt;=$B$5,Table4[[#This Row],[Sales]]&lt;=$B$6),"Wasted Budget","Spend Justified")</f>
        <v>Spend Justified</v>
      </c>
      <c r="T956" s="51" t="str">
        <f>IF(AND(Table4[[#This Row],[Clicks]]&gt;=$B$7,Table4[[#This Row],[Sales]]&lt;=$B$6),"Poor Monetization","Normal Monitization")</f>
        <v>Normal Monitization</v>
      </c>
    </row>
    <row r="957" spans="1:20" x14ac:dyDescent="0.35">
      <c r="A957" s="41" t="s">
        <v>93</v>
      </c>
      <c r="B957" s="41" t="s">
        <v>48</v>
      </c>
      <c r="C957" s="41" t="s">
        <v>29</v>
      </c>
      <c r="D957" s="41" t="s">
        <v>37</v>
      </c>
      <c r="E957" s="41" t="s">
        <v>22</v>
      </c>
      <c r="F957" s="41">
        <v>10293.200000000001</v>
      </c>
      <c r="G957" s="41">
        <v>640437</v>
      </c>
      <c r="H957" s="41">
        <v>15575</v>
      </c>
      <c r="I957" s="41">
        <v>104437.16</v>
      </c>
      <c r="J957" s="41">
        <v>24</v>
      </c>
      <c r="K957" s="42">
        <f t="shared" si="71"/>
        <v>2.4319331956148691E-2</v>
      </c>
      <c r="L957" s="43">
        <f t="shared" si="72"/>
        <v>10.146228578090389</v>
      </c>
      <c r="M957" s="43">
        <f t="shared" si="73"/>
        <v>9.1462285780903905</v>
      </c>
      <c r="N957" s="43">
        <f t="shared" si="74"/>
        <v>6.705435634028893</v>
      </c>
      <c r="O957" s="1" t="str">
        <f t="shared" si="70"/>
        <v>Normal</v>
      </c>
      <c r="P957" s="51" t="str">
        <f>IF(Table4[[#This Row],[Sales]]&lt;=$B$3,"Normal","High Revenue")</f>
        <v>Normal</v>
      </c>
      <c r="Q957" s="51" t="str">
        <f>IF(Table4[[#This Row],[CTR]]&lt;=$B$4,"Normal","High CTR")</f>
        <v>Normal</v>
      </c>
      <c r="R957" s="51" t="str">
        <f>IF(Table4[[#This Row],[ROAS]]&lt;1,"Poor",IF(Table4[[#This Row],[ROAS]]&lt;3,"Average",IF(Table4[[#This Row],[ROAS]]&lt;5,"Good",
"Excellent")))</f>
        <v>Excellent</v>
      </c>
      <c r="S957" s="51" t="str">
        <f>IF(AND(Table4[[#This Row],[USD_Spend]]&gt;=$B$5,Table4[[#This Row],[Sales]]&lt;=$B$6),"Wasted Budget","Spend Justified")</f>
        <v>Spend Justified</v>
      </c>
      <c r="T957" s="51" t="str">
        <f>IF(AND(Table4[[#This Row],[Clicks]]&gt;=$B$7,Table4[[#This Row],[Sales]]&lt;=$B$6),"Poor Monetization","Normal Monitization")</f>
        <v>Normal Monitization</v>
      </c>
    </row>
    <row r="958" spans="1:20" x14ac:dyDescent="0.35">
      <c r="A958" s="38" t="s">
        <v>86</v>
      </c>
      <c r="B958" s="38" t="s">
        <v>35</v>
      </c>
      <c r="C958" s="38" t="s">
        <v>69</v>
      </c>
      <c r="D958" s="38" t="s">
        <v>59</v>
      </c>
      <c r="E958" s="38" t="s">
        <v>30</v>
      </c>
      <c r="F958" s="38">
        <v>8614.0300000000007</v>
      </c>
      <c r="G958" s="38">
        <v>199131</v>
      </c>
      <c r="H958" s="38">
        <v>26873</v>
      </c>
      <c r="I958" s="38">
        <v>199153.57</v>
      </c>
      <c r="J958" s="38">
        <v>24</v>
      </c>
      <c r="K958" s="39">
        <f t="shared" si="71"/>
        <v>0.13495136367516861</v>
      </c>
      <c r="L958" s="40">
        <f t="shared" si="72"/>
        <v>23.119674530968663</v>
      </c>
      <c r="M958" s="40">
        <f t="shared" si="73"/>
        <v>22.119674530968663</v>
      </c>
      <c r="N958" s="40">
        <f t="shared" si="74"/>
        <v>7.4109169054441262</v>
      </c>
      <c r="O958" s="1" t="str">
        <f t="shared" si="70"/>
        <v>Normal</v>
      </c>
      <c r="P958" s="51" t="str">
        <f>IF(Table4[[#This Row],[Sales]]&lt;=$B$3,"Normal","High Revenue")</f>
        <v>Normal</v>
      </c>
      <c r="Q958" s="51" t="str">
        <f>IF(Table4[[#This Row],[CTR]]&lt;=$B$4,"Normal","High CTR")</f>
        <v>Normal</v>
      </c>
      <c r="R958" s="51" t="str">
        <f>IF(Table4[[#This Row],[ROAS]]&lt;1,"Poor",IF(Table4[[#This Row],[ROAS]]&lt;3,"Average",IF(Table4[[#This Row],[ROAS]]&lt;5,"Good",
"Excellent")))</f>
        <v>Excellent</v>
      </c>
      <c r="S958" s="51" t="str">
        <f>IF(AND(Table4[[#This Row],[USD_Spend]]&gt;=$B$5,Table4[[#This Row],[Sales]]&lt;=$B$6),"Wasted Budget","Spend Justified")</f>
        <v>Spend Justified</v>
      </c>
      <c r="T958" s="51" t="str">
        <f>IF(AND(Table4[[#This Row],[Clicks]]&gt;=$B$7,Table4[[#This Row],[Sales]]&lt;=$B$6),"Poor Monetization","Normal Monitization")</f>
        <v>Normal Monitization</v>
      </c>
    </row>
    <row r="959" spans="1:20" x14ac:dyDescent="0.35">
      <c r="A959" s="41" t="s">
        <v>111</v>
      </c>
      <c r="B959" s="41" t="s">
        <v>19</v>
      </c>
      <c r="C959" s="41" t="s">
        <v>20</v>
      </c>
      <c r="D959" s="41" t="s">
        <v>37</v>
      </c>
      <c r="E959" s="41" t="s">
        <v>30</v>
      </c>
      <c r="F959" s="41">
        <v>17464.150000000001</v>
      </c>
      <c r="G959" s="41">
        <v>102422</v>
      </c>
      <c r="H959" s="41">
        <v>4299</v>
      </c>
      <c r="I959" s="41">
        <v>69457.539999999994</v>
      </c>
      <c r="J959" s="41">
        <v>15</v>
      </c>
      <c r="K959" s="42">
        <f t="shared" si="71"/>
        <v>4.1973404151451836E-2</v>
      </c>
      <c r="L959" s="43">
        <f t="shared" si="72"/>
        <v>3.9771497610819875</v>
      </c>
      <c r="M959" s="43">
        <f t="shared" si="73"/>
        <v>2.9771497610819875</v>
      </c>
      <c r="N959" s="43">
        <f t="shared" si="74"/>
        <v>16.156673645033727</v>
      </c>
      <c r="O959" s="1" t="str">
        <f t="shared" si="70"/>
        <v>Normal</v>
      </c>
      <c r="P959" s="51" t="str">
        <f>IF(Table4[[#This Row],[Sales]]&lt;=$B$3,"Normal","High Revenue")</f>
        <v>Normal</v>
      </c>
      <c r="Q959" s="51" t="str">
        <f>IF(Table4[[#This Row],[CTR]]&lt;=$B$4,"Normal","High CTR")</f>
        <v>Normal</v>
      </c>
      <c r="R959" s="51" t="str">
        <f>IF(Table4[[#This Row],[ROAS]]&lt;1,"Poor",IF(Table4[[#This Row],[ROAS]]&lt;3,"Average",IF(Table4[[#This Row],[ROAS]]&lt;5,"Good",
"Excellent")))</f>
        <v>Good</v>
      </c>
      <c r="S959" s="51" t="str">
        <f>IF(AND(Table4[[#This Row],[USD_Spend]]&gt;=$B$5,Table4[[#This Row],[Sales]]&lt;=$B$6),"Wasted Budget","Spend Justified")</f>
        <v>Spend Justified</v>
      </c>
      <c r="T959" s="51" t="str">
        <f>IF(AND(Table4[[#This Row],[Clicks]]&gt;=$B$7,Table4[[#This Row],[Sales]]&lt;=$B$6),"Poor Monetization","Normal Monitization")</f>
        <v>Normal Monitization</v>
      </c>
    </row>
    <row r="960" spans="1:20" x14ac:dyDescent="0.35">
      <c r="A960" s="38" t="s">
        <v>91</v>
      </c>
      <c r="B960" s="38" t="s">
        <v>19</v>
      </c>
      <c r="C960" s="38" t="s">
        <v>29</v>
      </c>
      <c r="D960" s="38" t="s">
        <v>59</v>
      </c>
      <c r="E960" s="38" t="s">
        <v>30</v>
      </c>
      <c r="F960" s="38">
        <v>17482.740000000002</v>
      </c>
      <c r="G960" s="38">
        <v>922677</v>
      </c>
      <c r="H960" s="38">
        <v>22298</v>
      </c>
      <c r="I960" s="38">
        <v>202036.97</v>
      </c>
      <c r="J960" s="38">
        <v>36</v>
      </c>
      <c r="K960" s="39">
        <f t="shared" si="71"/>
        <v>2.4166636862087167E-2</v>
      </c>
      <c r="L960" s="40">
        <f t="shared" si="72"/>
        <v>11.556367594553256</v>
      </c>
      <c r="M960" s="40">
        <f t="shared" si="73"/>
        <v>10.556367594553256</v>
      </c>
      <c r="N960" s="40">
        <f t="shared" si="74"/>
        <v>9.0607664364516989</v>
      </c>
      <c r="O960" s="1" t="str">
        <f t="shared" si="70"/>
        <v>Normal</v>
      </c>
      <c r="P960" s="51" t="str">
        <f>IF(Table4[[#This Row],[Sales]]&lt;=$B$3,"Normal","High Revenue")</f>
        <v>Normal</v>
      </c>
      <c r="Q960" s="51" t="str">
        <f>IF(Table4[[#This Row],[CTR]]&lt;=$B$4,"Normal","High CTR")</f>
        <v>Normal</v>
      </c>
      <c r="R960" s="51" t="str">
        <f>IF(Table4[[#This Row],[ROAS]]&lt;1,"Poor",IF(Table4[[#This Row],[ROAS]]&lt;3,"Average",IF(Table4[[#This Row],[ROAS]]&lt;5,"Good",
"Excellent")))</f>
        <v>Excellent</v>
      </c>
      <c r="S960" s="51" t="str">
        <f>IF(AND(Table4[[#This Row],[USD_Spend]]&gt;=$B$5,Table4[[#This Row],[Sales]]&lt;=$B$6),"Wasted Budget","Spend Justified")</f>
        <v>Spend Justified</v>
      </c>
      <c r="T960" s="51" t="str">
        <f>IF(AND(Table4[[#This Row],[Clicks]]&gt;=$B$7,Table4[[#This Row],[Sales]]&lt;=$B$6),"Poor Monetization","Normal Monitization")</f>
        <v>Normal Monitization</v>
      </c>
    </row>
    <row r="961" spans="1:20" x14ac:dyDescent="0.35">
      <c r="A961" s="41" t="s">
        <v>81</v>
      </c>
      <c r="B961" s="41" t="s">
        <v>19</v>
      </c>
      <c r="C961" s="41" t="s">
        <v>36</v>
      </c>
      <c r="D961" s="41" t="s">
        <v>21</v>
      </c>
      <c r="E961" s="41" t="s">
        <v>30</v>
      </c>
      <c r="F961" s="41">
        <v>6781.15</v>
      </c>
      <c r="G961" s="41">
        <v>955404</v>
      </c>
      <c r="H961" s="41">
        <v>40388</v>
      </c>
      <c r="I961" s="41">
        <v>151954.38</v>
      </c>
      <c r="J961" s="41">
        <v>15</v>
      </c>
      <c r="K961" s="42">
        <f t="shared" si="71"/>
        <v>4.2273216356640754E-2</v>
      </c>
      <c r="L961" s="43">
        <f t="shared" si="72"/>
        <v>22.408349616215542</v>
      </c>
      <c r="M961" s="43">
        <f t="shared" si="73"/>
        <v>21.408349616215542</v>
      </c>
      <c r="N961" s="43">
        <f t="shared" si="74"/>
        <v>3.7623645637318015</v>
      </c>
      <c r="O961" s="1" t="str">
        <f t="shared" si="70"/>
        <v>Normal</v>
      </c>
      <c r="P961" s="51" t="str">
        <f>IF(Table4[[#This Row],[Sales]]&lt;=$B$3,"Normal","High Revenue")</f>
        <v>Normal</v>
      </c>
      <c r="Q961" s="51" t="str">
        <f>IF(Table4[[#This Row],[CTR]]&lt;=$B$4,"Normal","High CTR")</f>
        <v>Normal</v>
      </c>
      <c r="R961" s="51" t="str">
        <f>IF(Table4[[#This Row],[ROAS]]&lt;1,"Poor",IF(Table4[[#This Row],[ROAS]]&lt;3,"Average",IF(Table4[[#This Row],[ROAS]]&lt;5,"Good",
"Excellent")))</f>
        <v>Excellent</v>
      </c>
      <c r="S961" s="51" t="str">
        <f>IF(AND(Table4[[#This Row],[USD_Spend]]&gt;=$B$5,Table4[[#This Row],[Sales]]&lt;=$B$6),"Wasted Budget","Spend Justified")</f>
        <v>Spend Justified</v>
      </c>
      <c r="T961" s="51" t="str">
        <f>IF(AND(Table4[[#This Row],[Clicks]]&gt;=$B$7,Table4[[#This Row],[Sales]]&lt;=$B$6),"Poor Monetization","Normal Monitization")</f>
        <v>Normal Monitization</v>
      </c>
    </row>
    <row r="962" spans="1:20" x14ac:dyDescent="0.35">
      <c r="A962" s="38" t="s">
        <v>108</v>
      </c>
      <c r="B962" s="38" t="s">
        <v>28</v>
      </c>
      <c r="C962" s="38" t="s">
        <v>36</v>
      </c>
      <c r="D962" s="38" t="s">
        <v>63</v>
      </c>
      <c r="E962" s="38" t="s">
        <v>30</v>
      </c>
      <c r="F962" s="38">
        <v>6414.09</v>
      </c>
      <c r="G962" s="38">
        <v>552985</v>
      </c>
      <c r="H962" s="38">
        <v>43611</v>
      </c>
      <c r="I962" s="38">
        <v>214954.26</v>
      </c>
      <c r="J962" s="38">
        <v>28</v>
      </c>
      <c r="K962" s="39">
        <f t="shared" si="71"/>
        <v>7.8864706999285689E-2</v>
      </c>
      <c r="L962" s="40">
        <f t="shared" si="72"/>
        <v>33.512822551601239</v>
      </c>
      <c r="M962" s="40">
        <f t="shared" si="73"/>
        <v>32.512822551601239</v>
      </c>
      <c r="N962" s="40">
        <f t="shared" si="74"/>
        <v>4.9289000481529888</v>
      </c>
      <c r="O962" s="1" t="str">
        <f t="shared" si="70"/>
        <v>Normal</v>
      </c>
      <c r="P962" s="51" t="str">
        <f>IF(Table4[[#This Row],[Sales]]&lt;=$B$3,"Normal","High Revenue")</f>
        <v>Normal</v>
      </c>
      <c r="Q962" s="51" t="str">
        <f>IF(Table4[[#This Row],[CTR]]&lt;=$B$4,"Normal","High CTR")</f>
        <v>Normal</v>
      </c>
      <c r="R962" s="51" t="str">
        <f>IF(Table4[[#This Row],[ROAS]]&lt;1,"Poor",IF(Table4[[#This Row],[ROAS]]&lt;3,"Average",IF(Table4[[#This Row],[ROAS]]&lt;5,"Good",
"Excellent")))</f>
        <v>Excellent</v>
      </c>
      <c r="S962" s="51" t="str">
        <f>IF(AND(Table4[[#This Row],[USD_Spend]]&gt;=$B$5,Table4[[#This Row],[Sales]]&lt;=$B$6),"Wasted Budget","Spend Justified")</f>
        <v>Spend Justified</v>
      </c>
      <c r="T962" s="51" t="str">
        <f>IF(AND(Table4[[#This Row],[Clicks]]&gt;=$B$7,Table4[[#This Row],[Sales]]&lt;=$B$6),"Poor Monetization","Normal Monitization")</f>
        <v>Normal Monitization</v>
      </c>
    </row>
    <row r="963" spans="1:20" x14ac:dyDescent="0.35">
      <c r="A963" s="41" t="s">
        <v>92</v>
      </c>
      <c r="B963" s="41" t="s">
        <v>28</v>
      </c>
      <c r="C963" s="41" t="s">
        <v>69</v>
      </c>
      <c r="D963" s="41" t="s">
        <v>59</v>
      </c>
      <c r="E963" s="41" t="s">
        <v>30</v>
      </c>
      <c r="F963" s="41">
        <v>399.73</v>
      </c>
      <c r="G963" s="41">
        <v>917088</v>
      </c>
      <c r="H963" s="41">
        <v>45044</v>
      </c>
      <c r="I963" s="41">
        <v>195686.35</v>
      </c>
      <c r="J963" s="41">
        <v>48</v>
      </c>
      <c r="K963" s="42">
        <f t="shared" si="71"/>
        <v>4.9116333438012492E-2</v>
      </c>
      <c r="L963" s="43">
        <f t="shared" si="72"/>
        <v>489.54631876516646</v>
      </c>
      <c r="M963" s="43">
        <f t="shared" si="73"/>
        <v>488.54631876516646</v>
      </c>
      <c r="N963" s="43">
        <f t="shared" si="74"/>
        <v>4.3443377586360006</v>
      </c>
      <c r="O963" s="1" t="str">
        <f t="shared" si="70"/>
        <v>Normal</v>
      </c>
      <c r="P963" s="51" t="str">
        <f>IF(Table4[[#This Row],[Sales]]&lt;=$B$3,"Normal","High Revenue")</f>
        <v>Normal</v>
      </c>
      <c r="Q963" s="51" t="str">
        <f>IF(Table4[[#This Row],[CTR]]&lt;=$B$4,"Normal","High CTR")</f>
        <v>Normal</v>
      </c>
      <c r="R963" s="51" t="str">
        <f>IF(Table4[[#This Row],[ROAS]]&lt;1,"Poor",IF(Table4[[#This Row],[ROAS]]&lt;3,"Average",IF(Table4[[#This Row],[ROAS]]&lt;5,"Good",
"Excellent")))</f>
        <v>Excellent</v>
      </c>
      <c r="S963" s="51" t="str">
        <f>IF(AND(Table4[[#This Row],[USD_Spend]]&gt;=$B$5,Table4[[#This Row],[Sales]]&lt;=$B$6),"Wasted Budget","Spend Justified")</f>
        <v>Spend Justified</v>
      </c>
      <c r="T963" s="51" t="str">
        <f>IF(AND(Table4[[#This Row],[Clicks]]&gt;=$B$7,Table4[[#This Row],[Sales]]&lt;=$B$6),"Poor Monetization","Normal Monitization")</f>
        <v>Normal Monitization</v>
      </c>
    </row>
    <row r="964" spans="1:20" x14ac:dyDescent="0.35">
      <c r="A964" s="38" t="s">
        <v>27</v>
      </c>
      <c r="B964" s="38" t="s">
        <v>48</v>
      </c>
      <c r="C964" s="38" t="s">
        <v>29</v>
      </c>
      <c r="D964" s="38" t="s">
        <v>63</v>
      </c>
      <c r="E964" s="38" t="s">
        <v>38</v>
      </c>
      <c r="F964" s="38">
        <v>38744.910000000003</v>
      </c>
      <c r="G964" s="38">
        <v>689091</v>
      </c>
      <c r="H964" s="38">
        <v>24200</v>
      </c>
      <c r="I964" s="38">
        <v>190001.39</v>
      </c>
      <c r="J964" s="38">
        <v>20</v>
      </c>
      <c r="K964" s="39">
        <f t="shared" si="71"/>
        <v>3.5118728876157142E-2</v>
      </c>
      <c r="L964" s="40">
        <f t="shared" si="72"/>
        <v>4.9039058291785942</v>
      </c>
      <c r="M964" s="40">
        <f t="shared" si="73"/>
        <v>3.9039058291785937</v>
      </c>
      <c r="N964" s="40">
        <f t="shared" si="74"/>
        <v>7.8512971074380173</v>
      </c>
      <c r="O964" s="1" t="str">
        <f t="shared" si="70"/>
        <v>Normal</v>
      </c>
      <c r="P964" s="51" t="str">
        <f>IF(Table4[[#This Row],[Sales]]&lt;=$B$3,"Normal","High Revenue")</f>
        <v>Normal</v>
      </c>
      <c r="Q964" s="51" t="str">
        <f>IF(Table4[[#This Row],[CTR]]&lt;=$B$4,"Normal","High CTR")</f>
        <v>Normal</v>
      </c>
      <c r="R964" s="51" t="str">
        <f>IF(Table4[[#This Row],[ROAS]]&lt;1,"Poor",IF(Table4[[#This Row],[ROAS]]&lt;3,"Average",IF(Table4[[#This Row],[ROAS]]&lt;5,"Good",
"Excellent")))</f>
        <v>Good</v>
      </c>
      <c r="S964" s="51" t="str">
        <f>IF(AND(Table4[[#This Row],[USD_Spend]]&gt;=$B$5,Table4[[#This Row],[Sales]]&lt;=$B$6),"Wasted Budget","Spend Justified")</f>
        <v>Spend Justified</v>
      </c>
      <c r="T964" s="51" t="str">
        <f>IF(AND(Table4[[#This Row],[Clicks]]&gt;=$B$7,Table4[[#This Row],[Sales]]&lt;=$B$6),"Poor Monetization","Normal Monitization")</f>
        <v>Normal Monitization</v>
      </c>
    </row>
    <row r="965" spans="1:20" x14ac:dyDescent="0.35">
      <c r="A965" s="41" t="s">
        <v>102</v>
      </c>
      <c r="B965" s="41" t="s">
        <v>19</v>
      </c>
      <c r="C965" s="41" t="s">
        <v>20</v>
      </c>
      <c r="D965" s="41" t="s">
        <v>21</v>
      </c>
      <c r="E965" s="41" t="s">
        <v>38</v>
      </c>
      <c r="F965" s="41">
        <v>18334.580000000002</v>
      </c>
      <c r="G965" s="41">
        <v>292400</v>
      </c>
      <c r="H965" s="41">
        <v>39041</v>
      </c>
      <c r="I965" s="41">
        <v>166211.54</v>
      </c>
      <c r="J965" s="41">
        <v>51</v>
      </c>
      <c r="K965" s="42">
        <f t="shared" si="71"/>
        <v>0.13351915184678523</v>
      </c>
      <c r="L965" s="43">
        <f t="shared" si="72"/>
        <v>9.0654675482067208</v>
      </c>
      <c r="M965" s="43">
        <f t="shared" si="73"/>
        <v>8.0654675482067226</v>
      </c>
      <c r="N965" s="43">
        <f t="shared" si="74"/>
        <v>4.2573586742142879</v>
      </c>
      <c r="O965" s="1" t="str">
        <f t="shared" si="70"/>
        <v>Normal</v>
      </c>
      <c r="P965" s="51" t="str">
        <f>IF(Table4[[#This Row],[Sales]]&lt;=$B$3,"Normal","High Revenue")</f>
        <v>Normal</v>
      </c>
      <c r="Q965" s="51" t="str">
        <f>IF(Table4[[#This Row],[CTR]]&lt;=$B$4,"Normal","High CTR")</f>
        <v>Normal</v>
      </c>
      <c r="R965" s="51" t="str">
        <f>IF(Table4[[#This Row],[ROAS]]&lt;1,"Poor",IF(Table4[[#This Row],[ROAS]]&lt;3,"Average",IF(Table4[[#This Row],[ROAS]]&lt;5,"Good",
"Excellent")))</f>
        <v>Excellent</v>
      </c>
      <c r="S965" s="51" t="str">
        <f>IF(AND(Table4[[#This Row],[USD_Spend]]&gt;=$B$5,Table4[[#This Row],[Sales]]&lt;=$B$6),"Wasted Budget","Spend Justified")</f>
        <v>Spend Justified</v>
      </c>
      <c r="T965" s="51" t="str">
        <f>IF(AND(Table4[[#This Row],[Clicks]]&gt;=$B$7,Table4[[#This Row],[Sales]]&lt;=$B$6),"Poor Monetization","Normal Monitization")</f>
        <v>Normal Monitization</v>
      </c>
    </row>
    <row r="966" spans="1:20" x14ac:dyDescent="0.35">
      <c r="A966" s="38" t="s">
        <v>42</v>
      </c>
      <c r="B966" s="38" t="s">
        <v>19</v>
      </c>
      <c r="C966" s="38" t="s">
        <v>58</v>
      </c>
      <c r="D966" s="38" t="s">
        <v>37</v>
      </c>
      <c r="E966" s="38" t="s">
        <v>38</v>
      </c>
      <c r="F966" s="38">
        <v>6007.65</v>
      </c>
      <c r="G966" s="38">
        <v>866375</v>
      </c>
      <c r="H966" s="38">
        <v>29665</v>
      </c>
      <c r="I966" s="38">
        <v>221734.29</v>
      </c>
      <c r="J966" s="38">
        <v>33</v>
      </c>
      <c r="K966" s="39">
        <f t="shared" si="71"/>
        <v>3.4240369355071416E-2</v>
      </c>
      <c r="L966" s="40">
        <f t="shared" si="72"/>
        <v>36.908656463009663</v>
      </c>
      <c r="M966" s="40">
        <f t="shared" si="73"/>
        <v>35.90865646300967</v>
      </c>
      <c r="N966" s="40">
        <f t="shared" si="74"/>
        <v>7.474609472442272</v>
      </c>
      <c r="O966" s="1" t="str">
        <f t="shared" si="70"/>
        <v>Normal</v>
      </c>
      <c r="P966" s="51" t="str">
        <f>IF(Table4[[#This Row],[Sales]]&lt;=$B$3,"Normal","High Revenue")</f>
        <v>Normal</v>
      </c>
      <c r="Q966" s="51" t="str">
        <f>IF(Table4[[#This Row],[CTR]]&lt;=$B$4,"Normal","High CTR")</f>
        <v>Normal</v>
      </c>
      <c r="R966" s="51" t="str">
        <f>IF(Table4[[#This Row],[ROAS]]&lt;1,"Poor",IF(Table4[[#This Row],[ROAS]]&lt;3,"Average",IF(Table4[[#This Row],[ROAS]]&lt;5,"Good",
"Excellent")))</f>
        <v>Excellent</v>
      </c>
      <c r="S966" s="51" t="str">
        <f>IF(AND(Table4[[#This Row],[USD_Spend]]&gt;=$B$5,Table4[[#This Row],[Sales]]&lt;=$B$6),"Wasted Budget","Spend Justified")</f>
        <v>Spend Justified</v>
      </c>
      <c r="T966" s="51" t="str">
        <f>IF(AND(Table4[[#This Row],[Clicks]]&gt;=$B$7,Table4[[#This Row],[Sales]]&lt;=$B$6),"Poor Monetization","Normal Monitization")</f>
        <v>Normal Monitization</v>
      </c>
    </row>
    <row r="967" spans="1:20" x14ac:dyDescent="0.35">
      <c r="A967" s="41" t="s">
        <v>57</v>
      </c>
      <c r="B967" s="41" t="s">
        <v>48</v>
      </c>
      <c r="C967" s="41" t="s">
        <v>20</v>
      </c>
      <c r="D967" s="41" t="s">
        <v>59</v>
      </c>
      <c r="E967" s="41" t="s">
        <v>38</v>
      </c>
      <c r="F967" s="41">
        <v>19423.009999999998</v>
      </c>
      <c r="G967" s="41">
        <v>306439</v>
      </c>
      <c r="H967" s="41">
        <v>7571</v>
      </c>
      <c r="I967" s="41">
        <v>197266.22</v>
      </c>
      <c r="J967" s="41">
        <v>12</v>
      </c>
      <c r="K967" s="42">
        <f t="shared" si="71"/>
        <v>2.4706385283857473E-2</v>
      </c>
      <c r="L967" s="43">
        <f t="shared" si="72"/>
        <v>10.156315627701371</v>
      </c>
      <c r="M967" s="43">
        <f t="shared" si="73"/>
        <v>9.1563156277013711</v>
      </c>
      <c r="N967" s="43">
        <f t="shared" si="74"/>
        <v>26.055503896446968</v>
      </c>
      <c r="O967" s="1" t="str">
        <f t="shared" si="70"/>
        <v>Normal</v>
      </c>
      <c r="P967" s="51" t="str">
        <f>IF(Table4[[#This Row],[Sales]]&lt;=$B$3,"Normal","High Revenue")</f>
        <v>Normal</v>
      </c>
      <c r="Q967" s="51" t="str">
        <f>IF(Table4[[#This Row],[CTR]]&lt;=$B$4,"Normal","High CTR")</f>
        <v>Normal</v>
      </c>
      <c r="R967" s="51" t="str">
        <f>IF(Table4[[#This Row],[ROAS]]&lt;1,"Poor",IF(Table4[[#This Row],[ROAS]]&lt;3,"Average",IF(Table4[[#This Row],[ROAS]]&lt;5,"Good",
"Excellent")))</f>
        <v>Excellent</v>
      </c>
      <c r="S967" s="51" t="str">
        <f>IF(AND(Table4[[#This Row],[USD_Spend]]&gt;=$B$5,Table4[[#This Row],[Sales]]&lt;=$B$6),"Wasted Budget","Spend Justified")</f>
        <v>Spend Justified</v>
      </c>
      <c r="T967" s="51" t="str">
        <f>IF(AND(Table4[[#This Row],[Clicks]]&gt;=$B$7,Table4[[#This Row],[Sales]]&lt;=$B$6),"Poor Monetization","Normal Monitization")</f>
        <v>Normal Monitization</v>
      </c>
    </row>
    <row r="968" spans="1:20" x14ac:dyDescent="0.35">
      <c r="A968" s="38" t="s">
        <v>109</v>
      </c>
      <c r="B968" s="38" t="s">
        <v>19</v>
      </c>
      <c r="C968" s="38" t="s">
        <v>58</v>
      </c>
      <c r="D968" s="38" t="s">
        <v>21</v>
      </c>
      <c r="E968" s="38" t="s">
        <v>22</v>
      </c>
      <c r="F968" s="38">
        <v>26965.16</v>
      </c>
      <c r="G968" s="38">
        <v>733153</v>
      </c>
      <c r="H968" s="38">
        <v>34549</v>
      </c>
      <c r="I968" s="38">
        <v>212287.09</v>
      </c>
      <c r="J968" s="38">
        <v>18</v>
      </c>
      <c r="K968" s="39">
        <f t="shared" si="71"/>
        <v>4.7123860913069984E-2</v>
      </c>
      <c r="L968" s="40">
        <f t="shared" si="72"/>
        <v>7.8726434406471162</v>
      </c>
      <c r="M968" s="40">
        <f t="shared" si="73"/>
        <v>6.8726434406471162</v>
      </c>
      <c r="N968" s="40">
        <f t="shared" si="74"/>
        <v>6.1445219832701383</v>
      </c>
      <c r="O968" s="1" t="str">
        <f t="shared" si="70"/>
        <v>Normal</v>
      </c>
      <c r="P968" s="51" t="str">
        <f>IF(Table4[[#This Row],[Sales]]&lt;=$B$3,"Normal","High Revenue")</f>
        <v>Normal</v>
      </c>
      <c r="Q968" s="51" t="str">
        <f>IF(Table4[[#This Row],[CTR]]&lt;=$B$4,"Normal","High CTR")</f>
        <v>Normal</v>
      </c>
      <c r="R968" s="51" t="str">
        <f>IF(Table4[[#This Row],[ROAS]]&lt;1,"Poor",IF(Table4[[#This Row],[ROAS]]&lt;3,"Average",IF(Table4[[#This Row],[ROAS]]&lt;5,"Good",
"Excellent")))</f>
        <v>Excellent</v>
      </c>
      <c r="S968" s="51" t="str">
        <f>IF(AND(Table4[[#This Row],[USD_Spend]]&gt;=$B$5,Table4[[#This Row],[Sales]]&lt;=$B$6),"Wasted Budget","Spend Justified")</f>
        <v>Spend Justified</v>
      </c>
      <c r="T968" s="51" t="str">
        <f>IF(AND(Table4[[#This Row],[Clicks]]&gt;=$B$7,Table4[[#This Row],[Sales]]&lt;=$B$6),"Poor Monetization","Normal Monitization")</f>
        <v>Normal Monitization</v>
      </c>
    </row>
    <row r="969" spans="1:20" x14ac:dyDescent="0.35">
      <c r="A969" s="41" t="s">
        <v>87</v>
      </c>
      <c r="B969" s="41" t="s">
        <v>48</v>
      </c>
      <c r="C969" s="41" t="s">
        <v>58</v>
      </c>
      <c r="D969" s="41" t="s">
        <v>51</v>
      </c>
      <c r="E969" s="41" t="s">
        <v>30</v>
      </c>
      <c r="F969" s="41">
        <v>3900.13</v>
      </c>
      <c r="G969" s="41">
        <v>616472</v>
      </c>
      <c r="H969" s="41">
        <v>6486</v>
      </c>
      <c r="I969" s="41">
        <v>13939.06</v>
      </c>
      <c r="J969" s="41">
        <v>60</v>
      </c>
      <c r="K969" s="42">
        <f t="shared" si="71"/>
        <v>1.0521159111849362E-2</v>
      </c>
      <c r="L969" s="43">
        <f t="shared" si="72"/>
        <v>3.5739988154241011</v>
      </c>
      <c r="M969" s="43">
        <f t="shared" si="73"/>
        <v>2.5739988154241011</v>
      </c>
      <c r="N969" s="43">
        <f t="shared" si="74"/>
        <v>2.1490995991366018</v>
      </c>
      <c r="O969" s="1" t="str">
        <f t="shared" si="70"/>
        <v>Normal</v>
      </c>
      <c r="P969" s="51" t="str">
        <f>IF(Table4[[#This Row],[Sales]]&lt;=$B$3,"Normal","High Revenue")</f>
        <v>Normal</v>
      </c>
      <c r="Q969" s="51" t="str">
        <f>IF(Table4[[#This Row],[CTR]]&lt;=$B$4,"Normal","High CTR")</f>
        <v>Normal</v>
      </c>
      <c r="R969" s="51" t="str">
        <f>IF(Table4[[#This Row],[ROAS]]&lt;1,"Poor",IF(Table4[[#This Row],[ROAS]]&lt;3,"Average",IF(Table4[[#This Row],[ROAS]]&lt;5,"Good",
"Excellent")))</f>
        <v>Good</v>
      </c>
      <c r="S969" s="51" t="str">
        <f>IF(AND(Table4[[#This Row],[USD_Spend]]&gt;=$B$5,Table4[[#This Row],[Sales]]&lt;=$B$6),"Wasted Budget","Spend Justified")</f>
        <v>Spend Justified</v>
      </c>
      <c r="T969" s="51" t="str">
        <f>IF(AND(Table4[[#This Row],[Clicks]]&gt;=$B$7,Table4[[#This Row],[Sales]]&lt;=$B$6),"Poor Monetization","Normal Monitization")</f>
        <v>Normal Monitization</v>
      </c>
    </row>
    <row r="970" spans="1:20" x14ac:dyDescent="0.35">
      <c r="A970" s="38" t="s">
        <v>119</v>
      </c>
      <c r="B970" s="38" t="s">
        <v>48</v>
      </c>
      <c r="C970" s="38" t="s">
        <v>58</v>
      </c>
      <c r="D970" s="38" t="s">
        <v>63</v>
      </c>
      <c r="E970" s="38" t="s">
        <v>22</v>
      </c>
      <c r="F970" s="38">
        <v>569.62</v>
      </c>
      <c r="G970" s="38">
        <v>997555</v>
      </c>
      <c r="H970" s="38">
        <v>37531</v>
      </c>
      <c r="I970" s="38">
        <v>109493.13</v>
      </c>
      <c r="J970" s="38">
        <v>58</v>
      </c>
      <c r="K970" s="39">
        <f t="shared" si="71"/>
        <v>3.7622988206164068E-2</v>
      </c>
      <c r="L970" s="40">
        <f t="shared" si="72"/>
        <v>192.22135809838139</v>
      </c>
      <c r="M970" s="40">
        <f t="shared" si="73"/>
        <v>191.22135809838139</v>
      </c>
      <c r="N970" s="40">
        <f t="shared" si="74"/>
        <v>2.917405078468466</v>
      </c>
      <c r="O970" s="1" t="str">
        <f t="shared" ref="O970:O1009" si="75">IF(F970&lt;=$B$2,"Normal","High Spend")</f>
        <v>Normal</v>
      </c>
      <c r="P970" s="51" t="str">
        <f>IF(Table4[[#This Row],[Sales]]&lt;=$B$3,"Normal","High Revenue")</f>
        <v>Normal</v>
      </c>
      <c r="Q970" s="51" t="str">
        <f>IF(Table4[[#This Row],[CTR]]&lt;=$B$4,"Normal","High CTR")</f>
        <v>Normal</v>
      </c>
      <c r="R970" s="51" t="str">
        <f>IF(Table4[[#This Row],[ROAS]]&lt;1,"Poor",IF(Table4[[#This Row],[ROAS]]&lt;3,"Average",IF(Table4[[#This Row],[ROAS]]&lt;5,"Good",
"Excellent")))</f>
        <v>Excellent</v>
      </c>
      <c r="S970" s="51" t="str">
        <f>IF(AND(Table4[[#This Row],[USD_Spend]]&gt;=$B$5,Table4[[#This Row],[Sales]]&lt;=$B$6),"Wasted Budget","Spend Justified")</f>
        <v>Spend Justified</v>
      </c>
      <c r="T970" s="51" t="str">
        <f>IF(AND(Table4[[#This Row],[Clicks]]&gt;=$B$7,Table4[[#This Row],[Sales]]&lt;=$B$6),"Poor Monetization","Normal Monitization")</f>
        <v>Normal Monitization</v>
      </c>
    </row>
    <row r="971" spans="1:20" x14ac:dyDescent="0.35">
      <c r="A971" s="41" t="s">
        <v>103</v>
      </c>
      <c r="B971" s="41" t="s">
        <v>48</v>
      </c>
      <c r="C971" s="41" t="s">
        <v>36</v>
      </c>
      <c r="D971" s="41" t="s">
        <v>63</v>
      </c>
      <c r="E971" s="41" t="s">
        <v>38</v>
      </c>
      <c r="F971" s="41">
        <v>14709.6</v>
      </c>
      <c r="G971" s="41">
        <v>588043</v>
      </c>
      <c r="H971" s="41">
        <v>9579</v>
      </c>
      <c r="I971" s="41">
        <v>98978.57</v>
      </c>
      <c r="J971" s="41">
        <v>36</v>
      </c>
      <c r="K971" s="42">
        <f t="shared" ref="K971:K1009" si="76">H971/G971</f>
        <v>1.628962507843814E-2</v>
      </c>
      <c r="L971" s="43">
        <f t="shared" ref="L971:L1009" si="77">I971/F971</f>
        <v>6.7288417088160113</v>
      </c>
      <c r="M971" s="43">
        <f t="shared" ref="M971:M1009" si="78">(I971-F971)/F971</f>
        <v>5.7288417088160113</v>
      </c>
      <c r="N971" s="43">
        <f t="shared" ref="N971:N1009" si="79">I971/H971</f>
        <v>10.332870863346905</v>
      </c>
      <c r="O971" s="1" t="str">
        <f t="shared" si="75"/>
        <v>Normal</v>
      </c>
      <c r="P971" s="51" t="str">
        <f>IF(Table4[[#This Row],[Sales]]&lt;=$B$3,"Normal","High Revenue")</f>
        <v>Normal</v>
      </c>
      <c r="Q971" s="51" t="str">
        <f>IF(Table4[[#This Row],[CTR]]&lt;=$B$4,"Normal","High CTR")</f>
        <v>Normal</v>
      </c>
      <c r="R971" s="51" t="str">
        <f>IF(Table4[[#This Row],[ROAS]]&lt;1,"Poor",IF(Table4[[#This Row],[ROAS]]&lt;3,"Average",IF(Table4[[#This Row],[ROAS]]&lt;5,"Good",
"Excellent")))</f>
        <v>Excellent</v>
      </c>
      <c r="S971" s="51" t="str">
        <f>IF(AND(Table4[[#This Row],[USD_Spend]]&gt;=$B$5,Table4[[#This Row],[Sales]]&lt;=$B$6),"Wasted Budget","Spend Justified")</f>
        <v>Spend Justified</v>
      </c>
      <c r="T971" s="51" t="str">
        <f>IF(AND(Table4[[#This Row],[Clicks]]&gt;=$B$7,Table4[[#This Row],[Sales]]&lt;=$B$6),"Poor Monetization","Normal Monitization")</f>
        <v>Normal Monitization</v>
      </c>
    </row>
    <row r="972" spans="1:20" x14ac:dyDescent="0.35">
      <c r="A972" s="38" t="s">
        <v>78</v>
      </c>
      <c r="B972" s="38" t="s">
        <v>19</v>
      </c>
      <c r="C972" s="38" t="s">
        <v>29</v>
      </c>
      <c r="D972" s="38" t="s">
        <v>43</v>
      </c>
      <c r="E972" s="38" t="s">
        <v>22</v>
      </c>
      <c r="F972" s="38">
        <v>26329.759999999998</v>
      </c>
      <c r="G972" s="38">
        <v>334065</v>
      </c>
      <c r="H972" s="38">
        <v>11605</v>
      </c>
      <c r="I972" s="38">
        <v>125156.92</v>
      </c>
      <c r="J972" s="38">
        <v>57</v>
      </c>
      <c r="K972" s="39">
        <f t="shared" si="76"/>
        <v>3.4738748447158484E-2</v>
      </c>
      <c r="L972" s="40">
        <f t="shared" si="77"/>
        <v>4.7534394540626277</v>
      </c>
      <c r="M972" s="40">
        <f t="shared" si="78"/>
        <v>3.7534394540626277</v>
      </c>
      <c r="N972" s="40">
        <f t="shared" si="79"/>
        <v>10.784741059887979</v>
      </c>
      <c r="O972" s="1" t="str">
        <f t="shared" si="75"/>
        <v>Normal</v>
      </c>
      <c r="P972" s="51" t="str">
        <f>IF(Table4[[#This Row],[Sales]]&lt;=$B$3,"Normal","High Revenue")</f>
        <v>Normal</v>
      </c>
      <c r="Q972" s="51" t="str">
        <f>IF(Table4[[#This Row],[CTR]]&lt;=$B$4,"Normal","High CTR")</f>
        <v>Normal</v>
      </c>
      <c r="R972" s="51" t="str">
        <f>IF(Table4[[#This Row],[ROAS]]&lt;1,"Poor",IF(Table4[[#This Row],[ROAS]]&lt;3,"Average",IF(Table4[[#This Row],[ROAS]]&lt;5,"Good",
"Excellent")))</f>
        <v>Good</v>
      </c>
      <c r="S972" s="51" t="str">
        <f>IF(AND(Table4[[#This Row],[USD_Spend]]&gt;=$B$5,Table4[[#This Row],[Sales]]&lt;=$B$6),"Wasted Budget","Spend Justified")</f>
        <v>Spend Justified</v>
      </c>
      <c r="T972" s="51" t="str">
        <f>IF(AND(Table4[[#This Row],[Clicks]]&gt;=$B$7,Table4[[#This Row],[Sales]]&lt;=$B$6),"Poor Monetization","Normal Monitization")</f>
        <v>Normal Monitization</v>
      </c>
    </row>
    <row r="973" spans="1:20" x14ac:dyDescent="0.35">
      <c r="A973" s="41" t="s">
        <v>94</v>
      </c>
      <c r="B973" s="41" t="s">
        <v>28</v>
      </c>
      <c r="C973" s="41" t="s">
        <v>69</v>
      </c>
      <c r="D973" s="41" t="s">
        <v>63</v>
      </c>
      <c r="E973" s="41" t="s">
        <v>38</v>
      </c>
      <c r="F973" s="41">
        <v>16158.8</v>
      </c>
      <c r="G973" s="41">
        <v>38206</v>
      </c>
      <c r="H973" s="41">
        <v>41070</v>
      </c>
      <c r="I973" s="41">
        <v>88607.85</v>
      </c>
      <c r="J973" s="41">
        <v>29</v>
      </c>
      <c r="K973" s="42">
        <f t="shared" si="76"/>
        <v>1.0749620478458881</v>
      </c>
      <c r="L973" s="43">
        <f t="shared" si="77"/>
        <v>5.4835662301656072</v>
      </c>
      <c r="M973" s="43">
        <f t="shared" si="78"/>
        <v>4.4835662301656072</v>
      </c>
      <c r="N973" s="43">
        <f t="shared" si="79"/>
        <v>2.1574835646457271</v>
      </c>
      <c r="O973" s="1" t="str">
        <f t="shared" si="75"/>
        <v>Normal</v>
      </c>
      <c r="P973" s="51" t="str">
        <f>IF(Table4[[#This Row],[Sales]]&lt;=$B$3,"Normal","High Revenue")</f>
        <v>Normal</v>
      </c>
      <c r="Q973" s="51" t="str">
        <f>IF(Table4[[#This Row],[CTR]]&lt;=$B$4,"Normal","High CTR")</f>
        <v>High CTR</v>
      </c>
      <c r="R973" s="51" t="str">
        <f>IF(Table4[[#This Row],[ROAS]]&lt;1,"Poor",IF(Table4[[#This Row],[ROAS]]&lt;3,"Average",IF(Table4[[#This Row],[ROAS]]&lt;5,"Good",
"Excellent")))</f>
        <v>Excellent</v>
      </c>
      <c r="S973" s="51" t="str">
        <f>IF(AND(Table4[[#This Row],[USD_Spend]]&gt;=$B$5,Table4[[#This Row],[Sales]]&lt;=$B$6),"Wasted Budget","Spend Justified")</f>
        <v>Spend Justified</v>
      </c>
      <c r="T973" s="51" t="str">
        <f>IF(AND(Table4[[#This Row],[Clicks]]&gt;=$B$7,Table4[[#This Row],[Sales]]&lt;=$B$6),"Poor Monetization","Normal Monitization")</f>
        <v>Normal Monitization</v>
      </c>
    </row>
    <row r="974" spans="1:20" x14ac:dyDescent="0.35">
      <c r="A974" s="38" t="s">
        <v>64</v>
      </c>
      <c r="B974" s="38" t="s">
        <v>19</v>
      </c>
      <c r="C974" s="38" t="s">
        <v>36</v>
      </c>
      <c r="D974" s="38" t="s">
        <v>51</v>
      </c>
      <c r="E974" s="38" t="s">
        <v>38</v>
      </c>
      <c r="F974" s="38">
        <v>6791</v>
      </c>
      <c r="G974" s="38">
        <v>140182</v>
      </c>
      <c r="H974" s="38">
        <v>35139</v>
      </c>
      <c r="I974" s="38">
        <v>186654.39</v>
      </c>
      <c r="J974" s="38">
        <v>7</v>
      </c>
      <c r="K974" s="39">
        <f t="shared" si="76"/>
        <v>0.25066699005578463</v>
      </c>
      <c r="L974" s="40">
        <f t="shared" si="77"/>
        <v>27.485552937711681</v>
      </c>
      <c r="M974" s="40">
        <f t="shared" si="78"/>
        <v>26.485552937711681</v>
      </c>
      <c r="N974" s="40">
        <f t="shared" si="79"/>
        <v>5.3118867924528308</v>
      </c>
      <c r="O974" s="1" t="str">
        <f t="shared" si="75"/>
        <v>Normal</v>
      </c>
      <c r="P974" s="51" t="str">
        <f>IF(Table4[[#This Row],[Sales]]&lt;=$B$3,"Normal","High Revenue")</f>
        <v>Normal</v>
      </c>
      <c r="Q974" s="51" t="str">
        <f>IF(Table4[[#This Row],[CTR]]&lt;=$B$4,"Normal","High CTR")</f>
        <v>Normal</v>
      </c>
      <c r="R974" s="51" t="str">
        <f>IF(Table4[[#This Row],[ROAS]]&lt;1,"Poor",IF(Table4[[#This Row],[ROAS]]&lt;3,"Average",IF(Table4[[#This Row],[ROAS]]&lt;5,"Good",
"Excellent")))</f>
        <v>Excellent</v>
      </c>
      <c r="S974" s="51" t="str">
        <f>IF(AND(Table4[[#This Row],[USD_Spend]]&gt;=$B$5,Table4[[#This Row],[Sales]]&lt;=$B$6),"Wasted Budget","Spend Justified")</f>
        <v>Spend Justified</v>
      </c>
      <c r="T974" s="51" t="str">
        <f>IF(AND(Table4[[#This Row],[Clicks]]&gt;=$B$7,Table4[[#This Row],[Sales]]&lt;=$B$6),"Poor Monetization","Normal Monitization")</f>
        <v>Normal Monitization</v>
      </c>
    </row>
    <row r="975" spans="1:20" x14ac:dyDescent="0.35">
      <c r="A975" s="41" t="s">
        <v>84</v>
      </c>
      <c r="B975" s="41" t="s">
        <v>28</v>
      </c>
      <c r="C975" s="41" t="s">
        <v>69</v>
      </c>
      <c r="D975" s="41" t="s">
        <v>51</v>
      </c>
      <c r="E975" s="41" t="s">
        <v>30</v>
      </c>
      <c r="F975" s="41">
        <v>37783.93</v>
      </c>
      <c r="G975" s="41">
        <v>734233</v>
      </c>
      <c r="H975" s="41">
        <v>44113</v>
      </c>
      <c r="I975" s="41">
        <v>63720.58</v>
      </c>
      <c r="J975" s="41">
        <v>53</v>
      </c>
      <c r="K975" s="42">
        <f t="shared" si="76"/>
        <v>6.0080383202607349E-2</v>
      </c>
      <c r="L975" s="43">
        <f t="shared" si="77"/>
        <v>1.686446592506391</v>
      </c>
      <c r="M975" s="43">
        <f t="shared" si="78"/>
        <v>0.68644659250639095</v>
      </c>
      <c r="N975" s="43">
        <f t="shared" si="79"/>
        <v>1.4444852991181738</v>
      </c>
      <c r="O975" s="1" t="str">
        <f t="shared" si="75"/>
        <v>Normal</v>
      </c>
      <c r="P975" s="51" t="str">
        <f>IF(Table4[[#This Row],[Sales]]&lt;=$B$3,"Normal","High Revenue")</f>
        <v>Normal</v>
      </c>
      <c r="Q975" s="51" t="str">
        <f>IF(Table4[[#This Row],[CTR]]&lt;=$B$4,"Normal","High CTR")</f>
        <v>Normal</v>
      </c>
      <c r="R975" s="51" t="str">
        <f>IF(Table4[[#This Row],[ROAS]]&lt;1,"Poor",IF(Table4[[#This Row],[ROAS]]&lt;3,"Average",IF(Table4[[#This Row],[ROAS]]&lt;5,"Good",
"Excellent")))</f>
        <v>Average</v>
      </c>
      <c r="S975" s="51" t="str">
        <f>IF(AND(Table4[[#This Row],[USD_Spend]]&gt;=$B$5,Table4[[#This Row],[Sales]]&lt;=$B$6),"Wasted Budget","Spend Justified")</f>
        <v>Wasted Budget</v>
      </c>
      <c r="T975" s="51" t="str">
        <f>IF(AND(Table4[[#This Row],[Clicks]]&gt;=$B$7,Table4[[#This Row],[Sales]]&lt;=$B$6),"Poor Monetization","Normal Monitization")</f>
        <v>Poor Monetization</v>
      </c>
    </row>
    <row r="976" spans="1:20" x14ac:dyDescent="0.35">
      <c r="A976" s="38" t="s">
        <v>100</v>
      </c>
      <c r="B976" s="38" t="s">
        <v>48</v>
      </c>
      <c r="C976" s="38" t="s">
        <v>69</v>
      </c>
      <c r="D976" s="38" t="s">
        <v>63</v>
      </c>
      <c r="E976" s="38" t="s">
        <v>30</v>
      </c>
      <c r="F976" s="38">
        <v>20320.740000000002</v>
      </c>
      <c r="G976" s="38">
        <v>471607</v>
      </c>
      <c r="H976" s="38">
        <v>22037</v>
      </c>
      <c r="I976" s="38">
        <v>110500.97</v>
      </c>
      <c r="J976" s="38">
        <v>45</v>
      </c>
      <c r="K976" s="39">
        <f t="shared" si="76"/>
        <v>4.672746587730886E-2</v>
      </c>
      <c r="L976" s="40">
        <f t="shared" si="77"/>
        <v>5.437841830563257</v>
      </c>
      <c r="M976" s="40">
        <f t="shared" si="78"/>
        <v>4.4378418305632561</v>
      </c>
      <c r="N976" s="40">
        <f t="shared" si="79"/>
        <v>5.014338158551527</v>
      </c>
      <c r="O976" s="1" t="str">
        <f t="shared" si="75"/>
        <v>Normal</v>
      </c>
      <c r="P976" s="51" t="str">
        <f>IF(Table4[[#This Row],[Sales]]&lt;=$B$3,"Normal","High Revenue")</f>
        <v>Normal</v>
      </c>
      <c r="Q976" s="51" t="str">
        <f>IF(Table4[[#This Row],[CTR]]&lt;=$B$4,"Normal","High CTR")</f>
        <v>Normal</v>
      </c>
      <c r="R976" s="51" t="str">
        <f>IF(Table4[[#This Row],[ROAS]]&lt;1,"Poor",IF(Table4[[#This Row],[ROAS]]&lt;3,"Average",IF(Table4[[#This Row],[ROAS]]&lt;5,"Good",
"Excellent")))</f>
        <v>Excellent</v>
      </c>
      <c r="S976" s="51" t="str">
        <f>IF(AND(Table4[[#This Row],[USD_Spend]]&gt;=$B$5,Table4[[#This Row],[Sales]]&lt;=$B$6),"Wasted Budget","Spend Justified")</f>
        <v>Spend Justified</v>
      </c>
      <c r="T976" s="51" t="str">
        <f>IF(AND(Table4[[#This Row],[Clicks]]&gt;=$B$7,Table4[[#This Row],[Sales]]&lt;=$B$6),"Poor Monetization","Normal Monitization")</f>
        <v>Normal Monitization</v>
      </c>
    </row>
    <row r="977" spans="1:20" x14ac:dyDescent="0.35">
      <c r="A977" s="41" t="s">
        <v>117</v>
      </c>
      <c r="B977" s="41" t="s">
        <v>48</v>
      </c>
      <c r="C977" s="41" t="s">
        <v>29</v>
      </c>
      <c r="D977" s="41" t="s">
        <v>63</v>
      </c>
      <c r="E977" s="41" t="s">
        <v>38</v>
      </c>
      <c r="F977" s="41">
        <v>3653.26</v>
      </c>
      <c r="G977" s="41">
        <v>823331</v>
      </c>
      <c r="H977" s="41">
        <v>25817</v>
      </c>
      <c r="I977" s="41">
        <v>22489.25</v>
      </c>
      <c r="J977" s="41">
        <v>54</v>
      </c>
      <c r="K977" s="42">
        <f t="shared" si="76"/>
        <v>3.1356769027280643E-2</v>
      </c>
      <c r="L977" s="43">
        <f t="shared" si="77"/>
        <v>6.1559401739815938</v>
      </c>
      <c r="M977" s="43">
        <f t="shared" si="78"/>
        <v>5.1559401739815938</v>
      </c>
      <c r="N977" s="43">
        <f t="shared" si="79"/>
        <v>0.87110237440446214</v>
      </c>
      <c r="O977" s="1" t="str">
        <f t="shared" si="75"/>
        <v>Normal</v>
      </c>
      <c r="P977" s="51" t="str">
        <f>IF(Table4[[#This Row],[Sales]]&lt;=$B$3,"Normal","High Revenue")</f>
        <v>Normal</v>
      </c>
      <c r="Q977" s="51" t="str">
        <f>IF(Table4[[#This Row],[CTR]]&lt;=$B$4,"Normal","High CTR")</f>
        <v>Normal</v>
      </c>
      <c r="R977" s="51" t="str">
        <f>IF(Table4[[#This Row],[ROAS]]&lt;1,"Poor",IF(Table4[[#This Row],[ROAS]]&lt;3,"Average",IF(Table4[[#This Row],[ROAS]]&lt;5,"Good",
"Excellent")))</f>
        <v>Excellent</v>
      </c>
      <c r="S977" s="51" t="str">
        <f>IF(AND(Table4[[#This Row],[USD_Spend]]&gt;=$B$5,Table4[[#This Row],[Sales]]&lt;=$B$6),"Wasted Budget","Spend Justified")</f>
        <v>Spend Justified</v>
      </c>
      <c r="T977" s="51" t="str">
        <f>IF(AND(Table4[[#This Row],[Clicks]]&gt;=$B$7,Table4[[#This Row],[Sales]]&lt;=$B$6),"Poor Monetization","Normal Monitization")</f>
        <v>Normal Monitization</v>
      </c>
    </row>
    <row r="978" spans="1:20" x14ac:dyDescent="0.35">
      <c r="A978" s="38" t="s">
        <v>106</v>
      </c>
      <c r="B978" s="38" t="s">
        <v>35</v>
      </c>
      <c r="C978" s="38" t="s">
        <v>29</v>
      </c>
      <c r="D978" s="38" t="s">
        <v>37</v>
      </c>
      <c r="E978" s="38" t="s">
        <v>38</v>
      </c>
      <c r="F978" s="38">
        <v>714.77</v>
      </c>
      <c r="G978" s="38">
        <v>345209</v>
      </c>
      <c r="H978" s="38">
        <v>30314</v>
      </c>
      <c r="I978" s="38">
        <v>220187.73</v>
      </c>
      <c r="J978" s="38">
        <v>22</v>
      </c>
      <c r="K978" s="39">
        <f t="shared" si="76"/>
        <v>8.7813469521362417E-2</v>
      </c>
      <c r="L978" s="40">
        <f t="shared" si="77"/>
        <v>308.05396141416122</v>
      </c>
      <c r="M978" s="40">
        <f t="shared" si="78"/>
        <v>307.05396141416122</v>
      </c>
      <c r="N978" s="40">
        <f t="shared" si="79"/>
        <v>7.2635656792241212</v>
      </c>
      <c r="O978" s="1" t="str">
        <f t="shared" si="75"/>
        <v>Normal</v>
      </c>
      <c r="P978" s="51" t="str">
        <f>IF(Table4[[#This Row],[Sales]]&lt;=$B$3,"Normal","High Revenue")</f>
        <v>Normal</v>
      </c>
      <c r="Q978" s="51" t="str">
        <f>IF(Table4[[#This Row],[CTR]]&lt;=$B$4,"Normal","High CTR")</f>
        <v>Normal</v>
      </c>
      <c r="R978" s="51" t="str">
        <f>IF(Table4[[#This Row],[ROAS]]&lt;1,"Poor",IF(Table4[[#This Row],[ROAS]]&lt;3,"Average",IF(Table4[[#This Row],[ROAS]]&lt;5,"Good",
"Excellent")))</f>
        <v>Excellent</v>
      </c>
      <c r="S978" s="51" t="str">
        <f>IF(AND(Table4[[#This Row],[USD_Spend]]&gt;=$B$5,Table4[[#This Row],[Sales]]&lt;=$B$6),"Wasted Budget","Spend Justified")</f>
        <v>Spend Justified</v>
      </c>
      <c r="T978" s="51" t="str">
        <f>IF(AND(Table4[[#This Row],[Clicks]]&gt;=$B$7,Table4[[#This Row],[Sales]]&lt;=$B$6),"Poor Monetization","Normal Monitization")</f>
        <v>Normal Monitization</v>
      </c>
    </row>
    <row r="979" spans="1:20" x14ac:dyDescent="0.35">
      <c r="A979" s="41" t="s">
        <v>106</v>
      </c>
      <c r="B979" s="41" t="s">
        <v>35</v>
      </c>
      <c r="C979" s="41" t="s">
        <v>20</v>
      </c>
      <c r="D979" s="41" t="s">
        <v>59</v>
      </c>
      <c r="E979" s="41" t="s">
        <v>30</v>
      </c>
      <c r="F979" s="41">
        <v>44427.44</v>
      </c>
      <c r="G979" s="41">
        <v>199934</v>
      </c>
      <c r="H979" s="41">
        <v>19353</v>
      </c>
      <c r="I979" s="41">
        <v>28912.75</v>
      </c>
      <c r="J979" s="41">
        <v>16</v>
      </c>
      <c r="K979" s="42">
        <f t="shared" si="76"/>
        <v>9.6796942991187088E-2</v>
      </c>
      <c r="L979" s="43">
        <f t="shared" si="77"/>
        <v>0.6507858656722062</v>
      </c>
      <c r="M979" s="43">
        <f t="shared" si="78"/>
        <v>-0.34921413432779386</v>
      </c>
      <c r="N979" s="43">
        <f t="shared" si="79"/>
        <v>1.4939673435643053</v>
      </c>
      <c r="O979" s="1" t="str">
        <f t="shared" si="75"/>
        <v>High Spend</v>
      </c>
      <c r="P979" s="51" t="str">
        <f>IF(Table4[[#This Row],[Sales]]&lt;=$B$3,"Normal","High Revenue")</f>
        <v>Normal</v>
      </c>
      <c r="Q979" s="51" t="str">
        <f>IF(Table4[[#This Row],[CTR]]&lt;=$B$4,"Normal","High CTR")</f>
        <v>Normal</v>
      </c>
      <c r="R979" s="51" t="str">
        <f>IF(Table4[[#This Row],[ROAS]]&lt;1,"Poor",IF(Table4[[#This Row],[ROAS]]&lt;3,"Average",IF(Table4[[#This Row],[ROAS]]&lt;5,"Good",
"Excellent")))</f>
        <v>Poor</v>
      </c>
      <c r="S979" s="51" t="str">
        <f>IF(AND(Table4[[#This Row],[USD_Spend]]&gt;=$B$5,Table4[[#This Row],[Sales]]&lt;=$B$6),"Wasted Budget","Spend Justified")</f>
        <v>Wasted Budget</v>
      </c>
      <c r="T979" s="51" t="str">
        <f>IF(AND(Table4[[#This Row],[Clicks]]&gt;=$B$7,Table4[[#This Row],[Sales]]&lt;=$B$6),"Poor Monetization","Normal Monitization")</f>
        <v>Normal Monitization</v>
      </c>
    </row>
    <row r="980" spans="1:20" x14ac:dyDescent="0.35">
      <c r="A980" s="38" t="s">
        <v>64</v>
      </c>
      <c r="B980" s="38" t="s">
        <v>48</v>
      </c>
      <c r="C980" s="38" t="s">
        <v>20</v>
      </c>
      <c r="D980" s="38" t="s">
        <v>21</v>
      </c>
      <c r="E980" s="38" t="s">
        <v>30</v>
      </c>
      <c r="F980" s="38">
        <v>24030.75</v>
      </c>
      <c r="G980" s="38">
        <v>159282</v>
      </c>
      <c r="H980" s="38">
        <v>24564</v>
      </c>
      <c r="I980" s="38">
        <v>137407.74</v>
      </c>
      <c r="J980" s="38">
        <v>46</v>
      </c>
      <c r="K980" s="39">
        <f t="shared" si="76"/>
        <v>0.15421704900742081</v>
      </c>
      <c r="L980" s="40">
        <f t="shared" si="77"/>
        <v>5.7179963172185637</v>
      </c>
      <c r="M980" s="40">
        <f t="shared" si="78"/>
        <v>4.7179963172185637</v>
      </c>
      <c r="N980" s="40">
        <f t="shared" si="79"/>
        <v>5.5938666340986805</v>
      </c>
      <c r="O980" s="1" t="str">
        <f t="shared" si="75"/>
        <v>Normal</v>
      </c>
      <c r="P980" s="51" t="str">
        <f>IF(Table4[[#This Row],[Sales]]&lt;=$B$3,"Normal","High Revenue")</f>
        <v>Normal</v>
      </c>
      <c r="Q980" s="51" t="str">
        <f>IF(Table4[[#This Row],[CTR]]&lt;=$B$4,"Normal","High CTR")</f>
        <v>Normal</v>
      </c>
      <c r="R980" s="51" t="str">
        <f>IF(Table4[[#This Row],[ROAS]]&lt;1,"Poor",IF(Table4[[#This Row],[ROAS]]&lt;3,"Average",IF(Table4[[#This Row],[ROAS]]&lt;5,"Good",
"Excellent")))</f>
        <v>Excellent</v>
      </c>
      <c r="S980" s="51" t="str">
        <f>IF(AND(Table4[[#This Row],[USD_Spend]]&gt;=$B$5,Table4[[#This Row],[Sales]]&lt;=$B$6),"Wasted Budget","Spend Justified")</f>
        <v>Spend Justified</v>
      </c>
      <c r="T980" s="51" t="str">
        <f>IF(AND(Table4[[#This Row],[Clicks]]&gt;=$B$7,Table4[[#This Row],[Sales]]&lt;=$B$6),"Poor Monetization","Normal Monitization")</f>
        <v>Normal Monitization</v>
      </c>
    </row>
    <row r="981" spans="1:20" x14ac:dyDescent="0.35">
      <c r="A981" s="41" t="s">
        <v>42</v>
      </c>
      <c r="B981" s="41" t="s">
        <v>28</v>
      </c>
      <c r="C981" s="41" t="s">
        <v>36</v>
      </c>
      <c r="D981" s="41" t="s">
        <v>43</v>
      </c>
      <c r="E981" s="41" t="s">
        <v>38</v>
      </c>
      <c r="F981" s="41">
        <v>29680.39</v>
      </c>
      <c r="G981" s="41">
        <v>775179</v>
      </c>
      <c r="H981" s="41">
        <v>30208</v>
      </c>
      <c r="I981" s="41">
        <v>136375.88</v>
      </c>
      <c r="J981" s="41">
        <v>28</v>
      </c>
      <c r="K981" s="42">
        <f t="shared" si="76"/>
        <v>3.8969063919430225E-2</v>
      </c>
      <c r="L981" s="43">
        <f t="shared" si="77"/>
        <v>4.5948142864699557</v>
      </c>
      <c r="M981" s="43">
        <f t="shared" si="78"/>
        <v>3.5948142864699557</v>
      </c>
      <c r="N981" s="43">
        <f t="shared" si="79"/>
        <v>4.5145617055084744</v>
      </c>
      <c r="O981" s="1" t="str">
        <f t="shared" si="75"/>
        <v>Normal</v>
      </c>
      <c r="P981" s="51" t="str">
        <f>IF(Table4[[#This Row],[Sales]]&lt;=$B$3,"Normal","High Revenue")</f>
        <v>Normal</v>
      </c>
      <c r="Q981" s="51" t="str">
        <f>IF(Table4[[#This Row],[CTR]]&lt;=$B$4,"Normal","High CTR")</f>
        <v>Normal</v>
      </c>
      <c r="R981" s="51" t="str">
        <f>IF(Table4[[#This Row],[ROAS]]&lt;1,"Poor",IF(Table4[[#This Row],[ROAS]]&lt;3,"Average",IF(Table4[[#This Row],[ROAS]]&lt;5,"Good",
"Excellent")))</f>
        <v>Good</v>
      </c>
      <c r="S981" s="51" t="str">
        <f>IF(AND(Table4[[#This Row],[USD_Spend]]&gt;=$B$5,Table4[[#This Row],[Sales]]&lt;=$B$6),"Wasted Budget","Spend Justified")</f>
        <v>Spend Justified</v>
      </c>
      <c r="T981" s="51" t="str">
        <f>IF(AND(Table4[[#This Row],[Clicks]]&gt;=$B$7,Table4[[#This Row],[Sales]]&lt;=$B$6),"Poor Monetization","Normal Monitization")</f>
        <v>Normal Monitization</v>
      </c>
    </row>
    <row r="982" spans="1:20" x14ac:dyDescent="0.35">
      <c r="A982" s="38" t="s">
        <v>86</v>
      </c>
      <c r="B982" s="38" t="s">
        <v>19</v>
      </c>
      <c r="C982" s="38" t="s">
        <v>69</v>
      </c>
      <c r="D982" s="38" t="s">
        <v>59</v>
      </c>
      <c r="E982" s="38" t="s">
        <v>22</v>
      </c>
      <c r="F982" s="38">
        <v>18594.650000000001</v>
      </c>
      <c r="G982" s="38">
        <v>682875</v>
      </c>
      <c r="H982" s="38">
        <v>42009</v>
      </c>
      <c r="I982" s="38">
        <v>151300.76</v>
      </c>
      <c r="J982" s="38">
        <v>58</v>
      </c>
      <c r="K982" s="39">
        <f t="shared" si="76"/>
        <v>6.1517847336628226E-2</v>
      </c>
      <c r="L982" s="40">
        <f t="shared" si="77"/>
        <v>8.1367898831115397</v>
      </c>
      <c r="M982" s="40">
        <f t="shared" si="78"/>
        <v>7.1367898831115406</v>
      </c>
      <c r="N982" s="40">
        <f t="shared" si="79"/>
        <v>3.6016272703468308</v>
      </c>
      <c r="O982" s="1" t="str">
        <f t="shared" si="75"/>
        <v>Normal</v>
      </c>
      <c r="P982" s="51" t="str">
        <f>IF(Table4[[#This Row],[Sales]]&lt;=$B$3,"Normal","High Revenue")</f>
        <v>Normal</v>
      </c>
      <c r="Q982" s="51" t="str">
        <f>IF(Table4[[#This Row],[CTR]]&lt;=$B$4,"Normal","High CTR")</f>
        <v>Normal</v>
      </c>
      <c r="R982" s="51" t="str">
        <f>IF(Table4[[#This Row],[ROAS]]&lt;1,"Poor",IF(Table4[[#This Row],[ROAS]]&lt;3,"Average",IF(Table4[[#This Row],[ROAS]]&lt;5,"Good",
"Excellent")))</f>
        <v>Excellent</v>
      </c>
      <c r="S982" s="51" t="str">
        <f>IF(AND(Table4[[#This Row],[USD_Spend]]&gt;=$B$5,Table4[[#This Row],[Sales]]&lt;=$B$6),"Wasted Budget","Spend Justified")</f>
        <v>Spend Justified</v>
      </c>
      <c r="T982" s="51" t="str">
        <f>IF(AND(Table4[[#This Row],[Clicks]]&gt;=$B$7,Table4[[#This Row],[Sales]]&lt;=$B$6),"Poor Monetization","Normal Monitization")</f>
        <v>Normal Monitization</v>
      </c>
    </row>
    <row r="983" spans="1:20" x14ac:dyDescent="0.35">
      <c r="A983" s="41" t="s">
        <v>100</v>
      </c>
      <c r="B983" s="41" t="s">
        <v>28</v>
      </c>
      <c r="C983" s="41" t="s">
        <v>36</v>
      </c>
      <c r="D983" s="41" t="s">
        <v>63</v>
      </c>
      <c r="E983" s="41" t="s">
        <v>22</v>
      </c>
      <c r="F983" s="41">
        <v>453.3</v>
      </c>
      <c r="G983" s="41">
        <v>161195</v>
      </c>
      <c r="H983" s="41">
        <v>49399</v>
      </c>
      <c r="I983" s="41">
        <v>206069.23</v>
      </c>
      <c r="J983" s="41">
        <v>26</v>
      </c>
      <c r="K983" s="42">
        <f t="shared" si="76"/>
        <v>0.30645491485467913</v>
      </c>
      <c r="L983" s="43">
        <f t="shared" si="77"/>
        <v>454.59790425766602</v>
      </c>
      <c r="M983" s="43">
        <f t="shared" si="78"/>
        <v>453.59790425766602</v>
      </c>
      <c r="N983" s="43">
        <f t="shared" si="79"/>
        <v>4.1715263466871804</v>
      </c>
      <c r="O983" s="1" t="str">
        <f t="shared" si="75"/>
        <v>Normal</v>
      </c>
      <c r="P983" s="51" t="str">
        <f>IF(Table4[[#This Row],[Sales]]&lt;=$B$3,"Normal","High Revenue")</f>
        <v>Normal</v>
      </c>
      <c r="Q983" s="51" t="str">
        <f>IF(Table4[[#This Row],[CTR]]&lt;=$B$4,"Normal","High CTR")</f>
        <v>Normal</v>
      </c>
      <c r="R983" s="51" t="str">
        <f>IF(Table4[[#This Row],[ROAS]]&lt;1,"Poor",IF(Table4[[#This Row],[ROAS]]&lt;3,"Average",IF(Table4[[#This Row],[ROAS]]&lt;5,"Good",
"Excellent")))</f>
        <v>Excellent</v>
      </c>
      <c r="S983" s="51" t="str">
        <f>IF(AND(Table4[[#This Row],[USD_Spend]]&gt;=$B$5,Table4[[#This Row],[Sales]]&lt;=$B$6),"Wasted Budget","Spend Justified")</f>
        <v>Spend Justified</v>
      </c>
      <c r="T983" s="51" t="str">
        <f>IF(AND(Table4[[#This Row],[Clicks]]&gt;=$B$7,Table4[[#This Row],[Sales]]&lt;=$B$6),"Poor Monetization","Normal Monitization")</f>
        <v>Normal Monitization</v>
      </c>
    </row>
    <row r="984" spans="1:20" x14ac:dyDescent="0.35">
      <c r="A984" s="38" t="s">
        <v>94</v>
      </c>
      <c r="B984" s="38" t="s">
        <v>28</v>
      </c>
      <c r="C984" s="38" t="s">
        <v>36</v>
      </c>
      <c r="D984" s="38" t="s">
        <v>21</v>
      </c>
      <c r="E984" s="38" t="s">
        <v>22</v>
      </c>
      <c r="F984" s="38">
        <v>11765.64</v>
      </c>
      <c r="G984" s="38">
        <v>324186</v>
      </c>
      <c r="H984" s="38">
        <v>27539</v>
      </c>
      <c r="I984" s="38">
        <v>85511.67</v>
      </c>
      <c r="J984" s="38">
        <v>43</v>
      </c>
      <c r="K984" s="39">
        <f t="shared" si="76"/>
        <v>8.4948147051384079E-2</v>
      </c>
      <c r="L984" s="40">
        <f t="shared" si="77"/>
        <v>7.2679148775587219</v>
      </c>
      <c r="M984" s="40">
        <f t="shared" si="78"/>
        <v>6.2679148775587219</v>
      </c>
      <c r="N984" s="40">
        <f t="shared" si="79"/>
        <v>3.1051116598278803</v>
      </c>
      <c r="O984" s="1" t="str">
        <f t="shared" si="75"/>
        <v>Normal</v>
      </c>
      <c r="P984" s="51" t="str">
        <f>IF(Table4[[#This Row],[Sales]]&lt;=$B$3,"Normal","High Revenue")</f>
        <v>Normal</v>
      </c>
      <c r="Q984" s="51" t="str">
        <f>IF(Table4[[#This Row],[CTR]]&lt;=$B$4,"Normal","High CTR")</f>
        <v>Normal</v>
      </c>
      <c r="R984" s="51" t="str">
        <f>IF(Table4[[#This Row],[ROAS]]&lt;1,"Poor",IF(Table4[[#This Row],[ROAS]]&lt;3,"Average",IF(Table4[[#This Row],[ROAS]]&lt;5,"Good",
"Excellent")))</f>
        <v>Excellent</v>
      </c>
      <c r="S984" s="51" t="str">
        <f>IF(AND(Table4[[#This Row],[USD_Spend]]&gt;=$B$5,Table4[[#This Row],[Sales]]&lt;=$B$6),"Wasted Budget","Spend Justified")</f>
        <v>Spend Justified</v>
      </c>
      <c r="T984" s="51" t="str">
        <f>IF(AND(Table4[[#This Row],[Clicks]]&gt;=$B$7,Table4[[#This Row],[Sales]]&lt;=$B$6),"Poor Monetization","Normal Monitization")</f>
        <v>Normal Monitization</v>
      </c>
    </row>
    <row r="985" spans="1:20" x14ac:dyDescent="0.35">
      <c r="A985" s="41" t="s">
        <v>85</v>
      </c>
      <c r="B985" s="41" t="s">
        <v>19</v>
      </c>
      <c r="C985" s="41" t="s">
        <v>20</v>
      </c>
      <c r="D985" s="41" t="s">
        <v>59</v>
      </c>
      <c r="E985" s="41" t="s">
        <v>30</v>
      </c>
      <c r="F985" s="41">
        <v>4320.8999999999996</v>
      </c>
      <c r="G985" s="41">
        <v>525530</v>
      </c>
      <c r="H985" s="41">
        <v>21113</v>
      </c>
      <c r="I985" s="41">
        <v>64018.5</v>
      </c>
      <c r="J985" s="41">
        <v>37</v>
      </c>
      <c r="K985" s="42">
        <f t="shared" si="76"/>
        <v>4.0174680798432061E-2</v>
      </c>
      <c r="L985" s="43">
        <f t="shared" si="77"/>
        <v>14.816010553356941</v>
      </c>
      <c r="M985" s="43">
        <f t="shared" si="78"/>
        <v>13.816010553356941</v>
      </c>
      <c r="N985" s="43">
        <f t="shared" si="79"/>
        <v>3.0321839624875668</v>
      </c>
      <c r="O985" s="1" t="str">
        <f t="shared" si="75"/>
        <v>Normal</v>
      </c>
      <c r="P985" s="51" t="str">
        <f>IF(Table4[[#This Row],[Sales]]&lt;=$B$3,"Normal","High Revenue")</f>
        <v>Normal</v>
      </c>
      <c r="Q985" s="51" t="str">
        <f>IF(Table4[[#This Row],[CTR]]&lt;=$B$4,"Normal","High CTR")</f>
        <v>Normal</v>
      </c>
      <c r="R985" s="51" t="str">
        <f>IF(Table4[[#This Row],[ROAS]]&lt;1,"Poor",IF(Table4[[#This Row],[ROAS]]&lt;3,"Average",IF(Table4[[#This Row],[ROAS]]&lt;5,"Good",
"Excellent")))</f>
        <v>Excellent</v>
      </c>
      <c r="S985" s="51" t="str">
        <f>IF(AND(Table4[[#This Row],[USD_Spend]]&gt;=$B$5,Table4[[#This Row],[Sales]]&lt;=$B$6),"Wasted Budget","Spend Justified")</f>
        <v>Spend Justified</v>
      </c>
      <c r="T985" s="51" t="str">
        <f>IF(AND(Table4[[#This Row],[Clicks]]&gt;=$B$7,Table4[[#This Row],[Sales]]&lt;=$B$6),"Poor Monetization","Normal Monitization")</f>
        <v>Normal Monitization</v>
      </c>
    </row>
    <row r="986" spans="1:20" x14ac:dyDescent="0.35">
      <c r="A986" s="38" t="s">
        <v>47</v>
      </c>
      <c r="B986" s="38" t="s">
        <v>28</v>
      </c>
      <c r="C986" s="38" t="s">
        <v>36</v>
      </c>
      <c r="D986" s="38" t="s">
        <v>63</v>
      </c>
      <c r="E986" s="38" t="s">
        <v>38</v>
      </c>
      <c r="F986" s="38">
        <v>10636.19</v>
      </c>
      <c r="G986" s="38">
        <v>588381</v>
      </c>
      <c r="H986" s="38">
        <v>25074</v>
      </c>
      <c r="I986" s="38">
        <v>33052.769999999997</v>
      </c>
      <c r="J986" s="38">
        <v>32</v>
      </c>
      <c r="K986" s="39">
        <f t="shared" si="76"/>
        <v>4.2615244204010666E-2</v>
      </c>
      <c r="L986" s="40">
        <f t="shared" si="77"/>
        <v>3.1075761151314518</v>
      </c>
      <c r="M986" s="40">
        <f t="shared" si="78"/>
        <v>2.1075761151314514</v>
      </c>
      <c r="N986" s="40">
        <f t="shared" si="79"/>
        <v>1.3182089016511125</v>
      </c>
      <c r="O986" s="1" t="str">
        <f t="shared" si="75"/>
        <v>Normal</v>
      </c>
      <c r="P986" s="51" t="str">
        <f>IF(Table4[[#This Row],[Sales]]&lt;=$B$3,"Normal","High Revenue")</f>
        <v>Normal</v>
      </c>
      <c r="Q986" s="51" t="str">
        <f>IF(Table4[[#This Row],[CTR]]&lt;=$B$4,"Normal","High CTR")</f>
        <v>Normal</v>
      </c>
      <c r="R986" s="51" t="str">
        <f>IF(Table4[[#This Row],[ROAS]]&lt;1,"Poor",IF(Table4[[#This Row],[ROAS]]&lt;3,"Average",IF(Table4[[#This Row],[ROAS]]&lt;5,"Good",
"Excellent")))</f>
        <v>Good</v>
      </c>
      <c r="S986" s="51" t="str">
        <f>IF(AND(Table4[[#This Row],[USD_Spend]]&gt;=$B$5,Table4[[#This Row],[Sales]]&lt;=$B$6),"Wasted Budget","Spend Justified")</f>
        <v>Wasted Budget</v>
      </c>
      <c r="T986" s="51" t="str">
        <f>IF(AND(Table4[[#This Row],[Clicks]]&gt;=$B$7,Table4[[#This Row],[Sales]]&lt;=$B$6),"Poor Monetization","Normal Monitization")</f>
        <v>Normal Monitization</v>
      </c>
    </row>
    <row r="987" spans="1:20" x14ac:dyDescent="0.35">
      <c r="A987" s="41" t="s">
        <v>100</v>
      </c>
      <c r="B987" s="41" t="s">
        <v>19</v>
      </c>
      <c r="C987" s="41" t="s">
        <v>69</v>
      </c>
      <c r="D987" s="41" t="s">
        <v>59</v>
      </c>
      <c r="E987" s="41" t="s">
        <v>30</v>
      </c>
      <c r="F987" s="41">
        <v>3294.68</v>
      </c>
      <c r="G987" s="41">
        <v>147509</v>
      </c>
      <c r="H987" s="41">
        <v>37841</v>
      </c>
      <c r="I987" s="41">
        <v>173072.92</v>
      </c>
      <c r="J987" s="41">
        <v>31</v>
      </c>
      <c r="K987" s="42">
        <f t="shared" si="76"/>
        <v>0.25653349965086875</v>
      </c>
      <c r="L987" s="43">
        <f t="shared" si="77"/>
        <v>52.531025774885578</v>
      </c>
      <c r="M987" s="43">
        <f t="shared" si="78"/>
        <v>51.531025774885585</v>
      </c>
      <c r="N987" s="43">
        <f t="shared" si="79"/>
        <v>4.5736877989482307</v>
      </c>
      <c r="O987" s="1" t="str">
        <f t="shared" si="75"/>
        <v>Normal</v>
      </c>
      <c r="P987" s="51" t="str">
        <f>IF(Table4[[#This Row],[Sales]]&lt;=$B$3,"Normal","High Revenue")</f>
        <v>Normal</v>
      </c>
      <c r="Q987" s="51" t="str">
        <f>IF(Table4[[#This Row],[CTR]]&lt;=$B$4,"Normal","High CTR")</f>
        <v>Normal</v>
      </c>
      <c r="R987" s="51" t="str">
        <f>IF(Table4[[#This Row],[ROAS]]&lt;1,"Poor",IF(Table4[[#This Row],[ROAS]]&lt;3,"Average",IF(Table4[[#This Row],[ROAS]]&lt;5,"Good",
"Excellent")))</f>
        <v>Excellent</v>
      </c>
      <c r="S987" s="51" t="str">
        <f>IF(AND(Table4[[#This Row],[USD_Spend]]&gt;=$B$5,Table4[[#This Row],[Sales]]&lt;=$B$6),"Wasted Budget","Spend Justified")</f>
        <v>Spend Justified</v>
      </c>
      <c r="T987" s="51" t="str">
        <f>IF(AND(Table4[[#This Row],[Clicks]]&gt;=$B$7,Table4[[#This Row],[Sales]]&lt;=$B$6),"Poor Monetization","Normal Monitization")</f>
        <v>Normal Monitization</v>
      </c>
    </row>
    <row r="988" spans="1:20" x14ac:dyDescent="0.35">
      <c r="A988" s="38" t="s">
        <v>116</v>
      </c>
      <c r="B988" s="38" t="s">
        <v>28</v>
      </c>
      <c r="C988" s="38" t="s">
        <v>20</v>
      </c>
      <c r="D988" s="38" t="s">
        <v>43</v>
      </c>
      <c r="E988" s="38" t="s">
        <v>38</v>
      </c>
      <c r="F988" s="38">
        <v>9682.94</v>
      </c>
      <c r="G988" s="38">
        <v>298946</v>
      </c>
      <c r="H988" s="38">
        <v>44704</v>
      </c>
      <c r="I988" s="38">
        <v>102376.27</v>
      </c>
      <c r="J988" s="38">
        <v>40</v>
      </c>
      <c r="K988" s="39">
        <f t="shared" si="76"/>
        <v>0.14953871267720592</v>
      </c>
      <c r="L988" s="40">
        <f t="shared" si="77"/>
        <v>10.572849774965041</v>
      </c>
      <c r="M988" s="40">
        <f t="shared" si="78"/>
        <v>9.5728497749650412</v>
      </c>
      <c r="N988" s="40">
        <f t="shared" si="79"/>
        <v>2.2900919380816034</v>
      </c>
      <c r="O988" s="1" t="str">
        <f t="shared" si="75"/>
        <v>Normal</v>
      </c>
      <c r="P988" s="51" t="str">
        <f>IF(Table4[[#This Row],[Sales]]&lt;=$B$3,"Normal","High Revenue")</f>
        <v>Normal</v>
      </c>
      <c r="Q988" s="51" t="str">
        <f>IF(Table4[[#This Row],[CTR]]&lt;=$B$4,"Normal","High CTR")</f>
        <v>Normal</v>
      </c>
      <c r="R988" s="51" t="str">
        <f>IF(Table4[[#This Row],[ROAS]]&lt;1,"Poor",IF(Table4[[#This Row],[ROAS]]&lt;3,"Average",IF(Table4[[#This Row],[ROAS]]&lt;5,"Good",
"Excellent")))</f>
        <v>Excellent</v>
      </c>
      <c r="S988" s="51" t="str">
        <f>IF(AND(Table4[[#This Row],[USD_Spend]]&gt;=$B$5,Table4[[#This Row],[Sales]]&lt;=$B$6),"Wasted Budget","Spend Justified")</f>
        <v>Spend Justified</v>
      </c>
      <c r="T988" s="51" t="str">
        <f>IF(AND(Table4[[#This Row],[Clicks]]&gt;=$B$7,Table4[[#This Row],[Sales]]&lt;=$B$6),"Poor Monetization","Normal Monitization")</f>
        <v>Normal Monitization</v>
      </c>
    </row>
    <row r="989" spans="1:20" x14ac:dyDescent="0.35">
      <c r="A989" s="41" t="s">
        <v>88</v>
      </c>
      <c r="B989" s="41" t="s">
        <v>35</v>
      </c>
      <c r="C989" s="41" t="s">
        <v>36</v>
      </c>
      <c r="D989" s="41" t="s">
        <v>51</v>
      </c>
      <c r="E989" s="41" t="s">
        <v>38</v>
      </c>
      <c r="F989" s="41">
        <v>7511.17</v>
      </c>
      <c r="G989" s="41">
        <v>394546</v>
      </c>
      <c r="H989" s="41">
        <v>33685</v>
      </c>
      <c r="I989" s="41">
        <v>211984.73</v>
      </c>
      <c r="J989" s="41">
        <v>45</v>
      </c>
      <c r="K989" s="42">
        <f t="shared" si="76"/>
        <v>8.5376610078419249E-2</v>
      </c>
      <c r="L989" s="43">
        <f t="shared" si="77"/>
        <v>28.222597810993495</v>
      </c>
      <c r="M989" s="43">
        <f t="shared" si="78"/>
        <v>27.222597810993491</v>
      </c>
      <c r="N989" s="43">
        <f t="shared" si="79"/>
        <v>6.2931491761911831</v>
      </c>
      <c r="O989" s="1" t="str">
        <f t="shared" si="75"/>
        <v>Normal</v>
      </c>
      <c r="P989" s="51" t="str">
        <f>IF(Table4[[#This Row],[Sales]]&lt;=$B$3,"Normal","High Revenue")</f>
        <v>Normal</v>
      </c>
      <c r="Q989" s="51" t="str">
        <f>IF(Table4[[#This Row],[CTR]]&lt;=$B$4,"Normal","High CTR")</f>
        <v>Normal</v>
      </c>
      <c r="R989" s="51" t="str">
        <f>IF(Table4[[#This Row],[ROAS]]&lt;1,"Poor",IF(Table4[[#This Row],[ROAS]]&lt;3,"Average",IF(Table4[[#This Row],[ROAS]]&lt;5,"Good",
"Excellent")))</f>
        <v>Excellent</v>
      </c>
      <c r="S989" s="51" t="str">
        <f>IF(AND(Table4[[#This Row],[USD_Spend]]&gt;=$B$5,Table4[[#This Row],[Sales]]&lt;=$B$6),"Wasted Budget","Spend Justified")</f>
        <v>Spend Justified</v>
      </c>
      <c r="T989" s="51" t="str">
        <f>IF(AND(Table4[[#This Row],[Clicks]]&gt;=$B$7,Table4[[#This Row],[Sales]]&lt;=$B$6),"Poor Monetization","Normal Monitization")</f>
        <v>Normal Monitization</v>
      </c>
    </row>
    <row r="990" spans="1:20" x14ac:dyDescent="0.35">
      <c r="A990" s="38" t="s">
        <v>64</v>
      </c>
      <c r="B990" s="38" t="s">
        <v>19</v>
      </c>
      <c r="C990" s="38" t="s">
        <v>20</v>
      </c>
      <c r="D990" s="38" t="s">
        <v>21</v>
      </c>
      <c r="E990" s="38" t="s">
        <v>38</v>
      </c>
      <c r="F990" s="38">
        <v>13407.45</v>
      </c>
      <c r="G990" s="38">
        <v>864602</v>
      </c>
      <c r="H990" s="38">
        <v>43304</v>
      </c>
      <c r="I990" s="38">
        <v>228532.21</v>
      </c>
      <c r="J990" s="38">
        <v>37</v>
      </c>
      <c r="K990" s="39">
        <f t="shared" si="76"/>
        <v>5.008547285340538E-2</v>
      </c>
      <c r="L990" s="40">
        <f t="shared" si="77"/>
        <v>17.045165933865125</v>
      </c>
      <c r="M990" s="40">
        <f t="shared" si="78"/>
        <v>16.045165933865125</v>
      </c>
      <c r="N990" s="40">
        <f t="shared" si="79"/>
        <v>5.2773926196194347</v>
      </c>
      <c r="O990" s="1" t="str">
        <f t="shared" si="75"/>
        <v>Normal</v>
      </c>
      <c r="P990" s="51" t="str">
        <f>IF(Table4[[#This Row],[Sales]]&lt;=$B$3,"Normal","High Revenue")</f>
        <v>Normal</v>
      </c>
      <c r="Q990" s="51" t="str">
        <f>IF(Table4[[#This Row],[CTR]]&lt;=$B$4,"Normal","High CTR")</f>
        <v>Normal</v>
      </c>
      <c r="R990" s="51" t="str">
        <f>IF(Table4[[#This Row],[ROAS]]&lt;1,"Poor",IF(Table4[[#This Row],[ROAS]]&lt;3,"Average",IF(Table4[[#This Row],[ROAS]]&lt;5,"Good",
"Excellent")))</f>
        <v>Excellent</v>
      </c>
      <c r="S990" s="51" t="str">
        <f>IF(AND(Table4[[#This Row],[USD_Spend]]&gt;=$B$5,Table4[[#This Row],[Sales]]&lt;=$B$6),"Wasted Budget","Spend Justified")</f>
        <v>Spend Justified</v>
      </c>
      <c r="T990" s="51" t="str">
        <f>IF(AND(Table4[[#This Row],[Clicks]]&gt;=$B$7,Table4[[#This Row],[Sales]]&lt;=$B$6),"Poor Monetization","Normal Monitization")</f>
        <v>Normal Monitization</v>
      </c>
    </row>
    <row r="991" spans="1:20" x14ac:dyDescent="0.35">
      <c r="A991" s="41" t="s">
        <v>104</v>
      </c>
      <c r="B991" s="41" t="s">
        <v>28</v>
      </c>
      <c r="C991" s="41" t="s">
        <v>36</v>
      </c>
      <c r="D991" s="41" t="s">
        <v>21</v>
      </c>
      <c r="E991" s="41" t="s">
        <v>22</v>
      </c>
      <c r="F991" s="41">
        <v>29148.240000000002</v>
      </c>
      <c r="G991" s="41">
        <v>22964</v>
      </c>
      <c r="H991" s="41">
        <v>46002</v>
      </c>
      <c r="I991" s="41">
        <v>157649.19</v>
      </c>
      <c r="J991" s="41">
        <v>23</v>
      </c>
      <c r="K991" s="42">
        <f t="shared" si="76"/>
        <v>2.0032224351158336</v>
      </c>
      <c r="L991" s="43">
        <f t="shared" si="77"/>
        <v>5.4085320417287628</v>
      </c>
      <c r="M991" s="43">
        <f t="shared" si="78"/>
        <v>4.4085320417287628</v>
      </c>
      <c r="N991" s="43">
        <f t="shared" si="79"/>
        <v>3.4270073040302598</v>
      </c>
      <c r="O991" s="1" t="str">
        <f t="shared" si="75"/>
        <v>Normal</v>
      </c>
      <c r="P991" s="51" t="str">
        <f>IF(Table4[[#This Row],[Sales]]&lt;=$B$3,"Normal","High Revenue")</f>
        <v>Normal</v>
      </c>
      <c r="Q991" s="51" t="str">
        <f>IF(Table4[[#This Row],[CTR]]&lt;=$B$4,"Normal","High CTR")</f>
        <v>High CTR</v>
      </c>
      <c r="R991" s="51" t="str">
        <f>IF(Table4[[#This Row],[ROAS]]&lt;1,"Poor",IF(Table4[[#This Row],[ROAS]]&lt;3,"Average",IF(Table4[[#This Row],[ROAS]]&lt;5,"Good",
"Excellent")))</f>
        <v>Excellent</v>
      </c>
      <c r="S991" s="51" t="str">
        <f>IF(AND(Table4[[#This Row],[USD_Spend]]&gt;=$B$5,Table4[[#This Row],[Sales]]&lt;=$B$6),"Wasted Budget","Spend Justified")</f>
        <v>Spend Justified</v>
      </c>
      <c r="T991" s="51" t="str">
        <f>IF(AND(Table4[[#This Row],[Clicks]]&gt;=$B$7,Table4[[#This Row],[Sales]]&lt;=$B$6),"Poor Monetization","Normal Monitization")</f>
        <v>Normal Monitization</v>
      </c>
    </row>
    <row r="992" spans="1:20" x14ac:dyDescent="0.35">
      <c r="A992" s="38" t="s">
        <v>87</v>
      </c>
      <c r="B992" s="38" t="s">
        <v>19</v>
      </c>
      <c r="C992" s="38" t="s">
        <v>29</v>
      </c>
      <c r="D992" s="38" t="s">
        <v>51</v>
      </c>
      <c r="E992" s="38" t="s">
        <v>22</v>
      </c>
      <c r="F992" s="38">
        <v>18487.61</v>
      </c>
      <c r="G992" s="38">
        <v>661194</v>
      </c>
      <c r="H992" s="38">
        <v>4047</v>
      </c>
      <c r="I992" s="38">
        <v>154359.57</v>
      </c>
      <c r="J992" s="38">
        <v>43</v>
      </c>
      <c r="K992" s="39">
        <f t="shared" si="76"/>
        <v>6.12074519732484E-3</v>
      </c>
      <c r="L992" s="40">
        <f t="shared" si="77"/>
        <v>8.349352350033346</v>
      </c>
      <c r="M992" s="40">
        <f t="shared" si="78"/>
        <v>7.3493523500333477</v>
      </c>
      <c r="N992" s="40">
        <f t="shared" si="79"/>
        <v>38.14172720533729</v>
      </c>
      <c r="O992" s="1" t="str">
        <f t="shared" si="75"/>
        <v>Normal</v>
      </c>
      <c r="P992" s="51" t="str">
        <f>IF(Table4[[#This Row],[Sales]]&lt;=$B$3,"Normal","High Revenue")</f>
        <v>Normal</v>
      </c>
      <c r="Q992" s="51" t="str">
        <f>IF(Table4[[#This Row],[CTR]]&lt;=$B$4,"Normal","High CTR")</f>
        <v>Normal</v>
      </c>
      <c r="R992" s="51" t="str">
        <f>IF(Table4[[#This Row],[ROAS]]&lt;1,"Poor",IF(Table4[[#This Row],[ROAS]]&lt;3,"Average",IF(Table4[[#This Row],[ROAS]]&lt;5,"Good",
"Excellent")))</f>
        <v>Excellent</v>
      </c>
      <c r="S992" s="51" t="str">
        <f>IF(AND(Table4[[#This Row],[USD_Spend]]&gt;=$B$5,Table4[[#This Row],[Sales]]&lt;=$B$6),"Wasted Budget","Spend Justified")</f>
        <v>Spend Justified</v>
      </c>
      <c r="T992" s="51" t="str">
        <f>IF(AND(Table4[[#This Row],[Clicks]]&gt;=$B$7,Table4[[#This Row],[Sales]]&lt;=$B$6),"Poor Monetization","Normal Monitization")</f>
        <v>Normal Monitization</v>
      </c>
    </row>
    <row r="993" spans="1:20" x14ac:dyDescent="0.35">
      <c r="A993" s="41" t="s">
        <v>70</v>
      </c>
      <c r="B993" s="41" t="s">
        <v>35</v>
      </c>
      <c r="C993" s="41" t="s">
        <v>36</v>
      </c>
      <c r="D993" s="41" t="s">
        <v>21</v>
      </c>
      <c r="E993" s="41" t="s">
        <v>38</v>
      </c>
      <c r="F993" s="41">
        <v>34927.42</v>
      </c>
      <c r="G993" s="41">
        <v>932188</v>
      </c>
      <c r="H993" s="41">
        <v>42333</v>
      </c>
      <c r="I993" s="41">
        <v>104540.76</v>
      </c>
      <c r="J993" s="41">
        <v>16</v>
      </c>
      <c r="K993" s="42">
        <f t="shared" si="76"/>
        <v>4.5412513355675033E-2</v>
      </c>
      <c r="L993" s="43">
        <f t="shared" si="77"/>
        <v>2.9930856616377621</v>
      </c>
      <c r="M993" s="43">
        <f t="shared" si="78"/>
        <v>1.9930856616377619</v>
      </c>
      <c r="N993" s="43">
        <f t="shared" si="79"/>
        <v>2.4694862164269007</v>
      </c>
      <c r="O993" s="1" t="str">
        <f t="shared" si="75"/>
        <v>Normal</v>
      </c>
      <c r="P993" s="51" t="str">
        <f>IF(Table4[[#This Row],[Sales]]&lt;=$B$3,"Normal","High Revenue")</f>
        <v>Normal</v>
      </c>
      <c r="Q993" s="51" t="str">
        <f>IF(Table4[[#This Row],[CTR]]&lt;=$B$4,"Normal","High CTR")</f>
        <v>Normal</v>
      </c>
      <c r="R993" s="51" t="str">
        <f>IF(Table4[[#This Row],[ROAS]]&lt;1,"Poor",IF(Table4[[#This Row],[ROAS]]&lt;3,"Average",IF(Table4[[#This Row],[ROAS]]&lt;5,"Good",
"Excellent")))</f>
        <v>Average</v>
      </c>
      <c r="S993" s="51" t="str">
        <f>IF(AND(Table4[[#This Row],[USD_Spend]]&gt;=$B$5,Table4[[#This Row],[Sales]]&lt;=$B$6),"Wasted Budget","Spend Justified")</f>
        <v>Spend Justified</v>
      </c>
      <c r="T993" s="51" t="str">
        <f>IF(AND(Table4[[#This Row],[Clicks]]&gt;=$B$7,Table4[[#This Row],[Sales]]&lt;=$B$6),"Poor Monetization","Normal Monitization")</f>
        <v>Normal Monitization</v>
      </c>
    </row>
    <row r="994" spans="1:20" x14ac:dyDescent="0.35">
      <c r="A994" s="38" t="s">
        <v>88</v>
      </c>
      <c r="B994" s="38" t="s">
        <v>28</v>
      </c>
      <c r="C994" s="38" t="s">
        <v>58</v>
      </c>
      <c r="D994" s="38" t="s">
        <v>21</v>
      </c>
      <c r="E994" s="38" t="s">
        <v>38</v>
      </c>
      <c r="F994" s="38">
        <v>12586.97</v>
      </c>
      <c r="G994" s="38">
        <v>746333</v>
      </c>
      <c r="H994" s="38">
        <v>38776</v>
      </c>
      <c r="I994" s="38">
        <v>101595.74</v>
      </c>
      <c r="J994" s="38">
        <v>24</v>
      </c>
      <c r="K994" s="39">
        <f t="shared" si="76"/>
        <v>5.1955360408825549E-2</v>
      </c>
      <c r="L994" s="40">
        <f t="shared" si="77"/>
        <v>8.071500925163086</v>
      </c>
      <c r="M994" s="40">
        <f t="shared" si="78"/>
        <v>7.071500925163086</v>
      </c>
      <c r="N994" s="40">
        <f t="shared" si="79"/>
        <v>2.6200675675675678</v>
      </c>
      <c r="O994" s="1" t="str">
        <f t="shared" si="75"/>
        <v>Normal</v>
      </c>
      <c r="P994" s="51" t="str">
        <f>IF(Table4[[#This Row],[Sales]]&lt;=$B$3,"Normal","High Revenue")</f>
        <v>Normal</v>
      </c>
      <c r="Q994" s="51" t="str">
        <f>IF(Table4[[#This Row],[CTR]]&lt;=$B$4,"Normal","High CTR")</f>
        <v>Normal</v>
      </c>
      <c r="R994" s="51" t="str">
        <f>IF(Table4[[#This Row],[ROAS]]&lt;1,"Poor",IF(Table4[[#This Row],[ROAS]]&lt;3,"Average",IF(Table4[[#This Row],[ROAS]]&lt;5,"Good",
"Excellent")))</f>
        <v>Excellent</v>
      </c>
      <c r="S994" s="51" t="str">
        <f>IF(AND(Table4[[#This Row],[USD_Spend]]&gt;=$B$5,Table4[[#This Row],[Sales]]&lt;=$B$6),"Wasted Budget","Spend Justified")</f>
        <v>Spend Justified</v>
      </c>
      <c r="T994" s="51" t="str">
        <f>IF(AND(Table4[[#This Row],[Clicks]]&gt;=$B$7,Table4[[#This Row],[Sales]]&lt;=$B$6),"Poor Monetization","Normal Monitization")</f>
        <v>Normal Monitization</v>
      </c>
    </row>
    <row r="995" spans="1:20" x14ac:dyDescent="0.35">
      <c r="A995" s="41" t="s">
        <v>71</v>
      </c>
      <c r="B995" s="41" t="s">
        <v>28</v>
      </c>
      <c r="C995" s="41" t="s">
        <v>36</v>
      </c>
      <c r="D995" s="41" t="s">
        <v>37</v>
      </c>
      <c r="E995" s="41" t="s">
        <v>30</v>
      </c>
      <c r="F995" s="41">
        <v>7212.15</v>
      </c>
      <c r="G995" s="41">
        <v>164958</v>
      </c>
      <c r="H995" s="41">
        <v>25698</v>
      </c>
      <c r="I995" s="41">
        <v>114440.37</v>
      </c>
      <c r="J995" s="41">
        <v>15</v>
      </c>
      <c r="K995" s="42">
        <f t="shared" si="76"/>
        <v>0.15578510893682029</v>
      </c>
      <c r="L995" s="43">
        <f t="shared" si="77"/>
        <v>15.86771905742393</v>
      </c>
      <c r="M995" s="43">
        <f t="shared" si="78"/>
        <v>14.867719057423932</v>
      </c>
      <c r="N995" s="43">
        <f t="shared" si="79"/>
        <v>4.4532792435208961</v>
      </c>
      <c r="O995" s="1" t="str">
        <f t="shared" si="75"/>
        <v>Normal</v>
      </c>
      <c r="P995" s="51" t="str">
        <f>IF(Table4[[#This Row],[Sales]]&lt;=$B$3,"Normal","High Revenue")</f>
        <v>Normal</v>
      </c>
      <c r="Q995" s="51" t="str">
        <f>IF(Table4[[#This Row],[CTR]]&lt;=$B$4,"Normal","High CTR")</f>
        <v>Normal</v>
      </c>
      <c r="R995" s="51" t="str">
        <f>IF(Table4[[#This Row],[ROAS]]&lt;1,"Poor",IF(Table4[[#This Row],[ROAS]]&lt;3,"Average",IF(Table4[[#This Row],[ROAS]]&lt;5,"Good",
"Excellent")))</f>
        <v>Excellent</v>
      </c>
      <c r="S995" s="51" t="str">
        <f>IF(AND(Table4[[#This Row],[USD_Spend]]&gt;=$B$5,Table4[[#This Row],[Sales]]&lt;=$B$6),"Wasted Budget","Spend Justified")</f>
        <v>Spend Justified</v>
      </c>
      <c r="T995" s="51" t="str">
        <f>IF(AND(Table4[[#This Row],[Clicks]]&gt;=$B$7,Table4[[#This Row],[Sales]]&lt;=$B$6),"Poor Monetization","Normal Monitization")</f>
        <v>Normal Monitization</v>
      </c>
    </row>
    <row r="996" spans="1:20" x14ac:dyDescent="0.35">
      <c r="A996" s="38" t="s">
        <v>103</v>
      </c>
      <c r="B996" s="38" t="s">
        <v>48</v>
      </c>
      <c r="C996" s="38" t="s">
        <v>20</v>
      </c>
      <c r="D996" s="38" t="s">
        <v>59</v>
      </c>
      <c r="E996" s="38" t="s">
        <v>38</v>
      </c>
      <c r="F996" s="38">
        <v>13705.26</v>
      </c>
      <c r="G996" s="38">
        <v>559249</v>
      </c>
      <c r="H996" s="38">
        <v>8963</v>
      </c>
      <c r="I996" s="38">
        <v>110365.75</v>
      </c>
      <c r="J996" s="38">
        <v>14</v>
      </c>
      <c r="K996" s="39">
        <f t="shared" si="76"/>
        <v>1.6026850293876252E-2</v>
      </c>
      <c r="L996" s="40">
        <f t="shared" si="77"/>
        <v>8.0528023547163645</v>
      </c>
      <c r="M996" s="40">
        <f t="shared" si="78"/>
        <v>7.0528023547163645</v>
      </c>
      <c r="N996" s="40">
        <f t="shared" si="79"/>
        <v>12.313483208747071</v>
      </c>
      <c r="O996" s="1" t="str">
        <f t="shared" si="75"/>
        <v>Normal</v>
      </c>
      <c r="P996" s="51" t="str">
        <f>IF(Table4[[#This Row],[Sales]]&lt;=$B$3,"Normal","High Revenue")</f>
        <v>Normal</v>
      </c>
      <c r="Q996" s="51" t="str">
        <f>IF(Table4[[#This Row],[CTR]]&lt;=$B$4,"Normal","High CTR")</f>
        <v>Normal</v>
      </c>
      <c r="R996" s="51" t="str">
        <f>IF(Table4[[#This Row],[ROAS]]&lt;1,"Poor",IF(Table4[[#This Row],[ROAS]]&lt;3,"Average",IF(Table4[[#This Row],[ROAS]]&lt;5,"Good",
"Excellent")))</f>
        <v>Excellent</v>
      </c>
      <c r="S996" s="51" t="str">
        <f>IF(AND(Table4[[#This Row],[USD_Spend]]&gt;=$B$5,Table4[[#This Row],[Sales]]&lt;=$B$6),"Wasted Budget","Spend Justified")</f>
        <v>Spend Justified</v>
      </c>
      <c r="T996" s="51" t="str">
        <f>IF(AND(Table4[[#This Row],[Clicks]]&gt;=$B$7,Table4[[#This Row],[Sales]]&lt;=$B$6),"Poor Monetization","Normal Monitization")</f>
        <v>Normal Monitization</v>
      </c>
    </row>
    <row r="997" spans="1:20" x14ac:dyDescent="0.35">
      <c r="A997" s="41" t="s">
        <v>106</v>
      </c>
      <c r="B997" s="41" t="s">
        <v>48</v>
      </c>
      <c r="C997" s="41" t="s">
        <v>20</v>
      </c>
      <c r="D997" s="41" t="s">
        <v>43</v>
      </c>
      <c r="E997" s="41" t="s">
        <v>38</v>
      </c>
      <c r="F997" s="41">
        <v>25001.09</v>
      </c>
      <c r="G997" s="41">
        <v>990269</v>
      </c>
      <c r="H997" s="41">
        <v>17952</v>
      </c>
      <c r="I997" s="41">
        <v>139393.59</v>
      </c>
      <c r="J997" s="41">
        <v>36</v>
      </c>
      <c r="K997" s="42">
        <f t="shared" si="76"/>
        <v>1.8128407533710537E-2</v>
      </c>
      <c r="L997" s="43">
        <f t="shared" si="77"/>
        <v>5.5755005081778437</v>
      </c>
      <c r="M997" s="43">
        <f t="shared" si="78"/>
        <v>4.5755005081778437</v>
      </c>
      <c r="N997" s="43">
        <f t="shared" si="79"/>
        <v>7.7647944518716576</v>
      </c>
      <c r="O997" s="1" t="str">
        <f t="shared" si="75"/>
        <v>Normal</v>
      </c>
      <c r="P997" s="51" t="str">
        <f>IF(Table4[[#This Row],[Sales]]&lt;=$B$3,"Normal","High Revenue")</f>
        <v>Normal</v>
      </c>
      <c r="Q997" s="51" t="str">
        <f>IF(Table4[[#This Row],[CTR]]&lt;=$B$4,"Normal","High CTR")</f>
        <v>Normal</v>
      </c>
      <c r="R997" s="51" t="str">
        <f>IF(Table4[[#This Row],[ROAS]]&lt;1,"Poor",IF(Table4[[#This Row],[ROAS]]&lt;3,"Average",IF(Table4[[#This Row],[ROAS]]&lt;5,"Good",
"Excellent")))</f>
        <v>Excellent</v>
      </c>
      <c r="S997" s="51" t="str">
        <f>IF(AND(Table4[[#This Row],[USD_Spend]]&gt;=$B$5,Table4[[#This Row],[Sales]]&lt;=$B$6),"Wasted Budget","Spend Justified")</f>
        <v>Spend Justified</v>
      </c>
      <c r="T997" s="51" t="str">
        <f>IF(AND(Table4[[#This Row],[Clicks]]&gt;=$B$7,Table4[[#This Row],[Sales]]&lt;=$B$6),"Poor Monetization","Normal Monitization")</f>
        <v>Normal Monitization</v>
      </c>
    </row>
    <row r="998" spans="1:20" x14ac:dyDescent="0.35">
      <c r="A998" s="38" t="s">
        <v>50</v>
      </c>
      <c r="B998" s="38" t="s">
        <v>19</v>
      </c>
      <c r="C998" s="38" t="s">
        <v>29</v>
      </c>
      <c r="D998" s="38" t="s">
        <v>63</v>
      </c>
      <c r="E998" s="38" t="s">
        <v>30</v>
      </c>
      <c r="F998" s="38">
        <v>39766.720000000001</v>
      </c>
      <c r="G998" s="38">
        <v>507126</v>
      </c>
      <c r="H998" s="38">
        <v>8771</v>
      </c>
      <c r="I998" s="38">
        <v>163606.03</v>
      </c>
      <c r="J998" s="38">
        <v>55</v>
      </c>
      <c r="K998" s="39">
        <f t="shared" si="76"/>
        <v>1.7295504470289436E-2</v>
      </c>
      <c r="L998" s="40">
        <f t="shared" si="77"/>
        <v>4.1141444403762746</v>
      </c>
      <c r="M998" s="40">
        <f t="shared" si="78"/>
        <v>3.1141444403762741</v>
      </c>
      <c r="N998" s="40">
        <f t="shared" si="79"/>
        <v>18.653064644852353</v>
      </c>
      <c r="O998" s="1" t="str">
        <f t="shared" si="75"/>
        <v>Normal</v>
      </c>
      <c r="P998" s="51" t="str">
        <f>IF(Table4[[#This Row],[Sales]]&lt;=$B$3,"Normal","High Revenue")</f>
        <v>Normal</v>
      </c>
      <c r="Q998" s="51" t="str">
        <f>IF(Table4[[#This Row],[CTR]]&lt;=$B$4,"Normal","High CTR")</f>
        <v>Normal</v>
      </c>
      <c r="R998" s="51" t="str">
        <f>IF(Table4[[#This Row],[ROAS]]&lt;1,"Poor",IF(Table4[[#This Row],[ROAS]]&lt;3,"Average",IF(Table4[[#This Row],[ROAS]]&lt;5,"Good",
"Excellent")))</f>
        <v>Good</v>
      </c>
      <c r="S998" s="51" t="str">
        <f>IF(AND(Table4[[#This Row],[USD_Spend]]&gt;=$B$5,Table4[[#This Row],[Sales]]&lt;=$B$6),"Wasted Budget","Spend Justified")</f>
        <v>Spend Justified</v>
      </c>
      <c r="T998" s="51" t="str">
        <f>IF(AND(Table4[[#This Row],[Clicks]]&gt;=$B$7,Table4[[#This Row],[Sales]]&lt;=$B$6),"Poor Monetization","Normal Monitization")</f>
        <v>Normal Monitization</v>
      </c>
    </row>
    <row r="999" spans="1:20" x14ac:dyDescent="0.35">
      <c r="A999" s="41" t="s">
        <v>111</v>
      </c>
      <c r="B999" s="41" t="s">
        <v>48</v>
      </c>
      <c r="C999" s="41" t="s">
        <v>69</v>
      </c>
      <c r="D999" s="41" t="s">
        <v>43</v>
      </c>
      <c r="E999" s="41" t="s">
        <v>38</v>
      </c>
      <c r="F999" s="41">
        <v>14771.41</v>
      </c>
      <c r="G999" s="41">
        <v>100581</v>
      </c>
      <c r="H999" s="41">
        <v>36347</v>
      </c>
      <c r="I999" s="41">
        <v>116902.81</v>
      </c>
      <c r="J999" s="41">
        <v>24</v>
      </c>
      <c r="K999" s="42">
        <f t="shared" si="76"/>
        <v>0.36137043775663397</v>
      </c>
      <c r="L999" s="43">
        <f t="shared" si="77"/>
        <v>7.9141266812037578</v>
      </c>
      <c r="M999" s="43">
        <f t="shared" si="78"/>
        <v>6.9141266812037578</v>
      </c>
      <c r="N999" s="43">
        <f t="shared" si="79"/>
        <v>3.2162987316697387</v>
      </c>
      <c r="O999" s="1" t="str">
        <f t="shared" si="75"/>
        <v>Normal</v>
      </c>
      <c r="P999" s="51" t="str">
        <f>IF(Table4[[#This Row],[Sales]]&lt;=$B$3,"Normal","High Revenue")</f>
        <v>Normal</v>
      </c>
      <c r="Q999" s="51" t="str">
        <f>IF(Table4[[#This Row],[CTR]]&lt;=$B$4,"Normal","High CTR")</f>
        <v>Normal</v>
      </c>
      <c r="R999" s="51" t="str">
        <f>IF(Table4[[#This Row],[ROAS]]&lt;1,"Poor",IF(Table4[[#This Row],[ROAS]]&lt;3,"Average",IF(Table4[[#This Row],[ROAS]]&lt;5,"Good",
"Excellent")))</f>
        <v>Excellent</v>
      </c>
      <c r="S999" s="51" t="str">
        <f>IF(AND(Table4[[#This Row],[USD_Spend]]&gt;=$B$5,Table4[[#This Row],[Sales]]&lt;=$B$6),"Wasted Budget","Spend Justified")</f>
        <v>Spend Justified</v>
      </c>
      <c r="T999" s="51" t="str">
        <f>IF(AND(Table4[[#This Row],[Clicks]]&gt;=$B$7,Table4[[#This Row],[Sales]]&lt;=$B$6),"Poor Monetization","Normal Monitization")</f>
        <v>Normal Monitization</v>
      </c>
    </row>
    <row r="1000" spans="1:20" x14ac:dyDescent="0.35">
      <c r="A1000" s="38" t="s">
        <v>100</v>
      </c>
      <c r="B1000" s="38" t="s">
        <v>48</v>
      </c>
      <c r="C1000" s="38" t="s">
        <v>20</v>
      </c>
      <c r="D1000" s="38" t="s">
        <v>51</v>
      </c>
      <c r="E1000" s="38" t="s">
        <v>30</v>
      </c>
      <c r="F1000" s="38">
        <v>9339.99</v>
      </c>
      <c r="G1000" s="38">
        <v>640025</v>
      </c>
      <c r="H1000" s="38">
        <v>9452</v>
      </c>
      <c r="I1000" s="38">
        <v>199680.94</v>
      </c>
      <c r="J1000" s="38">
        <v>36</v>
      </c>
      <c r="K1000" s="39">
        <f t="shared" si="76"/>
        <v>1.4768173118237568E-2</v>
      </c>
      <c r="L1000" s="40">
        <f t="shared" si="77"/>
        <v>21.379138521561586</v>
      </c>
      <c r="M1000" s="40">
        <f t="shared" si="78"/>
        <v>20.37913852156159</v>
      </c>
      <c r="N1000" s="40">
        <f t="shared" si="79"/>
        <v>21.125787134997886</v>
      </c>
      <c r="O1000" s="1" t="str">
        <f t="shared" si="75"/>
        <v>Normal</v>
      </c>
      <c r="P1000" s="51" t="str">
        <f>IF(Table4[[#This Row],[Sales]]&lt;=$B$3,"Normal","High Revenue")</f>
        <v>Normal</v>
      </c>
      <c r="Q1000" s="51" t="str">
        <f>IF(Table4[[#This Row],[CTR]]&lt;=$B$4,"Normal","High CTR")</f>
        <v>Normal</v>
      </c>
      <c r="R1000" s="51" t="str">
        <f>IF(Table4[[#This Row],[ROAS]]&lt;1,"Poor",IF(Table4[[#This Row],[ROAS]]&lt;3,"Average",IF(Table4[[#This Row],[ROAS]]&lt;5,"Good",
"Excellent")))</f>
        <v>Excellent</v>
      </c>
      <c r="S1000" s="51" t="str">
        <f>IF(AND(Table4[[#This Row],[USD_Spend]]&gt;=$B$5,Table4[[#This Row],[Sales]]&lt;=$B$6),"Wasted Budget","Spend Justified")</f>
        <v>Spend Justified</v>
      </c>
      <c r="T1000" s="51" t="str">
        <f>IF(AND(Table4[[#This Row],[Clicks]]&gt;=$B$7,Table4[[#This Row],[Sales]]&lt;=$B$6),"Poor Monetization","Normal Monitization")</f>
        <v>Normal Monitization</v>
      </c>
    </row>
    <row r="1001" spans="1:20" x14ac:dyDescent="0.35">
      <c r="A1001" s="41" t="s">
        <v>102</v>
      </c>
      <c r="B1001" s="41" t="s">
        <v>19</v>
      </c>
      <c r="C1001" s="41" t="s">
        <v>20</v>
      </c>
      <c r="D1001" s="41" t="s">
        <v>59</v>
      </c>
      <c r="E1001" s="41" t="s">
        <v>38</v>
      </c>
      <c r="F1001" s="41">
        <v>3279.5</v>
      </c>
      <c r="G1001" s="41">
        <v>406077</v>
      </c>
      <c r="H1001" s="41">
        <v>8271</v>
      </c>
      <c r="I1001" s="41">
        <v>72806.740000000005</v>
      </c>
      <c r="J1001" s="41">
        <v>46</v>
      </c>
      <c r="K1001" s="42">
        <f t="shared" si="76"/>
        <v>2.0368058274662194E-2</v>
      </c>
      <c r="L1001" s="43">
        <f t="shared" si="77"/>
        <v>22.200561061137371</v>
      </c>
      <c r="M1001" s="43">
        <f t="shared" si="78"/>
        <v>21.200561061137371</v>
      </c>
      <c r="N1001" s="43">
        <f t="shared" si="79"/>
        <v>8.8026526417603677</v>
      </c>
      <c r="O1001" s="1" t="str">
        <f t="shared" si="75"/>
        <v>Normal</v>
      </c>
      <c r="P1001" s="51" t="str">
        <f>IF(Table4[[#This Row],[Sales]]&lt;=$B$3,"Normal","High Revenue")</f>
        <v>Normal</v>
      </c>
      <c r="Q1001" s="51" t="str">
        <f>IF(Table4[[#This Row],[CTR]]&lt;=$B$4,"Normal","High CTR")</f>
        <v>Normal</v>
      </c>
      <c r="R1001" s="51" t="str">
        <f>IF(Table4[[#This Row],[ROAS]]&lt;1,"Poor",IF(Table4[[#This Row],[ROAS]]&lt;3,"Average",IF(Table4[[#This Row],[ROAS]]&lt;5,"Good",
"Excellent")))</f>
        <v>Excellent</v>
      </c>
      <c r="S1001" s="51" t="str">
        <f>IF(AND(Table4[[#This Row],[USD_Spend]]&gt;=$B$5,Table4[[#This Row],[Sales]]&lt;=$B$6),"Wasted Budget","Spend Justified")</f>
        <v>Spend Justified</v>
      </c>
      <c r="T1001" s="51" t="str">
        <f>IF(AND(Table4[[#This Row],[Clicks]]&gt;=$B$7,Table4[[#This Row],[Sales]]&lt;=$B$6),"Poor Monetization","Normal Monitization")</f>
        <v>Normal Monitization</v>
      </c>
    </row>
    <row r="1002" spans="1:20" x14ac:dyDescent="0.35">
      <c r="A1002" s="38" t="s">
        <v>104</v>
      </c>
      <c r="B1002" s="38" t="s">
        <v>35</v>
      </c>
      <c r="C1002" s="38" t="s">
        <v>58</v>
      </c>
      <c r="D1002" s="38" t="s">
        <v>43</v>
      </c>
      <c r="E1002" s="38" t="s">
        <v>22</v>
      </c>
      <c r="F1002" s="38">
        <v>3081.81</v>
      </c>
      <c r="G1002" s="38">
        <v>570383</v>
      </c>
      <c r="H1002" s="38">
        <v>37806</v>
      </c>
      <c r="I1002" s="38">
        <v>64142.61</v>
      </c>
      <c r="J1002" s="38">
        <v>61</v>
      </c>
      <c r="K1002" s="39">
        <f t="shared" si="76"/>
        <v>6.6281779085281295E-2</v>
      </c>
      <c r="L1002" s="40">
        <f t="shared" si="77"/>
        <v>20.813291539712054</v>
      </c>
      <c r="M1002" s="40">
        <f t="shared" si="78"/>
        <v>19.813291539712054</v>
      </c>
      <c r="N1002" s="40">
        <f t="shared" si="79"/>
        <v>1.6966251388668465</v>
      </c>
      <c r="O1002" s="1" t="str">
        <f t="shared" si="75"/>
        <v>Normal</v>
      </c>
      <c r="P1002" s="51" t="str">
        <f>IF(Table4[[#This Row],[Sales]]&lt;=$B$3,"Normal","High Revenue")</f>
        <v>Normal</v>
      </c>
      <c r="Q1002" s="51" t="str">
        <f>IF(Table4[[#This Row],[CTR]]&lt;=$B$4,"Normal","High CTR")</f>
        <v>Normal</v>
      </c>
      <c r="R1002" s="51" t="str">
        <f>IF(Table4[[#This Row],[ROAS]]&lt;1,"Poor",IF(Table4[[#This Row],[ROAS]]&lt;3,"Average",IF(Table4[[#This Row],[ROAS]]&lt;5,"Good",
"Excellent")))</f>
        <v>Excellent</v>
      </c>
      <c r="S1002" s="51" t="str">
        <f>IF(AND(Table4[[#This Row],[USD_Spend]]&gt;=$B$5,Table4[[#This Row],[Sales]]&lt;=$B$6),"Wasted Budget","Spend Justified")</f>
        <v>Spend Justified</v>
      </c>
      <c r="T1002" s="51" t="str">
        <f>IF(AND(Table4[[#This Row],[Clicks]]&gt;=$B$7,Table4[[#This Row],[Sales]]&lt;=$B$6),"Poor Monetization","Normal Monitization")</f>
        <v>Normal Monitization</v>
      </c>
    </row>
    <row r="1003" spans="1:20" x14ac:dyDescent="0.35">
      <c r="A1003" s="41" t="s">
        <v>89</v>
      </c>
      <c r="B1003" s="41" t="s">
        <v>35</v>
      </c>
      <c r="C1003" s="41" t="s">
        <v>36</v>
      </c>
      <c r="D1003" s="41" t="s">
        <v>43</v>
      </c>
      <c r="E1003" s="41" t="s">
        <v>30</v>
      </c>
      <c r="F1003" s="41">
        <v>34253.43</v>
      </c>
      <c r="G1003" s="41">
        <v>325697</v>
      </c>
      <c r="H1003" s="41">
        <v>17890</v>
      </c>
      <c r="I1003" s="41">
        <v>172933.71</v>
      </c>
      <c r="J1003" s="41">
        <v>26</v>
      </c>
      <c r="K1003" s="42">
        <f t="shared" si="76"/>
        <v>5.4928353653856191E-2</v>
      </c>
      <c r="L1003" s="43">
        <f t="shared" si="77"/>
        <v>5.0486538136472756</v>
      </c>
      <c r="M1003" s="43">
        <f t="shared" si="78"/>
        <v>4.0486538136472756</v>
      </c>
      <c r="N1003" s="43">
        <f t="shared" si="79"/>
        <v>9.6665013974287302</v>
      </c>
      <c r="O1003" s="1" t="str">
        <f t="shared" si="75"/>
        <v>Normal</v>
      </c>
      <c r="P1003" s="51" t="str">
        <f>IF(Table4[[#This Row],[Sales]]&lt;=$B$3,"Normal","High Revenue")</f>
        <v>Normal</v>
      </c>
      <c r="Q1003" s="51" t="str">
        <f>IF(Table4[[#This Row],[CTR]]&lt;=$B$4,"Normal","High CTR")</f>
        <v>Normal</v>
      </c>
      <c r="R1003" s="51" t="str">
        <f>IF(Table4[[#This Row],[ROAS]]&lt;1,"Poor",IF(Table4[[#This Row],[ROAS]]&lt;3,"Average",IF(Table4[[#This Row],[ROAS]]&lt;5,"Good",
"Excellent")))</f>
        <v>Excellent</v>
      </c>
      <c r="S1003" s="51" t="str">
        <f>IF(AND(Table4[[#This Row],[USD_Spend]]&gt;=$B$5,Table4[[#This Row],[Sales]]&lt;=$B$6),"Wasted Budget","Spend Justified")</f>
        <v>Spend Justified</v>
      </c>
      <c r="T1003" s="51" t="str">
        <f>IF(AND(Table4[[#This Row],[Clicks]]&gt;=$B$7,Table4[[#This Row],[Sales]]&lt;=$B$6),"Poor Monetization","Normal Monitization")</f>
        <v>Normal Monitization</v>
      </c>
    </row>
    <row r="1004" spans="1:20" x14ac:dyDescent="0.35">
      <c r="A1004" s="38" t="s">
        <v>95</v>
      </c>
      <c r="B1004" s="38" t="s">
        <v>19</v>
      </c>
      <c r="C1004" s="38" t="s">
        <v>36</v>
      </c>
      <c r="D1004" s="38" t="s">
        <v>37</v>
      </c>
      <c r="E1004" s="38" t="s">
        <v>30</v>
      </c>
      <c r="F1004" s="38">
        <v>2797.51</v>
      </c>
      <c r="G1004" s="38">
        <v>271824</v>
      </c>
      <c r="H1004" s="38">
        <v>40640</v>
      </c>
      <c r="I1004" s="38">
        <v>92226.71</v>
      </c>
      <c r="J1004" s="38">
        <v>22</v>
      </c>
      <c r="K1004" s="39">
        <f t="shared" si="76"/>
        <v>0.14950850550356112</v>
      </c>
      <c r="L1004" s="40">
        <f t="shared" si="77"/>
        <v>32.967428177200439</v>
      </c>
      <c r="M1004" s="40">
        <f t="shared" si="78"/>
        <v>31.967428177200439</v>
      </c>
      <c r="N1004" s="40">
        <f t="shared" si="79"/>
        <v>2.2693580216535434</v>
      </c>
      <c r="O1004" s="1" t="str">
        <f t="shared" si="75"/>
        <v>Normal</v>
      </c>
      <c r="P1004" s="51" t="str">
        <f>IF(Table4[[#This Row],[Sales]]&lt;=$B$3,"Normal","High Revenue")</f>
        <v>Normal</v>
      </c>
      <c r="Q1004" s="51" t="str">
        <f>IF(Table4[[#This Row],[CTR]]&lt;=$B$4,"Normal","High CTR")</f>
        <v>Normal</v>
      </c>
      <c r="R1004" s="51" t="str">
        <f>IF(Table4[[#This Row],[ROAS]]&lt;1,"Poor",IF(Table4[[#This Row],[ROAS]]&lt;3,"Average",IF(Table4[[#This Row],[ROAS]]&lt;5,"Good",
"Excellent")))</f>
        <v>Excellent</v>
      </c>
      <c r="S1004" s="51" t="str">
        <f>IF(AND(Table4[[#This Row],[USD_Spend]]&gt;=$B$5,Table4[[#This Row],[Sales]]&lt;=$B$6),"Wasted Budget","Spend Justified")</f>
        <v>Spend Justified</v>
      </c>
      <c r="T1004" s="51" t="str">
        <f>IF(AND(Table4[[#This Row],[Clicks]]&gt;=$B$7,Table4[[#This Row],[Sales]]&lt;=$B$6),"Poor Monetization","Normal Monitization")</f>
        <v>Normal Monitization</v>
      </c>
    </row>
    <row r="1005" spans="1:20" x14ac:dyDescent="0.35">
      <c r="A1005" s="41" t="s">
        <v>96</v>
      </c>
      <c r="B1005" s="41" t="s">
        <v>48</v>
      </c>
      <c r="C1005" s="41" t="s">
        <v>36</v>
      </c>
      <c r="D1005" s="41" t="s">
        <v>21</v>
      </c>
      <c r="E1005" s="41" t="s">
        <v>38</v>
      </c>
      <c r="F1005" s="41">
        <v>14355.44</v>
      </c>
      <c r="G1005" s="41">
        <v>489123</v>
      </c>
      <c r="H1005" s="41">
        <v>1105</v>
      </c>
      <c r="I1005" s="41">
        <v>181998.74</v>
      </c>
      <c r="J1005" s="41">
        <v>60</v>
      </c>
      <c r="K1005" s="42">
        <f t="shared" si="76"/>
        <v>2.2591454501219529E-3</v>
      </c>
      <c r="L1005" s="43">
        <f t="shared" si="77"/>
        <v>12.678032857230429</v>
      </c>
      <c r="M1005" s="43">
        <f t="shared" si="78"/>
        <v>11.678032857230429</v>
      </c>
      <c r="N1005" s="43">
        <f t="shared" si="79"/>
        <v>164.70474208144796</v>
      </c>
      <c r="O1005" s="1" t="str">
        <f t="shared" si="75"/>
        <v>Normal</v>
      </c>
      <c r="P1005" s="51" t="str">
        <f>IF(Table4[[#This Row],[Sales]]&lt;=$B$3,"Normal","High Revenue")</f>
        <v>Normal</v>
      </c>
      <c r="Q1005" s="51" t="str">
        <f>IF(Table4[[#This Row],[CTR]]&lt;=$B$4,"Normal","High CTR")</f>
        <v>Normal</v>
      </c>
      <c r="R1005" s="51" t="str">
        <f>IF(Table4[[#This Row],[ROAS]]&lt;1,"Poor",IF(Table4[[#This Row],[ROAS]]&lt;3,"Average",IF(Table4[[#This Row],[ROAS]]&lt;5,"Good",
"Excellent")))</f>
        <v>Excellent</v>
      </c>
      <c r="S1005" s="51" t="str">
        <f>IF(AND(Table4[[#This Row],[USD_Spend]]&gt;=$B$5,Table4[[#This Row],[Sales]]&lt;=$B$6),"Wasted Budget","Spend Justified")</f>
        <v>Spend Justified</v>
      </c>
      <c r="T1005" s="51" t="str">
        <f>IF(AND(Table4[[#This Row],[Clicks]]&gt;=$B$7,Table4[[#This Row],[Sales]]&lt;=$B$6),"Poor Monetization","Normal Monitization")</f>
        <v>Normal Monitization</v>
      </c>
    </row>
    <row r="1006" spans="1:20" x14ac:dyDescent="0.35">
      <c r="A1006" s="38" t="s">
        <v>97</v>
      </c>
      <c r="B1006" s="38" t="s">
        <v>19</v>
      </c>
      <c r="C1006" s="38" t="s">
        <v>29</v>
      </c>
      <c r="D1006" s="38" t="s">
        <v>63</v>
      </c>
      <c r="E1006" s="38" t="s">
        <v>38</v>
      </c>
      <c r="F1006" s="38">
        <v>3721.59</v>
      </c>
      <c r="G1006" s="38">
        <v>896982</v>
      </c>
      <c r="H1006" s="38">
        <v>33910</v>
      </c>
      <c r="I1006" s="38">
        <v>213535.68</v>
      </c>
      <c r="J1006" s="38">
        <v>29</v>
      </c>
      <c r="K1006" s="39">
        <f t="shared" si="76"/>
        <v>3.7804549032199083E-2</v>
      </c>
      <c r="L1006" s="40">
        <f t="shared" si="77"/>
        <v>57.377540244895322</v>
      </c>
      <c r="M1006" s="40">
        <f t="shared" si="78"/>
        <v>56.377540244895322</v>
      </c>
      <c r="N1006" s="40">
        <f t="shared" si="79"/>
        <v>6.2971300501327043</v>
      </c>
      <c r="O1006" s="1" t="str">
        <f t="shared" si="75"/>
        <v>Normal</v>
      </c>
      <c r="P1006" s="51" t="str">
        <f>IF(Table4[[#This Row],[Sales]]&lt;=$B$3,"Normal","High Revenue")</f>
        <v>Normal</v>
      </c>
      <c r="Q1006" s="51" t="str">
        <f>IF(Table4[[#This Row],[CTR]]&lt;=$B$4,"Normal","High CTR")</f>
        <v>Normal</v>
      </c>
      <c r="R1006" s="51" t="str">
        <f>IF(Table4[[#This Row],[ROAS]]&lt;1,"Poor",IF(Table4[[#This Row],[ROAS]]&lt;3,"Average",IF(Table4[[#This Row],[ROAS]]&lt;5,"Good",
"Excellent")))</f>
        <v>Excellent</v>
      </c>
      <c r="S1006" s="51" t="str">
        <f>IF(AND(Table4[[#This Row],[USD_Spend]]&gt;=$B$5,Table4[[#This Row],[Sales]]&lt;=$B$6),"Wasted Budget","Spend Justified")</f>
        <v>Spend Justified</v>
      </c>
      <c r="T1006" s="51" t="str">
        <f>IF(AND(Table4[[#This Row],[Clicks]]&gt;=$B$7,Table4[[#This Row],[Sales]]&lt;=$B$6),"Poor Monetization","Normal Monitization")</f>
        <v>Normal Monitization</v>
      </c>
    </row>
    <row r="1007" spans="1:20" x14ac:dyDescent="0.35">
      <c r="A1007" s="41" t="s">
        <v>27</v>
      </c>
      <c r="B1007" s="41" t="s">
        <v>28</v>
      </c>
      <c r="C1007" s="41" t="s">
        <v>20</v>
      </c>
      <c r="D1007" s="41" t="s">
        <v>63</v>
      </c>
      <c r="E1007" s="41" t="s">
        <v>30</v>
      </c>
      <c r="F1007" s="41">
        <v>4726.9399999999996</v>
      </c>
      <c r="G1007" s="41">
        <v>735443</v>
      </c>
      <c r="H1007" s="41">
        <v>19906</v>
      </c>
      <c r="I1007" s="41">
        <v>127658.47</v>
      </c>
      <c r="J1007" s="41">
        <v>33</v>
      </c>
      <c r="K1007" s="42">
        <f t="shared" si="76"/>
        <v>2.7066679538727E-2</v>
      </c>
      <c r="L1007" s="43">
        <f t="shared" si="77"/>
        <v>27.006577193702483</v>
      </c>
      <c r="M1007" s="43">
        <f t="shared" si="78"/>
        <v>26.006577193702483</v>
      </c>
      <c r="N1007" s="43">
        <f t="shared" si="79"/>
        <v>6.4130649050537523</v>
      </c>
      <c r="O1007" s="1" t="str">
        <f t="shared" si="75"/>
        <v>Normal</v>
      </c>
      <c r="P1007" s="51" t="str">
        <f>IF(Table4[[#This Row],[Sales]]&lt;=$B$3,"Normal","High Revenue")</f>
        <v>Normal</v>
      </c>
      <c r="Q1007" s="51" t="str">
        <f>IF(Table4[[#This Row],[CTR]]&lt;=$B$4,"Normal","High CTR")</f>
        <v>Normal</v>
      </c>
      <c r="R1007" s="51" t="str">
        <f>IF(Table4[[#This Row],[ROAS]]&lt;1,"Poor",IF(Table4[[#This Row],[ROAS]]&lt;3,"Average",IF(Table4[[#This Row],[ROAS]]&lt;5,"Good",
"Excellent")))</f>
        <v>Excellent</v>
      </c>
      <c r="S1007" s="51" t="str">
        <f>IF(AND(Table4[[#This Row],[USD_Spend]]&gt;=$B$5,Table4[[#This Row],[Sales]]&lt;=$B$6),"Wasted Budget","Spend Justified")</f>
        <v>Spend Justified</v>
      </c>
      <c r="T1007" s="51" t="str">
        <f>IF(AND(Table4[[#This Row],[Clicks]]&gt;=$B$7,Table4[[#This Row],[Sales]]&lt;=$B$6),"Poor Monetization","Normal Monitization")</f>
        <v>Normal Monitization</v>
      </c>
    </row>
    <row r="1008" spans="1:20" x14ac:dyDescent="0.35">
      <c r="A1008" s="38" t="s">
        <v>114</v>
      </c>
      <c r="B1008" s="38" t="s">
        <v>28</v>
      </c>
      <c r="C1008" s="38" t="s">
        <v>69</v>
      </c>
      <c r="D1008" s="38" t="s">
        <v>63</v>
      </c>
      <c r="E1008" s="38" t="s">
        <v>30</v>
      </c>
      <c r="F1008" s="38">
        <v>764.62</v>
      </c>
      <c r="G1008" s="38">
        <v>979047</v>
      </c>
      <c r="H1008" s="38">
        <v>8671</v>
      </c>
      <c r="I1008" s="38">
        <v>199750.04</v>
      </c>
      <c r="J1008" s="38">
        <v>51</v>
      </c>
      <c r="K1008" s="39">
        <f t="shared" si="76"/>
        <v>8.8565717478323314E-3</v>
      </c>
      <c r="L1008" s="40">
        <f t="shared" si="77"/>
        <v>261.2409301352306</v>
      </c>
      <c r="M1008" s="40">
        <f t="shared" si="78"/>
        <v>260.2409301352306</v>
      </c>
      <c r="N1008" s="40">
        <f t="shared" si="79"/>
        <v>23.036563256833123</v>
      </c>
      <c r="O1008" s="1" t="str">
        <f t="shared" si="75"/>
        <v>Normal</v>
      </c>
      <c r="P1008" s="51" t="str">
        <f>IF(Table4[[#This Row],[Sales]]&lt;=$B$3,"Normal","High Revenue")</f>
        <v>Normal</v>
      </c>
      <c r="Q1008" s="51" t="str">
        <f>IF(Table4[[#This Row],[CTR]]&lt;=$B$4,"Normal","High CTR")</f>
        <v>Normal</v>
      </c>
      <c r="R1008" s="51" t="str">
        <f>IF(Table4[[#This Row],[ROAS]]&lt;1,"Poor",IF(Table4[[#This Row],[ROAS]]&lt;3,"Average",IF(Table4[[#This Row],[ROAS]]&lt;5,"Good",
"Excellent")))</f>
        <v>Excellent</v>
      </c>
      <c r="S1008" s="51" t="str">
        <f>IF(AND(Table4[[#This Row],[USD_Spend]]&gt;=$B$5,Table4[[#This Row],[Sales]]&lt;=$B$6),"Wasted Budget","Spend Justified")</f>
        <v>Spend Justified</v>
      </c>
      <c r="T1008" s="51" t="str">
        <f>IF(AND(Table4[[#This Row],[Clicks]]&gt;=$B$7,Table4[[#This Row],[Sales]]&lt;=$B$6),"Poor Monetization","Normal Monitization")</f>
        <v>Normal Monitization</v>
      </c>
    </row>
    <row r="1009" spans="1:20" x14ac:dyDescent="0.35">
      <c r="A1009" s="41" t="s">
        <v>93</v>
      </c>
      <c r="B1009" s="41" t="s">
        <v>48</v>
      </c>
      <c r="C1009" s="41" t="s">
        <v>36</v>
      </c>
      <c r="D1009" s="41" t="s">
        <v>63</v>
      </c>
      <c r="E1009" s="41" t="s">
        <v>38</v>
      </c>
      <c r="F1009" s="41">
        <v>21087.27</v>
      </c>
      <c r="G1009" s="41">
        <v>872752</v>
      </c>
      <c r="H1009" s="41">
        <v>7466</v>
      </c>
      <c r="I1009" s="41">
        <v>125496.04</v>
      </c>
      <c r="J1009" s="41">
        <v>49</v>
      </c>
      <c r="K1009" s="42">
        <f t="shared" si="76"/>
        <v>8.554549287770179E-3</v>
      </c>
      <c r="L1009" s="43">
        <f t="shared" si="77"/>
        <v>5.9512701264791499</v>
      </c>
      <c r="M1009" s="43">
        <f t="shared" si="78"/>
        <v>4.9512701264791499</v>
      </c>
      <c r="N1009" s="43">
        <f t="shared" si="79"/>
        <v>16.809006161264399</v>
      </c>
      <c r="O1009" s="1" t="str">
        <f t="shared" si="75"/>
        <v>Normal</v>
      </c>
      <c r="P1009" s="51" t="str">
        <f>IF(Table4[[#This Row],[Sales]]&lt;=$B$3,"Normal","High Revenue")</f>
        <v>Normal</v>
      </c>
      <c r="Q1009" s="51" t="str">
        <f>IF(Table4[[#This Row],[CTR]]&lt;=$B$4,"Normal","High CTR")</f>
        <v>Normal</v>
      </c>
      <c r="R1009" s="51" t="str">
        <f>IF(Table4[[#This Row],[ROAS]]&lt;1,"Poor",IF(Table4[[#This Row],[ROAS]]&lt;3,"Average",IF(Table4[[#This Row],[ROAS]]&lt;5,"Good",
"Excellent")))</f>
        <v>Excellent</v>
      </c>
      <c r="S1009" s="51" t="str">
        <f>IF(AND(Table4[[#This Row],[USD_Spend]]&gt;=$B$5,Table4[[#This Row],[Sales]]&lt;=$B$6),"Wasted Budget","Spend Justified")</f>
        <v>Spend Justified</v>
      </c>
      <c r="T1009" s="51" t="str">
        <f>IF(AND(Table4[[#This Row],[Clicks]]&gt;=$B$7,Table4[[#This Row],[Sales]]&lt;=$B$6),"Poor Monetization","Normal Monitization")</f>
        <v>Normal Monitization</v>
      </c>
    </row>
  </sheetData>
  <mergeCells count="2">
    <mergeCell ref="D1:G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7E74-F751-4AEA-B0C5-AAF7BFAF51B0}">
  <dimension ref="A1:R45"/>
  <sheetViews>
    <sheetView showGridLines="0" workbookViewId="0">
      <selection activeCell="C2" sqref="C2"/>
    </sheetView>
  </sheetViews>
  <sheetFormatPr defaultRowHeight="14.5" x14ac:dyDescent="0.35"/>
  <cols>
    <col min="1" max="1" width="12.26953125" bestFit="1" customWidth="1"/>
    <col min="2" max="2" width="12.1796875" bestFit="1" customWidth="1"/>
    <col min="3" max="3" width="13.7265625" bestFit="1" customWidth="1"/>
    <col min="4" max="4" width="15" bestFit="1" customWidth="1"/>
    <col min="5" max="5" width="12.1796875" bestFit="1" customWidth="1"/>
    <col min="6" max="6" width="7.90625" bestFit="1" customWidth="1"/>
    <col min="7" max="7" width="8.81640625" bestFit="1" customWidth="1"/>
    <col min="8" max="8" width="7.26953125" bestFit="1" customWidth="1"/>
    <col min="9" max="9" width="16.81640625" bestFit="1" customWidth="1"/>
    <col min="11" max="11" width="10.81640625" bestFit="1" customWidth="1"/>
    <col min="12" max="12" width="12.7265625" bestFit="1" customWidth="1"/>
    <col min="15" max="15" width="14.90625" bestFit="1" customWidth="1"/>
    <col min="18" max="18" width="12.54296875" bestFit="1" customWidth="1"/>
  </cols>
  <sheetData>
    <row r="1" spans="1:18" x14ac:dyDescent="0.35">
      <c r="A1" s="127" t="s">
        <v>206</v>
      </c>
      <c r="B1" s="127"/>
      <c r="C1" s="127"/>
      <c r="D1" s="127"/>
      <c r="E1" s="127"/>
      <c r="F1" s="127"/>
    </row>
    <row r="2" spans="1:18" x14ac:dyDescent="0.35">
      <c r="A2" s="128" t="s">
        <v>203</v>
      </c>
      <c r="B2" s="128"/>
      <c r="C2" s="63" t="str">
        <f>INDEX(A11:A14,MATCH(MAX(C11:C14),C11:C14,0))</f>
        <v>South</v>
      </c>
      <c r="D2" s="128" t="s">
        <v>209</v>
      </c>
      <c r="E2" s="128"/>
      <c r="F2" s="64" t="str">
        <f>INDEX(A11:A14,MATCH(MIN(C11:C14),C11:C14,0))</f>
        <v>North</v>
      </c>
    </row>
    <row r="3" spans="1:18" x14ac:dyDescent="0.35">
      <c r="A3" s="128" t="s">
        <v>204</v>
      </c>
      <c r="B3" s="128"/>
      <c r="C3" s="63" t="str">
        <f>INDEX(A11:A14,MATCH(MAX(B11:B14),B11:B14,0))</f>
        <v>West</v>
      </c>
      <c r="D3" s="128" t="s">
        <v>210</v>
      </c>
      <c r="E3" s="128"/>
      <c r="F3" s="64" t="str">
        <f>INDEX(A11:A14,MATCH(MIN(B11:B14),B11:B14,0))</f>
        <v>East</v>
      </c>
    </row>
    <row r="4" spans="1:18" x14ac:dyDescent="0.35">
      <c r="A4" s="128" t="s">
        <v>205</v>
      </c>
      <c r="B4" s="128"/>
      <c r="C4" s="63" t="str">
        <f>INDEX(A11:A14,MATCH(MAX(G11:G14),G11:G14,0))</f>
        <v>South</v>
      </c>
      <c r="D4" s="128" t="s">
        <v>211</v>
      </c>
      <c r="E4" s="128"/>
      <c r="F4" s="64" t="str">
        <f>INDEX(A11:A14,MATCH(MIN(G11:G14),G11:G14,0))</f>
        <v>West</v>
      </c>
    </row>
    <row r="5" spans="1:18" x14ac:dyDescent="0.35">
      <c r="A5" s="128" t="s">
        <v>207</v>
      </c>
      <c r="B5" s="128"/>
      <c r="C5" s="63" t="str">
        <f>INDEX(A11:A14,MATCH(MAX(F11:F14),F11:F14,0))</f>
        <v>North</v>
      </c>
      <c r="D5" s="128" t="s">
        <v>212</v>
      </c>
      <c r="E5" s="128"/>
      <c r="F5" s="64" t="str">
        <f>INDEX(A11:A14,MATCH(MIN(F11:F14),F11:F14,0))</f>
        <v>South</v>
      </c>
    </row>
    <row r="6" spans="1:18" x14ac:dyDescent="0.35">
      <c r="A6" s="128" t="s">
        <v>208</v>
      </c>
      <c r="B6" s="128"/>
      <c r="C6" s="63" t="str">
        <f>INDEX(A11:A14,MATCH(MAX(H11:H14),H11:H14,0))</f>
        <v>South</v>
      </c>
      <c r="D6" s="128" t="s">
        <v>213</v>
      </c>
      <c r="E6" s="128"/>
      <c r="F6" s="64" t="str">
        <f>INDEX(A11:A14,MATCH(MIN(H11:H14),H11:H14,0))</f>
        <v>West</v>
      </c>
    </row>
    <row r="8" spans="1:18" x14ac:dyDescent="0.35">
      <c r="A8" s="58" t="s">
        <v>335</v>
      </c>
      <c r="B8" s="1" t="s">
        <v>338</v>
      </c>
    </row>
    <row r="10" spans="1:18" x14ac:dyDescent="0.35">
      <c r="A10" s="58" t="s">
        <v>1</v>
      </c>
      <c r="B10" s="1" t="s">
        <v>161</v>
      </c>
      <c r="C10" s="1" t="s">
        <v>199</v>
      </c>
      <c r="D10" s="1" t="s">
        <v>200</v>
      </c>
      <c r="E10" s="1" t="s">
        <v>159</v>
      </c>
      <c r="F10" s="1" t="s">
        <v>336</v>
      </c>
      <c r="G10" s="1" t="s">
        <v>333</v>
      </c>
      <c r="H10" s="1" t="s">
        <v>337</v>
      </c>
      <c r="J10" s="61" t="s">
        <v>1</v>
      </c>
      <c r="K10" s="61" t="s">
        <v>161</v>
      </c>
      <c r="L10" s="61" t="s">
        <v>199</v>
      </c>
      <c r="N10" s="61" t="s">
        <v>1</v>
      </c>
      <c r="O10" s="62" t="str">
        <f t="shared" ref="O10" si="0">G10</f>
        <v>Avg ROAS</v>
      </c>
      <c r="Q10" s="61" t="s">
        <v>1</v>
      </c>
      <c r="R10" s="61" t="str">
        <f t="shared" ref="R10:R14" si="1">F10</f>
        <v xml:space="preserve"> Avg CTR</v>
      </c>
    </row>
    <row r="11" spans="1:18" x14ac:dyDescent="0.35">
      <c r="A11" s="1" t="s">
        <v>35</v>
      </c>
      <c r="B11" s="110">
        <v>3664772.6600000015</v>
      </c>
      <c r="C11" s="110">
        <v>30446807.550000004</v>
      </c>
      <c r="D11" s="110">
        <v>123630325</v>
      </c>
      <c r="E11" s="110">
        <v>5837744</v>
      </c>
      <c r="F11" s="60">
        <v>4.7219353342313058E-2</v>
      </c>
      <c r="G11" s="59">
        <v>8.3079662436687123</v>
      </c>
      <c r="H11" s="59">
        <v>7.3079662436687114</v>
      </c>
      <c r="J11" s="1" t="s">
        <v>35</v>
      </c>
      <c r="K11" s="1">
        <f t="shared" ref="K11:L14" si="2">B11</f>
        <v>3664772.6600000015</v>
      </c>
      <c r="L11" s="1">
        <f t="shared" si="2"/>
        <v>30446807.550000004</v>
      </c>
      <c r="N11" s="1" t="s">
        <v>35</v>
      </c>
      <c r="O11" s="59">
        <f t="shared" ref="O11:O14" si="3">G11</f>
        <v>8.3079662436687123</v>
      </c>
      <c r="Q11" s="1" t="s">
        <v>35</v>
      </c>
      <c r="R11" s="60">
        <f t="shared" si="1"/>
        <v>4.7219353342313058E-2</v>
      </c>
    </row>
    <row r="12" spans="1:18" x14ac:dyDescent="0.35">
      <c r="A12" s="1" t="s">
        <v>19</v>
      </c>
      <c r="B12" s="110">
        <v>3786256.9900000007</v>
      </c>
      <c r="C12" s="110">
        <v>29146093.189999998</v>
      </c>
      <c r="D12" s="110">
        <v>118291179</v>
      </c>
      <c r="E12" s="110">
        <v>6107301</v>
      </c>
      <c r="F12" s="60">
        <v>5.1629386498886785E-2</v>
      </c>
      <c r="G12" s="59">
        <v>7.6978644785545827</v>
      </c>
      <c r="H12" s="59">
        <v>6.6978644785545818</v>
      </c>
      <c r="J12" s="1" t="s">
        <v>19</v>
      </c>
      <c r="K12" s="1">
        <f t="shared" si="2"/>
        <v>3786256.9900000007</v>
      </c>
      <c r="L12" s="1">
        <f t="shared" si="2"/>
        <v>29146093.189999998</v>
      </c>
      <c r="N12" s="1" t="s">
        <v>19</v>
      </c>
      <c r="O12" s="59">
        <f t="shared" si="3"/>
        <v>7.6978644785545827</v>
      </c>
      <c r="Q12" s="1" t="s">
        <v>19</v>
      </c>
      <c r="R12" s="60">
        <f t="shared" si="1"/>
        <v>5.1629386498886785E-2</v>
      </c>
    </row>
    <row r="13" spans="1:18" x14ac:dyDescent="0.35">
      <c r="A13" s="1" t="s">
        <v>48</v>
      </c>
      <c r="B13" s="110">
        <v>3762250.78</v>
      </c>
      <c r="C13" s="110">
        <v>32794278.249999985</v>
      </c>
      <c r="D13" s="110">
        <v>134939680</v>
      </c>
      <c r="E13" s="110">
        <v>5982033</v>
      </c>
      <c r="F13" s="60">
        <v>4.4331163376109976E-2</v>
      </c>
      <c r="G13" s="59">
        <v>8.7166646158552954</v>
      </c>
      <c r="H13" s="59">
        <v>7.7166646158552954</v>
      </c>
      <c r="J13" s="1" t="s">
        <v>48</v>
      </c>
      <c r="K13" s="1">
        <f t="shared" si="2"/>
        <v>3762250.78</v>
      </c>
      <c r="L13" s="1">
        <f t="shared" si="2"/>
        <v>32794278.249999985</v>
      </c>
      <c r="N13" s="1" t="s">
        <v>48</v>
      </c>
      <c r="O13" s="59">
        <f t="shared" si="3"/>
        <v>8.7166646158552954</v>
      </c>
      <c r="Q13" s="1" t="s">
        <v>48</v>
      </c>
      <c r="R13" s="60">
        <f t="shared" si="1"/>
        <v>4.4331163376109976E-2</v>
      </c>
    </row>
    <row r="14" spans="1:18" x14ac:dyDescent="0.35">
      <c r="A14" s="1" t="s">
        <v>28</v>
      </c>
      <c r="B14" s="110">
        <v>4399103.5300000021</v>
      </c>
      <c r="C14" s="110">
        <v>30317172.040000007</v>
      </c>
      <c r="D14" s="110">
        <v>130777429</v>
      </c>
      <c r="E14" s="110">
        <v>6686103</v>
      </c>
      <c r="F14" s="60">
        <v>5.1125817743366095E-2</v>
      </c>
      <c r="G14" s="59">
        <v>6.8916705036037174</v>
      </c>
      <c r="H14" s="59">
        <v>5.8916705036037182</v>
      </c>
      <c r="J14" s="1" t="s">
        <v>28</v>
      </c>
      <c r="K14" s="1">
        <f t="shared" si="2"/>
        <v>4399103.5300000021</v>
      </c>
      <c r="L14" s="1">
        <f t="shared" si="2"/>
        <v>30317172.040000007</v>
      </c>
      <c r="N14" s="1" t="s">
        <v>28</v>
      </c>
      <c r="O14" s="59">
        <f t="shared" si="3"/>
        <v>6.8916705036037174</v>
      </c>
      <c r="Q14" s="1" t="s">
        <v>28</v>
      </c>
      <c r="R14" s="60">
        <f t="shared" si="1"/>
        <v>5.1125817743366095E-2</v>
      </c>
    </row>
    <row r="15" spans="1:18" x14ac:dyDescent="0.35">
      <c r="A15" s="1" t="s">
        <v>198</v>
      </c>
      <c r="B15" s="1">
        <v>15612383.959999999</v>
      </c>
      <c r="C15" s="1">
        <v>122704351.02999988</v>
      </c>
      <c r="D15" s="1">
        <v>507638613</v>
      </c>
      <c r="E15" s="1">
        <v>24613181</v>
      </c>
      <c r="F15" s="60">
        <v>4.8485635981359049E-2</v>
      </c>
      <c r="G15" s="59">
        <v>7.8594243739057958</v>
      </c>
      <c r="H15" s="59">
        <v>6.8594243739057958</v>
      </c>
    </row>
    <row r="16" spans="1:18" x14ac:dyDescent="0.35">
      <c r="H16" s="105"/>
    </row>
    <row r="27" spans="1:13" ht="15.5" x14ac:dyDescent="0.35">
      <c r="A27" s="115" t="s">
        <v>401</v>
      </c>
      <c r="B27" s="116"/>
    </row>
    <row r="28" spans="1:13" ht="14.5" customHeight="1" x14ac:dyDescent="0.35">
      <c r="A28" s="118" t="s">
        <v>413</v>
      </c>
      <c r="B28" s="119"/>
      <c r="C28" s="119"/>
      <c r="D28" s="119"/>
      <c r="E28" s="119"/>
      <c r="F28" s="119"/>
      <c r="G28" s="119"/>
      <c r="H28" s="119"/>
      <c r="I28" s="119"/>
      <c r="J28" s="119"/>
      <c r="K28" s="119"/>
      <c r="L28" s="119"/>
      <c r="M28" s="120"/>
    </row>
    <row r="29" spans="1:13" x14ac:dyDescent="0.35">
      <c r="A29" s="121"/>
      <c r="B29" s="122"/>
      <c r="C29" s="122"/>
      <c r="D29" s="122"/>
      <c r="E29" s="122"/>
      <c r="F29" s="122"/>
      <c r="G29" s="122"/>
      <c r="H29" s="122"/>
      <c r="I29" s="122"/>
      <c r="J29" s="122"/>
      <c r="K29" s="122"/>
      <c r="L29" s="122"/>
      <c r="M29" s="123"/>
    </row>
    <row r="30" spans="1:13" x14ac:dyDescent="0.35">
      <c r="A30" s="121"/>
      <c r="B30" s="122"/>
      <c r="C30" s="122"/>
      <c r="D30" s="122"/>
      <c r="E30" s="122"/>
      <c r="F30" s="122"/>
      <c r="G30" s="122"/>
      <c r="H30" s="122"/>
      <c r="I30" s="122"/>
      <c r="J30" s="122"/>
      <c r="K30" s="122"/>
      <c r="L30" s="122"/>
      <c r="M30" s="123"/>
    </row>
    <row r="31" spans="1:13" x14ac:dyDescent="0.35">
      <c r="A31" s="121"/>
      <c r="B31" s="122"/>
      <c r="C31" s="122"/>
      <c r="D31" s="122"/>
      <c r="E31" s="122"/>
      <c r="F31" s="122"/>
      <c r="G31" s="122"/>
      <c r="H31" s="122"/>
      <c r="I31" s="122"/>
      <c r="J31" s="122"/>
      <c r="K31" s="122"/>
      <c r="L31" s="122"/>
      <c r="M31" s="123"/>
    </row>
    <row r="32" spans="1:13" x14ac:dyDescent="0.35">
      <c r="A32" s="121"/>
      <c r="B32" s="122"/>
      <c r="C32" s="122"/>
      <c r="D32" s="122"/>
      <c r="E32" s="122"/>
      <c r="F32" s="122"/>
      <c r="G32" s="122"/>
      <c r="H32" s="122"/>
      <c r="I32" s="122"/>
      <c r="J32" s="122"/>
      <c r="K32" s="122"/>
      <c r="L32" s="122"/>
      <c r="M32" s="123"/>
    </row>
    <row r="33" spans="1:13" x14ac:dyDescent="0.35">
      <c r="A33" s="121"/>
      <c r="B33" s="122"/>
      <c r="C33" s="122"/>
      <c r="D33" s="122"/>
      <c r="E33" s="122"/>
      <c r="F33" s="122"/>
      <c r="G33" s="122"/>
      <c r="H33" s="122"/>
      <c r="I33" s="122"/>
      <c r="J33" s="122"/>
      <c r="K33" s="122"/>
      <c r="L33" s="122"/>
      <c r="M33" s="123"/>
    </row>
    <row r="34" spans="1:13" x14ac:dyDescent="0.35">
      <c r="A34" s="121"/>
      <c r="B34" s="122"/>
      <c r="C34" s="122"/>
      <c r="D34" s="122"/>
      <c r="E34" s="122"/>
      <c r="F34" s="122"/>
      <c r="G34" s="122"/>
      <c r="H34" s="122"/>
      <c r="I34" s="122"/>
      <c r="J34" s="122"/>
      <c r="K34" s="122"/>
      <c r="L34" s="122"/>
      <c r="M34" s="123"/>
    </row>
    <row r="35" spans="1:13" x14ac:dyDescent="0.35">
      <c r="A35" s="121"/>
      <c r="B35" s="122"/>
      <c r="C35" s="122"/>
      <c r="D35" s="122"/>
      <c r="E35" s="122"/>
      <c r="F35" s="122"/>
      <c r="G35" s="122"/>
      <c r="H35" s="122"/>
      <c r="I35" s="122"/>
      <c r="J35" s="122"/>
      <c r="K35" s="122"/>
      <c r="L35" s="122"/>
      <c r="M35" s="123"/>
    </row>
    <row r="36" spans="1:13" x14ac:dyDescent="0.35">
      <c r="A36" s="121"/>
      <c r="B36" s="122"/>
      <c r="C36" s="122"/>
      <c r="D36" s="122"/>
      <c r="E36" s="122"/>
      <c r="F36" s="122"/>
      <c r="G36" s="122"/>
      <c r="H36" s="122"/>
      <c r="I36" s="122"/>
      <c r="J36" s="122"/>
      <c r="K36" s="122"/>
      <c r="L36" s="122"/>
      <c r="M36" s="123"/>
    </row>
    <row r="37" spans="1:13" x14ac:dyDescent="0.35">
      <c r="A37" s="124"/>
      <c r="B37" s="125"/>
      <c r="C37" s="125"/>
      <c r="D37" s="125"/>
      <c r="E37" s="125"/>
      <c r="F37" s="125"/>
      <c r="G37" s="125"/>
      <c r="H37" s="125"/>
      <c r="I37" s="125"/>
      <c r="J37" s="125"/>
      <c r="K37" s="125"/>
      <c r="L37" s="125"/>
      <c r="M37" s="126"/>
    </row>
    <row r="39" spans="1:13" ht="15.5" x14ac:dyDescent="0.35">
      <c r="A39" s="99" t="s">
        <v>214</v>
      </c>
      <c r="B39" s="99"/>
    </row>
    <row r="40" spans="1:13" x14ac:dyDescent="0.35">
      <c r="A40" s="117" t="s">
        <v>414</v>
      </c>
      <c r="B40" s="117"/>
      <c r="C40" s="117"/>
      <c r="D40" s="117"/>
      <c r="E40" s="117"/>
      <c r="F40" s="117"/>
      <c r="G40" s="117"/>
      <c r="H40" s="117"/>
      <c r="I40" s="117"/>
      <c r="J40" s="117"/>
      <c r="K40" s="117"/>
      <c r="L40" s="117"/>
      <c r="M40" s="117"/>
    </row>
    <row r="41" spans="1:13" x14ac:dyDescent="0.35">
      <c r="A41" s="117"/>
      <c r="B41" s="117"/>
      <c r="C41" s="117"/>
      <c r="D41" s="117"/>
      <c r="E41" s="117"/>
      <c r="F41" s="117"/>
      <c r="G41" s="117"/>
      <c r="H41" s="117"/>
      <c r="I41" s="117"/>
      <c r="J41" s="117"/>
      <c r="K41" s="117"/>
      <c r="L41" s="117"/>
      <c r="M41" s="117"/>
    </row>
    <row r="42" spans="1:13" x14ac:dyDescent="0.35">
      <c r="A42" s="117"/>
      <c r="B42" s="117"/>
      <c r="C42" s="117"/>
      <c r="D42" s="117"/>
      <c r="E42" s="117"/>
      <c r="F42" s="117"/>
      <c r="G42" s="117"/>
      <c r="H42" s="117"/>
      <c r="I42" s="117"/>
      <c r="J42" s="117"/>
      <c r="K42" s="117"/>
      <c r="L42" s="117"/>
      <c r="M42" s="117"/>
    </row>
    <row r="43" spans="1:13" ht="18" customHeight="1" x14ac:dyDescent="0.35">
      <c r="A43" s="117"/>
      <c r="B43" s="117"/>
      <c r="C43" s="117"/>
      <c r="D43" s="117"/>
      <c r="E43" s="117"/>
      <c r="F43" s="117"/>
      <c r="G43" s="117"/>
      <c r="H43" s="117"/>
      <c r="I43" s="117"/>
      <c r="J43" s="117"/>
      <c r="K43" s="117"/>
      <c r="L43" s="117"/>
      <c r="M43" s="117"/>
    </row>
    <row r="44" spans="1:13" ht="2.5" hidden="1" customHeight="1" x14ac:dyDescent="0.35">
      <c r="A44" s="117"/>
      <c r="B44" s="117"/>
      <c r="C44" s="117"/>
      <c r="D44" s="117"/>
      <c r="E44" s="117"/>
      <c r="F44" s="117"/>
      <c r="G44" s="117"/>
      <c r="H44" s="117"/>
      <c r="I44" s="117"/>
      <c r="J44" s="117"/>
      <c r="K44" s="117"/>
      <c r="L44" s="117"/>
      <c r="M44" s="117"/>
    </row>
    <row r="45" spans="1:13" ht="15" customHeight="1" x14ac:dyDescent="0.35">
      <c r="A45" s="117"/>
      <c r="B45" s="117"/>
      <c r="C45" s="117"/>
      <c r="D45" s="117"/>
      <c r="E45" s="117"/>
      <c r="F45" s="117"/>
      <c r="G45" s="117"/>
      <c r="H45" s="117"/>
      <c r="I45" s="117"/>
      <c r="J45" s="117"/>
      <c r="K45" s="117"/>
      <c r="L45" s="117"/>
      <c r="M45" s="117"/>
    </row>
  </sheetData>
  <mergeCells count="14">
    <mergeCell ref="A27:B27"/>
    <mergeCell ref="A40:M45"/>
    <mergeCell ref="A28:M37"/>
    <mergeCell ref="A1:F1"/>
    <mergeCell ref="A2:B2"/>
    <mergeCell ref="A3:B3"/>
    <mergeCell ref="A4:B4"/>
    <mergeCell ref="A5:B5"/>
    <mergeCell ref="A6:B6"/>
    <mergeCell ref="D2:E2"/>
    <mergeCell ref="D3:E3"/>
    <mergeCell ref="D4:E4"/>
    <mergeCell ref="D5:E5"/>
    <mergeCell ref="D6:E6"/>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8BCB-CF88-4115-846B-8691CDA19B4A}">
  <dimension ref="A1:R53"/>
  <sheetViews>
    <sheetView showGridLines="0" zoomScaleNormal="100" workbookViewId="0">
      <selection activeCell="I6" sqref="I6"/>
    </sheetView>
  </sheetViews>
  <sheetFormatPr defaultRowHeight="14.5" x14ac:dyDescent="0.35"/>
  <cols>
    <col min="1" max="1" width="12.26953125" bestFit="1" customWidth="1"/>
    <col min="2" max="2" width="11.81640625" bestFit="1" customWidth="1"/>
    <col min="3" max="3" width="12.7265625" bestFit="1" customWidth="1"/>
    <col min="4" max="4" width="15.7265625" bestFit="1" customWidth="1"/>
    <col min="5" max="5" width="10.1796875" bestFit="1" customWidth="1"/>
    <col min="6" max="6" width="9.08984375" bestFit="1" customWidth="1"/>
    <col min="7" max="7" width="8.81640625" bestFit="1" customWidth="1"/>
    <col min="8" max="8" width="7.26953125" bestFit="1" customWidth="1"/>
    <col min="10" max="10" width="9.08984375" bestFit="1" customWidth="1"/>
    <col min="11" max="11" width="10.81640625" bestFit="1" customWidth="1"/>
    <col min="12" max="12" width="12.6328125" bestFit="1" customWidth="1"/>
    <col min="15" max="15" width="11.1796875" bestFit="1" customWidth="1"/>
    <col min="18" max="18" width="12.54296875" bestFit="1" customWidth="1"/>
  </cols>
  <sheetData>
    <row r="1" spans="1:18" x14ac:dyDescent="0.35">
      <c r="A1" s="127" t="s">
        <v>225</v>
      </c>
      <c r="B1" s="127"/>
      <c r="C1" s="127"/>
      <c r="D1" s="127"/>
      <c r="E1" s="127"/>
      <c r="F1" s="127"/>
    </row>
    <row r="2" spans="1:18" x14ac:dyDescent="0.35">
      <c r="A2" s="128" t="s">
        <v>215</v>
      </c>
      <c r="B2" s="128"/>
      <c r="C2" s="63" t="str">
        <f>INDEX(A11:A15,MATCH(MAX(C11:C15),C11:C15,0))</f>
        <v>USA</v>
      </c>
      <c r="D2" s="128" t="s">
        <v>216</v>
      </c>
      <c r="E2" s="128"/>
      <c r="F2" s="64" t="str">
        <f>INDEX(A11:A15,MATCH(MIN(C11:C15),C11:C15))</f>
        <v>Singapore</v>
      </c>
    </row>
    <row r="3" spans="1:18" x14ac:dyDescent="0.35">
      <c r="A3" s="128" t="s">
        <v>217</v>
      </c>
      <c r="B3" s="128"/>
      <c r="C3" s="63" t="str">
        <f>INDEX(A11:A15,MATCH(MAX(B11:B15),B11:B15,0))</f>
        <v>USA</v>
      </c>
      <c r="D3" s="128" t="s">
        <v>218</v>
      </c>
      <c r="E3" s="128"/>
      <c r="F3" s="64" t="str">
        <f>INDEX(A11:A15,MATCH(MIN(B11:B15),B11:B15,0))</f>
        <v>Australia</v>
      </c>
    </row>
    <row r="4" spans="1:18" x14ac:dyDescent="0.35">
      <c r="A4" s="128" t="s">
        <v>219</v>
      </c>
      <c r="B4" s="128"/>
      <c r="C4" s="63" t="str">
        <f>INDEX(A11:A15,MATCH(MAX(G11:G15),G11:G15,0))</f>
        <v>Australia</v>
      </c>
      <c r="D4" s="128" t="s">
        <v>220</v>
      </c>
      <c r="E4" s="128"/>
      <c r="F4" s="64" t="str">
        <f>INDEX(A11:A15,MATCH(MIN(G11:G15),G11:G15,0))</f>
        <v>USA</v>
      </c>
    </row>
    <row r="5" spans="1:18" x14ac:dyDescent="0.35">
      <c r="A5" s="128" t="s">
        <v>221</v>
      </c>
      <c r="B5" s="128"/>
      <c r="C5" s="63" t="str">
        <f>INDEX(A11:A15,MATCH(MAX(F11:F15),F11:F15,0))</f>
        <v>India</v>
      </c>
      <c r="D5" s="128" t="s">
        <v>222</v>
      </c>
      <c r="E5" s="128"/>
      <c r="F5" s="64" t="str">
        <f>INDEX(A11:A15,MATCH(MIN(F11:F15),F11:F15,0))</f>
        <v>UK</v>
      </c>
    </row>
    <row r="6" spans="1:18" x14ac:dyDescent="0.35">
      <c r="A6" s="128" t="s">
        <v>223</v>
      </c>
      <c r="B6" s="128"/>
      <c r="C6" s="63" t="str">
        <f>INDEX(A11:A15,MATCH(MAX(H11:H15),H11:H15,0))</f>
        <v>Australia</v>
      </c>
      <c r="D6" s="128" t="s">
        <v>224</v>
      </c>
      <c r="E6" s="128"/>
      <c r="F6" s="64" t="str">
        <f>INDEX(A11:A15,MATCH(MIN(H11:H15),H11:H15,0))</f>
        <v>USA</v>
      </c>
    </row>
    <row r="8" spans="1:18" x14ac:dyDescent="0.35">
      <c r="A8" s="58" t="s">
        <v>335</v>
      </c>
      <c r="B8" s="1" t="s">
        <v>338</v>
      </c>
    </row>
    <row r="10" spans="1:18" x14ac:dyDescent="0.35">
      <c r="A10" s="58" t="s">
        <v>2</v>
      </c>
      <c r="B10" s="1" t="s">
        <v>161</v>
      </c>
      <c r="C10" s="1" t="s">
        <v>199</v>
      </c>
      <c r="D10" s="1" t="s">
        <v>158</v>
      </c>
      <c r="E10" s="1" t="s">
        <v>159</v>
      </c>
      <c r="F10" s="1" t="s">
        <v>339</v>
      </c>
      <c r="G10" s="1" t="s">
        <v>333</v>
      </c>
      <c r="H10" s="1" t="s">
        <v>337</v>
      </c>
      <c r="J10" s="61" t="str">
        <f t="shared" ref="J10:L10" si="0">A10</f>
        <v>Country</v>
      </c>
      <c r="K10" s="61" t="str">
        <f t="shared" si="0"/>
        <v>Total Spend</v>
      </c>
      <c r="L10" s="61" t="str">
        <f t="shared" si="0"/>
        <v>Total Revenue</v>
      </c>
      <c r="N10" s="61" t="s">
        <v>2</v>
      </c>
      <c r="O10" s="61" t="str">
        <f t="shared" ref="O10" si="1">G10</f>
        <v>Avg ROAS</v>
      </c>
      <c r="Q10" s="61" t="str">
        <f t="shared" ref="Q10:Q15" si="2">A10</f>
        <v>Country</v>
      </c>
      <c r="R10" s="61" t="str">
        <f t="shared" ref="R10:R15" si="3">F10</f>
        <v xml:space="preserve">Avg CTR </v>
      </c>
    </row>
    <row r="11" spans="1:18" x14ac:dyDescent="0.35">
      <c r="A11" s="1" t="s">
        <v>29</v>
      </c>
      <c r="B11" s="1">
        <v>2780490.2199999997</v>
      </c>
      <c r="C11" s="1">
        <v>23057947.650000013</v>
      </c>
      <c r="D11" s="1">
        <v>91548994</v>
      </c>
      <c r="E11" s="1">
        <v>4636510</v>
      </c>
      <c r="F11" s="60">
        <v>5.0645122326521685E-2</v>
      </c>
      <c r="G11" s="59">
        <v>8.2927634429874075</v>
      </c>
      <c r="H11" s="59">
        <v>7.2927634429874084</v>
      </c>
      <c r="J11" s="1" t="str">
        <f t="shared" ref="J11:L15" si="4">A11</f>
        <v>Australia</v>
      </c>
      <c r="K11" s="1">
        <f t="shared" si="4"/>
        <v>2780490.2199999997</v>
      </c>
      <c r="L11" s="1">
        <f t="shared" si="4"/>
        <v>23057947.650000013</v>
      </c>
      <c r="N11" s="1" t="s">
        <v>29</v>
      </c>
      <c r="O11" s="59">
        <f t="shared" ref="O11:O15" si="5">G11</f>
        <v>8.2927634429874075</v>
      </c>
      <c r="Q11" s="1" t="str">
        <f t="shared" si="2"/>
        <v>Australia</v>
      </c>
      <c r="R11" s="60">
        <f t="shared" si="3"/>
        <v>5.0645122326521685E-2</v>
      </c>
    </row>
    <row r="12" spans="1:18" x14ac:dyDescent="0.35">
      <c r="A12" s="1" t="s">
        <v>36</v>
      </c>
      <c r="B12" s="1">
        <v>3422607.0099999988</v>
      </c>
      <c r="C12" s="1">
        <v>26041086.760000009</v>
      </c>
      <c r="D12" s="1">
        <v>106563371</v>
      </c>
      <c r="E12" s="1">
        <v>5472147</v>
      </c>
      <c r="F12" s="60">
        <v>5.1351106375942257E-2</v>
      </c>
      <c r="G12" s="59">
        <v>7.6085529784501951</v>
      </c>
      <c r="H12" s="59">
        <v>6.608552978450196</v>
      </c>
      <c r="J12" s="1" t="str">
        <f t="shared" si="4"/>
        <v>India</v>
      </c>
      <c r="K12" s="1">
        <f t="shared" si="4"/>
        <v>3422607.0099999988</v>
      </c>
      <c r="L12" s="1">
        <f t="shared" si="4"/>
        <v>26041086.760000009</v>
      </c>
      <c r="N12" s="1" t="s">
        <v>36</v>
      </c>
      <c r="O12" s="59">
        <f t="shared" si="5"/>
        <v>7.6085529784501951</v>
      </c>
      <c r="Q12" s="1" t="str">
        <f t="shared" si="2"/>
        <v>India</v>
      </c>
      <c r="R12" s="60">
        <f t="shared" si="3"/>
        <v>5.1351106375942257E-2</v>
      </c>
    </row>
    <row r="13" spans="1:18" x14ac:dyDescent="0.35">
      <c r="A13" s="1" t="s">
        <v>20</v>
      </c>
      <c r="B13" s="1">
        <v>2832727.6299999976</v>
      </c>
      <c r="C13" s="1">
        <v>22545696.420000002</v>
      </c>
      <c r="D13" s="1">
        <v>100403282</v>
      </c>
      <c r="E13" s="1">
        <v>4797953</v>
      </c>
      <c r="F13" s="60">
        <v>4.7786814379235133E-2</v>
      </c>
      <c r="G13" s="59">
        <v>7.9590060764154797</v>
      </c>
      <c r="H13" s="59">
        <v>6.9590060764154797</v>
      </c>
      <c r="J13" s="1" t="str">
        <f t="shared" si="4"/>
        <v>Singapore</v>
      </c>
      <c r="K13" s="1">
        <f t="shared" si="4"/>
        <v>2832727.6299999976</v>
      </c>
      <c r="L13" s="1">
        <f t="shared" si="4"/>
        <v>22545696.420000002</v>
      </c>
      <c r="N13" s="1" t="s">
        <v>20</v>
      </c>
      <c r="O13" s="59">
        <f t="shared" si="5"/>
        <v>7.9590060764154797</v>
      </c>
      <c r="Q13" s="1" t="str">
        <f t="shared" si="2"/>
        <v>Singapore</v>
      </c>
      <c r="R13" s="60">
        <f t="shared" si="3"/>
        <v>4.7786814379235133E-2</v>
      </c>
    </row>
    <row r="14" spans="1:18" x14ac:dyDescent="0.35">
      <c r="A14" s="1" t="s">
        <v>58</v>
      </c>
      <c r="B14" s="1">
        <v>3060684.8500000029</v>
      </c>
      <c r="C14" s="1">
        <v>24924022.249999996</v>
      </c>
      <c r="D14" s="1">
        <v>104100165</v>
      </c>
      <c r="E14" s="1">
        <v>4694056</v>
      </c>
      <c r="F14" s="60">
        <v>4.5091724878630113E-2</v>
      </c>
      <c r="G14" s="59">
        <v>8.1432827852236969</v>
      </c>
      <c r="H14" s="59">
        <v>7.1432827852236969</v>
      </c>
      <c r="J14" s="1" t="str">
        <f t="shared" si="4"/>
        <v>UK</v>
      </c>
      <c r="K14" s="1">
        <f t="shared" si="4"/>
        <v>3060684.8500000029</v>
      </c>
      <c r="L14" s="1">
        <f t="shared" si="4"/>
        <v>24924022.249999996</v>
      </c>
      <c r="N14" s="1" t="s">
        <v>58</v>
      </c>
      <c r="O14" s="59">
        <f t="shared" si="5"/>
        <v>8.1432827852236969</v>
      </c>
      <c r="Q14" s="1" t="str">
        <f t="shared" si="2"/>
        <v>UK</v>
      </c>
      <c r="R14" s="60">
        <f t="shared" si="3"/>
        <v>4.5091724878630113E-2</v>
      </c>
    </row>
    <row r="15" spans="1:18" x14ac:dyDescent="0.35">
      <c r="A15" s="1" t="s">
        <v>69</v>
      </c>
      <c r="B15" s="1">
        <v>3515874.2500000033</v>
      </c>
      <c r="C15" s="1">
        <v>26135597.950000003</v>
      </c>
      <c r="D15" s="1">
        <v>105022801</v>
      </c>
      <c r="E15" s="1">
        <v>5012515</v>
      </c>
      <c r="F15" s="60">
        <v>4.7727873873788608E-2</v>
      </c>
      <c r="G15" s="59">
        <v>7.4335986134885168</v>
      </c>
      <c r="H15" s="59">
        <v>6.4335986134885168</v>
      </c>
      <c r="J15" s="1" t="str">
        <f t="shared" si="4"/>
        <v>USA</v>
      </c>
      <c r="K15" s="1">
        <f t="shared" si="4"/>
        <v>3515874.2500000033</v>
      </c>
      <c r="L15" s="1">
        <f t="shared" si="4"/>
        <v>26135597.950000003</v>
      </c>
      <c r="N15" s="1" t="s">
        <v>69</v>
      </c>
      <c r="O15" s="59">
        <f t="shared" si="5"/>
        <v>7.4335986134885168</v>
      </c>
      <c r="Q15" s="1" t="str">
        <f t="shared" si="2"/>
        <v>USA</v>
      </c>
      <c r="R15" s="60">
        <f t="shared" si="3"/>
        <v>4.7727873873788608E-2</v>
      </c>
    </row>
    <row r="16" spans="1:18" x14ac:dyDescent="0.35">
      <c r="A16" s="1" t="s">
        <v>198</v>
      </c>
      <c r="B16" s="1">
        <v>15612383.959999997</v>
      </c>
      <c r="C16" s="1">
        <v>122704351.03000003</v>
      </c>
      <c r="D16" s="1">
        <v>507638613</v>
      </c>
      <c r="E16" s="1">
        <v>24613181</v>
      </c>
      <c r="F16" s="60">
        <v>4.8485635981359049E-2</v>
      </c>
      <c r="G16" s="59">
        <v>7.8594243739058065</v>
      </c>
      <c r="H16" s="59">
        <v>6.8594243739058065</v>
      </c>
    </row>
    <row r="33" spans="1:13" ht="15.5" x14ac:dyDescent="0.35">
      <c r="A33" s="115" t="s">
        <v>401</v>
      </c>
      <c r="B33" s="116"/>
    </row>
    <row r="34" spans="1:13" x14ac:dyDescent="0.35">
      <c r="A34" s="117" t="s">
        <v>411</v>
      </c>
      <c r="B34" s="117"/>
      <c r="C34" s="117"/>
      <c r="D34" s="117"/>
      <c r="E34" s="117"/>
      <c r="F34" s="117"/>
      <c r="G34" s="117"/>
      <c r="H34" s="117"/>
      <c r="I34" s="117"/>
      <c r="J34" s="117"/>
      <c r="K34" s="117"/>
      <c r="L34" s="117"/>
      <c r="M34" s="117"/>
    </row>
    <row r="35" spans="1:13" x14ac:dyDescent="0.35">
      <c r="A35" s="117"/>
      <c r="B35" s="117"/>
      <c r="C35" s="117"/>
      <c r="D35" s="117"/>
      <c r="E35" s="117"/>
      <c r="F35" s="117"/>
      <c r="G35" s="117"/>
      <c r="H35" s="117"/>
      <c r="I35" s="117"/>
      <c r="J35" s="117"/>
      <c r="K35" s="117"/>
      <c r="L35" s="117"/>
      <c r="M35" s="117"/>
    </row>
    <row r="36" spans="1:13" x14ac:dyDescent="0.35">
      <c r="A36" s="117"/>
      <c r="B36" s="117"/>
      <c r="C36" s="117"/>
      <c r="D36" s="117"/>
      <c r="E36" s="117"/>
      <c r="F36" s="117"/>
      <c r="G36" s="117"/>
      <c r="H36" s="117"/>
      <c r="I36" s="117"/>
      <c r="J36" s="117"/>
      <c r="K36" s="117"/>
      <c r="L36" s="117"/>
      <c r="M36" s="117"/>
    </row>
    <row r="37" spans="1:13" x14ac:dyDescent="0.35">
      <c r="A37" s="117"/>
      <c r="B37" s="117"/>
      <c r="C37" s="117"/>
      <c r="D37" s="117"/>
      <c r="E37" s="117"/>
      <c r="F37" s="117"/>
      <c r="G37" s="117"/>
      <c r="H37" s="117"/>
      <c r="I37" s="117"/>
      <c r="J37" s="117"/>
      <c r="K37" s="117"/>
      <c r="L37" s="117"/>
      <c r="M37" s="117"/>
    </row>
    <row r="38" spans="1:13" x14ac:dyDescent="0.35">
      <c r="A38" s="117"/>
      <c r="B38" s="117"/>
      <c r="C38" s="117"/>
      <c r="D38" s="117"/>
      <c r="E38" s="117"/>
      <c r="F38" s="117"/>
      <c r="G38" s="117"/>
      <c r="H38" s="117"/>
      <c r="I38" s="117"/>
      <c r="J38" s="117"/>
      <c r="K38" s="117"/>
      <c r="L38" s="117"/>
      <c r="M38" s="117"/>
    </row>
    <row r="39" spans="1:13" x14ac:dyDescent="0.35">
      <c r="A39" s="117"/>
      <c r="B39" s="117"/>
      <c r="C39" s="117"/>
      <c r="D39" s="117"/>
      <c r="E39" s="117"/>
      <c r="F39" s="117"/>
      <c r="G39" s="117"/>
      <c r="H39" s="117"/>
      <c r="I39" s="117"/>
      <c r="J39" s="117"/>
      <c r="K39" s="117"/>
      <c r="L39" s="117"/>
      <c r="M39" s="117"/>
    </row>
    <row r="40" spans="1:13" x14ac:dyDescent="0.35">
      <c r="A40" s="117"/>
      <c r="B40" s="117"/>
      <c r="C40" s="117"/>
      <c r="D40" s="117"/>
      <c r="E40" s="117"/>
      <c r="F40" s="117"/>
      <c r="G40" s="117"/>
      <c r="H40" s="117"/>
      <c r="I40" s="117"/>
      <c r="J40" s="117"/>
      <c r="K40" s="117"/>
      <c r="L40" s="117"/>
      <c r="M40" s="117"/>
    </row>
    <row r="41" spans="1:13" x14ac:dyDescent="0.35">
      <c r="A41" s="117"/>
      <c r="B41" s="117"/>
      <c r="C41" s="117"/>
      <c r="D41" s="117"/>
      <c r="E41" s="117"/>
      <c r="F41" s="117"/>
      <c r="G41" s="117"/>
      <c r="H41" s="117"/>
      <c r="I41" s="117"/>
      <c r="J41" s="117"/>
      <c r="K41" s="117"/>
      <c r="L41" s="117"/>
      <c r="M41" s="117"/>
    </row>
    <row r="42" spans="1:13" x14ac:dyDescent="0.35">
      <c r="A42" s="117"/>
      <c r="B42" s="117"/>
      <c r="C42" s="117"/>
      <c r="D42" s="117"/>
      <c r="E42" s="117"/>
      <c r="F42" s="117"/>
      <c r="G42" s="117"/>
      <c r="H42" s="117"/>
      <c r="I42" s="117"/>
      <c r="J42" s="117"/>
      <c r="K42" s="117"/>
      <c r="L42" s="117"/>
      <c r="M42" s="117"/>
    </row>
    <row r="43" spans="1:13" x14ac:dyDescent="0.35">
      <c r="A43" s="117"/>
      <c r="B43" s="117"/>
      <c r="C43" s="117"/>
      <c r="D43" s="117"/>
      <c r="E43" s="117"/>
      <c r="F43" s="117"/>
      <c r="G43" s="117"/>
      <c r="H43" s="117"/>
      <c r="I43" s="117"/>
      <c r="J43" s="117"/>
      <c r="K43" s="117"/>
      <c r="L43" s="117"/>
      <c r="M43" s="117"/>
    </row>
    <row r="44" spans="1:13" x14ac:dyDescent="0.35">
      <c r="A44" s="117"/>
      <c r="B44" s="117"/>
      <c r="C44" s="117"/>
      <c r="D44" s="117"/>
      <c r="E44" s="117"/>
      <c r="F44" s="117"/>
      <c r="G44" s="117"/>
      <c r="H44" s="117"/>
      <c r="I44" s="117"/>
      <c r="J44" s="117"/>
      <c r="K44" s="117"/>
      <c r="L44" s="117"/>
      <c r="M44" s="117"/>
    </row>
    <row r="45" spans="1:13" x14ac:dyDescent="0.35">
      <c r="A45" s="117"/>
      <c r="B45" s="117"/>
      <c r="C45" s="117"/>
      <c r="D45" s="117"/>
      <c r="E45" s="117"/>
      <c r="F45" s="117"/>
      <c r="G45" s="117"/>
      <c r="H45" s="117"/>
      <c r="I45" s="117"/>
      <c r="J45" s="117"/>
      <c r="K45" s="117"/>
      <c r="L45" s="117"/>
      <c r="M45" s="117"/>
    </row>
    <row r="47" spans="1:13" ht="15.5" x14ac:dyDescent="0.35">
      <c r="A47" s="99" t="s">
        <v>214</v>
      </c>
      <c r="B47" s="99"/>
    </row>
    <row r="48" spans="1:13" x14ac:dyDescent="0.35">
      <c r="A48" s="117" t="s">
        <v>412</v>
      </c>
      <c r="B48" s="117"/>
      <c r="C48" s="117"/>
      <c r="D48" s="117"/>
      <c r="E48" s="117"/>
      <c r="F48" s="117"/>
      <c r="G48" s="117"/>
      <c r="H48" s="117"/>
      <c r="I48" s="117"/>
      <c r="J48" s="117"/>
      <c r="K48" s="117"/>
      <c r="L48" s="117"/>
      <c r="M48" s="117"/>
    </row>
    <row r="49" spans="1:13" x14ac:dyDescent="0.35">
      <c r="A49" s="117"/>
      <c r="B49" s="117"/>
      <c r="C49" s="117"/>
      <c r="D49" s="117"/>
      <c r="E49" s="117"/>
      <c r="F49" s="117"/>
      <c r="G49" s="117"/>
      <c r="H49" s="117"/>
      <c r="I49" s="117"/>
      <c r="J49" s="117"/>
      <c r="K49" s="117"/>
      <c r="L49" s="117"/>
      <c r="M49" s="117"/>
    </row>
    <row r="50" spans="1:13" x14ac:dyDescent="0.35">
      <c r="A50" s="117"/>
      <c r="B50" s="117"/>
      <c r="C50" s="117"/>
      <c r="D50" s="117"/>
      <c r="E50" s="117"/>
      <c r="F50" s="117"/>
      <c r="G50" s="117"/>
      <c r="H50" s="117"/>
      <c r="I50" s="117"/>
      <c r="J50" s="117"/>
      <c r="K50" s="117"/>
      <c r="L50" s="117"/>
      <c r="M50" s="117"/>
    </row>
    <row r="51" spans="1:13" x14ac:dyDescent="0.35">
      <c r="A51" s="117"/>
      <c r="B51" s="117"/>
      <c r="C51" s="117"/>
      <c r="D51" s="117"/>
      <c r="E51" s="117"/>
      <c r="F51" s="117"/>
      <c r="G51" s="117"/>
      <c r="H51" s="117"/>
      <c r="I51" s="117"/>
      <c r="J51" s="117"/>
      <c r="K51" s="117"/>
      <c r="L51" s="117"/>
      <c r="M51" s="117"/>
    </row>
    <row r="52" spans="1:13" x14ac:dyDescent="0.35">
      <c r="A52" s="117"/>
      <c r="B52" s="117"/>
      <c r="C52" s="117"/>
      <c r="D52" s="117"/>
      <c r="E52" s="117"/>
      <c r="F52" s="117"/>
      <c r="G52" s="117"/>
      <c r="H52" s="117"/>
      <c r="I52" s="117"/>
      <c r="J52" s="117"/>
      <c r="K52" s="117"/>
      <c r="L52" s="117"/>
      <c r="M52" s="117"/>
    </row>
    <row r="53" spans="1:13" x14ac:dyDescent="0.35">
      <c r="A53" s="117"/>
      <c r="B53" s="117"/>
      <c r="C53" s="117"/>
      <c r="D53" s="117"/>
      <c r="E53" s="117"/>
      <c r="F53" s="117"/>
      <c r="G53" s="117"/>
      <c r="H53" s="117"/>
      <c r="I53" s="117"/>
      <c r="J53" s="117"/>
      <c r="K53" s="117"/>
      <c r="L53" s="117"/>
      <c r="M53" s="117"/>
    </row>
  </sheetData>
  <mergeCells count="14">
    <mergeCell ref="A48:M53"/>
    <mergeCell ref="A34:M45"/>
    <mergeCell ref="A1:F1"/>
    <mergeCell ref="A2:B2"/>
    <mergeCell ref="D2:E2"/>
    <mergeCell ref="A3:B3"/>
    <mergeCell ref="D3:E3"/>
    <mergeCell ref="A4:B4"/>
    <mergeCell ref="D4:E4"/>
    <mergeCell ref="A5:B5"/>
    <mergeCell ref="D5:E5"/>
    <mergeCell ref="A6:B6"/>
    <mergeCell ref="D6:E6"/>
    <mergeCell ref="A33:B3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8D4B0-07A4-46B8-AF60-52789B6D6B93}">
  <dimension ref="A1:R55"/>
  <sheetViews>
    <sheetView showGridLines="0" zoomScaleNormal="100" workbookViewId="0">
      <selection activeCell="A35" sqref="A35:M55"/>
    </sheetView>
  </sheetViews>
  <sheetFormatPr defaultRowHeight="14.5" x14ac:dyDescent="0.35"/>
  <cols>
    <col min="1" max="1" width="12.26953125" bestFit="1" customWidth="1"/>
    <col min="2" max="2" width="11.81640625" bestFit="1" customWidth="1"/>
    <col min="3" max="3" width="12.7265625" bestFit="1" customWidth="1"/>
    <col min="4" max="4" width="15.7265625" bestFit="1" customWidth="1"/>
    <col min="5" max="5" width="10.1796875" bestFit="1" customWidth="1"/>
    <col min="6" max="6" width="9.81640625" bestFit="1" customWidth="1"/>
    <col min="7" max="7" width="8.81640625" bestFit="1" customWidth="1"/>
    <col min="8" max="8" width="7.26953125" bestFit="1" customWidth="1"/>
    <col min="9" max="9" width="10.1796875" customWidth="1"/>
    <col min="10" max="10" width="10.36328125" bestFit="1" customWidth="1"/>
    <col min="11" max="11" width="10.81640625" bestFit="1" customWidth="1"/>
    <col min="12" max="12" width="12.6328125" bestFit="1" customWidth="1"/>
    <col min="14" max="14" width="10.36328125" bestFit="1" customWidth="1"/>
    <col min="15" max="15" width="11.1796875" bestFit="1" customWidth="1"/>
    <col min="17" max="17" width="10.36328125" bestFit="1" customWidth="1"/>
    <col min="18" max="18" width="12.54296875" bestFit="1" customWidth="1"/>
  </cols>
  <sheetData>
    <row r="1" spans="1:18" x14ac:dyDescent="0.35">
      <c r="A1" s="127" t="s">
        <v>236</v>
      </c>
      <c r="B1" s="127"/>
      <c r="C1" s="127"/>
      <c r="D1" s="127"/>
      <c r="E1" s="127"/>
      <c r="F1" s="127"/>
    </row>
    <row r="2" spans="1:18" x14ac:dyDescent="0.35">
      <c r="A2" s="128" t="s">
        <v>226</v>
      </c>
      <c r="B2" s="128"/>
      <c r="C2" s="63" t="str">
        <f>INDEX(A11:A16,MATCH(MAX(C11:C16),C11:C16,0))</f>
        <v>Watch</v>
      </c>
      <c r="D2" s="128" t="s">
        <v>227</v>
      </c>
      <c r="E2" s="128"/>
      <c r="F2" s="64" t="str">
        <f>INDEX(A11:A16,MATCH(MIN(C11:C16),C11:C16,0))</f>
        <v>Skincare</v>
      </c>
    </row>
    <row r="3" spans="1:18" x14ac:dyDescent="0.35">
      <c r="A3" s="128" t="s">
        <v>228</v>
      </c>
      <c r="B3" s="128"/>
      <c r="C3" s="63" t="str">
        <f>INDEX(A11:A16,MATCH(MAX(B11:B16),B11:B16,0))</f>
        <v>Perfume</v>
      </c>
      <c r="D3" s="128" t="s">
        <v>229</v>
      </c>
      <c r="E3" s="128"/>
      <c r="F3" s="64" t="str">
        <f>INDEX(A11:A16,MATCH(MIN(B11:B16),B11:B16,0))</f>
        <v>Lipstick</v>
      </c>
    </row>
    <row r="4" spans="1:18" x14ac:dyDescent="0.35">
      <c r="A4" s="128" t="s">
        <v>230</v>
      </c>
      <c r="B4" s="128"/>
      <c r="C4" s="63" t="str">
        <f>INDEX(A11:A16,MATCH(MAX(G11:G16),G11:G16,0))</f>
        <v>Watch</v>
      </c>
      <c r="D4" s="128" t="s">
        <v>231</v>
      </c>
      <c r="E4" s="128"/>
      <c r="F4" s="64" t="str">
        <f>INDEX(A11:A16,MATCH(MIN(G11:G16),G11:G16,0))</f>
        <v>Luxury Bag</v>
      </c>
    </row>
    <row r="5" spans="1:18" x14ac:dyDescent="0.35">
      <c r="A5" s="128" t="s">
        <v>232</v>
      </c>
      <c r="B5" s="128"/>
      <c r="C5" s="63" t="str">
        <f>INDEX(A11:A16,MATCH(MAX(F11:F16),F11:F16,0))</f>
        <v>Foundation</v>
      </c>
      <c r="D5" s="128" t="s">
        <v>233</v>
      </c>
      <c r="E5" s="128"/>
      <c r="F5" s="64" t="str">
        <f>INDEX(A11:A16,MATCH(MIN(F11:F16),F11:F16,0))</f>
        <v>Skincare</v>
      </c>
    </row>
    <row r="6" spans="1:18" x14ac:dyDescent="0.35">
      <c r="A6" s="128" t="s">
        <v>234</v>
      </c>
      <c r="B6" s="128"/>
      <c r="C6" s="63" t="str">
        <f>INDEX(A11:A16,MATCH(MAX(H11:H16),H11:H16,0))</f>
        <v>Watch</v>
      </c>
      <c r="D6" s="128" t="s">
        <v>235</v>
      </c>
      <c r="E6" s="128"/>
      <c r="F6" s="64" t="str">
        <f>INDEX(A11:A16,MATCH(MIN(H11:H16),H11:H16,0))</f>
        <v>Luxury Bag</v>
      </c>
    </row>
    <row r="8" spans="1:18" x14ac:dyDescent="0.35">
      <c r="A8" s="58" t="s">
        <v>335</v>
      </c>
      <c r="B8" s="1" t="s">
        <v>338</v>
      </c>
    </row>
    <row r="10" spans="1:18" x14ac:dyDescent="0.35">
      <c r="A10" s="58" t="s">
        <v>3</v>
      </c>
      <c r="B10" s="1" t="s">
        <v>161</v>
      </c>
      <c r="C10" s="1" t="s">
        <v>199</v>
      </c>
      <c r="D10" s="1" t="s">
        <v>158</v>
      </c>
      <c r="E10" s="1" t="s">
        <v>159</v>
      </c>
      <c r="F10" s="1" t="s">
        <v>340</v>
      </c>
      <c r="G10" s="1" t="s">
        <v>333</v>
      </c>
      <c r="H10" s="1" t="s">
        <v>337</v>
      </c>
      <c r="J10" s="61" t="str">
        <f t="shared" ref="J10:L16" si="0">A10</f>
        <v>Product</v>
      </c>
      <c r="K10" s="61" t="str">
        <f t="shared" si="0"/>
        <v>Total Spend</v>
      </c>
      <c r="L10" s="61" t="str">
        <f t="shared" si="0"/>
        <v>Total Revenue</v>
      </c>
      <c r="N10" s="61" t="s">
        <v>3</v>
      </c>
      <c r="O10" s="61" t="str">
        <f t="shared" ref="O10:O16" si="1">F10</f>
        <v xml:space="preserve">Avg CTR  </v>
      </c>
      <c r="Q10" s="61" t="s">
        <v>3</v>
      </c>
      <c r="R10" s="61" t="str">
        <f t="shared" ref="R10:R16" si="2">G10</f>
        <v>Avg ROAS</v>
      </c>
    </row>
    <row r="11" spans="1:18" x14ac:dyDescent="0.35">
      <c r="A11" s="1" t="s">
        <v>21</v>
      </c>
      <c r="B11" s="1">
        <v>2766328.4600000028</v>
      </c>
      <c r="C11" s="1">
        <v>21640597.050000001</v>
      </c>
      <c r="D11" s="1">
        <v>81296047</v>
      </c>
      <c r="E11" s="1">
        <v>4538972</v>
      </c>
      <c r="F11" s="60">
        <v>5.5832628614771396E-2</v>
      </c>
      <c r="G11" s="59">
        <v>7.8228588408478359</v>
      </c>
      <c r="H11" s="59">
        <v>6.822858840847835</v>
      </c>
      <c r="J11" s="1" t="str">
        <f t="shared" si="0"/>
        <v>Foundation</v>
      </c>
      <c r="K11" s="1">
        <f t="shared" si="0"/>
        <v>2766328.4600000028</v>
      </c>
      <c r="L11" s="1">
        <f t="shared" si="0"/>
        <v>21640597.050000001</v>
      </c>
      <c r="N11" s="1" t="s">
        <v>21</v>
      </c>
      <c r="O11" s="60">
        <f t="shared" si="1"/>
        <v>5.5832628614771396E-2</v>
      </c>
      <c r="Q11" s="1" t="s">
        <v>21</v>
      </c>
      <c r="R11" s="59">
        <f t="shared" si="2"/>
        <v>7.8228588408478359</v>
      </c>
    </row>
    <row r="12" spans="1:18" x14ac:dyDescent="0.35">
      <c r="A12" s="1" t="s">
        <v>59</v>
      </c>
      <c r="B12" s="1">
        <v>2325386.2399999993</v>
      </c>
      <c r="C12" s="1">
        <v>19880781.120000005</v>
      </c>
      <c r="D12" s="1">
        <v>79151444</v>
      </c>
      <c r="E12" s="1">
        <v>3892215</v>
      </c>
      <c r="F12" s="60">
        <v>4.917427659310928E-2</v>
      </c>
      <c r="G12" s="59">
        <v>8.5494533243647339</v>
      </c>
      <c r="H12" s="59">
        <v>7.5494533243647348</v>
      </c>
      <c r="J12" s="1" t="str">
        <f t="shared" si="0"/>
        <v>Lipstick</v>
      </c>
      <c r="K12" s="1">
        <f t="shared" si="0"/>
        <v>2325386.2399999993</v>
      </c>
      <c r="L12" s="1">
        <f t="shared" si="0"/>
        <v>19880781.120000005</v>
      </c>
      <c r="N12" s="1" t="s">
        <v>59</v>
      </c>
      <c r="O12" s="60">
        <f t="shared" si="1"/>
        <v>4.917427659310928E-2</v>
      </c>
      <c r="Q12" s="1" t="s">
        <v>59</v>
      </c>
      <c r="R12" s="59">
        <f t="shared" si="2"/>
        <v>8.5494533243647339</v>
      </c>
    </row>
    <row r="13" spans="1:18" x14ac:dyDescent="0.35">
      <c r="A13" s="1" t="s">
        <v>43</v>
      </c>
      <c r="B13" s="1">
        <v>2624111.830000001</v>
      </c>
      <c r="C13" s="1">
        <v>19348723.170000006</v>
      </c>
      <c r="D13" s="1">
        <v>78894866</v>
      </c>
      <c r="E13" s="1">
        <v>3667031</v>
      </c>
      <c r="F13" s="60">
        <v>4.6479969938728334E-2</v>
      </c>
      <c r="G13" s="59">
        <v>7.3734369659085752</v>
      </c>
      <c r="H13" s="59">
        <v>6.3734369659085743</v>
      </c>
      <c r="J13" s="1" t="str">
        <f t="shared" si="0"/>
        <v>Luxury Bag</v>
      </c>
      <c r="K13" s="1">
        <f t="shared" si="0"/>
        <v>2624111.830000001</v>
      </c>
      <c r="L13" s="1">
        <f t="shared" si="0"/>
        <v>19348723.170000006</v>
      </c>
      <c r="N13" s="1" t="s">
        <v>43</v>
      </c>
      <c r="O13" s="60">
        <f t="shared" si="1"/>
        <v>4.6479969938728334E-2</v>
      </c>
      <c r="Q13" s="1" t="s">
        <v>43</v>
      </c>
      <c r="R13" s="59">
        <f t="shared" si="2"/>
        <v>7.3734369659085752</v>
      </c>
    </row>
    <row r="14" spans="1:18" x14ac:dyDescent="0.35">
      <c r="A14" s="1" t="s">
        <v>37</v>
      </c>
      <c r="B14" s="1">
        <v>2906727.0200000005</v>
      </c>
      <c r="C14" s="1">
        <v>21457811.169999991</v>
      </c>
      <c r="D14" s="1">
        <v>88759105</v>
      </c>
      <c r="E14" s="1">
        <v>4403286</v>
      </c>
      <c r="F14" s="60">
        <v>4.960940063557423E-2</v>
      </c>
      <c r="G14" s="59">
        <v>7.3821212044879214</v>
      </c>
      <c r="H14" s="59">
        <v>6.3821212044879223</v>
      </c>
      <c r="J14" s="1" t="str">
        <f t="shared" si="0"/>
        <v>Perfume</v>
      </c>
      <c r="K14" s="1">
        <f t="shared" si="0"/>
        <v>2906727.0200000005</v>
      </c>
      <c r="L14" s="1">
        <f t="shared" si="0"/>
        <v>21457811.169999991</v>
      </c>
      <c r="N14" s="1" t="s">
        <v>37</v>
      </c>
      <c r="O14" s="60">
        <f t="shared" si="1"/>
        <v>4.960940063557423E-2</v>
      </c>
      <c r="Q14" s="1" t="s">
        <v>37</v>
      </c>
      <c r="R14" s="59">
        <f t="shared" si="2"/>
        <v>7.3821212044879214</v>
      </c>
    </row>
    <row r="15" spans="1:18" x14ac:dyDescent="0.35">
      <c r="A15" s="1" t="s">
        <v>63</v>
      </c>
      <c r="B15" s="1">
        <v>2442423.0799999996</v>
      </c>
      <c r="C15" s="1">
        <v>18282482.120000001</v>
      </c>
      <c r="D15" s="1">
        <v>85881061</v>
      </c>
      <c r="E15" s="1">
        <v>3697524</v>
      </c>
      <c r="F15" s="60">
        <v>4.3054009311785282E-2</v>
      </c>
      <c r="G15" s="59">
        <v>7.4853870607871933</v>
      </c>
      <c r="H15" s="59">
        <v>6.4853870607871933</v>
      </c>
      <c r="J15" s="1" t="str">
        <f t="shared" si="0"/>
        <v>Skincare</v>
      </c>
      <c r="K15" s="1">
        <f t="shared" si="0"/>
        <v>2442423.0799999996</v>
      </c>
      <c r="L15" s="1">
        <f t="shared" si="0"/>
        <v>18282482.120000001</v>
      </c>
      <c r="N15" s="1" t="s">
        <v>63</v>
      </c>
      <c r="O15" s="60">
        <f t="shared" si="1"/>
        <v>4.3054009311785282E-2</v>
      </c>
      <c r="Q15" s="1" t="s">
        <v>63</v>
      </c>
      <c r="R15" s="59">
        <f t="shared" si="2"/>
        <v>7.4853870607871933</v>
      </c>
    </row>
    <row r="16" spans="1:18" x14ac:dyDescent="0.35">
      <c r="A16" s="1" t="s">
        <v>51</v>
      </c>
      <c r="B16" s="1">
        <v>2547407.33</v>
      </c>
      <c r="C16" s="1">
        <v>22093956.400000017</v>
      </c>
      <c r="D16" s="1">
        <v>93656090</v>
      </c>
      <c r="E16" s="1">
        <v>4414153</v>
      </c>
      <c r="F16" s="60">
        <v>4.7131510615059845E-2</v>
      </c>
      <c r="G16" s="59">
        <v>8.6731148724456322</v>
      </c>
      <c r="H16" s="59">
        <v>7.6731148724456304</v>
      </c>
      <c r="J16" s="1" t="str">
        <f t="shared" si="0"/>
        <v>Watch</v>
      </c>
      <c r="K16" s="1">
        <f t="shared" si="0"/>
        <v>2547407.33</v>
      </c>
      <c r="L16" s="1">
        <f t="shared" si="0"/>
        <v>22093956.400000017</v>
      </c>
      <c r="N16" s="1" t="s">
        <v>51</v>
      </c>
      <c r="O16" s="60">
        <f t="shared" si="1"/>
        <v>4.7131510615059845E-2</v>
      </c>
      <c r="Q16" s="1" t="s">
        <v>51</v>
      </c>
      <c r="R16" s="59">
        <f t="shared" si="2"/>
        <v>8.6731148724456322</v>
      </c>
    </row>
    <row r="17" spans="1:8" x14ac:dyDescent="0.35">
      <c r="A17" s="1" t="s">
        <v>198</v>
      </c>
      <c r="B17" s="1">
        <v>15612383.959999993</v>
      </c>
      <c r="C17" s="1">
        <v>122704351.02999999</v>
      </c>
      <c r="D17" s="1">
        <v>507638613</v>
      </c>
      <c r="E17" s="1">
        <v>24613181</v>
      </c>
      <c r="F17" s="60">
        <v>4.8485635981359049E-2</v>
      </c>
      <c r="G17" s="59">
        <v>7.8594243739058056</v>
      </c>
      <c r="H17" s="59">
        <v>6.8594243739058056</v>
      </c>
    </row>
    <row r="35" spans="1:13" ht="15.5" x14ac:dyDescent="0.35">
      <c r="A35" s="115" t="s">
        <v>401</v>
      </c>
      <c r="B35" s="116"/>
    </row>
    <row r="36" spans="1:13" ht="14.5" customHeight="1" x14ac:dyDescent="0.35">
      <c r="A36" s="117" t="s">
        <v>409</v>
      </c>
      <c r="B36" s="117"/>
      <c r="C36" s="117"/>
      <c r="D36" s="117"/>
      <c r="E36" s="117"/>
      <c r="F36" s="117"/>
      <c r="G36" s="117"/>
      <c r="H36" s="117"/>
      <c r="I36" s="117"/>
      <c r="J36" s="117"/>
      <c r="K36" s="117"/>
      <c r="L36" s="117"/>
      <c r="M36" s="117"/>
    </row>
    <row r="37" spans="1:13" x14ac:dyDescent="0.35">
      <c r="A37" s="117"/>
      <c r="B37" s="117"/>
      <c r="C37" s="117"/>
      <c r="D37" s="117"/>
      <c r="E37" s="117"/>
      <c r="F37" s="117"/>
      <c r="G37" s="117"/>
      <c r="H37" s="117"/>
      <c r="I37" s="117"/>
      <c r="J37" s="117"/>
      <c r="K37" s="117"/>
      <c r="L37" s="117"/>
      <c r="M37" s="117"/>
    </row>
    <row r="38" spans="1:13" x14ac:dyDescent="0.35">
      <c r="A38" s="117"/>
      <c r="B38" s="117"/>
      <c r="C38" s="117"/>
      <c r="D38" s="117"/>
      <c r="E38" s="117"/>
      <c r="F38" s="117"/>
      <c r="G38" s="117"/>
      <c r="H38" s="117"/>
      <c r="I38" s="117"/>
      <c r="J38" s="117"/>
      <c r="K38" s="117"/>
      <c r="L38" s="117"/>
      <c r="M38" s="117"/>
    </row>
    <row r="39" spans="1:13" x14ac:dyDescent="0.35">
      <c r="A39" s="117"/>
      <c r="B39" s="117"/>
      <c r="C39" s="117"/>
      <c r="D39" s="117"/>
      <c r="E39" s="117"/>
      <c r="F39" s="117"/>
      <c r="G39" s="117"/>
      <c r="H39" s="117"/>
      <c r="I39" s="117"/>
      <c r="J39" s="117"/>
      <c r="K39" s="117"/>
      <c r="L39" s="117"/>
      <c r="M39" s="117"/>
    </row>
    <row r="40" spans="1:13" x14ac:dyDescent="0.35">
      <c r="A40" s="117"/>
      <c r="B40" s="117"/>
      <c r="C40" s="117"/>
      <c r="D40" s="117"/>
      <c r="E40" s="117"/>
      <c r="F40" s="117"/>
      <c r="G40" s="117"/>
      <c r="H40" s="117"/>
      <c r="I40" s="117"/>
      <c r="J40" s="117"/>
      <c r="K40" s="117"/>
      <c r="L40" s="117"/>
      <c r="M40" s="117"/>
    </row>
    <row r="41" spans="1:13" x14ac:dyDescent="0.35">
      <c r="A41" s="117"/>
      <c r="B41" s="117"/>
      <c r="C41" s="117"/>
      <c r="D41" s="117"/>
      <c r="E41" s="117"/>
      <c r="F41" s="117"/>
      <c r="G41" s="117"/>
      <c r="H41" s="117"/>
      <c r="I41" s="117"/>
      <c r="J41" s="117"/>
      <c r="K41" s="117"/>
      <c r="L41" s="117"/>
      <c r="M41" s="117"/>
    </row>
    <row r="42" spans="1:13" x14ac:dyDescent="0.35">
      <c r="A42" s="117"/>
      <c r="B42" s="117"/>
      <c r="C42" s="117"/>
      <c r="D42" s="117"/>
      <c r="E42" s="117"/>
      <c r="F42" s="117"/>
      <c r="G42" s="117"/>
      <c r="H42" s="117"/>
      <c r="I42" s="117"/>
      <c r="J42" s="117"/>
      <c r="K42" s="117"/>
      <c r="L42" s="117"/>
      <c r="M42" s="117"/>
    </row>
    <row r="43" spans="1:13" x14ac:dyDescent="0.35">
      <c r="A43" s="117"/>
      <c r="B43" s="117"/>
      <c r="C43" s="117"/>
      <c r="D43" s="117"/>
      <c r="E43" s="117"/>
      <c r="F43" s="117"/>
      <c r="G43" s="117"/>
      <c r="H43" s="117"/>
      <c r="I43" s="117"/>
      <c r="J43" s="117"/>
      <c r="K43" s="117"/>
      <c r="L43" s="117"/>
      <c r="M43" s="117"/>
    </row>
    <row r="44" spans="1:13" x14ac:dyDescent="0.35">
      <c r="A44" s="117"/>
      <c r="B44" s="117"/>
      <c r="C44" s="117"/>
      <c r="D44" s="117"/>
      <c r="E44" s="117"/>
      <c r="F44" s="117"/>
      <c r="G44" s="117"/>
      <c r="H44" s="117"/>
      <c r="I44" s="117"/>
      <c r="J44" s="117"/>
      <c r="K44" s="117"/>
      <c r="L44" s="117"/>
      <c r="M44" s="117"/>
    </row>
    <row r="45" spans="1:13" ht="7.5" customHeight="1" x14ac:dyDescent="0.35">
      <c r="A45" s="117"/>
      <c r="B45" s="117"/>
      <c r="C45" s="117"/>
      <c r="D45" s="117"/>
      <c r="E45" s="117"/>
      <c r="F45" s="117"/>
      <c r="G45" s="117"/>
      <c r="H45" s="117"/>
      <c r="I45" s="117"/>
      <c r="J45" s="117"/>
      <c r="K45" s="117"/>
      <c r="L45" s="117"/>
      <c r="M45" s="117"/>
    </row>
    <row r="46" spans="1:13" ht="12.5" hidden="1" customHeight="1" x14ac:dyDescent="0.35">
      <c r="A46" s="117"/>
      <c r="B46" s="117"/>
      <c r="C46" s="117"/>
      <c r="D46" s="117"/>
      <c r="E46" s="117"/>
      <c r="F46" s="117"/>
      <c r="G46" s="117"/>
      <c r="H46" s="117"/>
      <c r="I46" s="117"/>
      <c r="J46" s="117"/>
      <c r="K46" s="117"/>
      <c r="L46" s="117"/>
      <c r="M46" s="117"/>
    </row>
    <row r="47" spans="1:13" ht="10" customHeight="1" x14ac:dyDescent="0.35">
      <c r="A47" s="117"/>
      <c r="B47" s="117"/>
      <c r="C47" s="117"/>
      <c r="D47" s="117"/>
      <c r="E47" s="117"/>
      <c r="F47" s="117"/>
      <c r="G47" s="117"/>
      <c r="H47" s="117"/>
      <c r="I47" s="117"/>
      <c r="J47" s="117"/>
      <c r="K47" s="117"/>
      <c r="L47" s="117"/>
      <c r="M47" s="117"/>
    </row>
    <row r="49" spans="1:13" ht="15.5" x14ac:dyDescent="0.35">
      <c r="A49" s="99" t="s">
        <v>214</v>
      </c>
      <c r="B49" s="99"/>
    </row>
    <row r="50" spans="1:13" ht="14.5" customHeight="1" x14ac:dyDescent="0.35">
      <c r="A50" s="117" t="s">
        <v>410</v>
      </c>
      <c r="B50" s="117"/>
      <c r="C50" s="117"/>
      <c r="D50" s="117"/>
      <c r="E50" s="117"/>
      <c r="F50" s="117"/>
      <c r="G50" s="117"/>
      <c r="H50" s="117"/>
      <c r="I50" s="117"/>
      <c r="J50" s="117"/>
      <c r="K50" s="117"/>
      <c r="L50" s="117"/>
      <c r="M50" s="117"/>
    </row>
    <row r="51" spans="1:13" x14ac:dyDescent="0.35">
      <c r="A51" s="117"/>
      <c r="B51" s="117"/>
      <c r="C51" s="117"/>
      <c r="D51" s="117"/>
      <c r="E51" s="117"/>
      <c r="F51" s="117"/>
      <c r="G51" s="117"/>
      <c r="H51" s="117"/>
      <c r="I51" s="117"/>
      <c r="J51" s="117"/>
      <c r="K51" s="117"/>
      <c r="L51" s="117"/>
      <c r="M51" s="117"/>
    </row>
    <row r="52" spans="1:13" x14ac:dyDescent="0.35">
      <c r="A52" s="117"/>
      <c r="B52" s="117"/>
      <c r="C52" s="117"/>
      <c r="D52" s="117"/>
      <c r="E52" s="117"/>
      <c r="F52" s="117"/>
      <c r="G52" s="117"/>
      <c r="H52" s="117"/>
      <c r="I52" s="117"/>
      <c r="J52" s="117"/>
      <c r="K52" s="117"/>
      <c r="L52" s="117"/>
      <c r="M52" s="117"/>
    </row>
    <row r="53" spans="1:13" x14ac:dyDescent="0.35">
      <c r="A53" s="117"/>
      <c r="B53" s="117"/>
      <c r="C53" s="117"/>
      <c r="D53" s="117"/>
      <c r="E53" s="117"/>
      <c r="F53" s="117"/>
      <c r="G53" s="117"/>
      <c r="H53" s="117"/>
      <c r="I53" s="117"/>
      <c r="J53" s="117"/>
      <c r="K53" s="117"/>
      <c r="L53" s="117"/>
      <c r="M53" s="117"/>
    </row>
    <row r="54" spans="1:13" ht="9" customHeight="1" x14ac:dyDescent="0.35">
      <c r="A54" s="117"/>
      <c r="B54" s="117"/>
      <c r="C54" s="117"/>
      <c r="D54" s="117"/>
      <c r="E54" s="117"/>
      <c r="F54" s="117"/>
      <c r="G54" s="117"/>
      <c r="H54" s="117"/>
      <c r="I54" s="117"/>
      <c r="J54" s="117"/>
      <c r="K54" s="117"/>
      <c r="L54" s="117"/>
      <c r="M54" s="117"/>
    </row>
    <row r="55" spans="1:13" ht="11" customHeight="1" x14ac:dyDescent="0.35">
      <c r="A55" s="117"/>
      <c r="B55" s="117"/>
      <c r="C55" s="117"/>
      <c r="D55" s="117"/>
      <c r="E55" s="117"/>
      <c r="F55" s="117"/>
      <c r="G55" s="117"/>
      <c r="H55" s="117"/>
      <c r="I55" s="117"/>
      <c r="J55" s="117"/>
      <c r="K55" s="117"/>
      <c r="L55" s="117"/>
      <c r="M55" s="117"/>
    </row>
  </sheetData>
  <mergeCells count="14">
    <mergeCell ref="A50:M55"/>
    <mergeCell ref="A36:M47"/>
    <mergeCell ref="A5:B5"/>
    <mergeCell ref="D5:E5"/>
    <mergeCell ref="A6:B6"/>
    <mergeCell ref="D6:E6"/>
    <mergeCell ref="A35:B35"/>
    <mergeCell ref="A4:B4"/>
    <mergeCell ref="D4:E4"/>
    <mergeCell ref="A1:F1"/>
    <mergeCell ref="A2:B2"/>
    <mergeCell ref="D2:E2"/>
    <mergeCell ref="A3:B3"/>
    <mergeCell ref="D3:E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44B8-529B-44AF-832B-F1CC8B8EF64E}">
  <dimension ref="A1:R45"/>
  <sheetViews>
    <sheetView showGridLines="0" zoomScaleNormal="100" workbookViewId="0">
      <selection activeCell="B36" sqref="A36:H39"/>
    </sheetView>
  </sheetViews>
  <sheetFormatPr defaultRowHeight="14.5" x14ac:dyDescent="0.35"/>
  <cols>
    <col min="1" max="1" width="12.26953125" bestFit="1" customWidth="1"/>
    <col min="2" max="2" width="11.81640625" bestFit="1" customWidth="1"/>
    <col min="3" max="3" width="12.7265625" bestFit="1" customWidth="1"/>
    <col min="4" max="4" width="15.7265625" bestFit="1" customWidth="1"/>
    <col min="5" max="5" width="10.1796875" bestFit="1" customWidth="1"/>
    <col min="6" max="6" width="9.54296875" bestFit="1" customWidth="1"/>
    <col min="7" max="7" width="8.81640625" bestFit="1" customWidth="1"/>
    <col min="8" max="8" width="7.26953125" bestFit="1" customWidth="1"/>
    <col min="9" max="9" width="16.36328125" customWidth="1"/>
    <col min="10" max="10" width="10.54296875" bestFit="1" customWidth="1"/>
    <col min="11" max="11" width="10.81640625" bestFit="1" customWidth="1"/>
    <col min="12" max="12" width="12.7265625" bestFit="1" customWidth="1"/>
    <col min="14" max="14" width="10.54296875" bestFit="1" customWidth="1"/>
    <col min="15" max="15" width="11.1796875" bestFit="1" customWidth="1"/>
    <col min="17" max="17" width="10.54296875" bestFit="1" customWidth="1"/>
    <col min="18" max="18" width="12.54296875" bestFit="1" customWidth="1"/>
  </cols>
  <sheetData>
    <row r="1" spans="1:18" x14ac:dyDescent="0.35">
      <c r="A1" s="127" t="s">
        <v>247</v>
      </c>
      <c r="B1" s="127"/>
      <c r="C1" s="127"/>
      <c r="D1" s="127"/>
      <c r="E1" s="127"/>
      <c r="F1" s="127"/>
    </row>
    <row r="2" spans="1:18" x14ac:dyDescent="0.35">
      <c r="A2" s="128" t="s">
        <v>237</v>
      </c>
      <c r="B2" s="128"/>
      <c r="C2" s="63" t="str">
        <f>INDEX(A11:A13,MATCH(MAX(C11:C13),C11:C13,0))</f>
        <v>Ecommerce</v>
      </c>
      <c r="D2" s="128" t="s">
        <v>238</v>
      </c>
      <c r="E2" s="128"/>
      <c r="F2" s="64" t="str">
        <f>INDEX(A11:A13,MATCH(MIN(C11:C13),C11:C13,0))</f>
        <v>Wholesale</v>
      </c>
    </row>
    <row r="3" spans="1:18" x14ac:dyDescent="0.35">
      <c r="A3" s="128" t="s">
        <v>239</v>
      </c>
      <c r="B3" s="128"/>
      <c r="C3" s="63" t="str">
        <f>INDEX(A11:A13,MATCH(MAX(B11:B13),B11:B13,0))</f>
        <v>Wholesale</v>
      </c>
      <c r="D3" s="128" t="s">
        <v>240</v>
      </c>
      <c r="E3" s="128"/>
      <c r="F3" s="64" t="str">
        <f>INDEX(A11:A13,MATCH(MIN(B11:B13),B11:B13,0))</f>
        <v>Retail</v>
      </c>
    </row>
    <row r="4" spans="1:18" x14ac:dyDescent="0.35">
      <c r="A4" s="128" t="s">
        <v>241</v>
      </c>
      <c r="B4" s="128"/>
      <c r="C4" s="63" t="str">
        <f>INDEX(A11:A13,MATCH(MAX(G11:G13),G11:G13,0))</f>
        <v>Retail</v>
      </c>
      <c r="D4" s="128" t="s">
        <v>242</v>
      </c>
      <c r="E4" s="128"/>
      <c r="F4" s="64" t="str">
        <f>INDEX(A11:A13,MATCH(MIN(G11:G13),G11:G13,0))</f>
        <v>Wholesale</v>
      </c>
    </row>
    <row r="5" spans="1:18" x14ac:dyDescent="0.35">
      <c r="A5" s="128" t="s">
        <v>243</v>
      </c>
      <c r="B5" s="128"/>
      <c r="C5" s="63" t="str">
        <f>INDEX(A11:A13,MATCH(MAX(F11:F13),F11:F13,0))</f>
        <v>Retail</v>
      </c>
      <c r="D5" s="128" t="s">
        <v>244</v>
      </c>
      <c r="E5" s="128"/>
      <c r="F5" s="64" t="str">
        <f>INDEX(A11:A13,MATCH(MIN(F11:F13),F11:F13,0))</f>
        <v>Wholesale</v>
      </c>
    </row>
    <row r="6" spans="1:18" x14ac:dyDescent="0.35">
      <c r="A6" s="128" t="s">
        <v>245</v>
      </c>
      <c r="B6" s="128"/>
      <c r="C6" s="63" t="str">
        <f>INDEX(A11:A13,MATCH(MAX(H11:H13),H11:H13,0))</f>
        <v>Retail</v>
      </c>
      <c r="D6" s="128" t="s">
        <v>246</v>
      </c>
      <c r="E6" s="128"/>
      <c r="F6" s="64" t="str">
        <f>INDEX(A11:A13,MATCH(MIN(H11:H13),H11:H13,0))</f>
        <v>Wholesale</v>
      </c>
    </row>
    <row r="8" spans="1:18" x14ac:dyDescent="0.35">
      <c r="A8" s="58" t="s">
        <v>335</v>
      </c>
      <c r="B8" s="1" t="s">
        <v>338</v>
      </c>
    </row>
    <row r="10" spans="1:18" x14ac:dyDescent="0.35">
      <c r="A10" s="58" t="s">
        <v>4</v>
      </c>
      <c r="B10" s="1" t="s">
        <v>161</v>
      </c>
      <c r="C10" s="1" t="s">
        <v>199</v>
      </c>
      <c r="D10" s="1" t="s">
        <v>158</v>
      </c>
      <c r="E10" s="1" t="s">
        <v>159</v>
      </c>
      <c r="F10" s="1" t="s">
        <v>341</v>
      </c>
      <c r="G10" s="1" t="s">
        <v>333</v>
      </c>
      <c r="H10" s="1" t="s">
        <v>337</v>
      </c>
      <c r="J10" s="61" t="str">
        <f t="shared" ref="J10:L13" si="0">A10</f>
        <v>Channel</v>
      </c>
      <c r="K10" s="61" t="str">
        <f t="shared" si="0"/>
        <v>Total Spend</v>
      </c>
      <c r="L10" s="61" t="str">
        <f t="shared" si="0"/>
        <v>Total Revenue</v>
      </c>
      <c r="N10" s="61" t="s">
        <v>4</v>
      </c>
      <c r="O10" s="61" t="str">
        <f t="shared" ref="O10:O13" si="1">F10</f>
        <v xml:space="preserve">Avg CTR   </v>
      </c>
      <c r="Q10" s="61" t="s">
        <v>4</v>
      </c>
      <c r="R10" s="61" t="str">
        <f t="shared" ref="R10:R13" si="2">G10</f>
        <v>Avg ROAS</v>
      </c>
    </row>
    <row r="11" spans="1:18" x14ac:dyDescent="0.35">
      <c r="A11" s="1" t="s">
        <v>38</v>
      </c>
      <c r="B11" s="1">
        <v>5413787.4200000027</v>
      </c>
      <c r="C11" s="1">
        <v>41956137.019999996</v>
      </c>
      <c r="D11" s="1">
        <v>174923208</v>
      </c>
      <c r="E11" s="1">
        <v>8416978</v>
      </c>
      <c r="F11" s="60">
        <v>4.8118131929069129E-2</v>
      </c>
      <c r="G11" s="59">
        <v>7.7498678402115715</v>
      </c>
      <c r="H11" s="59">
        <v>6.7498678402115715</v>
      </c>
      <c r="J11" s="1" t="str">
        <f t="shared" si="0"/>
        <v>Ecommerce</v>
      </c>
      <c r="K11" s="1">
        <f t="shared" si="0"/>
        <v>5413787.4200000027</v>
      </c>
      <c r="L11" s="1">
        <f t="shared" si="0"/>
        <v>41956137.019999996</v>
      </c>
      <c r="N11" s="1" t="s">
        <v>38</v>
      </c>
      <c r="O11" s="60">
        <f t="shared" si="1"/>
        <v>4.8118131929069129E-2</v>
      </c>
      <c r="Q11" s="1" t="s">
        <v>38</v>
      </c>
      <c r="R11" s="59">
        <f t="shared" si="2"/>
        <v>7.7498678402115715</v>
      </c>
    </row>
    <row r="12" spans="1:18" x14ac:dyDescent="0.35">
      <c r="A12" s="1" t="s">
        <v>22</v>
      </c>
      <c r="B12" s="1">
        <v>4549355.5299999993</v>
      </c>
      <c r="C12" s="1">
        <v>41680401.059999965</v>
      </c>
      <c r="D12" s="1">
        <v>163572904</v>
      </c>
      <c r="E12" s="1">
        <v>8395455</v>
      </c>
      <c r="F12" s="60">
        <v>5.1325462804035077E-2</v>
      </c>
      <c r="G12" s="59">
        <v>9.1618254025532213</v>
      </c>
      <c r="H12" s="59">
        <v>8.1618254025532195</v>
      </c>
      <c r="J12" s="1" t="str">
        <f t="shared" si="0"/>
        <v>Retail</v>
      </c>
      <c r="K12" s="1">
        <f t="shared" si="0"/>
        <v>4549355.5299999993</v>
      </c>
      <c r="L12" s="1">
        <f t="shared" si="0"/>
        <v>41680401.059999965</v>
      </c>
      <c r="N12" s="1" t="s">
        <v>22</v>
      </c>
      <c r="O12" s="60">
        <f t="shared" si="1"/>
        <v>5.1325462804035077E-2</v>
      </c>
      <c r="Q12" s="1" t="s">
        <v>22</v>
      </c>
      <c r="R12" s="59">
        <f t="shared" si="2"/>
        <v>9.1618254025532213</v>
      </c>
    </row>
    <row r="13" spans="1:18" x14ac:dyDescent="0.35">
      <c r="A13" s="1" t="s">
        <v>30</v>
      </c>
      <c r="B13" s="1">
        <v>5649241.0100000054</v>
      </c>
      <c r="C13" s="1">
        <v>39067812.95000004</v>
      </c>
      <c r="D13" s="1">
        <v>169142501</v>
      </c>
      <c r="E13" s="1">
        <v>7800748</v>
      </c>
      <c r="F13" s="60">
        <v>4.6119384269953538E-2</v>
      </c>
      <c r="G13" s="59">
        <v>6.9155861611930067</v>
      </c>
      <c r="H13" s="59">
        <v>5.9155861611930067</v>
      </c>
      <c r="J13" s="1" t="str">
        <f t="shared" si="0"/>
        <v>Wholesale</v>
      </c>
      <c r="K13" s="1">
        <f t="shared" si="0"/>
        <v>5649241.0100000054</v>
      </c>
      <c r="L13" s="1">
        <f t="shared" si="0"/>
        <v>39067812.95000004</v>
      </c>
      <c r="N13" s="1" t="s">
        <v>30</v>
      </c>
      <c r="O13" s="60">
        <f t="shared" si="1"/>
        <v>4.6119384269953538E-2</v>
      </c>
      <c r="Q13" s="1" t="s">
        <v>30</v>
      </c>
      <c r="R13" s="59">
        <f t="shared" si="2"/>
        <v>6.9155861611930067</v>
      </c>
    </row>
    <row r="14" spans="1:18" x14ac:dyDescent="0.35">
      <c r="A14" s="1" t="s">
        <v>198</v>
      </c>
      <c r="B14" s="1">
        <v>15612383.960000005</v>
      </c>
      <c r="C14" s="1">
        <v>122704351.02999985</v>
      </c>
      <c r="D14" s="1">
        <v>507638613</v>
      </c>
      <c r="E14" s="1">
        <v>24613181</v>
      </c>
      <c r="F14" s="60">
        <v>4.8485635981359049E-2</v>
      </c>
      <c r="G14" s="59">
        <v>7.8594243739057914</v>
      </c>
      <c r="H14" s="59">
        <v>6.8594243739057905</v>
      </c>
    </row>
    <row r="32" spans="1:2" ht="15.5" x14ac:dyDescent="0.35">
      <c r="A32" s="130" t="s">
        <v>401</v>
      </c>
      <c r="B32" s="131"/>
    </row>
    <row r="33" spans="1:8" ht="30" customHeight="1" x14ac:dyDescent="0.35">
      <c r="A33" s="118" t="s">
        <v>407</v>
      </c>
      <c r="B33" s="119"/>
      <c r="C33" s="119"/>
      <c r="D33" s="119"/>
      <c r="E33" s="119"/>
      <c r="F33" s="120"/>
    </row>
    <row r="34" spans="1:8" ht="69.5" customHeight="1" x14ac:dyDescent="0.35">
      <c r="A34" s="124"/>
      <c r="B34" s="125"/>
      <c r="C34" s="125"/>
      <c r="D34" s="125"/>
      <c r="E34" s="125"/>
      <c r="F34" s="126"/>
    </row>
    <row r="36" spans="1:8" ht="15.5" x14ac:dyDescent="0.35">
      <c r="A36" s="99" t="s">
        <v>214</v>
      </c>
      <c r="B36" s="99"/>
    </row>
    <row r="37" spans="1:8" ht="31" customHeight="1" x14ac:dyDescent="0.35">
      <c r="A37" s="129" t="s">
        <v>408</v>
      </c>
      <c r="B37" s="129"/>
      <c r="C37" s="129"/>
      <c r="D37" s="129"/>
      <c r="E37" s="129"/>
      <c r="F37" s="129"/>
      <c r="G37" s="129"/>
      <c r="H37" s="129"/>
    </row>
    <row r="38" spans="1:8" ht="29" customHeight="1" x14ac:dyDescent="0.35">
      <c r="A38" s="129"/>
      <c r="B38" s="129"/>
      <c r="C38" s="129"/>
      <c r="D38" s="129"/>
      <c r="E38" s="129"/>
      <c r="F38" s="129"/>
      <c r="G38" s="129"/>
      <c r="H38" s="129"/>
    </row>
    <row r="39" spans="1:8" x14ac:dyDescent="0.35">
      <c r="A39" s="129"/>
      <c r="B39" s="129"/>
      <c r="C39" s="129"/>
      <c r="D39" s="129"/>
      <c r="E39" s="129"/>
      <c r="F39" s="129"/>
      <c r="G39" s="129"/>
      <c r="H39" s="129"/>
    </row>
    <row r="40" spans="1:8" ht="30.5" customHeight="1" x14ac:dyDescent="0.35"/>
    <row r="43" spans="1:8" ht="30" customHeight="1" x14ac:dyDescent="0.35"/>
    <row r="44" spans="1:8" ht="14.5" customHeight="1" x14ac:dyDescent="0.35"/>
    <row r="45" spans="1:8" ht="14.5" customHeight="1" x14ac:dyDescent="0.35"/>
  </sheetData>
  <mergeCells count="14">
    <mergeCell ref="A33:F34"/>
    <mergeCell ref="A37:H39"/>
    <mergeCell ref="A4:B4"/>
    <mergeCell ref="D4:E4"/>
    <mergeCell ref="A1:F1"/>
    <mergeCell ref="A2:B2"/>
    <mergeCell ref="D2:E2"/>
    <mergeCell ref="A3:B3"/>
    <mergeCell ref="D3:E3"/>
    <mergeCell ref="A5:B5"/>
    <mergeCell ref="D5:E5"/>
    <mergeCell ref="A6:B6"/>
    <mergeCell ref="D6:E6"/>
    <mergeCell ref="A32:B3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5492-1E39-46EA-A9F6-A76265695E93}">
  <dimension ref="A1:S87"/>
  <sheetViews>
    <sheetView showGridLines="0" zoomScaleNormal="100" workbookViewId="0">
      <selection activeCell="H76" sqref="H76"/>
    </sheetView>
  </sheetViews>
  <sheetFormatPr defaultRowHeight="14.5" x14ac:dyDescent="0.35"/>
  <cols>
    <col min="1" max="1" width="13.6328125" bestFit="1" customWidth="1"/>
    <col min="2" max="2" width="11.81640625" bestFit="1" customWidth="1"/>
    <col min="3" max="3" width="12.7265625" bestFit="1" customWidth="1"/>
    <col min="4" max="4" width="8.36328125" bestFit="1" customWidth="1"/>
    <col min="5" max="5" width="16.08984375" customWidth="1"/>
    <col min="6" max="6" width="8.6328125" bestFit="1" customWidth="1"/>
    <col min="8" max="8" width="11.08984375" customWidth="1"/>
    <col min="9" max="9" width="11.81640625" bestFit="1" customWidth="1"/>
    <col min="11" max="11" width="10.7265625" bestFit="1" customWidth="1"/>
    <col min="12" max="12" width="12.7265625" bestFit="1" customWidth="1"/>
    <col min="14" max="14" width="10.7265625" bestFit="1" customWidth="1"/>
    <col min="15" max="15" width="12.54296875" bestFit="1" customWidth="1"/>
    <col min="16" max="16" width="7.453125" customWidth="1"/>
    <col min="17" max="17" width="12.81640625" customWidth="1"/>
    <col min="18" max="18" width="12.54296875" bestFit="1" customWidth="1"/>
  </cols>
  <sheetData>
    <row r="1" spans="1:18" x14ac:dyDescent="0.35">
      <c r="A1" s="127" t="s">
        <v>249</v>
      </c>
      <c r="B1" s="127"/>
      <c r="C1" s="127"/>
      <c r="D1" s="127"/>
      <c r="E1" s="127"/>
      <c r="F1" s="127"/>
      <c r="H1" s="133" t="s">
        <v>260</v>
      </c>
      <c r="I1" s="133"/>
      <c r="K1" s="133" t="s">
        <v>261</v>
      </c>
      <c r="L1" s="133"/>
      <c r="N1" s="133" t="s">
        <v>262</v>
      </c>
      <c r="O1" s="133"/>
      <c r="Q1" s="133" t="s">
        <v>263</v>
      </c>
      <c r="R1" s="133"/>
    </row>
    <row r="2" spans="1:18" x14ac:dyDescent="0.35">
      <c r="A2" s="128" t="s">
        <v>250</v>
      </c>
      <c r="B2" s="128"/>
      <c r="C2" s="63" t="str">
        <f>INDEX(A11:A70,MATCH(MAX(C11:C70),(C11:C70),0))</f>
        <v>CMP_042</v>
      </c>
      <c r="D2" s="128" t="s">
        <v>251</v>
      </c>
      <c r="E2" s="128"/>
      <c r="F2" s="63" t="str">
        <f>INDEX(A11:A70,MATCH(MIN(C11:C70),C11:C70,0))</f>
        <v>CMP_023</v>
      </c>
      <c r="H2" s="67" t="s">
        <v>248</v>
      </c>
      <c r="I2" s="67" t="s">
        <v>161</v>
      </c>
      <c r="K2" s="61" t="s">
        <v>248</v>
      </c>
      <c r="L2" s="61" t="s">
        <v>199</v>
      </c>
      <c r="N2" s="61" t="s">
        <v>248</v>
      </c>
      <c r="O2" s="61" t="s">
        <v>201</v>
      </c>
      <c r="Q2" s="61" t="s">
        <v>248</v>
      </c>
      <c r="R2" s="61" t="s">
        <v>201</v>
      </c>
    </row>
    <row r="3" spans="1:18" x14ac:dyDescent="0.35">
      <c r="A3" s="128" t="s">
        <v>252</v>
      </c>
      <c r="B3" s="128"/>
      <c r="C3" s="63" t="str">
        <f>INDEX(A11:A70,MATCH(MAX(B11:B70),B11:B70,0))</f>
        <v>CMP_009</v>
      </c>
      <c r="D3" s="128" t="s">
        <v>253</v>
      </c>
      <c r="E3" s="128"/>
      <c r="F3" s="63" t="str">
        <f>INDEX(A11:A70,MATCH(MIN(B11:B70),B11:B70,0))</f>
        <v>CMP_037</v>
      </c>
      <c r="H3" s="1" t="s">
        <v>106</v>
      </c>
      <c r="I3" s="59">
        <v>429032.89000000007</v>
      </c>
      <c r="K3" s="1" t="s">
        <v>72</v>
      </c>
      <c r="L3" s="59">
        <v>4168039.0599999996</v>
      </c>
      <c r="N3" s="1" t="s">
        <v>117</v>
      </c>
      <c r="O3" s="59">
        <v>13.444065224987648</v>
      </c>
      <c r="Q3" s="1" t="s">
        <v>114</v>
      </c>
      <c r="R3" s="59">
        <v>4.6446913994619363</v>
      </c>
    </row>
    <row r="4" spans="1:18" x14ac:dyDescent="0.35">
      <c r="A4" s="128" t="s">
        <v>254</v>
      </c>
      <c r="B4" s="128"/>
      <c r="C4" s="63" t="str">
        <f>INDEX(A11:A70,MATCH(MAX(E11:E70),E11:E70,0))</f>
        <v>CMP_031</v>
      </c>
      <c r="D4" s="128" t="s">
        <v>255</v>
      </c>
      <c r="E4" s="128"/>
      <c r="F4" s="63" t="str">
        <f>INDEX(A11:A70,MATCH(MIN(E11:E70),E11:E70,0))</f>
        <v>CMP_013</v>
      </c>
      <c r="H4" s="1" t="s">
        <v>27</v>
      </c>
      <c r="I4" s="59">
        <v>423311.95999999996</v>
      </c>
      <c r="K4" s="1" t="s">
        <v>27</v>
      </c>
      <c r="L4" s="59">
        <v>3347622.9899999998</v>
      </c>
      <c r="N4" s="1" t="s">
        <v>62</v>
      </c>
      <c r="O4" s="59">
        <v>12.577408058636738</v>
      </c>
      <c r="Q4" s="1" t="s">
        <v>94</v>
      </c>
      <c r="R4" s="59">
        <v>4.9301986504818274</v>
      </c>
    </row>
    <row r="5" spans="1:18" x14ac:dyDescent="0.35">
      <c r="A5" s="128" t="s">
        <v>256</v>
      </c>
      <c r="B5" s="128"/>
      <c r="C5" s="63" t="str">
        <f>INDEX(A11:A70,MATCH(MAX(D11:D70),D11:D70,0))</f>
        <v>CMP_011</v>
      </c>
      <c r="D5" s="128" t="s">
        <v>257</v>
      </c>
      <c r="E5" s="128"/>
      <c r="F5" s="63" t="str">
        <f>INDEX(A11:A70,MATCH(MIN(D11:D70),D11:D70,0))</f>
        <v>CMP_013</v>
      </c>
      <c r="H5" s="1" t="s">
        <v>91</v>
      </c>
      <c r="I5" s="59">
        <v>405186.10000000003</v>
      </c>
      <c r="K5" s="1" t="s">
        <v>86</v>
      </c>
      <c r="L5" s="59">
        <v>3249450.59</v>
      </c>
      <c r="N5" s="1" t="s">
        <v>71</v>
      </c>
      <c r="O5" s="59">
        <v>12.236311920968545</v>
      </c>
      <c r="Q5" s="1" t="s">
        <v>47</v>
      </c>
      <c r="R5" s="59">
        <v>5.3166709888628185</v>
      </c>
    </row>
    <row r="6" spans="1:18" x14ac:dyDescent="0.35">
      <c r="A6" s="128" t="s">
        <v>258</v>
      </c>
      <c r="B6" s="128"/>
      <c r="C6" s="63" t="str">
        <f>INDEX(A11:A70,MATCH(MAX(F11:F70),F11:F70,0))</f>
        <v>CMP_031</v>
      </c>
      <c r="D6" s="128" t="s">
        <v>259</v>
      </c>
      <c r="E6" s="128"/>
      <c r="F6" s="63" t="str">
        <f>INDEX(A11:A70,MATCH(MIN(F11:F70),F11:F70,0))</f>
        <v>CMP_013</v>
      </c>
      <c r="H6" s="1" t="s">
        <v>111</v>
      </c>
      <c r="I6" s="59">
        <v>399227.59</v>
      </c>
      <c r="K6" s="1" t="s">
        <v>34</v>
      </c>
      <c r="L6" s="59">
        <v>3137027.6700000004</v>
      </c>
      <c r="N6" s="1" t="s">
        <v>72</v>
      </c>
      <c r="O6" s="59">
        <v>11.870767458145325</v>
      </c>
      <c r="Q6" s="1" t="s">
        <v>112</v>
      </c>
      <c r="R6" s="59">
        <v>5.3693253895029516</v>
      </c>
    </row>
    <row r="7" spans="1:18" x14ac:dyDescent="0.35">
      <c r="H7" s="1" t="s">
        <v>87</v>
      </c>
      <c r="I7" s="59">
        <v>382778.82</v>
      </c>
      <c r="K7" s="1" t="s">
        <v>89</v>
      </c>
      <c r="L7" s="59">
        <v>3105115.0799999996</v>
      </c>
      <c r="N7" s="1" t="s">
        <v>103</v>
      </c>
      <c r="O7" s="59">
        <v>11.818547933957943</v>
      </c>
      <c r="Q7" s="1" t="s">
        <v>111</v>
      </c>
      <c r="R7" s="59">
        <v>5.4606278088145155</v>
      </c>
    </row>
    <row r="8" spans="1:18" x14ac:dyDescent="0.35">
      <c r="A8" s="58" t="s">
        <v>335</v>
      </c>
      <c r="B8" s="1" t="s">
        <v>338</v>
      </c>
      <c r="H8" s="1" t="s">
        <v>86</v>
      </c>
      <c r="I8" s="59">
        <v>381274.14000000013</v>
      </c>
      <c r="K8" s="1" t="s">
        <v>67</v>
      </c>
      <c r="L8" s="59">
        <v>2818724.1999999997</v>
      </c>
      <c r="N8" s="1" t="s">
        <v>100</v>
      </c>
      <c r="O8" s="59">
        <v>11.573781897742796</v>
      </c>
      <c r="Q8" s="1" t="s">
        <v>78</v>
      </c>
      <c r="R8" s="59">
        <v>5.930553621992396</v>
      </c>
    </row>
    <row r="9" spans="1:18" x14ac:dyDescent="0.35">
      <c r="H9" s="1" t="s">
        <v>109</v>
      </c>
      <c r="I9" s="59">
        <v>380542.36999999994</v>
      </c>
      <c r="K9" s="1" t="s">
        <v>100</v>
      </c>
      <c r="L9" s="59">
        <v>2774996.9600000004</v>
      </c>
      <c r="N9" s="1" t="s">
        <v>67</v>
      </c>
      <c r="O9" s="59">
        <v>11.41970690575393</v>
      </c>
      <c r="Q9" s="1" t="s">
        <v>120</v>
      </c>
      <c r="R9" s="59">
        <v>5.9686809420162437</v>
      </c>
    </row>
    <row r="10" spans="1:18" x14ac:dyDescent="0.35">
      <c r="A10" s="58" t="s">
        <v>248</v>
      </c>
      <c r="B10" s="1" t="s">
        <v>161</v>
      </c>
      <c r="C10" s="1" t="s">
        <v>199</v>
      </c>
      <c r="D10" s="1" t="s">
        <v>342</v>
      </c>
      <c r="E10" s="1" t="s">
        <v>333</v>
      </c>
      <c r="F10" s="1" t="s">
        <v>337</v>
      </c>
      <c r="H10" s="1" t="s">
        <v>94</v>
      </c>
      <c r="I10" s="59">
        <v>366192.92</v>
      </c>
      <c r="K10" s="1" t="s">
        <v>57</v>
      </c>
      <c r="L10" s="59">
        <v>2773530.35</v>
      </c>
      <c r="N10" s="1" t="s">
        <v>97</v>
      </c>
      <c r="O10" s="59">
        <v>11.104057120543354</v>
      </c>
      <c r="Q10" s="1" t="s">
        <v>115</v>
      </c>
      <c r="R10" s="59">
        <v>6.0557951954442766</v>
      </c>
    </row>
    <row r="11" spans="1:18" x14ac:dyDescent="0.35">
      <c r="A11" s="1" t="s">
        <v>120</v>
      </c>
      <c r="B11" s="1">
        <v>269338.88</v>
      </c>
      <c r="C11" s="1">
        <v>1607597.84</v>
      </c>
      <c r="D11" s="60">
        <v>6.4631833499189023E-2</v>
      </c>
      <c r="E11" s="59">
        <v>5.9686809420162437</v>
      </c>
      <c r="F11" s="59">
        <v>4.9686809420162437</v>
      </c>
      <c r="H11" s="1" t="s">
        <v>34</v>
      </c>
      <c r="I11" s="59">
        <v>360619.06</v>
      </c>
      <c r="K11" s="1" t="s">
        <v>97</v>
      </c>
      <c r="L11" s="59">
        <v>2755459.5600000005</v>
      </c>
      <c r="N11" s="1" t="s">
        <v>55</v>
      </c>
      <c r="O11" s="59">
        <v>10.472371198141449</v>
      </c>
      <c r="Q11" s="1" t="s">
        <v>42</v>
      </c>
      <c r="R11" s="59">
        <v>6.2349353957003117</v>
      </c>
    </row>
    <row r="12" spans="1:18" x14ac:dyDescent="0.35">
      <c r="A12" s="1" t="s">
        <v>86</v>
      </c>
      <c r="B12" s="1">
        <v>381274.14000000013</v>
      </c>
      <c r="C12" s="1">
        <v>3249450.59</v>
      </c>
      <c r="D12" s="60">
        <v>5.5130410511417115E-2</v>
      </c>
      <c r="E12" s="59">
        <v>8.5226094536597703</v>
      </c>
      <c r="F12" s="59">
        <v>7.5226094536597703</v>
      </c>
      <c r="H12" s="1" t="s">
        <v>50</v>
      </c>
      <c r="I12" s="59">
        <v>357979.72000000003</v>
      </c>
      <c r="K12" s="1" t="s">
        <v>106</v>
      </c>
      <c r="L12" s="59">
        <v>2723493.9</v>
      </c>
      <c r="N12" s="1" t="s">
        <v>89</v>
      </c>
      <c r="O12" s="59">
        <v>10.420304188447957</v>
      </c>
      <c r="Q12" s="1" t="s">
        <v>113</v>
      </c>
      <c r="R12" s="59">
        <v>6.2465472130837565</v>
      </c>
    </row>
    <row r="13" spans="1:18" x14ac:dyDescent="0.35">
      <c r="A13" s="1" t="s">
        <v>70</v>
      </c>
      <c r="B13" s="1">
        <v>270774.24</v>
      </c>
      <c r="C13" s="1">
        <v>2325303.59</v>
      </c>
      <c r="D13" s="60">
        <v>4.6864761843491407E-2</v>
      </c>
      <c r="E13" s="59">
        <v>8.5876100695546214</v>
      </c>
      <c r="F13" s="59">
        <v>7.5876100695546222</v>
      </c>
    </row>
    <row r="14" spans="1:18" x14ac:dyDescent="0.35">
      <c r="A14" s="1" t="s">
        <v>92</v>
      </c>
      <c r="B14" s="1">
        <v>149306.62000000002</v>
      </c>
      <c r="C14" s="1">
        <v>1209551.48</v>
      </c>
      <c r="D14" s="60">
        <v>5.3903068146204762E-2</v>
      </c>
      <c r="E14" s="59">
        <v>8.1011242502174365</v>
      </c>
      <c r="F14" s="59">
        <v>7.1011242502174365</v>
      </c>
    </row>
    <row r="15" spans="1:18" x14ac:dyDescent="0.35">
      <c r="A15" s="1" t="s">
        <v>98</v>
      </c>
      <c r="B15" s="1">
        <v>269767.39999999997</v>
      </c>
      <c r="C15" s="1">
        <v>1881130.5899999999</v>
      </c>
      <c r="D15" s="60">
        <v>5.907997284063482E-2</v>
      </c>
      <c r="E15" s="59">
        <v>6.9731575794554868</v>
      </c>
      <c r="F15" s="59">
        <v>5.9731575794554868</v>
      </c>
    </row>
    <row r="16" spans="1:18" x14ac:dyDescent="0.35">
      <c r="A16" s="1" t="s">
        <v>78</v>
      </c>
      <c r="B16" s="1">
        <v>334227.51</v>
      </c>
      <c r="C16" s="1">
        <v>1982154.17</v>
      </c>
      <c r="D16" s="60">
        <v>5.3260612334294306E-2</v>
      </c>
      <c r="E16" s="59">
        <v>5.930553621992396</v>
      </c>
      <c r="F16" s="59">
        <v>4.930553621992396</v>
      </c>
    </row>
    <row r="17" spans="1:6" x14ac:dyDescent="0.35">
      <c r="A17" s="1" t="s">
        <v>94</v>
      </c>
      <c r="B17" s="1">
        <v>366192.92</v>
      </c>
      <c r="C17" s="1">
        <v>1805403.8399999999</v>
      </c>
      <c r="D17" s="60">
        <v>4.5122560438068164E-2</v>
      </c>
      <c r="E17" s="59">
        <v>4.9301986504818274</v>
      </c>
      <c r="F17" s="59">
        <v>3.9301986504818278</v>
      </c>
    </row>
    <row r="18" spans="1:6" x14ac:dyDescent="0.35">
      <c r="A18" s="1" t="s">
        <v>93</v>
      </c>
      <c r="B18" s="1">
        <v>228327.21</v>
      </c>
      <c r="C18" s="1">
        <v>1846187.7800000003</v>
      </c>
      <c r="D18" s="60">
        <v>3.2952978303292919E-2</v>
      </c>
      <c r="E18" s="59">
        <v>8.0857107657033094</v>
      </c>
      <c r="F18" s="59">
        <v>7.0857107657033094</v>
      </c>
    </row>
    <row r="19" spans="1:6" x14ac:dyDescent="0.35">
      <c r="A19" s="1" t="s">
        <v>106</v>
      </c>
      <c r="B19" s="1">
        <v>429032.89000000007</v>
      </c>
      <c r="C19" s="1">
        <v>2723493.9</v>
      </c>
      <c r="D19" s="60">
        <v>5.2043469240921472E-2</v>
      </c>
      <c r="E19" s="59">
        <v>6.3479839506010816</v>
      </c>
      <c r="F19" s="59">
        <v>5.3479839506010816</v>
      </c>
    </row>
    <row r="20" spans="1:6" x14ac:dyDescent="0.35">
      <c r="A20" s="1" t="s">
        <v>66</v>
      </c>
      <c r="B20" s="1">
        <v>317787.53000000003</v>
      </c>
      <c r="C20" s="1">
        <v>2528979.7799999998</v>
      </c>
      <c r="D20" s="60">
        <v>5.5444646986180096E-2</v>
      </c>
      <c r="E20" s="59">
        <v>7.9580837548911987</v>
      </c>
      <c r="F20" s="59">
        <v>6.9580837548911996</v>
      </c>
    </row>
    <row r="21" spans="1:6" x14ac:dyDescent="0.35">
      <c r="A21" s="1" t="s">
        <v>64</v>
      </c>
      <c r="B21" s="1">
        <v>195213.16</v>
      </c>
      <c r="C21" s="1">
        <v>1800142.03</v>
      </c>
      <c r="D21" s="60">
        <v>7.6453105566005611E-2</v>
      </c>
      <c r="E21" s="59">
        <v>9.2214173982942551</v>
      </c>
      <c r="F21" s="59">
        <v>8.2214173982942551</v>
      </c>
    </row>
    <row r="22" spans="1:6" x14ac:dyDescent="0.35">
      <c r="A22" s="1" t="s">
        <v>110</v>
      </c>
      <c r="B22" s="1">
        <v>236857.56000000003</v>
      </c>
      <c r="C22" s="1">
        <v>1937823.0599999998</v>
      </c>
      <c r="D22" s="60">
        <v>4.3808173777926007E-2</v>
      </c>
      <c r="E22" s="59">
        <v>8.1813857239768897</v>
      </c>
      <c r="F22" s="59">
        <v>7.1813857239768897</v>
      </c>
    </row>
    <row r="23" spans="1:6" x14ac:dyDescent="0.35">
      <c r="A23" s="1" t="s">
        <v>114</v>
      </c>
      <c r="B23" s="1">
        <v>326359.93</v>
      </c>
      <c r="C23" s="1">
        <v>1515841.1599999997</v>
      </c>
      <c r="D23" s="60">
        <v>3.2551456983889601E-2</v>
      </c>
      <c r="E23" s="59">
        <v>4.6446913994619363</v>
      </c>
      <c r="F23" s="59">
        <v>3.6446913994619368</v>
      </c>
    </row>
    <row r="24" spans="1:6" x14ac:dyDescent="0.35">
      <c r="A24" s="1" t="s">
        <v>116</v>
      </c>
      <c r="B24" s="1">
        <v>137929.29999999999</v>
      </c>
      <c r="C24" s="1">
        <v>1002056.8500000002</v>
      </c>
      <c r="D24" s="60">
        <v>4.9627040676785791E-2</v>
      </c>
      <c r="E24" s="59">
        <v>7.2650035199192651</v>
      </c>
      <c r="F24" s="59">
        <v>6.265003519919266</v>
      </c>
    </row>
    <row r="25" spans="1:6" x14ac:dyDescent="0.35">
      <c r="A25" s="1" t="s">
        <v>62</v>
      </c>
      <c r="B25" s="1">
        <v>184937.98</v>
      </c>
      <c r="C25" s="1">
        <v>2326040.44</v>
      </c>
      <c r="D25" s="60">
        <v>5.5079486554129142E-2</v>
      </c>
      <c r="E25" s="59">
        <v>12.577408058636738</v>
      </c>
      <c r="F25" s="59">
        <v>11.577408058636738</v>
      </c>
    </row>
    <row r="26" spans="1:6" x14ac:dyDescent="0.35">
      <c r="A26" s="1" t="s">
        <v>67</v>
      </c>
      <c r="B26" s="1">
        <v>246829.82</v>
      </c>
      <c r="C26" s="1">
        <v>2818724.1999999997</v>
      </c>
      <c r="D26" s="60">
        <v>4.4399650193879897E-2</v>
      </c>
      <c r="E26" s="59">
        <v>11.41970690575393</v>
      </c>
      <c r="F26" s="59">
        <v>10.419706905753932</v>
      </c>
    </row>
    <row r="27" spans="1:6" x14ac:dyDescent="0.35">
      <c r="A27" s="1" t="s">
        <v>83</v>
      </c>
      <c r="B27" s="1">
        <v>143010.51</v>
      </c>
      <c r="C27" s="1">
        <v>1439065.8900000001</v>
      </c>
      <c r="D27" s="60">
        <v>6.6536003459736481E-2</v>
      </c>
      <c r="E27" s="59">
        <v>10.062658261969698</v>
      </c>
      <c r="F27" s="59">
        <v>9.0626582619696983</v>
      </c>
    </row>
    <row r="28" spans="1:6" x14ac:dyDescent="0.35">
      <c r="A28" s="1" t="s">
        <v>85</v>
      </c>
      <c r="B28" s="1">
        <v>263602.19</v>
      </c>
      <c r="C28" s="1">
        <v>2117938.9800000004</v>
      </c>
      <c r="D28" s="60">
        <v>4.8432142041214397E-2</v>
      </c>
      <c r="E28" s="59">
        <v>8.0346031267797908</v>
      </c>
      <c r="F28" s="59">
        <v>7.0346031267797908</v>
      </c>
    </row>
    <row r="29" spans="1:6" x14ac:dyDescent="0.35">
      <c r="A29" s="1" t="s">
        <v>97</v>
      </c>
      <c r="B29" s="1">
        <v>248148.89999999997</v>
      </c>
      <c r="C29" s="1">
        <v>2755459.5600000005</v>
      </c>
      <c r="D29" s="60">
        <v>5.3592827224035348E-2</v>
      </c>
      <c r="E29" s="59">
        <v>11.104057120543354</v>
      </c>
      <c r="F29" s="59">
        <v>10.104057120543356</v>
      </c>
    </row>
    <row r="30" spans="1:6" x14ac:dyDescent="0.35">
      <c r="A30" s="1" t="s">
        <v>79</v>
      </c>
      <c r="B30" s="1">
        <v>271774.07</v>
      </c>
      <c r="C30" s="1">
        <v>2130134.6799999997</v>
      </c>
      <c r="D30" s="60">
        <v>5.2019046079613163E-2</v>
      </c>
      <c r="E30" s="59">
        <v>7.8378878455917436</v>
      </c>
      <c r="F30" s="59">
        <v>6.8378878455917436</v>
      </c>
    </row>
    <row r="31" spans="1:6" x14ac:dyDescent="0.35">
      <c r="A31" s="1" t="s">
        <v>88</v>
      </c>
      <c r="B31" s="1">
        <v>298683.56</v>
      </c>
      <c r="C31" s="1">
        <v>1880935.0899999999</v>
      </c>
      <c r="D31" s="60">
        <v>4.3004927257525402E-2</v>
      </c>
      <c r="E31" s="59">
        <v>6.2974175411596134</v>
      </c>
      <c r="F31" s="59">
        <v>5.2974175411596134</v>
      </c>
    </row>
    <row r="32" spans="1:6" x14ac:dyDescent="0.35">
      <c r="A32" s="1" t="s">
        <v>102</v>
      </c>
      <c r="B32" s="1">
        <v>336093.36000000004</v>
      </c>
      <c r="C32" s="1">
        <v>2570192.2600000002</v>
      </c>
      <c r="D32" s="60">
        <v>6.0134600598577899E-2</v>
      </c>
      <c r="E32" s="59">
        <v>7.6472568812427593</v>
      </c>
      <c r="F32" s="59">
        <v>6.6472568812427593</v>
      </c>
    </row>
    <row r="33" spans="1:6" x14ac:dyDescent="0.35">
      <c r="A33" s="1" t="s">
        <v>112</v>
      </c>
      <c r="B33" s="1">
        <v>142690.19</v>
      </c>
      <c r="C33" s="1">
        <v>766150.06000000017</v>
      </c>
      <c r="D33" s="60">
        <v>5.7958028053142027E-2</v>
      </c>
      <c r="E33" s="59">
        <v>5.3693253895029516</v>
      </c>
      <c r="F33" s="59">
        <v>4.3693253895029507</v>
      </c>
    </row>
    <row r="34" spans="1:6" x14ac:dyDescent="0.35">
      <c r="A34" s="1" t="s">
        <v>111</v>
      </c>
      <c r="B34" s="1">
        <v>399227.59</v>
      </c>
      <c r="C34" s="1">
        <v>2180033.2799999998</v>
      </c>
      <c r="D34" s="60">
        <v>5.5163383047305524E-2</v>
      </c>
      <c r="E34" s="59">
        <v>5.4606278088145155</v>
      </c>
      <c r="F34" s="59">
        <v>4.4606278088145155</v>
      </c>
    </row>
    <row r="35" spans="1:6" x14ac:dyDescent="0.35">
      <c r="A35" s="1" t="s">
        <v>105</v>
      </c>
      <c r="B35" s="1">
        <v>280917.45999999996</v>
      </c>
      <c r="C35" s="1">
        <v>1928268.0099999998</v>
      </c>
      <c r="D35" s="60">
        <v>5.9562768518663468E-2</v>
      </c>
      <c r="E35" s="59">
        <v>6.864179997925369</v>
      </c>
      <c r="F35" s="59">
        <v>5.864179997925369</v>
      </c>
    </row>
    <row r="36" spans="1:6" x14ac:dyDescent="0.35">
      <c r="A36" s="1" t="s">
        <v>75</v>
      </c>
      <c r="B36" s="1">
        <v>227813.55</v>
      </c>
      <c r="C36" s="1">
        <v>1432326.9800000002</v>
      </c>
      <c r="D36" s="60">
        <v>4.4875740114502807E-2</v>
      </c>
      <c r="E36" s="59">
        <v>6.2872773809986295</v>
      </c>
      <c r="F36" s="59">
        <v>5.2872773809986287</v>
      </c>
    </row>
    <row r="37" spans="1:6" x14ac:dyDescent="0.35">
      <c r="A37" s="1" t="s">
        <v>96</v>
      </c>
      <c r="B37" s="1">
        <v>333464.42000000004</v>
      </c>
      <c r="C37" s="1">
        <v>2413254.0900000003</v>
      </c>
      <c r="D37" s="60">
        <v>4.5685578537995028E-2</v>
      </c>
      <c r="E37" s="59">
        <v>7.2369162803036078</v>
      </c>
      <c r="F37" s="59">
        <v>6.2369162803036078</v>
      </c>
    </row>
    <row r="38" spans="1:6" x14ac:dyDescent="0.35">
      <c r="A38" s="1" t="s">
        <v>68</v>
      </c>
      <c r="B38" s="1">
        <v>226097.87</v>
      </c>
      <c r="C38" s="1">
        <v>1585046.8399999999</v>
      </c>
      <c r="D38" s="60">
        <v>5.0809079734384976E-2</v>
      </c>
      <c r="E38" s="59">
        <v>7.0104456976971958</v>
      </c>
      <c r="F38" s="59">
        <v>6.0104456976971949</v>
      </c>
    </row>
    <row r="39" spans="1:6" x14ac:dyDescent="0.35">
      <c r="A39" s="1" t="s">
        <v>119</v>
      </c>
      <c r="B39" s="1">
        <v>172215.82</v>
      </c>
      <c r="C39" s="1">
        <v>1205560.2200000002</v>
      </c>
      <c r="D39" s="60">
        <v>5.2578176280847252E-2</v>
      </c>
      <c r="E39" s="59">
        <v>7.0002873139064699</v>
      </c>
      <c r="F39" s="59">
        <v>6.0002873139064699</v>
      </c>
    </row>
    <row r="40" spans="1:6" x14ac:dyDescent="0.35">
      <c r="A40" s="1" t="s">
        <v>91</v>
      </c>
      <c r="B40" s="1">
        <v>405186.10000000003</v>
      </c>
      <c r="C40" s="1">
        <v>2673357.7400000007</v>
      </c>
      <c r="D40" s="60">
        <v>5.640492492279963E-2</v>
      </c>
      <c r="E40" s="59">
        <v>6.5978515551249179</v>
      </c>
      <c r="F40" s="59">
        <v>5.5978515551249179</v>
      </c>
    </row>
    <row r="41" spans="1:6" x14ac:dyDescent="0.35">
      <c r="A41" s="1" t="s">
        <v>117</v>
      </c>
      <c r="B41" s="1">
        <v>128837.73999999999</v>
      </c>
      <c r="C41" s="1">
        <v>1732102.98</v>
      </c>
      <c r="D41" s="60">
        <v>4.2240136495504108E-2</v>
      </c>
      <c r="E41" s="59">
        <v>13.444065224987648</v>
      </c>
      <c r="F41" s="59">
        <v>12.444065224987648</v>
      </c>
    </row>
    <row r="42" spans="1:6" x14ac:dyDescent="0.35">
      <c r="A42" s="1" t="s">
        <v>57</v>
      </c>
      <c r="B42" s="1">
        <v>326899.44000000006</v>
      </c>
      <c r="C42" s="1">
        <v>2773530.35</v>
      </c>
      <c r="D42" s="60">
        <v>4.6476813676081939E-2</v>
      </c>
      <c r="E42" s="59">
        <v>8.4843533228444787</v>
      </c>
      <c r="F42" s="59">
        <v>7.4843533228444796</v>
      </c>
    </row>
    <row r="43" spans="1:6" x14ac:dyDescent="0.35">
      <c r="A43" s="1" t="s">
        <v>77</v>
      </c>
      <c r="B43" s="1">
        <v>201914.71999999997</v>
      </c>
      <c r="C43" s="1">
        <v>1863741.7000000002</v>
      </c>
      <c r="D43" s="60">
        <v>5.5399451668066105E-2</v>
      </c>
      <c r="E43" s="59">
        <v>9.2303409082804873</v>
      </c>
      <c r="F43" s="59">
        <v>8.2303409082804873</v>
      </c>
    </row>
    <row r="44" spans="1:6" x14ac:dyDescent="0.35">
      <c r="A44" s="1" t="s">
        <v>104</v>
      </c>
      <c r="B44" s="1">
        <v>206690.80000000002</v>
      </c>
      <c r="C44" s="1">
        <v>1720152.0000000005</v>
      </c>
      <c r="D44" s="60">
        <v>4.3638120504026399E-2</v>
      </c>
      <c r="E44" s="59">
        <v>8.3223442939888965</v>
      </c>
      <c r="F44" s="59">
        <v>7.3223442939888965</v>
      </c>
    </row>
    <row r="45" spans="1:6" x14ac:dyDescent="0.35">
      <c r="A45" s="1" t="s">
        <v>27</v>
      </c>
      <c r="B45" s="1">
        <v>423311.95999999996</v>
      </c>
      <c r="C45" s="1">
        <v>3347622.9899999998</v>
      </c>
      <c r="D45" s="60">
        <v>5.2906334225950473E-2</v>
      </c>
      <c r="E45" s="59">
        <v>7.9081701117067427</v>
      </c>
      <c r="F45" s="59">
        <v>6.9081701117067427</v>
      </c>
    </row>
    <row r="46" spans="1:6" ht="14.5" customHeight="1" x14ac:dyDescent="0.35">
      <c r="A46" s="1" t="s">
        <v>84</v>
      </c>
      <c r="B46" s="1">
        <v>245937.02</v>
      </c>
      <c r="C46" s="1">
        <v>1908141.35</v>
      </c>
      <c r="D46" s="60">
        <v>5.0112585771948118E-2</v>
      </c>
      <c r="E46" s="59">
        <v>7.7586584972038786</v>
      </c>
      <c r="F46" s="59">
        <v>6.7586584972038786</v>
      </c>
    </row>
    <row r="47" spans="1:6" ht="14.5" customHeight="1" x14ac:dyDescent="0.35">
      <c r="A47" s="1" t="s">
        <v>101</v>
      </c>
      <c r="B47" s="1">
        <v>115949.68</v>
      </c>
      <c r="C47" s="1">
        <v>1107746.8999999999</v>
      </c>
      <c r="D47" s="60">
        <v>5.1264057200074847E-2</v>
      </c>
      <c r="E47" s="59">
        <v>9.5536865647235931</v>
      </c>
      <c r="F47" s="59">
        <v>8.5536865647235949</v>
      </c>
    </row>
    <row r="48" spans="1:6" ht="14.5" customHeight="1" x14ac:dyDescent="0.35">
      <c r="A48" s="1" t="s">
        <v>90</v>
      </c>
      <c r="B48" s="1">
        <v>235212.50999999995</v>
      </c>
      <c r="C48" s="1">
        <v>1608214.38</v>
      </c>
      <c r="D48" s="60">
        <v>5.0139244823776491E-2</v>
      </c>
      <c r="E48" s="59">
        <v>6.8372825067850354</v>
      </c>
      <c r="F48" s="59">
        <v>5.8372825067850354</v>
      </c>
    </row>
    <row r="49" spans="1:6" x14ac:dyDescent="0.35">
      <c r="A49" s="1" t="s">
        <v>50</v>
      </c>
      <c r="B49" s="1">
        <v>357979.72000000003</v>
      </c>
      <c r="C49" s="1">
        <v>2527550.19</v>
      </c>
      <c r="D49" s="60">
        <v>4.8961668032328515E-2</v>
      </c>
      <c r="E49" s="59">
        <v>7.0605960304120012</v>
      </c>
      <c r="F49" s="59">
        <v>6.0605960304120012</v>
      </c>
    </row>
    <row r="50" spans="1:6" x14ac:dyDescent="0.35">
      <c r="A50" s="1" t="s">
        <v>107</v>
      </c>
      <c r="B50" s="1">
        <v>225381.62000000002</v>
      </c>
      <c r="C50" s="1">
        <v>1992295.46</v>
      </c>
      <c r="D50" s="60">
        <v>3.5876303035870215E-2</v>
      </c>
      <c r="E50" s="59">
        <v>8.839653650550563</v>
      </c>
      <c r="F50" s="59">
        <v>7.8396536505505621</v>
      </c>
    </row>
    <row r="51" spans="1:6" x14ac:dyDescent="0.35">
      <c r="A51" s="1" t="s">
        <v>99</v>
      </c>
      <c r="B51" s="1">
        <v>214313.05</v>
      </c>
      <c r="C51" s="1">
        <v>2057090.9100000001</v>
      </c>
      <c r="D51" s="60">
        <v>3.5344133267191748E-2</v>
      </c>
      <c r="E51" s="59">
        <v>9.5985331271240852</v>
      </c>
      <c r="F51" s="59">
        <v>8.5985331271240835</v>
      </c>
    </row>
    <row r="52" spans="1:6" x14ac:dyDescent="0.35">
      <c r="A52" s="1" t="s">
        <v>72</v>
      </c>
      <c r="B52" s="1">
        <v>351117.91000000003</v>
      </c>
      <c r="C52" s="1">
        <v>4168039.0599999996</v>
      </c>
      <c r="D52" s="60">
        <v>4.3543807010582601E-2</v>
      </c>
      <c r="E52" s="59">
        <v>11.870767458145325</v>
      </c>
      <c r="F52" s="59">
        <v>10.870767458145325</v>
      </c>
    </row>
    <row r="53" spans="1:6" x14ac:dyDescent="0.35">
      <c r="A53" s="1" t="s">
        <v>82</v>
      </c>
      <c r="B53" s="1">
        <v>237534.28</v>
      </c>
      <c r="C53" s="1">
        <v>1508666.79</v>
      </c>
      <c r="D53" s="60">
        <v>4.8360745351313815E-2</v>
      </c>
      <c r="E53" s="59">
        <v>6.3513644851597846</v>
      </c>
      <c r="F53" s="59">
        <v>5.3513644851597846</v>
      </c>
    </row>
    <row r="54" spans="1:6" x14ac:dyDescent="0.35">
      <c r="A54" s="1" t="s">
        <v>18</v>
      </c>
      <c r="B54" s="1">
        <v>280477.11</v>
      </c>
      <c r="C54" s="1">
        <v>2303812.29</v>
      </c>
      <c r="D54" s="60">
        <v>3.8676280209823229E-2</v>
      </c>
      <c r="E54" s="59">
        <v>8.2139048352288011</v>
      </c>
      <c r="F54" s="59">
        <v>7.2139048352288011</v>
      </c>
    </row>
    <row r="55" spans="1:6" x14ac:dyDescent="0.35">
      <c r="A55" s="1" t="s">
        <v>89</v>
      </c>
      <c r="B55" s="1">
        <v>297986.99</v>
      </c>
      <c r="C55" s="1">
        <v>3105115.0799999996</v>
      </c>
      <c r="D55" s="60">
        <v>5.058148326788145E-2</v>
      </c>
      <c r="E55" s="59">
        <v>10.420304188447957</v>
      </c>
      <c r="F55" s="59">
        <v>9.4203041884479592</v>
      </c>
    </row>
    <row r="56" spans="1:6" x14ac:dyDescent="0.35">
      <c r="A56" s="1" t="s">
        <v>109</v>
      </c>
      <c r="B56" s="1">
        <v>380542.36999999994</v>
      </c>
      <c r="C56" s="1">
        <v>2676656.3199999994</v>
      </c>
      <c r="D56" s="60">
        <v>4.446183185555249E-2</v>
      </c>
      <c r="E56" s="59">
        <v>7.0337931621122767</v>
      </c>
      <c r="F56" s="59">
        <v>6.0337931621122758</v>
      </c>
    </row>
    <row r="57" spans="1:6" x14ac:dyDescent="0.35">
      <c r="A57" s="1" t="s">
        <v>115</v>
      </c>
      <c r="B57" s="1">
        <v>204570.84</v>
      </c>
      <c r="C57" s="1">
        <v>1238839.1099999999</v>
      </c>
      <c r="D57" s="60">
        <v>4.9519490443678454E-2</v>
      </c>
      <c r="E57" s="59">
        <v>6.0557951954442766</v>
      </c>
      <c r="F57" s="59">
        <v>5.0557951954442766</v>
      </c>
    </row>
    <row r="58" spans="1:6" x14ac:dyDescent="0.35">
      <c r="A58" s="1" t="s">
        <v>87</v>
      </c>
      <c r="B58" s="1">
        <v>382778.82</v>
      </c>
      <c r="C58" s="1">
        <v>2606622.3200000003</v>
      </c>
      <c r="D58" s="60">
        <v>3.9585716657294788E-2</v>
      </c>
      <c r="E58" s="59">
        <v>6.8097349795895195</v>
      </c>
      <c r="F58" s="59">
        <v>5.8097349795895195</v>
      </c>
    </row>
    <row r="59" spans="1:6" x14ac:dyDescent="0.35">
      <c r="A59" s="1" t="s">
        <v>34</v>
      </c>
      <c r="B59" s="1">
        <v>360619.06</v>
      </c>
      <c r="C59" s="1">
        <v>3137027.6700000004</v>
      </c>
      <c r="D59" s="60">
        <v>5.2697871391160202E-2</v>
      </c>
      <c r="E59" s="59">
        <v>8.6990068411802763</v>
      </c>
      <c r="F59" s="59">
        <v>7.6990068411802755</v>
      </c>
    </row>
    <row r="60" spans="1:6" x14ac:dyDescent="0.35">
      <c r="A60" s="1" t="s">
        <v>95</v>
      </c>
      <c r="B60" s="1">
        <v>270318.40000000008</v>
      </c>
      <c r="C60" s="1">
        <v>2547007.09</v>
      </c>
      <c r="D60" s="60">
        <v>3.8541352439301305E-2</v>
      </c>
      <c r="E60" s="59">
        <v>9.4222483190193458</v>
      </c>
      <c r="F60" s="59">
        <v>8.4222483190193458</v>
      </c>
    </row>
    <row r="61" spans="1:6" x14ac:dyDescent="0.35">
      <c r="A61" s="1" t="s">
        <v>71</v>
      </c>
      <c r="B61" s="1">
        <v>143547.89999999997</v>
      </c>
      <c r="C61" s="1">
        <v>1756496.8800000001</v>
      </c>
      <c r="D61" s="60">
        <v>5.3931307470882095E-2</v>
      </c>
      <c r="E61" s="59">
        <v>12.236311920968545</v>
      </c>
      <c r="F61" s="59">
        <v>11.236311920968545</v>
      </c>
    </row>
    <row r="62" spans="1:6" x14ac:dyDescent="0.35">
      <c r="A62" s="1" t="s">
        <v>118</v>
      </c>
      <c r="B62" s="1">
        <v>173977.17</v>
      </c>
      <c r="C62" s="1">
        <v>1299363.81</v>
      </c>
      <c r="D62" s="60">
        <v>6.1747819347957617E-2</v>
      </c>
      <c r="E62" s="59">
        <v>7.4685880337058013</v>
      </c>
      <c r="F62" s="59">
        <v>6.4685880337058022</v>
      </c>
    </row>
    <row r="63" spans="1:6" x14ac:dyDescent="0.35">
      <c r="A63" s="1" t="s">
        <v>100</v>
      </c>
      <c r="B63" s="1">
        <v>239765.78999999998</v>
      </c>
      <c r="C63" s="1">
        <v>2774996.9600000004</v>
      </c>
      <c r="D63" s="60">
        <v>3.80856677875527E-2</v>
      </c>
      <c r="E63" s="59">
        <v>11.573781897742796</v>
      </c>
      <c r="F63" s="59">
        <v>10.573781897742796</v>
      </c>
    </row>
    <row r="64" spans="1:6" x14ac:dyDescent="0.35">
      <c r="A64" s="1" t="s">
        <v>55</v>
      </c>
      <c r="B64" s="1">
        <v>147177.03</v>
      </c>
      <c r="C64" s="1">
        <v>1541292.49</v>
      </c>
      <c r="D64" s="60">
        <v>4.0698345129624794E-2</v>
      </c>
      <c r="E64" s="59">
        <v>10.472371198141449</v>
      </c>
      <c r="F64" s="59">
        <v>9.4723711981414489</v>
      </c>
    </row>
    <row r="65" spans="1:19" x14ac:dyDescent="0.35">
      <c r="A65" s="1" t="s">
        <v>47</v>
      </c>
      <c r="B65" s="1">
        <v>275477.24</v>
      </c>
      <c r="C65" s="1">
        <v>1464621.8499999999</v>
      </c>
      <c r="D65" s="60">
        <v>5.4226355248951419E-2</v>
      </c>
      <c r="E65" s="59">
        <v>5.3166709888628185</v>
      </c>
      <c r="F65" s="59">
        <v>4.3166709888628185</v>
      </c>
    </row>
    <row r="66" spans="1:19" x14ac:dyDescent="0.35">
      <c r="A66" s="1" t="s">
        <v>113</v>
      </c>
      <c r="B66" s="1">
        <v>178962.68</v>
      </c>
      <c r="C66" s="1">
        <v>1117898.83</v>
      </c>
      <c r="D66" s="60">
        <v>5.4861203270722851E-2</v>
      </c>
      <c r="E66" s="59">
        <v>6.2465472130837565</v>
      </c>
      <c r="F66" s="59">
        <v>5.2465472130837565</v>
      </c>
    </row>
    <row r="67" spans="1:19" x14ac:dyDescent="0.35">
      <c r="A67" s="1" t="s">
        <v>81</v>
      </c>
      <c r="B67" s="1">
        <v>238670.55000000005</v>
      </c>
      <c r="C67" s="1">
        <v>1909041.8499999996</v>
      </c>
      <c r="D67" s="60">
        <v>3.5234076387949578E-2</v>
      </c>
      <c r="E67" s="59">
        <v>7.9986485555088356</v>
      </c>
      <c r="F67" s="59">
        <v>6.9986485555088356</v>
      </c>
    </row>
    <row r="68" spans="1:19" x14ac:dyDescent="0.35">
      <c r="A68" s="1" t="s">
        <v>108</v>
      </c>
      <c r="B68" s="1">
        <v>194999.41000000003</v>
      </c>
      <c r="C68" s="1">
        <v>1359468.45</v>
      </c>
      <c r="D68" s="60">
        <v>7.3114243715433458E-2</v>
      </c>
      <c r="E68" s="59">
        <v>6.9716541706459507</v>
      </c>
      <c r="F68" s="59">
        <v>5.9716541706459516</v>
      </c>
    </row>
    <row r="69" spans="1:19" x14ac:dyDescent="0.35">
      <c r="A69" s="1" t="s">
        <v>103</v>
      </c>
      <c r="B69" s="1">
        <v>166757.98000000001</v>
      </c>
      <c r="C69" s="1">
        <v>1970837.18</v>
      </c>
      <c r="D69" s="60">
        <v>4.2890605377511104E-2</v>
      </c>
      <c r="E69" s="59">
        <v>11.818547933957943</v>
      </c>
      <c r="F69" s="59">
        <v>10.818547933957943</v>
      </c>
    </row>
    <row r="70" spans="1:19" x14ac:dyDescent="0.35">
      <c r="A70" s="1" t="s">
        <v>42</v>
      </c>
      <c r="B70" s="1">
        <v>311591.49000000005</v>
      </c>
      <c r="C70" s="1">
        <v>1942752.81</v>
      </c>
      <c r="D70" s="60">
        <v>3.9805484344736713E-2</v>
      </c>
      <c r="E70" s="59">
        <v>6.2349353957003117</v>
      </c>
      <c r="F70" s="59">
        <v>5.2349353957003117</v>
      </c>
    </row>
    <row r="71" spans="1:19" ht="15.5" x14ac:dyDescent="0.35">
      <c r="A71" s="1" t="s">
        <v>198</v>
      </c>
      <c r="B71" s="1">
        <v>15612383.960000006</v>
      </c>
      <c r="C71" s="1">
        <v>122704351.02999987</v>
      </c>
      <c r="D71" s="60">
        <v>4.8485635981359049E-2</v>
      </c>
      <c r="E71" s="59">
        <v>7.8594243739057914</v>
      </c>
      <c r="F71" s="59">
        <v>6.8594243739057914</v>
      </c>
      <c r="H71" s="132" t="s">
        <v>214</v>
      </c>
      <c r="I71" s="132"/>
    </row>
    <row r="72" spans="1:19" ht="32" customHeight="1" x14ac:dyDescent="0.35">
      <c r="H72" s="134" t="s">
        <v>403</v>
      </c>
      <c r="I72" s="134"/>
      <c r="J72" s="134"/>
      <c r="K72" s="134"/>
      <c r="L72" s="134"/>
      <c r="M72" s="134"/>
      <c r="N72" s="134"/>
      <c r="O72" s="134"/>
    </row>
    <row r="73" spans="1:19" ht="15.5" customHeight="1" x14ac:dyDescent="0.35">
      <c r="A73" s="66" t="s">
        <v>401</v>
      </c>
      <c r="H73" s="128" t="s">
        <v>404</v>
      </c>
      <c r="I73" s="128"/>
      <c r="J73" s="128"/>
      <c r="K73" s="128"/>
      <c r="L73" s="128"/>
      <c r="M73" s="128"/>
      <c r="N73" s="128"/>
      <c r="O73" s="128"/>
      <c r="P73" s="128"/>
      <c r="Q73" s="128"/>
      <c r="R73" s="128"/>
      <c r="S73" s="128"/>
    </row>
    <row r="74" spans="1:19" ht="45.5" customHeight="1" x14ac:dyDescent="0.35">
      <c r="A74" s="119" t="s">
        <v>402</v>
      </c>
      <c r="B74" s="119"/>
      <c r="C74" s="119"/>
      <c r="D74" s="119"/>
      <c r="E74" s="119"/>
      <c r="F74" s="119"/>
      <c r="H74" s="135" t="s">
        <v>405</v>
      </c>
      <c r="I74" s="135"/>
      <c r="J74" s="135"/>
      <c r="K74" s="135"/>
      <c r="L74" s="135"/>
      <c r="M74" s="135"/>
      <c r="N74" s="135"/>
      <c r="O74" s="135"/>
      <c r="P74" s="135"/>
    </row>
    <row r="75" spans="1:19" ht="29" customHeight="1" x14ac:dyDescent="0.35">
      <c r="A75" s="122"/>
      <c r="B75" s="122"/>
      <c r="C75" s="122"/>
      <c r="D75" s="122"/>
      <c r="E75" s="122"/>
      <c r="F75" s="122"/>
      <c r="H75" s="117" t="s">
        <v>406</v>
      </c>
      <c r="I75" s="117"/>
      <c r="J75" s="117"/>
      <c r="K75" s="117"/>
      <c r="L75" s="117"/>
      <c r="M75" s="117"/>
      <c r="N75" s="117"/>
      <c r="O75" s="117"/>
      <c r="P75" s="117"/>
    </row>
    <row r="76" spans="1:19" x14ac:dyDescent="0.35">
      <c r="A76" s="122"/>
      <c r="B76" s="122"/>
      <c r="C76" s="122"/>
      <c r="D76" s="122"/>
      <c r="E76" s="122"/>
      <c r="F76" s="122"/>
    </row>
    <row r="77" spans="1:19" ht="42.5" customHeight="1" x14ac:dyDescent="0.35">
      <c r="A77" s="122"/>
      <c r="B77" s="122"/>
      <c r="C77" s="122"/>
      <c r="D77" s="122"/>
      <c r="E77" s="122"/>
      <c r="F77" s="122"/>
    </row>
    <row r="79" spans="1:19" ht="14.5" customHeight="1" x14ac:dyDescent="0.35"/>
    <row r="80" spans="1:19" ht="33.5" customHeight="1" x14ac:dyDescent="0.35"/>
    <row r="82" ht="30.5" customHeight="1" x14ac:dyDescent="0.35"/>
    <row r="85" ht="32.5" customHeight="1" x14ac:dyDescent="0.35"/>
    <row r="87" ht="48.5" customHeight="1" x14ac:dyDescent="0.35"/>
  </sheetData>
  <sortState xmlns:xlrd2="http://schemas.microsoft.com/office/spreadsheetml/2017/richdata2" ref="Q3:R62">
    <sortCondition ref="R3:R62"/>
  </sortState>
  <mergeCells count="21">
    <mergeCell ref="H72:O72"/>
    <mergeCell ref="H74:P74"/>
    <mergeCell ref="H75:P75"/>
    <mergeCell ref="H73:S73"/>
    <mergeCell ref="A74:F77"/>
    <mergeCell ref="H71:I71"/>
    <mergeCell ref="N1:O1"/>
    <mergeCell ref="Q1:R1"/>
    <mergeCell ref="A5:B5"/>
    <mergeCell ref="D5:E5"/>
    <mergeCell ref="A6:B6"/>
    <mergeCell ref="D6:E6"/>
    <mergeCell ref="H1:I1"/>
    <mergeCell ref="K1:L1"/>
    <mergeCell ref="A1:F1"/>
    <mergeCell ref="A2:B2"/>
    <mergeCell ref="D2:E2"/>
    <mergeCell ref="A3:B3"/>
    <mergeCell ref="D3:E3"/>
    <mergeCell ref="A4:B4"/>
    <mergeCell ref="D4:E4"/>
  </mergeCells>
  <conditionalFormatting sqref="H2:I2 H13:I62">
    <cfRule type="top10" dxfId="8" priority="10" rank="10"/>
  </conditionalFormatting>
  <conditionalFormatting sqref="I3:I12">
    <cfRule type="top10" dxfId="7" priority="5" rank="10"/>
  </conditionalFormatting>
  <conditionalFormatting sqref="K2:L2">
    <cfRule type="top10" dxfId="6" priority="9" rank="10"/>
  </conditionalFormatting>
  <conditionalFormatting sqref="L3:L12">
    <cfRule type="top10" dxfId="5" priority="4" rank="10"/>
  </conditionalFormatting>
  <conditionalFormatting sqref="N2:O2">
    <cfRule type="top10" dxfId="4" priority="8" rank="10"/>
  </conditionalFormatting>
  <conditionalFormatting sqref="O3:O12">
    <cfRule type="top10" dxfId="3" priority="3" rank="10"/>
  </conditionalFormatting>
  <conditionalFormatting sqref="Q2:R2">
    <cfRule type="top10" dxfId="2" priority="6" bottom="1" rank="10"/>
  </conditionalFormatting>
  <conditionalFormatting sqref="R3:R12">
    <cfRule type="top10" dxfId="1" priority="1" bottom="1" rank="10"/>
    <cfRule type="top10" dxfId="0" priority="2" rank="10"/>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426F-0B1D-436B-8701-29C5E5A8A0D0}">
  <dimension ref="A1:W75"/>
  <sheetViews>
    <sheetView showGridLines="0" zoomScaleNormal="100" workbookViewId="0">
      <selection activeCell="H53" sqref="H53"/>
    </sheetView>
  </sheetViews>
  <sheetFormatPr defaultRowHeight="14.5" x14ac:dyDescent="0.35"/>
  <cols>
    <col min="1" max="1" width="15.453125" bestFit="1" customWidth="1"/>
    <col min="2" max="2" width="11.36328125" bestFit="1" customWidth="1"/>
    <col min="3" max="3" width="12.36328125" bestFit="1" customWidth="1"/>
    <col min="4" max="4" width="10.7265625" bestFit="1" customWidth="1"/>
    <col min="5" max="5" width="12.7265625" customWidth="1"/>
    <col min="6" max="6" width="12.54296875" bestFit="1" customWidth="1"/>
    <col min="8" max="8" width="10.90625" bestFit="1" customWidth="1"/>
    <col min="9" max="9" width="10.81640625" bestFit="1" customWidth="1"/>
  </cols>
  <sheetData>
    <row r="1" spans="1:6" x14ac:dyDescent="0.35">
      <c r="A1" s="127" t="s">
        <v>265</v>
      </c>
      <c r="B1" s="127"/>
      <c r="C1" s="127"/>
      <c r="D1" s="127"/>
      <c r="E1" s="127"/>
      <c r="F1" s="127"/>
    </row>
    <row r="2" spans="1:6" x14ac:dyDescent="0.35">
      <c r="A2" s="128" t="s">
        <v>266</v>
      </c>
      <c r="B2" s="128"/>
      <c r="C2" s="72">
        <f>INDEX(A11:A40,MATCH(MAX(C11:C40),C11:C40,0))</f>
        <v>45047</v>
      </c>
      <c r="D2" s="128" t="s">
        <v>267</v>
      </c>
      <c r="E2" s="128"/>
      <c r="F2" s="72">
        <f>INDEX(A11:A40,MATCH(MIN(C11:C40),C11:C40,0))</f>
        <v>45809</v>
      </c>
    </row>
    <row r="3" spans="1:6" x14ac:dyDescent="0.35">
      <c r="A3" s="128" t="s">
        <v>268</v>
      </c>
      <c r="B3" s="128"/>
      <c r="C3" s="72">
        <f>INDEX(A11:A40,MATCH(MAX(B11:B40),B11:B40,0))</f>
        <v>45047</v>
      </c>
      <c r="D3" s="128" t="s">
        <v>269</v>
      </c>
      <c r="E3" s="128"/>
      <c r="F3" s="72">
        <f>INDEX(A11:A43,MATCH(MIN(B11:B43),B11:B43,0))</f>
        <v>45809</v>
      </c>
    </row>
    <row r="4" spans="1:6" x14ac:dyDescent="0.35">
      <c r="A4" s="128" t="s">
        <v>270</v>
      </c>
      <c r="B4" s="128"/>
      <c r="C4" s="72">
        <f>INDEX(A11:A40,MATCH(MAX(E11:E40),E11:E40,0))</f>
        <v>45139</v>
      </c>
      <c r="D4" s="128" t="s">
        <v>271</v>
      </c>
      <c r="E4" s="128"/>
      <c r="F4" s="72">
        <f>INDEX(A11:A43,MATCH(MIN(E11:E70),E11:E70,0))</f>
        <v>45658</v>
      </c>
    </row>
    <row r="5" spans="1:6" x14ac:dyDescent="0.35">
      <c r="A5" s="128" t="s">
        <v>272</v>
      </c>
      <c r="B5" s="128"/>
      <c r="C5" s="72">
        <f>INDEX(A11:A40,MATCH(MAX(D11:D40),D11:D40,0))</f>
        <v>44958</v>
      </c>
      <c r="D5" s="128" t="s">
        <v>273</v>
      </c>
      <c r="E5" s="128"/>
      <c r="F5" s="72">
        <f>INDEX(A11:A43,MATCH(MIN(D11:D70),D11:D70,0))</f>
        <v>45809</v>
      </c>
    </row>
    <row r="6" spans="1:6" x14ac:dyDescent="0.35">
      <c r="A6" s="128" t="s">
        <v>274</v>
      </c>
      <c r="B6" s="128"/>
      <c r="C6" s="72">
        <f>INDEX(A11:A40,MATCH(MAX(F11:F40),F11:F40,0))</f>
        <v>45139</v>
      </c>
      <c r="D6" s="128" t="s">
        <v>275</v>
      </c>
      <c r="E6" s="128"/>
      <c r="F6" s="72">
        <f>INDEX(A11:A43,MATCH(MIN(F11:F70),F11:F70,0))</f>
        <v>45658</v>
      </c>
    </row>
    <row r="8" spans="1:6" x14ac:dyDescent="0.35">
      <c r="A8" s="58" t="s">
        <v>335</v>
      </c>
      <c r="B8" s="1" t="s">
        <v>338</v>
      </c>
    </row>
    <row r="10" spans="1:6" x14ac:dyDescent="0.35">
      <c r="A10" s="58" t="s">
        <v>264</v>
      </c>
      <c r="B10" s="1" t="s">
        <v>161</v>
      </c>
      <c r="C10" s="1" t="s">
        <v>160</v>
      </c>
      <c r="D10" s="1" t="s">
        <v>343</v>
      </c>
      <c r="E10" s="1" t="s">
        <v>333</v>
      </c>
      <c r="F10" s="1" t="s">
        <v>337</v>
      </c>
    </row>
    <row r="11" spans="1:6" x14ac:dyDescent="0.35">
      <c r="A11" s="70">
        <v>44927</v>
      </c>
      <c r="B11" s="59">
        <v>605149.28</v>
      </c>
      <c r="C11" s="59">
        <v>4274124.33</v>
      </c>
      <c r="D11" s="60">
        <v>5.0997206292033283E-2</v>
      </c>
      <c r="E11" s="59">
        <v>7.0629255809409539</v>
      </c>
      <c r="F11" s="59">
        <v>6.062925580940953</v>
      </c>
    </row>
    <row r="12" spans="1:6" x14ac:dyDescent="0.35">
      <c r="A12" s="70">
        <v>44958</v>
      </c>
      <c r="B12" s="59">
        <v>336958.64000000007</v>
      </c>
      <c r="C12" s="59">
        <v>4011592.8000000003</v>
      </c>
      <c r="D12" s="60">
        <v>6.720021725336088E-2</v>
      </c>
      <c r="E12" s="59">
        <v>11.905297338569504</v>
      </c>
      <c r="F12" s="59">
        <v>10.905297338569504</v>
      </c>
    </row>
    <row r="13" spans="1:6" x14ac:dyDescent="0.35">
      <c r="A13" s="70">
        <v>44986</v>
      </c>
      <c r="B13" s="59">
        <v>732407.91000000015</v>
      </c>
      <c r="C13" s="59">
        <v>4669554.2399999993</v>
      </c>
      <c r="D13" s="60">
        <v>4.9309046893741194E-2</v>
      </c>
      <c r="E13" s="59">
        <v>6.3756196188541958</v>
      </c>
      <c r="F13" s="59">
        <v>5.3756196188541958</v>
      </c>
    </row>
    <row r="14" spans="1:6" x14ac:dyDescent="0.35">
      <c r="A14" s="70">
        <v>45017</v>
      </c>
      <c r="B14" s="59">
        <v>589591.04999999993</v>
      </c>
      <c r="C14" s="59">
        <v>5024141.7599999988</v>
      </c>
      <c r="D14" s="60">
        <v>4.7261241042706674E-2</v>
      </c>
      <c r="E14" s="59">
        <v>8.5214009948081806</v>
      </c>
      <c r="F14" s="59">
        <v>7.5214009948081806</v>
      </c>
    </row>
    <row r="15" spans="1:6" x14ac:dyDescent="0.35">
      <c r="A15" s="70">
        <v>45047</v>
      </c>
      <c r="B15" s="59">
        <v>854778.05</v>
      </c>
      <c r="C15" s="59">
        <v>7532406.8299999963</v>
      </c>
      <c r="D15" s="60">
        <v>5.597480510785157E-2</v>
      </c>
      <c r="E15" s="59">
        <v>8.812120093631318</v>
      </c>
      <c r="F15" s="59">
        <v>7.8121200936313189</v>
      </c>
    </row>
    <row r="16" spans="1:6" x14ac:dyDescent="0.35">
      <c r="A16" s="70">
        <v>45078</v>
      </c>
      <c r="B16" s="59">
        <v>621100.83000000007</v>
      </c>
      <c r="C16" s="59">
        <v>3490784.86</v>
      </c>
      <c r="D16" s="60">
        <v>5.0430400484944342E-2</v>
      </c>
      <c r="E16" s="59">
        <v>5.62031910342158</v>
      </c>
      <c r="F16" s="59">
        <v>4.62031910342158</v>
      </c>
    </row>
    <row r="17" spans="1:6" x14ac:dyDescent="0.35">
      <c r="A17" s="70">
        <v>45108</v>
      </c>
      <c r="B17" s="59">
        <v>617517.15999999992</v>
      </c>
      <c r="C17" s="59">
        <v>4080864.5300000007</v>
      </c>
      <c r="D17" s="60">
        <v>6.0393993566933514E-2</v>
      </c>
      <c r="E17" s="59">
        <v>6.6085038511318475</v>
      </c>
      <c r="F17" s="59">
        <v>5.6085038511318484</v>
      </c>
    </row>
    <row r="18" spans="1:6" x14ac:dyDescent="0.35">
      <c r="A18" s="70">
        <v>45139</v>
      </c>
      <c r="B18" s="59">
        <v>325870.2</v>
      </c>
      <c r="C18" s="59">
        <v>4290677.3199999984</v>
      </c>
      <c r="D18" s="60">
        <v>6.3328400564644685E-2</v>
      </c>
      <c r="E18" s="59">
        <v>13.166829369485146</v>
      </c>
      <c r="F18" s="59">
        <v>12.166829369485145</v>
      </c>
    </row>
    <row r="19" spans="1:6" x14ac:dyDescent="0.35">
      <c r="A19" s="70">
        <v>45170</v>
      </c>
      <c r="B19" s="59">
        <v>439957</v>
      </c>
      <c r="C19" s="59">
        <v>4192219.7100000009</v>
      </c>
      <c r="D19" s="60">
        <v>4.4657938791646999E-2</v>
      </c>
      <c r="E19" s="59">
        <v>9.5287032823662337</v>
      </c>
      <c r="F19" s="59">
        <v>8.5287032823662337</v>
      </c>
    </row>
    <row r="20" spans="1:6" x14ac:dyDescent="0.35">
      <c r="A20" s="70">
        <v>45200</v>
      </c>
      <c r="B20" s="59">
        <v>580341.88000000012</v>
      </c>
      <c r="C20" s="59">
        <v>4158071.4799999991</v>
      </c>
      <c r="D20" s="60">
        <v>4.9333814800609908E-2</v>
      </c>
      <c r="E20" s="59">
        <v>7.1648654410396819</v>
      </c>
      <c r="F20" s="59">
        <v>6.1648654410396819</v>
      </c>
    </row>
    <row r="21" spans="1:6" x14ac:dyDescent="0.35">
      <c r="A21" s="70">
        <v>45231</v>
      </c>
      <c r="B21" s="59">
        <v>528678.53</v>
      </c>
      <c r="C21" s="59">
        <v>3419220.9</v>
      </c>
      <c r="D21" s="60">
        <v>4.1210347295449916E-2</v>
      </c>
      <c r="E21" s="59">
        <v>6.4674858273514522</v>
      </c>
      <c r="F21" s="59">
        <v>5.4674858273514531</v>
      </c>
    </row>
    <row r="22" spans="1:6" x14ac:dyDescent="0.35">
      <c r="A22" s="70">
        <v>45261</v>
      </c>
      <c r="B22" s="59">
        <v>417562.19999999995</v>
      </c>
      <c r="C22" s="59">
        <v>3434237.8000000003</v>
      </c>
      <c r="D22" s="60">
        <v>4.5744813142126931E-2</v>
      </c>
      <c r="E22" s="59">
        <v>8.2244939795795702</v>
      </c>
      <c r="F22" s="59">
        <v>7.2244939795795711</v>
      </c>
    </row>
    <row r="23" spans="1:6" x14ac:dyDescent="0.35">
      <c r="A23" s="70">
        <v>45292</v>
      </c>
      <c r="B23" s="59">
        <v>400710.83</v>
      </c>
      <c r="C23" s="59">
        <v>4446907.5300000012</v>
      </c>
      <c r="D23" s="60">
        <v>4.2114979495167598E-2</v>
      </c>
      <c r="E23" s="59">
        <v>11.097547650508975</v>
      </c>
      <c r="F23" s="59">
        <v>10.097547650508973</v>
      </c>
    </row>
    <row r="24" spans="1:6" x14ac:dyDescent="0.35">
      <c r="A24" s="70">
        <v>45323</v>
      </c>
      <c r="B24" s="59">
        <v>533332.21</v>
      </c>
      <c r="C24" s="59">
        <v>3193251.09</v>
      </c>
      <c r="D24" s="60">
        <v>5.2527391152575945E-2</v>
      </c>
      <c r="E24" s="59">
        <v>5.9873584046236399</v>
      </c>
      <c r="F24" s="59">
        <v>4.9873584046236399</v>
      </c>
    </row>
    <row r="25" spans="1:6" x14ac:dyDescent="0.35">
      <c r="A25" s="70">
        <v>45352</v>
      </c>
      <c r="B25" s="59">
        <v>652888.13</v>
      </c>
      <c r="C25" s="59">
        <v>4968443.7199999988</v>
      </c>
      <c r="D25" s="60">
        <v>5.5184645622902741E-2</v>
      </c>
      <c r="E25" s="59">
        <v>7.6099464696961157</v>
      </c>
      <c r="F25" s="59">
        <v>6.6099464696961157</v>
      </c>
    </row>
    <row r="26" spans="1:6" x14ac:dyDescent="0.35">
      <c r="A26" s="70">
        <v>45383</v>
      </c>
      <c r="B26" s="59">
        <v>504053.58</v>
      </c>
      <c r="C26" s="59">
        <v>3499536.5100000012</v>
      </c>
      <c r="D26" s="60">
        <v>4.0409656749493983E-2</v>
      </c>
      <c r="E26" s="59">
        <v>6.9427867370766441</v>
      </c>
      <c r="F26" s="59">
        <v>5.9427867370766441</v>
      </c>
    </row>
    <row r="27" spans="1:6" x14ac:dyDescent="0.35">
      <c r="A27" s="70">
        <v>45413</v>
      </c>
      <c r="B27" s="59">
        <v>585052.27999999991</v>
      </c>
      <c r="C27" s="59">
        <v>4413821.1100000003</v>
      </c>
      <c r="D27" s="60">
        <v>4.163042995137823E-2</v>
      </c>
      <c r="E27" s="59">
        <v>7.5443191333260016</v>
      </c>
      <c r="F27" s="59">
        <v>6.5443191333260016</v>
      </c>
    </row>
    <row r="28" spans="1:6" x14ac:dyDescent="0.35">
      <c r="A28" s="70">
        <v>45444</v>
      </c>
      <c r="B28" s="59">
        <v>405175.91</v>
      </c>
      <c r="C28" s="59">
        <v>2791486.6599999997</v>
      </c>
      <c r="D28" s="60">
        <v>5.5471591390280309E-2</v>
      </c>
      <c r="E28" s="59">
        <v>6.8895672005771518</v>
      </c>
      <c r="F28" s="59">
        <v>5.8895672005771509</v>
      </c>
    </row>
    <row r="29" spans="1:6" x14ac:dyDescent="0.35">
      <c r="A29" s="70">
        <v>45474</v>
      </c>
      <c r="B29" s="59">
        <v>594081.14</v>
      </c>
      <c r="C29" s="59">
        <v>4659684.42</v>
      </c>
      <c r="D29" s="60">
        <v>4.8039117981142472E-2</v>
      </c>
      <c r="E29" s="59">
        <v>7.8435151467693451</v>
      </c>
      <c r="F29" s="59">
        <v>6.8435151467693451</v>
      </c>
    </row>
    <row r="30" spans="1:6" x14ac:dyDescent="0.35">
      <c r="A30" s="70">
        <v>45505</v>
      </c>
      <c r="B30" s="59">
        <v>582630.84999999986</v>
      </c>
      <c r="C30" s="59">
        <v>3909692.09</v>
      </c>
      <c r="D30" s="60">
        <v>4.7820421285870489E-2</v>
      </c>
      <c r="E30" s="59">
        <v>6.7104103567464728</v>
      </c>
      <c r="F30" s="59">
        <v>5.7104103567464737</v>
      </c>
    </row>
    <row r="31" spans="1:6" x14ac:dyDescent="0.35">
      <c r="A31" s="70">
        <v>45536</v>
      </c>
      <c r="B31" s="59">
        <v>567545.84</v>
      </c>
      <c r="C31" s="59">
        <v>3910197.1400000006</v>
      </c>
      <c r="D31" s="60">
        <v>3.3427645664710327E-2</v>
      </c>
      <c r="E31" s="59">
        <v>6.889658710210969</v>
      </c>
      <c r="F31" s="59">
        <v>5.889658710210969</v>
      </c>
    </row>
    <row r="32" spans="1:6" x14ac:dyDescent="0.35">
      <c r="A32" s="70">
        <v>45566</v>
      </c>
      <c r="B32" s="59">
        <v>566499.53000000014</v>
      </c>
      <c r="C32" s="59">
        <v>3783529.3999999994</v>
      </c>
      <c r="D32" s="60">
        <v>3.3467220023287454E-2</v>
      </c>
      <c r="E32" s="59">
        <v>6.6787864766630936</v>
      </c>
      <c r="F32" s="59">
        <v>5.6787864766630936</v>
      </c>
    </row>
    <row r="33" spans="1:16" x14ac:dyDescent="0.35">
      <c r="A33" s="70">
        <v>45597</v>
      </c>
      <c r="B33" s="59">
        <v>556159.91999999993</v>
      </c>
      <c r="C33" s="59">
        <v>3800769.6899999995</v>
      </c>
      <c r="D33" s="60">
        <v>3.5052722798302065E-2</v>
      </c>
      <c r="E33" s="59">
        <v>6.8339510873059677</v>
      </c>
      <c r="F33" s="59">
        <v>5.8339510873059677</v>
      </c>
    </row>
    <row r="34" spans="1:16" x14ac:dyDescent="0.35">
      <c r="A34" s="70">
        <v>45627</v>
      </c>
      <c r="B34" s="59">
        <v>433612.72</v>
      </c>
      <c r="C34" s="59">
        <v>4174502.3600000008</v>
      </c>
      <c r="D34" s="60">
        <v>6.6465146331410555E-2</v>
      </c>
      <c r="E34" s="59">
        <v>9.6272599198658213</v>
      </c>
      <c r="F34" s="59">
        <v>8.6272599198658213</v>
      </c>
    </row>
    <row r="35" spans="1:16" x14ac:dyDescent="0.35">
      <c r="A35" s="70">
        <v>45658</v>
      </c>
      <c r="B35" s="59">
        <v>633135.79999999993</v>
      </c>
      <c r="C35" s="59">
        <v>3473637.4299999992</v>
      </c>
      <c r="D35" s="60">
        <v>4.1322691334761741E-2</v>
      </c>
      <c r="E35" s="59">
        <v>5.4864018588113321</v>
      </c>
      <c r="F35" s="59">
        <v>4.4864018588113321</v>
      </c>
    </row>
    <row r="36" spans="1:16" x14ac:dyDescent="0.35">
      <c r="A36" s="70">
        <v>45689</v>
      </c>
      <c r="B36" s="59">
        <v>591728.1399999999</v>
      </c>
      <c r="C36" s="59">
        <v>5179827.040000001</v>
      </c>
      <c r="D36" s="60">
        <v>5.6829335317743909E-2</v>
      </c>
      <c r="E36" s="59">
        <v>8.7537277507201221</v>
      </c>
      <c r="F36" s="59">
        <v>7.753727750720123</v>
      </c>
    </row>
    <row r="37" spans="1:16" x14ac:dyDescent="0.35">
      <c r="A37" s="70">
        <v>45717</v>
      </c>
      <c r="B37" s="59">
        <v>382904.00999999989</v>
      </c>
      <c r="C37" s="59">
        <v>4122982.69</v>
      </c>
      <c r="D37" s="60">
        <v>4.8344594737853006E-2</v>
      </c>
      <c r="E37" s="59">
        <v>10.76766652300142</v>
      </c>
      <c r="F37" s="59">
        <v>9.7676665230014201</v>
      </c>
    </row>
    <row r="38" spans="1:16" x14ac:dyDescent="0.35">
      <c r="A38" s="70">
        <v>45748</v>
      </c>
      <c r="B38" s="59">
        <v>389550.14000000007</v>
      </c>
      <c r="C38" s="59">
        <v>4620728.17</v>
      </c>
      <c r="D38" s="60">
        <v>4.9459339273814844E-2</v>
      </c>
      <c r="E38" s="59">
        <v>11.86170327136835</v>
      </c>
      <c r="F38" s="59">
        <v>10.861703271368352</v>
      </c>
    </row>
    <row r="39" spans="1:16" x14ac:dyDescent="0.35">
      <c r="A39" s="70">
        <v>45778</v>
      </c>
      <c r="B39" s="59">
        <v>385545.47000000003</v>
      </c>
      <c r="C39" s="59">
        <v>3082519.189999999</v>
      </c>
      <c r="D39" s="60">
        <v>5.595154060969082E-2</v>
      </c>
      <c r="E39" s="59">
        <v>7.9952156875296678</v>
      </c>
      <c r="F39" s="59">
        <v>6.9952156875296669</v>
      </c>
    </row>
    <row r="40" spans="1:16" x14ac:dyDescent="0.35">
      <c r="A40" s="70">
        <v>45809</v>
      </c>
      <c r="B40" s="59">
        <v>197864.73</v>
      </c>
      <c r="C40" s="59">
        <v>2094938.23</v>
      </c>
      <c r="D40" s="60">
        <v>3.3238945108170409E-2</v>
      </c>
      <c r="E40" s="59">
        <v>10.587729455370848</v>
      </c>
      <c r="F40" s="59">
        <v>9.5877294553708481</v>
      </c>
    </row>
    <row r="41" spans="1:16" x14ac:dyDescent="0.35">
      <c r="A41" s="70" t="s">
        <v>198</v>
      </c>
      <c r="B41" s="59">
        <v>15612383.959999982</v>
      </c>
      <c r="C41" s="59">
        <v>122704351.02999996</v>
      </c>
      <c r="D41" s="60">
        <v>4.8485635981359049E-2</v>
      </c>
      <c r="E41" s="59">
        <v>7.8594243739058092</v>
      </c>
      <c r="F41" s="59">
        <v>6.8594243739058092</v>
      </c>
    </row>
    <row r="44" spans="1:16" ht="15.5" x14ac:dyDescent="0.35">
      <c r="A44" s="133" t="s">
        <v>276</v>
      </c>
      <c r="B44" s="133"/>
      <c r="C44" s="133" t="s">
        <v>277</v>
      </c>
      <c r="D44" s="133"/>
      <c r="E44" s="133" t="s">
        <v>278</v>
      </c>
      <c r="F44" s="133"/>
      <c r="H44" s="66" t="s">
        <v>397</v>
      </c>
    </row>
    <row r="45" spans="1:16" ht="29" customHeight="1" x14ac:dyDescent="0.35">
      <c r="A45" s="73" t="s">
        <v>264</v>
      </c>
      <c r="B45" s="73" t="s">
        <v>160</v>
      </c>
      <c r="C45" s="73" t="s">
        <v>264</v>
      </c>
      <c r="D45" s="73" t="s">
        <v>161</v>
      </c>
      <c r="E45" s="73" t="s">
        <v>264</v>
      </c>
      <c r="F45" s="73" t="s">
        <v>201</v>
      </c>
      <c r="H45" s="136" t="s">
        <v>396</v>
      </c>
      <c r="I45" s="136"/>
      <c r="J45" s="136"/>
      <c r="K45" s="136"/>
      <c r="L45" s="136"/>
      <c r="M45" s="136"/>
      <c r="N45" s="136"/>
      <c r="O45" s="136"/>
      <c r="P45" s="136"/>
    </row>
    <row r="46" spans="1:16" ht="15.5" x14ac:dyDescent="0.35">
      <c r="A46" s="70">
        <v>45047</v>
      </c>
      <c r="B46" s="59">
        <v>7532406.8299999963</v>
      </c>
      <c r="C46" s="70">
        <v>45047</v>
      </c>
      <c r="D46" s="59">
        <v>854778.05</v>
      </c>
      <c r="E46" s="70">
        <v>45139</v>
      </c>
      <c r="F46" s="59">
        <v>13.166829369485146</v>
      </c>
      <c r="H46" s="137" t="s">
        <v>202</v>
      </c>
      <c r="I46" s="138"/>
      <c r="J46" s="138"/>
    </row>
    <row r="47" spans="1:16" ht="14.5" customHeight="1" x14ac:dyDescent="0.35">
      <c r="A47" s="70">
        <v>45689</v>
      </c>
      <c r="B47" s="59">
        <v>5179827.040000001</v>
      </c>
      <c r="C47" s="70">
        <v>44986</v>
      </c>
      <c r="D47" s="59">
        <v>732407.91000000015</v>
      </c>
      <c r="E47" s="70">
        <v>44958</v>
      </c>
      <c r="F47" s="59">
        <v>11.905297338569504</v>
      </c>
      <c r="H47" s="136" t="s">
        <v>279</v>
      </c>
      <c r="I47" s="136"/>
      <c r="J47" s="136"/>
      <c r="K47" s="136"/>
      <c r="L47" s="136"/>
      <c r="M47" s="136"/>
      <c r="N47" s="136"/>
      <c r="O47" s="136"/>
      <c r="P47" s="136"/>
    </row>
    <row r="48" spans="1:16" x14ac:dyDescent="0.35">
      <c r="A48" s="70">
        <v>45017</v>
      </c>
      <c r="B48" s="59">
        <v>5024141.7599999988</v>
      </c>
      <c r="C48" s="70">
        <v>45352</v>
      </c>
      <c r="D48" s="59">
        <v>652888.13</v>
      </c>
      <c r="E48" s="70">
        <v>45748</v>
      </c>
      <c r="F48" s="59">
        <v>11.86170327136835</v>
      </c>
    </row>
    <row r="49" spans="1:23" ht="15.5" x14ac:dyDescent="0.35">
      <c r="A49" s="70">
        <v>45352</v>
      </c>
      <c r="B49" s="59">
        <v>4968443.7199999988</v>
      </c>
      <c r="C49" s="70">
        <v>45658</v>
      </c>
      <c r="D49" s="59">
        <v>633135.79999999993</v>
      </c>
      <c r="E49" s="70">
        <v>45292</v>
      </c>
      <c r="F49" s="59">
        <v>11.097547650508975</v>
      </c>
      <c r="H49" s="132" t="s">
        <v>214</v>
      </c>
      <c r="I49" s="132"/>
    </row>
    <row r="50" spans="1:23" ht="14.5" customHeight="1" x14ac:dyDescent="0.35">
      <c r="A50" s="70">
        <v>44986</v>
      </c>
      <c r="B50" s="59">
        <v>4669554.2399999993</v>
      </c>
      <c r="C50" s="70">
        <v>45078</v>
      </c>
      <c r="D50" s="59">
        <v>621100.83000000007</v>
      </c>
      <c r="E50" s="70">
        <v>45717</v>
      </c>
      <c r="F50" s="59">
        <v>10.76766652300142</v>
      </c>
      <c r="H50" s="134" t="s">
        <v>398</v>
      </c>
      <c r="I50" s="134"/>
      <c r="J50" s="134"/>
      <c r="K50" s="134"/>
      <c r="L50" s="134"/>
      <c r="M50" s="134"/>
      <c r="N50" s="134"/>
      <c r="O50" s="134"/>
      <c r="P50" s="134"/>
      <c r="Q50" s="134"/>
      <c r="R50" s="134"/>
      <c r="S50" s="134"/>
    </row>
    <row r="51" spans="1:23" ht="14.5" customHeight="1" x14ac:dyDescent="0.35">
      <c r="A51" s="70">
        <v>45474</v>
      </c>
      <c r="B51" s="59">
        <v>4659684.42</v>
      </c>
      <c r="C51" s="70">
        <v>45108</v>
      </c>
      <c r="D51" s="59">
        <v>617517.15999999992</v>
      </c>
      <c r="E51" s="70">
        <v>45809</v>
      </c>
      <c r="F51" s="59">
        <v>10.587729455370848</v>
      </c>
      <c r="H51" s="129" t="s">
        <v>399</v>
      </c>
      <c r="I51" s="129"/>
      <c r="J51" s="129"/>
      <c r="K51" s="129"/>
      <c r="L51" s="129"/>
      <c r="M51" s="129"/>
      <c r="N51" s="129"/>
      <c r="O51" s="129"/>
      <c r="P51" s="129"/>
      <c r="Q51" s="129"/>
      <c r="R51" s="129"/>
      <c r="S51" s="129"/>
      <c r="T51" s="129"/>
      <c r="U51" s="129"/>
      <c r="V51" s="129"/>
      <c r="W51" s="129"/>
    </row>
    <row r="52" spans="1:23" ht="14.5" customHeight="1" x14ac:dyDescent="0.35">
      <c r="A52" s="70">
        <v>45748</v>
      </c>
      <c r="B52" s="59">
        <v>4620728.17</v>
      </c>
      <c r="C52" s="70">
        <v>44927</v>
      </c>
      <c r="D52" s="59">
        <v>605149.28</v>
      </c>
      <c r="E52" s="70">
        <v>45627</v>
      </c>
      <c r="F52" s="59">
        <v>9.6272599198658213</v>
      </c>
      <c r="H52" s="135" t="s">
        <v>400</v>
      </c>
      <c r="I52" s="135"/>
      <c r="J52" s="135"/>
      <c r="K52" s="135"/>
      <c r="L52" s="135"/>
      <c r="M52" s="135"/>
      <c r="N52" s="135"/>
      <c r="O52" s="135"/>
      <c r="P52" s="135"/>
      <c r="Q52" s="135"/>
      <c r="R52" s="135"/>
      <c r="S52" s="135"/>
    </row>
    <row r="53" spans="1:23" x14ac:dyDescent="0.35">
      <c r="A53" s="70">
        <v>45292</v>
      </c>
      <c r="B53" s="59">
        <v>4446907.5300000012</v>
      </c>
      <c r="C53" s="70">
        <v>45474</v>
      </c>
      <c r="D53" s="59">
        <v>594081.14</v>
      </c>
      <c r="E53" s="70">
        <v>45170</v>
      </c>
      <c r="F53" s="59">
        <v>9.5287032823662337</v>
      </c>
    </row>
    <row r="54" spans="1:23" x14ac:dyDescent="0.35">
      <c r="A54" s="70">
        <v>45413</v>
      </c>
      <c r="B54" s="59">
        <v>4413821.1100000003</v>
      </c>
      <c r="C54" s="70">
        <v>45689</v>
      </c>
      <c r="D54" s="59">
        <v>591728.1399999999</v>
      </c>
      <c r="E54" s="70">
        <v>45047</v>
      </c>
      <c r="F54" s="59">
        <v>8.812120093631318</v>
      </c>
    </row>
    <row r="55" spans="1:23" ht="14.5" customHeight="1" x14ac:dyDescent="0.35">
      <c r="A55" s="70">
        <v>45139</v>
      </c>
      <c r="B55" s="59">
        <v>4290677.3199999984</v>
      </c>
      <c r="C55" s="70">
        <v>45017</v>
      </c>
      <c r="D55" s="59">
        <v>589591.04999999993</v>
      </c>
      <c r="E55" s="70">
        <v>45689</v>
      </c>
      <c r="F55" s="59">
        <v>8.7537277507201221</v>
      </c>
    </row>
    <row r="56" spans="1:23" x14ac:dyDescent="0.35">
      <c r="A56" s="70">
        <v>44927</v>
      </c>
      <c r="B56" s="59">
        <v>4274124.33</v>
      </c>
      <c r="C56" s="70">
        <v>45413</v>
      </c>
      <c r="D56" s="59">
        <v>585052.27999999991</v>
      </c>
      <c r="E56" s="70">
        <v>45017</v>
      </c>
      <c r="F56" s="59">
        <v>8.5214009948081806</v>
      </c>
    </row>
    <row r="57" spans="1:23" ht="14.5" customHeight="1" x14ac:dyDescent="0.35">
      <c r="A57" s="70">
        <v>45170</v>
      </c>
      <c r="B57" s="59">
        <v>4192219.7100000009</v>
      </c>
      <c r="C57" s="70">
        <v>45505</v>
      </c>
      <c r="D57" s="59">
        <v>582630.84999999986</v>
      </c>
      <c r="E57" s="70">
        <v>45261</v>
      </c>
      <c r="F57" s="59">
        <v>8.2244939795795702</v>
      </c>
    </row>
    <row r="58" spans="1:23" x14ac:dyDescent="0.35">
      <c r="A58" s="70">
        <v>45627</v>
      </c>
      <c r="B58" s="59">
        <v>4174502.3600000008</v>
      </c>
      <c r="C58" s="70">
        <v>45200</v>
      </c>
      <c r="D58" s="59">
        <v>580341.88000000012</v>
      </c>
      <c r="E58" s="70">
        <v>45778</v>
      </c>
      <c r="F58" s="59">
        <v>7.9952156875296678</v>
      </c>
    </row>
    <row r="59" spans="1:23" x14ac:dyDescent="0.35">
      <c r="A59" s="70">
        <v>45200</v>
      </c>
      <c r="B59" s="59">
        <v>4158071.4799999991</v>
      </c>
      <c r="C59" s="70">
        <v>45536</v>
      </c>
      <c r="D59" s="59">
        <v>567545.84</v>
      </c>
      <c r="E59" s="70">
        <v>45474</v>
      </c>
      <c r="F59" s="59">
        <v>7.8435151467693451</v>
      </c>
    </row>
    <row r="60" spans="1:23" ht="14.5" customHeight="1" x14ac:dyDescent="0.35">
      <c r="A60" s="70">
        <v>45717</v>
      </c>
      <c r="B60" s="59">
        <v>4122982.69</v>
      </c>
      <c r="C60" s="70">
        <v>45566</v>
      </c>
      <c r="D60" s="59">
        <v>566499.53000000014</v>
      </c>
      <c r="E60" s="70">
        <v>45352</v>
      </c>
      <c r="F60" s="59">
        <v>7.6099464696961157</v>
      </c>
    </row>
    <row r="61" spans="1:23" x14ac:dyDescent="0.35">
      <c r="A61" s="70">
        <v>45108</v>
      </c>
      <c r="B61" s="59">
        <v>4080864.5300000007</v>
      </c>
      <c r="C61" s="70">
        <v>45597</v>
      </c>
      <c r="D61" s="59">
        <v>556159.91999999993</v>
      </c>
      <c r="E61" s="70">
        <v>45413</v>
      </c>
      <c r="F61" s="59">
        <v>7.5443191333260016</v>
      </c>
    </row>
    <row r="62" spans="1:23" ht="14.5" customHeight="1" x14ac:dyDescent="0.35">
      <c r="A62" s="70">
        <v>44958</v>
      </c>
      <c r="B62" s="59">
        <v>4011592.8000000003</v>
      </c>
      <c r="C62" s="70">
        <v>45323</v>
      </c>
      <c r="D62" s="59">
        <v>533332.21</v>
      </c>
      <c r="E62" s="70">
        <v>45200</v>
      </c>
      <c r="F62" s="59">
        <v>7.1648654410396819</v>
      </c>
    </row>
    <row r="63" spans="1:23" x14ac:dyDescent="0.35">
      <c r="A63" s="70">
        <v>45536</v>
      </c>
      <c r="B63" s="59">
        <v>3910197.1400000006</v>
      </c>
      <c r="C63" s="70">
        <v>45231</v>
      </c>
      <c r="D63" s="59">
        <v>528678.53</v>
      </c>
      <c r="E63" s="70">
        <v>44927</v>
      </c>
      <c r="F63" s="59">
        <v>7.0629255809409539</v>
      </c>
    </row>
    <row r="64" spans="1:23" x14ac:dyDescent="0.35">
      <c r="A64" s="70">
        <v>45505</v>
      </c>
      <c r="B64" s="59">
        <v>3909692.09</v>
      </c>
      <c r="C64" s="70">
        <v>45383</v>
      </c>
      <c r="D64" s="59">
        <v>504053.58</v>
      </c>
      <c r="E64" s="70">
        <v>45383</v>
      </c>
      <c r="F64" s="59">
        <v>6.9427867370766441</v>
      </c>
    </row>
    <row r="65" spans="1:6" ht="14.5" customHeight="1" x14ac:dyDescent="0.35">
      <c r="A65" s="70">
        <v>45597</v>
      </c>
      <c r="B65" s="59">
        <v>3800769.6899999995</v>
      </c>
      <c r="C65" s="70">
        <v>45170</v>
      </c>
      <c r="D65" s="59">
        <v>439957</v>
      </c>
      <c r="E65" s="70">
        <v>45536</v>
      </c>
      <c r="F65" s="59">
        <v>6.889658710210969</v>
      </c>
    </row>
    <row r="66" spans="1:6" ht="14.5" customHeight="1" x14ac:dyDescent="0.35">
      <c r="A66" s="70">
        <v>45566</v>
      </c>
      <c r="B66" s="59">
        <v>3783529.3999999994</v>
      </c>
      <c r="C66" s="70">
        <v>45627</v>
      </c>
      <c r="D66" s="59">
        <v>433612.72</v>
      </c>
      <c r="E66" s="70">
        <v>45444</v>
      </c>
      <c r="F66" s="59">
        <v>6.8895672005771518</v>
      </c>
    </row>
    <row r="67" spans="1:6" ht="14.5" customHeight="1" x14ac:dyDescent="0.35">
      <c r="A67" s="70">
        <v>45383</v>
      </c>
      <c r="B67" s="59">
        <v>3499536.5100000012</v>
      </c>
      <c r="C67" s="70">
        <v>45261</v>
      </c>
      <c r="D67" s="59">
        <v>417562.19999999995</v>
      </c>
      <c r="E67" s="70">
        <v>45597</v>
      </c>
      <c r="F67" s="59">
        <v>6.8339510873059677</v>
      </c>
    </row>
    <row r="68" spans="1:6" ht="14.5" customHeight="1" x14ac:dyDescent="0.35">
      <c r="A68" s="70">
        <v>45078</v>
      </c>
      <c r="B68" s="59">
        <v>3490784.86</v>
      </c>
      <c r="C68" s="70">
        <v>45444</v>
      </c>
      <c r="D68" s="59">
        <v>405175.91</v>
      </c>
      <c r="E68" s="70">
        <v>45505</v>
      </c>
      <c r="F68" s="59">
        <v>6.7104103567464728</v>
      </c>
    </row>
    <row r="69" spans="1:6" x14ac:dyDescent="0.35">
      <c r="A69" s="70">
        <v>45658</v>
      </c>
      <c r="B69" s="59">
        <v>3473637.4299999992</v>
      </c>
      <c r="C69" s="70">
        <v>45292</v>
      </c>
      <c r="D69" s="59">
        <v>400710.83</v>
      </c>
      <c r="E69" s="70">
        <v>45566</v>
      </c>
      <c r="F69" s="59">
        <v>6.6787864766630936</v>
      </c>
    </row>
    <row r="70" spans="1:6" x14ac:dyDescent="0.35">
      <c r="A70" s="70">
        <v>45261</v>
      </c>
      <c r="B70" s="59">
        <v>3434237.8000000003</v>
      </c>
      <c r="C70" s="70">
        <v>45748</v>
      </c>
      <c r="D70" s="59">
        <v>389550.14000000007</v>
      </c>
      <c r="E70" s="70">
        <v>45108</v>
      </c>
      <c r="F70" s="59">
        <v>6.6085038511318475</v>
      </c>
    </row>
    <row r="71" spans="1:6" x14ac:dyDescent="0.35">
      <c r="A71" s="70">
        <v>45231</v>
      </c>
      <c r="B71" s="59">
        <v>3419220.9</v>
      </c>
      <c r="C71" s="70">
        <v>45778</v>
      </c>
      <c r="D71" s="59">
        <v>385545.47000000003</v>
      </c>
      <c r="E71" s="70">
        <v>45231</v>
      </c>
      <c r="F71" s="59">
        <v>6.4674858273514522</v>
      </c>
    </row>
    <row r="72" spans="1:6" x14ac:dyDescent="0.35">
      <c r="A72" s="70">
        <v>45323</v>
      </c>
      <c r="B72" s="59">
        <v>3193251.09</v>
      </c>
      <c r="C72" s="70">
        <v>45717</v>
      </c>
      <c r="D72" s="59">
        <v>382904.00999999989</v>
      </c>
      <c r="E72" s="70">
        <v>44986</v>
      </c>
      <c r="F72" s="59">
        <v>6.3756196188541958</v>
      </c>
    </row>
    <row r="73" spans="1:6" x14ac:dyDescent="0.35">
      <c r="A73" s="70">
        <v>45778</v>
      </c>
      <c r="B73" s="59">
        <v>3082519.189999999</v>
      </c>
      <c r="C73" s="70">
        <v>44958</v>
      </c>
      <c r="D73" s="59">
        <v>336958.64000000007</v>
      </c>
      <c r="E73" s="70">
        <v>45323</v>
      </c>
      <c r="F73" s="59">
        <v>5.9873584046236399</v>
      </c>
    </row>
    <row r="74" spans="1:6" x14ac:dyDescent="0.35">
      <c r="A74" s="70">
        <v>45444</v>
      </c>
      <c r="B74" s="59">
        <v>2791486.6599999997</v>
      </c>
      <c r="C74" s="70">
        <v>45139</v>
      </c>
      <c r="D74" s="59">
        <v>325870.2</v>
      </c>
      <c r="E74" s="70">
        <v>45078</v>
      </c>
      <c r="F74" s="59">
        <v>5.62031910342158</v>
      </c>
    </row>
    <row r="75" spans="1:6" x14ac:dyDescent="0.35">
      <c r="A75" s="70">
        <v>45809</v>
      </c>
      <c r="B75" s="59">
        <v>2094938.23</v>
      </c>
      <c r="C75" s="70">
        <v>45809</v>
      </c>
      <c r="D75" s="59">
        <v>197864.73</v>
      </c>
      <c r="E75" s="70">
        <v>45658</v>
      </c>
      <c r="F75" s="59">
        <v>5.4864018588113321</v>
      </c>
    </row>
  </sheetData>
  <sortState xmlns:xlrd2="http://schemas.microsoft.com/office/spreadsheetml/2017/richdata2" ref="A46:B75">
    <sortCondition descending="1" ref="B46:B75"/>
  </sortState>
  <mergeCells count="21">
    <mergeCell ref="H50:S50"/>
    <mergeCell ref="H49:I49"/>
    <mergeCell ref="H52:S52"/>
    <mergeCell ref="H51:W51"/>
    <mergeCell ref="H45:P45"/>
    <mergeCell ref="H47:P47"/>
    <mergeCell ref="H46:J46"/>
    <mergeCell ref="A5:B5"/>
    <mergeCell ref="D5:E5"/>
    <mergeCell ref="A6:B6"/>
    <mergeCell ref="D6:E6"/>
    <mergeCell ref="A44:B44"/>
    <mergeCell ref="C44:D44"/>
    <mergeCell ref="E44:F44"/>
    <mergeCell ref="A4:B4"/>
    <mergeCell ref="D4:E4"/>
    <mergeCell ref="A1:F1"/>
    <mergeCell ref="A2:B2"/>
    <mergeCell ref="D2:E2"/>
    <mergeCell ref="A3:B3"/>
    <mergeCell ref="D3:E3"/>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0D08-9B11-475C-A3F0-52B1263C4CE4}">
  <dimension ref="A1:O25"/>
  <sheetViews>
    <sheetView showGridLines="0" zoomScale="90" zoomScaleNormal="90" workbookViewId="0">
      <selection activeCell="A24" sqref="A24:J24"/>
    </sheetView>
  </sheetViews>
  <sheetFormatPr defaultRowHeight="14.5" x14ac:dyDescent="0.35"/>
  <cols>
    <col min="1" max="1" width="15.81640625" bestFit="1" customWidth="1"/>
    <col min="3" max="3" width="3.08984375" customWidth="1"/>
    <col min="4" max="4" width="15.6328125" bestFit="1" customWidth="1"/>
    <col min="5" max="5" width="12.36328125" bestFit="1" customWidth="1"/>
    <col min="6" max="6" width="2.1796875" customWidth="1"/>
    <col min="7" max="7" width="18.1796875" customWidth="1"/>
    <col min="8" max="8" width="10.54296875" bestFit="1" customWidth="1"/>
    <col min="9" max="9" width="2.36328125" customWidth="1"/>
    <col min="10" max="10" width="15.1796875" customWidth="1"/>
    <col min="11" max="11" width="13.81640625" customWidth="1"/>
    <col min="12" max="12" width="2.6328125" customWidth="1"/>
    <col min="13" max="13" width="11.08984375" customWidth="1"/>
    <col min="14" max="14" width="9.81640625" bestFit="1" customWidth="1"/>
    <col min="15" max="15" width="63.81640625" bestFit="1" customWidth="1"/>
  </cols>
  <sheetData>
    <row r="1" spans="1:15" x14ac:dyDescent="0.35">
      <c r="A1" s="153" t="s">
        <v>280</v>
      </c>
      <c r="B1" s="154"/>
      <c r="D1" s="155" t="s">
        <v>281</v>
      </c>
      <c r="E1" s="156"/>
      <c r="G1" s="139" t="s">
        <v>282</v>
      </c>
      <c r="H1" s="140"/>
      <c r="J1" s="139" t="s">
        <v>285</v>
      </c>
      <c r="K1" s="140"/>
      <c r="M1" s="141" t="s">
        <v>290</v>
      </c>
      <c r="N1" s="142"/>
      <c r="O1" s="142"/>
    </row>
    <row r="2" spans="1:15" x14ac:dyDescent="0.35">
      <c r="A2" s="74" t="str">
        <f>Data_Validation!B2</f>
        <v>Total Records</v>
      </c>
      <c r="B2" s="75">
        <f>Data_Validation!C2</f>
        <v>1000</v>
      </c>
      <c r="D2" s="74" t="str">
        <f>KPI_Calculation!J2</f>
        <v>Total Spend</v>
      </c>
      <c r="E2" s="80">
        <f>KPI_Calculation!K2</f>
        <v>15870820.479999982</v>
      </c>
      <c r="G2" s="84" t="s">
        <v>283</v>
      </c>
      <c r="H2" s="85" t="s">
        <v>284</v>
      </c>
      <c r="J2" s="84" t="s">
        <v>283</v>
      </c>
      <c r="K2" s="85" t="s">
        <v>284</v>
      </c>
      <c r="M2" s="91" t="s">
        <v>283</v>
      </c>
      <c r="N2" s="91" t="s">
        <v>284</v>
      </c>
      <c r="O2" s="92" t="s">
        <v>291</v>
      </c>
    </row>
    <row r="3" spans="1:15" x14ac:dyDescent="0.35">
      <c r="A3" s="76" t="str">
        <f>Data_Validation!D2</f>
        <v>Valid Records</v>
      </c>
      <c r="B3" s="77">
        <f>Data_Validation!E2</f>
        <v>983</v>
      </c>
      <c r="D3" s="76" t="str">
        <f>KPI_Calculation!H2</f>
        <v>Total Sales</v>
      </c>
      <c r="E3" s="81">
        <f>KPI_Calculation!I2</f>
        <v>124560066.57999995</v>
      </c>
      <c r="G3" s="76" t="s">
        <v>1</v>
      </c>
      <c r="H3" s="77" t="str">
        <f>Region_Analysis!C2</f>
        <v>South</v>
      </c>
      <c r="J3" s="76" t="s">
        <v>1</v>
      </c>
      <c r="K3" s="77" t="str">
        <f>Region_Analysis!C4</f>
        <v>South</v>
      </c>
      <c r="M3" s="93" t="s">
        <v>1</v>
      </c>
      <c r="N3" s="93" t="s">
        <v>28</v>
      </c>
      <c r="O3" s="65" t="s">
        <v>344</v>
      </c>
    </row>
    <row r="4" spans="1:15" x14ac:dyDescent="0.35">
      <c r="A4" s="76" t="str">
        <f>Data_Validation!D3</f>
        <v>Invalid Records</v>
      </c>
      <c r="B4" s="77">
        <f>Data_Validation!E3</f>
        <v>17</v>
      </c>
      <c r="D4" s="76" t="str">
        <f>KPI_Calculation!D2</f>
        <v>Total Impressions</v>
      </c>
      <c r="E4" s="77">
        <f>KPI_Calculation!E2</f>
        <v>508045081</v>
      </c>
      <c r="G4" s="76" t="s">
        <v>2</v>
      </c>
      <c r="H4" s="77" t="str">
        <f>Country_Analysis!C2</f>
        <v>USA</v>
      </c>
      <c r="J4" s="76" t="s">
        <v>2</v>
      </c>
      <c r="K4" s="77" t="str">
        <f>Country_Analysis!C4</f>
        <v>Australia</v>
      </c>
      <c r="M4" s="93" t="s">
        <v>2</v>
      </c>
      <c r="N4" s="93" t="s">
        <v>69</v>
      </c>
      <c r="O4" s="65" t="s">
        <v>345</v>
      </c>
    </row>
    <row r="5" spans="1:15" x14ac:dyDescent="0.35">
      <c r="A5" s="76" t="str">
        <f>Data_Validation!B3</f>
        <v>Duplicate Records</v>
      </c>
      <c r="B5" s="77">
        <f>Data_Validation!C3</f>
        <v>0</v>
      </c>
      <c r="D5" s="76" t="str">
        <f>KPI_Calculation!F2</f>
        <v>Total Clicks</v>
      </c>
      <c r="E5" s="77">
        <f>KPI_Calculation!G2</f>
        <v>25220387</v>
      </c>
      <c r="G5" s="76" t="s">
        <v>3</v>
      </c>
      <c r="H5" s="77" t="str">
        <f>Product_Analysis!C2</f>
        <v>Watch</v>
      </c>
      <c r="J5" s="76" t="s">
        <v>3</v>
      </c>
      <c r="K5" s="77" t="str">
        <f>Product_Analysis!C4</f>
        <v>Watch</v>
      </c>
      <c r="M5" s="93" t="s">
        <v>3</v>
      </c>
      <c r="N5" s="93" t="s">
        <v>43</v>
      </c>
      <c r="O5" s="65" t="s">
        <v>346</v>
      </c>
    </row>
    <row r="6" spans="1:15" x14ac:dyDescent="0.35">
      <c r="A6" s="76" t="str">
        <f>Data_Validation!F2</f>
        <v>Null Records</v>
      </c>
      <c r="B6" s="77">
        <f>Data_Validation!G2</f>
        <v>0</v>
      </c>
      <c r="D6" s="76" t="str">
        <f>KPI_Calculation!B3</f>
        <v>Overall CTR</v>
      </c>
      <c r="E6" s="107">
        <f>KPI_Calculation!C3</f>
        <v>4.9642025763457789E-2</v>
      </c>
      <c r="G6" s="76" t="s">
        <v>4</v>
      </c>
      <c r="H6" s="77" t="str">
        <f>Channel_Analysis!C2</f>
        <v>Ecommerce</v>
      </c>
      <c r="J6" s="76" t="s">
        <v>4</v>
      </c>
      <c r="K6" s="77" t="str">
        <f>Channel_Analysis!C4</f>
        <v>Retail</v>
      </c>
      <c r="M6" s="93" t="s">
        <v>4</v>
      </c>
      <c r="N6" s="93" t="s">
        <v>30</v>
      </c>
      <c r="O6" s="65" t="s">
        <v>292</v>
      </c>
    </row>
    <row r="7" spans="1:15" x14ac:dyDescent="0.35">
      <c r="A7" s="78" t="str">
        <f>Data_Validation!F3</f>
        <v>Quality %</v>
      </c>
      <c r="B7" s="79">
        <f>Data_Validation!G3</f>
        <v>0.98299999999999998</v>
      </c>
      <c r="D7" s="76" t="str">
        <f>KPI_Calculation!H3</f>
        <v>Overall ROAS</v>
      </c>
      <c r="E7" s="82">
        <f>KPI_Calculation!I3</f>
        <v>7.8483697006696973</v>
      </c>
      <c r="G7" s="78" t="s">
        <v>248</v>
      </c>
      <c r="H7" s="86" t="str">
        <f>Campaign_Analysis!C2</f>
        <v>CMP_042</v>
      </c>
      <c r="J7" s="78" t="s">
        <v>248</v>
      </c>
      <c r="K7" s="86" t="str">
        <f>Campaign_Analysis!C4</f>
        <v>CMP_031</v>
      </c>
      <c r="M7" s="93" t="s">
        <v>248</v>
      </c>
      <c r="N7" s="93" t="s">
        <v>114</v>
      </c>
      <c r="O7" s="65" t="s">
        <v>347</v>
      </c>
    </row>
    <row r="8" spans="1:15" x14ac:dyDescent="0.35">
      <c r="D8" s="78" t="str">
        <f>KPI_Calculation!J3</f>
        <v>Overall ROI</v>
      </c>
      <c r="E8" s="83">
        <f>KPI_Calculation!K3</f>
        <v>6.8483697006696964</v>
      </c>
    </row>
    <row r="11" spans="1:15" ht="18.5" x14ac:dyDescent="0.45">
      <c r="A11" s="149" t="s">
        <v>286</v>
      </c>
      <c r="B11" s="150"/>
    </row>
    <row r="12" spans="1:15" x14ac:dyDescent="0.35">
      <c r="A12" s="151" t="s">
        <v>287</v>
      </c>
      <c r="B12" s="152"/>
      <c r="C12" s="152"/>
      <c r="D12" s="152"/>
      <c r="E12" s="152"/>
      <c r="F12" s="152"/>
      <c r="G12" s="152"/>
      <c r="H12" s="152"/>
      <c r="I12" s="87"/>
      <c r="J12" s="88"/>
    </row>
    <row r="13" spans="1:15" x14ac:dyDescent="0.35">
      <c r="A13" s="143" t="s">
        <v>288</v>
      </c>
      <c r="B13" s="144"/>
      <c r="C13" s="144"/>
      <c r="D13" s="144"/>
      <c r="E13" s="144"/>
      <c r="F13" s="144"/>
      <c r="G13" s="144"/>
      <c r="H13" s="144"/>
      <c r="I13" s="89"/>
      <c r="J13" s="90"/>
    </row>
    <row r="14" spans="1:15" x14ac:dyDescent="0.35">
      <c r="A14" s="143" t="s">
        <v>387</v>
      </c>
      <c r="B14" s="144"/>
      <c r="C14" s="144"/>
      <c r="D14" s="144"/>
      <c r="E14" s="144"/>
      <c r="F14" s="144"/>
      <c r="G14" s="144"/>
      <c r="H14" s="144"/>
      <c r="I14" s="89"/>
      <c r="J14" s="90"/>
    </row>
    <row r="15" spans="1:15" x14ac:dyDescent="0.35">
      <c r="A15" s="143" t="s">
        <v>388</v>
      </c>
      <c r="B15" s="144"/>
      <c r="C15" s="144"/>
      <c r="D15" s="144"/>
      <c r="E15" s="144"/>
      <c r="F15" s="144"/>
      <c r="G15" s="144"/>
      <c r="H15" s="144"/>
      <c r="I15" s="144"/>
      <c r="J15" s="145"/>
    </row>
    <row r="16" spans="1:15" x14ac:dyDescent="0.35">
      <c r="A16" s="143" t="s">
        <v>389</v>
      </c>
      <c r="B16" s="144"/>
      <c r="C16" s="144"/>
      <c r="D16" s="144"/>
      <c r="E16" s="144"/>
      <c r="F16" s="144"/>
      <c r="G16" s="144"/>
      <c r="H16" s="144"/>
      <c r="I16" s="89"/>
      <c r="J16" s="90"/>
    </row>
    <row r="17" spans="1:10" x14ac:dyDescent="0.35">
      <c r="A17" s="157" t="s">
        <v>390</v>
      </c>
      <c r="B17" s="158"/>
      <c r="C17" s="158"/>
      <c r="D17" s="158"/>
      <c r="E17" s="158"/>
      <c r="F17" s="158"/>
      <c r="G17" s="158"/>
      <c r="H17" s="158"/>
      <c r="I17" s="158"/>
      <c r="J17" s="159"/>
    </row>
    <row r="19" spans="1:10" ht="18.5" x14ac:dyDescent="0.45">
      <c r="A19" s="146" t="s">
        <v>289</v>
      </c>
      <c r="B19" s="147"/>
      <c r="C19" s="147"/>
      <c r="D19" s="148"/>
    </row>
    <row r="20" spans="1:10" ht="14.5" customHeight="1" x14ac:dyDescent="0.35">
      <c r="A20" s="160" t="s">
        <v>391</v>
      </c>
      <c r="B20" s="161"/>
      <c r="C20" s="161"/>
      <c r="D20" s="161"/>
      <c r="E20" s="161"/>
      <c r="F20" s="161"/>
      <c r="G20" s="161"/>
      <c r="H20" s="161"/>
      <c r="I20" s="161"/>
      <c r="J20" s="162"/>
    </row>
    <row r="21" spans="1:10" x14ac:dyDescent="0.35">
      <c r="A21" s="163"/>
      <c r="B21" s="164"/>
      <c r="C21" s="164"/>
      <c r="D21" s="164"/>
      <c r="E21" s="164"/>
      <c r="F21" s="164"/>
      <c r="G21" s="164"/>
      <c r="H21" s="164"/>
      <c r="I21" s="164"/>
      <c r="J21" s="165"/>
    </row>
    <row r="22" spans="1:10" x14ac:dyDescent="0.35">
      <c r="A22" s="143" t="s">
        <v>392</v>
      </c>
      <c r="B22" s="144"/>
      <c r="C22" s="144"/>
      <c r="D22" s="144"/>
      <c r="E22" s="144"/>
      <c r="F22" s="144"/>
      <c r="G22" s="144"/>
      <c r="H22" s="144"/>
      <c r="I22" s="89"/>
      <c r="J22" s="90"/>
    </row>
    <row r="23" spans="1:10" x14ac:dyDescent="0.35">
      <c r="A23" s="143" t="s">
        <v>393</v>
      </c>
      <c r="B23" s="144"/>
      <c r="C23" s="144"/>
      <c r="D23" s="144"/>
      <c r="E23" s="144"/>
      <c r="F23" s="144"/>
      <c r="G23" s="144"/>
      <c r="H23" s="144"/>
      <c r="I23" s="89"/>
      <c r="J23" s="90"/>
    </row>
    <row r="24" spans="1:10" x14ac:dyDescent="0.35">
      <c r="A24" s="143" t="s">
        <v>394</v>
      </c>
      <c r="B24" s="144"/>
      <c r="C24" s="144"/>
      <c r="D24" s="144"/>
      <c r="E24" s="144"/>
      <c r="F24" s="144"/>
      <c r="G24" s="144"/>
      <c r="H24" s="144"/>
      <c r="I24" s="144"/>
      <c r="J24" s="145"/>
    </row>
    <row r="25" spans="1:10" x14ac:dyDescent="0.35">
      <c r="A25" s="157" t="s">
        <v>395</v>
      </c>
      <c r="B25" s="158"/>
      <c r="C25" s="158"/>
      <c r="D25" s="158"/>
      <c r="E25" s="158"/>
      <c r="F25" s="158"/>
      <c r="G25" s="158"/>
      <c r="H25" s="158"/>
      <c r="I25" s="158"/>
      <c r="J25" s="159"/>
    </row>
  </sheetData>
  <mergeCells count="18">
    <mergeCell ref="A25:J25"/>
    <mergeCell ref="A16:H16"/>
    <mergeCell ref="A17:J17"/>
    <mergeCell ref="A22:H22"/>
    <mergeCell ref="A23:H23"/>
    <mergeCell ref="A20:J21"/>
    <mergeCell ref="G1:H1"/>
    <mergeCell ref="J1:K1"/>
    <mergeCell ref="M1:O1"/>
    <mergeCell ref="A24:J24"/>
    <mergeCell ref="A19:D19"/>
    <mergeCell ref="A11:B11"/>
    <mergeCell ref="A12:H12"/>
    <mergeCell ref="A13:H13"/>
    <mergeCell ref="A14:H14"/>
    <mergeCell ref="A15:J15"/>
    <mergeCell ref="A1:B1"/>
    <mergeCell ref="D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05B5-F50C-4783-A67A-430BB855796A}">
  <dimension ref="A4:AL71"/>
  <sheetViews>
    <sheetView showGridLines="0" zoomScaleNormal="100" workbookViewId="0">
      <selection activeCell="X27" sqref="X27"/>
    </sheetView>
  </sheetViews>
  <sheetFormatPr defaultRowHeight="14.5" x14ac:dyDescent="0.35"/>
  <cols>
    <col min="1" max="1" width="12.26953125" bestFit="1" customWidth="1"/>
    <col min="2" max="5" width="11.81640625" bestFit="1" customWidth="1"/>
    <col min="7" max="7" width="12.26953125" bestFit="1" customWidth="1"/>
    <col min="8" max="8" width="11.36328125" bestFit="1" customWidth="1"/>
    <col min="9" max="9" width="9.6328125" bestFit="1" customWidth="1"/>
    <col min="10" max="10" width="8.81640625" bestFit="1" customWidth="1"/>
    <col min="11" max="11" width="7.26953125" bestFit="1" customWidth="1"/>
    <col min="13" max="13" width="15.90625" bestFit="1" customWidth="1"/>
    <col min="14" max="14" width="11.36328125" bestFit="1" customWidth="1"/>
    <col min="15" max="15" width="10.08984375" bestFit="1" customWidth="1"/>
    <col min="16" max="16" width="8.81640625" bestFit="1" customWidth="1"/>
    <col min="17" max="17" width="7.26953125" bestFit="1" customWidth="1"/>
    <col min="22" max="22" width="11.7265625" customWidth="1"/>
    <col min="24" max="24" width="15.90625" bestFit="1" customWidth="1"/>
    <col min="25" max="25" width="13.1796875" bestFit="1" customWidth="1"/>
    <col min="26" max="26" width="10.54296875" bestFit="1" customWidth="1"/>
    <col min="27" max="27" width="11" bestFit="1" customWidth="1"/>
    <col min="28" max="28" width="9.453125" bestFit="1" customWidth="1"/>
    <col min="29" max="29" width="15.90625" bestFit="1" customWidth="1"/>
    <col min="30" max="30" width="13.1796875" bestFit="1" customWidth="1"/>
    <col min="31" max="31" width="13.453125" bestFit="1" customWidth="1"/>
    <col min="32" max="32" width="14.81640625" bestFit="1" customWidth="1"/>
    <col min="33" max="33" width="13.26953125" bestFit="1" customWidth="1"/>
    <col min="34" max="34" width="15.90625" bestFit="1" customWidth="1"/>
    <col min="35" max="35" width="13.1796875" bestFit="1" customWidth="1"/>
    <col min="36" max="36" width="13.453125" bestFit="1" customWidth="1"/>
    <col min="37" max="37" width="14.81640625" bestFit="1" customWidth="1"/>
    <col min="38" max="38" width="13.26953125" bestFit="1" customWidth="1"/>
  </cols>
  <sheetData>
    <row r="4" spans="1:38" ht="15.5" x14ac:dyDescent="0.35">
      <c r="A4" s="172" t="s">
        <v>297</v>
      </c>
      <c r="B4" s="172"/>
      <c r="C4" s="172"/>
      <c r="D4" s="172"/>
      <c r="E4" s="172"/>
      <c r="G4" s="172" t="s">
        <v>298</v>
      </c>
      <c r="H4" s="172"/>
      <c r="I4" s="172"/>
      <c r="J4" s="172"/>
      <c r="K4" s="172"/>
      <c r="M4" s="172" t="s">
        <v>299</v>
      </c>
      <c r="N4" s="172"/>
      <c r="O4" s="172"/>
      <c r="P4" s="172"/>
      <c r="Q4" s="172"/>
    </row>
    <row r="5" spans="1:38" ht="15.5" x14ac:dyDescent="0.35">
      <c r="X5" s="166" t="s">
        <v>326</v>
      </c>
      <c r="Y5" s="167"/>
      <c r="Z5" s="167"/>
      <c r="AA5" s="167"/>
      <c r="AB5" s="167"/>
      <c r="AC5" s="167"/>
      <c r="AD5" s="167"/>
      <c r="AE5" s="167"/>
      <c r="AF5" s="167"/>
      <c r="AG5" s="167"/>
      <c r="AH5" s="167"/>
      <c r="AI5" s="167"/>
      <c r="AJ5" s="167"/>
      <c r="AK5" s="167"/>
      <c r="AL5" s="168"/>
    </row>
    <row r="6" spans="1:38" x14ac:dyDescent="0.35">
      <c r="X6" s="95" t="s">
        <v>335</v>
      </c>
      <c r="Y6" s="3" t="s">
        <v>338</v>
      </c>
      <c r="AC6" s="95" t="s">
        <v>335</v>
      </c>
      <c r="AD6" s="3" t="s">
        <v>338</v>
      </c>
      <c r="AH6" s="95" t="s">
        <v>335</v>
      </c>
      <c r="AI6" s="3" t="s">
        <v>338</v>
      </c>
    </row>
    <row r="7" spans="1:38" x14ac:dyDescent="0.35">
      <c r="A7" s="58" t="s">
        <v>335</v>
      </c>
      <c r="B7" s="1" t="s">
        <v>338</v>
      </c>
      <c r="G7" s="95" t="s">
        <v>1</v>
      </c>
      <c r="H7" s="3" t="s">
        <v>48</v>
      </c>
      <c r="M7" s="95" t="s">
        <v>1</v>
      </c>
      <c r="N7" s="3" t="s">
        <v>48</v>
      </c>
      <c r="X7" s="95" t="s">
        <v>1</v>
      </c>
      <c r="Y7" s="3" t="s">
        <v>48</v>
      </c>
      <c r="AC7" s="95" t="s">
        <v>1</v>
      </c>
      <c r="AD7" s="3" t="s">
        <v>48</v>
      </c>
      <c r="AH7" s="95" t="s">
        <v>1</v>
      </c>
      <c r="AI7" s="3" t="s">
        <v>48</v>
      </c>
    </row>
    <row r="8" spans="1:38" x14ac:dyDescent="0.35">
      <c r="A8" s="58" t="s">
        <v>1</v>
      </c>
      <c r="B8" s="1" t="s">
        <v>48</v>
      </c>
      <c r="G8" s="95" t="s">
        <v>335</v>
      </c>
      <c r="H8" s="3" t="s">
        <v>338</v>
      </c>
      <c r="M8" s="95" t="s">
        <v>335</v>
      </c>
      <c r="N8" s="3" t="s">
        <v>338</v>
      </c>
      <c r="X8" s="95" t="s">
        <v>0</v>
      </c>
      <c r="Y8" s="3" t="s">
        <v>67</v>
      </c>
      <c r="AC8" s="95" t="s">
        <v>0</v>
      </c>
      <c r="AD8" s="3" t="s">
        <v>67</v>
      </c>
      <c r="AH8" s="95" t="s">
        <v>0</v>
      </c>
      <c r="AI8" s="3" t="s">
        <v>67</v>
      </c>
    </row>
    <row r="10" spans="1:38" x14ac:dyDescent="0.35">
      <c r="A10" s="58" t="s">
        <v>3</v>
      </c>
      <c r="B10" s="1" t="s">
        <v>293</v>
      </c>
      <c r="C10" s="1" t="s">
        <v>339</v>
      </c>
      <c r="D10" s="1" t="s">
        <v>333</v>
      </c>
      <c r="E10" s="1" t="s">
        <v>337</v>
      </c>
      <c r="G10" s="95" t="s">
        <v>4</v>
      </c>
      <c r="H10" s="3" t="s">
        <v>293</v>
      </c>
      <c r="I10" s="3" t="s">
        <v>348</v>
      </c>
      <c r="J10" s="3" t="s">
        <v>333</v>
      </c>
      <c r="K10" s="3" t="s">
        <v>337</v>
      </c>
      <c r="L10" s="94"/>
      <c r="M10" s="95" t="s">
        <v>300</v>
      </c>
      <c r="N10" s="3" t="s">
        <v>293</v>
      </c>
      <c r="O10" s="3" t="s">
        <v>349</v>
      </c>
      <c r="P10" s="3" t="s">
        <v>333</v>
      </c>
      <c r="Q10" s="3" t="s">
        <v>337</v>
      </c>
      <c r="X10" s="95" t="s">
        <v>300</v>
      </c>
      <c r="Y10" s="3" t="s">
        <v>293</v>
      </c>
      <c r="Z10" s="3" t="s">
        <v>350</v>
      </c>
      <c r="AA10" s="3" t="s">
        <v>351</v>
      </c>
      <c r="AB10" s="3" t="s">
        <v>334</v>
      </c>
      <c r="AC10" s="95" t="s">
        <v>300</v>
      </c>
      <c r="AD10" s="3" t="s">
        <v>293</v>
      </c>
      <c r="AE10" s="3" t="s">
        <v>331</v>
      </c>
      <c r="AF10" s="3" t="s">
        <v>352</v>
      </c>
      <c r="AG10" s="3" t="s">
        <v>332</v>
      </c>
      <c r="AH10" s="95" t="s">
        <v>300</v>
      </c>
      <c r="AI10" s="3" t="s">
        <v>293</v>
      </c>
      <c r="AJ10" s="3" t="s">
        <v>331</v>
      </c>
      <c r="AK10" s="3" t="s">
        <v>352</v>
      </c>
      <c r="AL10" s="3" t="s">
        <v>332</v>
      </c>
    </row>
    <row r="11" spans="1:38" x14ac:dyDescent="0.35">
      <c r="A11" s="1" t="s">
        <v>21</v>
      </c>
      <c r="B11" s="1">
        <v>5752456.410000002</v>
      </c>
      <c r="C11" s="60">
        <v>5.2299538005300406E-2</v>
      </c>
      <c r="D11" s="59">
        <v>6.9785881342430702</v>
      </c>
      <c r="E11" s="59">
        <v>5.9785881342430702</v>
      </c>
      <c r="G11" s="3" t="s">
        <v>38</v>
      </c>
      <c r="H11" s="16">
        <v>13411770.059999995</v>
      </c>
      <c r="I11" s="96">
        <v>4.225621971593814E-2</v>
      </c>
      <c r="J11" s="16">
        <v>8.3072680854454397</v>
      </c>
      <c r="K11" s="16">
        <v>7.3072680854454397</v>
      </c>
      <c r="L11" s="94"/>
      <c r="M11" s="3" t="s">
        <v>67</v>
      </c>
      <c r="N11" s="16">
        <v>470183.42</v>
      </c>
      <c r="O11" s="96">
        <v>5.4739683276047488E-2</v>
      </c>
      <c r="P11" s="16">
        <v>49.808832004203495</v>
      </c>
      <c r="Q11" s="16">
        <v>48.808832004203495</v>
      </c>
      <c r="X11" s="3" t="s">
        <v>43</v>
      </c>
      <c r="Y11" s="3">
        <v>130203.7</v>
      </c>
      <c r="Z11" s="96">
        <v>1.581291244101975E-2</v>
      </c>
      <c r="AA11" s="16">
        <v>70.244445883101889</v>
      </c>
      <c r="AB11" s="16">
        <v>69.244445883101889</v>
      </c>
      <c r="AC11" s="3" t="s">
        <v>38</v>
      </c>
      <c r="AD11" s="3">
        <v>130203.7</v>
      </c>
      <c r="AE11" s="96">
        <v>1.581291244101975E-2</v>
      </c>
      <c r="AF11" s="16">
        <v>70.244445883101889</v>
      </c>
      <c r="AG11" s="16">
        <v>69.244445883101889</v>
      </c>
      <c r="AH11" s="3" t="s">
        <v>20</v>
      </c>
      <c r="AI11" s="3">
        <v>117021.51</v>
      </c>
      <c r="AJ11" s="96">
        <v>7.8665732199344612E-2</v>
      </c>
      <c r="AK11" s="16">
        <v>39.354804102909029</v>
      </c>
      <c r="AL11" s="16">
        <v>38.354804102909029</v>
      </c>
    </row>
    <row r="12" spans="1:38" x14ac:dyDescent="0.35">
      <c r="A12" s="1" t="s">
        <v>59</v>
      </c>
      <c r="B12" s="1">
        <v>5456684.9400000004</v>
      </c>
      <c r="C12" s="60">
        <v>5.2879936554344462E-2</v>
      </c>
      <c r="D12" s="59">
        <v>9.5186434188796625</v>
      </c>
      <c r="E12" s="59">
        <v>8.5186434188796625</v>
      </c>
      <c r="G12" s="3" t="s">
        <v>22</v>
      </c>
      <c r="H12" s="16">
        <v>11066499.699999997</v>
      </c>
      <c r="I12" s="96">
        <v>4.9211294786123273E-2</v>
      </c>
      <c r="J12" s="16">
        <v>9.3221436326514109</v>
      </c>
      <c r="K12" s="16">
        <v>8.3221436326514091</v>
      </c>
      <c r="L12" s="94"/>
      <c r="M12" s="3" t="s">
        <v>119</v>
      </c>
      <c r="N12" s="16">
        <v>263675.5</v>
      </c>
      <c r="O12" s="96">
        <v>3.7707357078747908E-2</v>
      </c>
      <c r="P12" s="16">
        <v>39.090603151259259</v>
      </c>
      <c r="Q12" s="16">
        <v>38.090603151259259</v>
      </c>
      <c r="X12" s="3" t="s">
        <v>63</v>
      </c>
      <c r="Y12" s="3">
        <v>339979.72</v>
      </c>
      <c r="Z12" s="96">
        <v>8.0795095493689142E-2</v>
      </c>
      <c r="AA12" s="16">
        <v>44.815667437366365</v>
      </c>
      <c r="AB12" s="16">
        <v>43.815667437366365</v>
      </c>
      <c r="AC12" s="3" t="s">
        <v>22</v>
      </c>
      <c r="AD12" s="3">
        <v>339979.72</v>
      </c>
      <c r="AE12" s="96">
        <v>8.1292499254678213E-2</v>
      </c>
      <c r="AF12" s="16">
        <v>43.845370564336392</v>
      </c>
      <c r="AG12" s="16">
        <v>42.845370564336392</v>
      </c>
      <c r="AH12" s="3" t="s">
        <v>69</v>
      </c>
      <c r="AI12" s="3">
        <v>353161.91</v>
      </c>
      <c r="AJ12" s="96">
        <v>4.9866089375515781E-2</v>
      </c>
      <c r="AK12" s="16">
        <v>59.290191454432829</v>
      </c>
      <c r="AL12" s="16">
        <v>58.290191454432829</v>
      </c>
    </row>
    <row r="13" spans="1:38" x14ac:dyDescent="0.35">
      <c r="A13" s="1" t="s">
        <v>43</v>
      </c>
      <c r="B13" s="1">
        <v>4715823.66</v>
      </c>
      <c r="C13" s="60">
        <v>4.0631488173317687E-2</v>
      </c>
      <c r="D13" s="59">
        <v>9.5181426801544902</v>
      </c>
      <c r="E13" s="59">
        <v>8.5181426801544902</v>
      </c>
      <c r="G13" s="3" t="s">
        <v>30</v>
      </c>
      <c r="H13" s="16">
        <v>8316008.4900000021</v>
      </c>
      <c r="I13" s="96">
        <v>4.1338631995954125E-2</v>
      </c>
      <c r="J13" s="16">
        <v>8.6564765420030536</v>
      </c>
      <c r="K13" s="16">
        <v>7.6564765420030536</v>
      </c>
      <c r="L13" s="94"/>
      <c r="M13" s="3" t="s">
        <v>81</v>
      </c>
      <c r="N13" s="16">
        <v>514750.27999999997</v>
      </c>
      <c r="O13" s="96">
        <v>3.9824211860401242E-2</v>
      </c>
      <c r="P13" s="16">
        <v>36.90235988581243</v>
      </c>
      <c r="Q13" s="16">
        <v>35.902359885812437</v>
      </c>
      <c r="X13" s="3" t="s">
        <v>198</v>
      </c>
      <c r="Y13" s="3">
        <v>470183.42</v>
      </c>
      <c r="Z13" s="96">
        <v>5.4739683276047488E-2</v>
      </c>
      <c r="AA13" s="16">
        <v>49.808832004203495</v>
      </c>
      <c r="AB13" s="16">
        <v>48.808832004203495</v>
      </c>
      <c r="AC13" s="3" t="s">
        <v>198</v>
      </c>
      <c r="AD13" s="3">
        <v>470183.42</v>
      </c>
      <c r="AE13" s="96">
        <v>5.9465970316792051E-2</v>
      </c>
      <c r="AF13" s="16">
        <v>52.645062337258224</v>
      </c>
      <c r="AG13" s="16">
        <v>51.645062337258224</v>
      </c>
      <c r="AH13" s="3" t="s">
        <v>198</v>
      </c>
      <c r="AI13" s="3">
        <v>470183.42</v>
      </c>
      <c r="AJ13" s="96">
        <v>5.9465970316792051E-2</v>
      </c>
      <c r="AK13" s="16">
        <v>52.645062337258224</v>
      </c>
      <c r="AL13" s="16">
        <v>51.645062337258224</v>
      </c>
    </row>
    <row r="14" spans="1:38" x14ac:dyDescent="0.35">
      <c r="A14" s="1" t="s">
        <v>37</v>
      </c>
      <c r="B14" s="1">
        <v>4839371.09</v>
      </c>
      <c r="C14" s="60">
        <v>4.3217480903803909E-2</v>
      </c>
      <c r="D14" s="59">
        <v>8.9268584256247259</v>
      </c>
      <c r="E14" s="59">
        <v>7.926858425624725</v>
      </c>
      <c r="G14" s="3" t="s">
        <v>198</v>
      </c>
      <c r="H14" s="16">
        <v>32794278.250000004</v>
      </c>
      <c r="I14" s="96">
        <v>4.4331163376109976E-2</v>
      </c>
      <c r="J14" s="16">
        <v>8.7166646158552972</v>
      </c>
      <c r="K14" s="16">
        <v>7.7166646158552963</v>
      </c>
      <c r="L14" s="94"/>
      <c r="M14" s="3" t="s">
        <v>113</v>
      </c>
      <c r="N14" s="16">
        <v>377944.42</v>
      </c>
      <c r="O14" s="96">
        <v>4.9339735113340458E-2</v>
      </c>
      <c r="P14" s="16">
        <v>34.450095617631568</v>
      </c>
      <c r="Q14" s="16">
        <v>33.450095617631568</v>
      </c>
    </row>
    <row r="15" spans="1:38" x14ac:dyDescent="0.35">
      <c r="A15" s="1" t="s">
        <v>63</v>
      </c>
      <c r="B15" s="1">
        <v>5186485.75</v>
      </c>
      <c r="C15" s="60">
        <v>3.4859291524524341E-2</v>
      </c>
      <c r="D15" s="59">
        <v>9.7150134692808336</v>
      </c>
      <c r="E15" s="59">
        <v>8.7150134692808336</v>
      </c>
      <c r="G15" s="94"/>
      <c r="H15" s="94"/>
      <c r="I15" s="94"/>
      <c r="J15" s="94"/>
      <c r="K15" s="94"/>
      <c r="L15" s="94"/>
      <c r="M15" s="3" t="s">
        <v>117</v>
      </c>
      <c r="N15" s="16">
        <v>371544.1</v>
      </c>
      <c r="O15" s="96">
        <v>2.4726478355584221E-2</v>
      </c>
      <c r="P15" s="16">
        <v>33.986246122689053</v>
      </c>
      <c r="Q15" s="16">
        <v>32.986246122689053</v>
      </c>
    </row>
    <row r="16" spans="1:38" x14ac:dyDescent="0.35">
      <c r="A16" s="1" t="s">
        <v>51</v>
      </c>
      <c r="B16" s="1">
        <v>6843456.3999999994</v>
      </c>
      <c r="C16" s="60">
        <v>4.538033410938052E-2</v>
      </c>
      <c r="D16" s="59">
        <v>8.6270660779356731</v>
      </c>
      <c r="E16" s="59">
        <v>7.6270660779356723</v>
      </c>
      <c r="G16" s="94"/>
      <c r="H16" s="94"/>
      <c r="I16" s="94"/>
      <c r="J16" s="94"/>
      <c r="K16" s="94"/>
      <c r="L16" s="94"/>
      <c r="M16" s="3" t="s">
        <v>95</v>
      </c>
      <c r="N16" s="16">
        <v>878537.79</v>
      </c>
      <c r="O16" s="96">
        <v>3.0765216576265589E-2</v>
      </c>
      <c r="P16" s="16">
        <v>29.642846562606817</v>
      </c>
      <c r="Q16" s="16">
        <v>28.642846562606813</v>
      </c>
    </row>
    <row r="17" spans="1:30" x14ac:dyDescent="0.35">
      <c r="A17" s="1" t="s">
        <v>198</v>
      </c>
      <c r="B17" s="1">
        <v>32794278.250000007</v>
      </c>
      <c r="C17" s="60">
        <v>4.4331163376109976E-2</v>
      </c>
      <c r="D17" s="59">
        <v>8.7166646158552989</v>
      </c>
      <c r="E17" s="59">
        <v>7.7166646158552981</v>
      </c>
      <c r="G17" s="94"/>
      <c r="H17" s="94"/>
      <c r="I17" s="94"/>
      <c r="J17" s="94"/>
      <c r="K17" s="94"/>
      <c r="L17" s="94"/>
      <c r="M17" s="3" t="s">
        <v>71</v>
      </c>
      <c r="N17" s="16">
        <v>610341.17000000004</v>
      </c>
      <c r="O17" s="96">
        <v>4.4290797263297078E-2</v>
      </c>
      <c r="P17" s="16">
        <v>25.650525394744751</v>
      </c>
      <c r="Q17" s="16">
        <v>24.650525394744751</v>
      </c>
    </row>
    <row r="18" spans="1:30" x14ac:dyDescent="0.35">
      <c r="G18" s="94"/>
      <c r="H18" s="94"/>
      <c r="I18" s="94"/>
      <c r="J18" s="94"/>
      <c r="K18" s="94"/>
      <c r="L18" s="94"/>
      <c r="M18" s="3" t="s">
        <v>104</v>
      </c>
      <c r="N18" s="16">
        <v>303737.44</v>
      </c>
      <c r="O18" s="96">
        <v>0.74319912948857458</v>
      </c>
      <c r="P18" s="16">
        <v>22.200789686420524</v>
      </c>
      <c r="Q18" s="16">
        <v>21.200789686420524</v>
      </c>
    </row>
    <row r="19" spans="1:30" ht="15.5" customHeight="1" x14ac:dyDescent="0.35">
      <c r="A19" s="173" t="s">
        <v>294</v>
      </c>
      <c r="B19" s="173"/>
      <c r="G19" s="170" t="s">
        <v>294</v>
      </c>
      <c r="H19" s="170"/>
      <c r="I19" s="94"/>
      <c r="J19" s="94"/>
      <c r="K19" s="94"/>
      <c r="L19" s="94"/>
      <c r="M19" s="3" t="s">
        <v>62</v>
      </c>
      <c r="N19" s="16">
        <v>858428.03</v>
      </c>
      <c r="O19" s="96">
        <v>5.9659098518576627E-2</v>
      </c>
      <c r="P19" s="16">
        <v>16.876413014309293</v>
      </c>
      <c r="Q19" s="16">
        <v>15.876413014309293</v>
      </c>
      <c r="R19" s="170" t="s">
        <v>294</v>
      </c>
      <c r="S19" s="170"/>
      <c r="X19" s="169" t="s">
        <v>294</v>
      </c>
      <c r="Y19" s="169"/>
    </row>
    <row r="20" spans="1:30" ht="56" customHeight="1" x14ac:dyDescent="0.35">
      <c r="A20" s="171" t="s">
        <v>375</v>
      </c>
      <c r="B20" s="171"/>
      <c r="C20" s="171"/>
      <c r="D20" s="171"/>
      <c r="E20" s="171"/>
      <c r="G20" s="171" t="s">
        <v>378</v>
      </c>
      <c r="H20" s="171"/>
      <c r="I20" s="171"/>
      <c r="J20" s="171"/>
      <c r="K20" s="171"/>
      <c r="L20" s="94"/>
      <c r="M20" s="3" t="s">
        <v>99</v>
      </c>
      <c r="N20" s="16">
        <v>445960.66000000003</v>
      </c>
      <c r="O20" s="96">
        <v>4.1600501784525894E-2</v>
      </c>
      <c r="P20" s="16">
        <v>16.684892965948965</v>
      </c>
      <c r="Q20" s="16">
        <v>15.684892965948963</v>
      </c>
      <c r="R20" s="171" t="s">
        <v>381</v>
      </c>
      <c r="S20" s="171"/>
      <c r="T20" s="171"/>
      <c r="U20" s="171"/>
      <c r="V20" s="171"/>
      <c r="X20" s="171" t="s">
        <v>384</v>
      </c>
      <c r="Y20" s="171"/>
      <c r="Z20" s="171"/>
      <c r="AA20" s="171"/>
      <c r="AB20" s="171"/>
      <c r="AC20" s="171"/>
      <c r="AD20" s="171"/>
    </row>
    <row r="21" spans="1:30" x14ac:dyDescent="0.35">
      <c r="G21" s="94"/>
      <c r="H21" s="94"/>
      <c r="I21" s="94"/>
      <c r="J21" s="94"/>
      <c r="K21" s="94"/>
      <c r="L21" s="94"/>
      <c r="M21" s="3" t="s">
        <v>89</v>
      </c>
      <c r="N21" s="16">
        <v>774787.31</v>
      </c>
      <c r="O21" s="96">
        <v>4.6782104407601215E-2</v>
      </c>
      <c r="P21" s="16">
        <v>16.655942526168293</v>
      </c>
      <c r="Q21" s="16">
        <v>15.655942526168293</v>
      </c>
    </row>
    <row r="22" spans="1:30" ht="15.5" x14ac:dyDescent="0.35">
      <c r="A22" s="173" t="s">
        <v>295</v>
      </c>
      <c r="B22" s="173"/>
      <c r="G22" s="170" t="s">
        <v>295</v>
      </c>
      <c r="H22" s="170"/>
      <c r="I22" s="94"/>
      <c r="J22" s="94"/>
      <c r="K22" s="94"/>
      <c r="L22" s="94"/>
      <c r="M22" s="3" t="s">
        <v>101</v>
      </c>
      <c r="N22" s="16">
        <v>300783.61</v>
      </c>
      <c r="O22" s="96">
        <v>8.6625327204239294E-2</v>
      </c>
      <c r="P22" s="16">
        <v>16.380997116830972</v>
      </c>
      <c r="Q22" s="16">
        <v>15.380997116830974</v>
      </c>
      <c r="R22" s="170" t="s">
        <v>295</v>
      </c>
      <c r="S22" s="170"/>
      <c r="T22" s="94"/>
      <c r="U22" s="94"/>
      <c r="V22" s="94"/>
      <c r="X22" s="169" t="s">
        <v>295</v>
      </c>
      <c r="Y22" s="169"/>
      <c r="Z22" s="94"/>
      <c r="AA22" s="94"/>
      <c r="AB22" s="94"/>
    </row>
    <row r="23" spans="1:30" ht="118" customHeight="1" x14ac:dyDescent="0.35">
      <c r="A23" s="171" t="s">
        <v>376</v>
      </c>
      <c r="B23" s="171"/>
      <c r="C23" s="171"/>
      <c r="D23" s="171"/>
      <c r="E23" s="171"/>
      <c r="G23" s="171" t="s">
        <v>379</v>
      </c>
      <c r="H23" s="171"/>
      <c r="I23" s="171"/>
      <c r="J23" s="171"/>
      <c r="K23" s="171"/>
      <c r="L23" s="94"/>
      <c r="M23" s="3" t="s">
        <v>72</v>
      </c>
      <c r="N23" s="16">
        <v>1297522.52</v>
      </c>
      <c r="O23" s="96">
        <v>3.3016957364230153E-2</v>
      </c>
      <c r="P23" s="16">
        <v>16.308563474906801</v>
      </c>
      <c r="Q23" s="16">
        <v>15.308563474906801</v>
      </c>
      <c r="R23" s="171" t="s">
        <v>382</v>
      </c>
      <c r="S23" s="171"/>
      <c r="T23" s="171"/>
      <c r="U23" s="171"/>
      <c r="V23" s="171"/>
      <c r="X23" s="171" t="s">
        <v>385</v>
      </c>
      <c r="Y23" s="171"/>
      <c r="Z23" s="171"/>
      <c r="AA23" s="171"/>
      <c r="AB23" s="171"/>
      <c r="AC23" s="171"/>
      <c r="AD23" s="171"/>
    </row>
    <row r="24" spans="1:30" x14ac:dyDescent="0.35">
      <c r="G24" s="94"/>
      <c r="H24" s="94"/>
      <c r="I24" s="94"/>
      <c r="J24" s="94"/>
      <c r="K24" s="94"/>
      <c r="L24" s="94"/>
      <c r="M24" s="3" t="s">
        <v>84</v>
      </c>
      <c r="N24" s="16">
        <v>329943.33</v>
      </c>
      <c r="O24" s="96">
        <v>3.1374656238700359E-2</v>
      </c>
      <c r="P24" s="16">
        <v>16.282819464568423</v>
      </c>
      <c r="Q24" s="16">
        <v>15.282819464568425</v>
      </c>
    </row>
    <row r="25" spans="1:30" ht="15.5" x14ac:dyDescent="0.35">
      <c r="A25" s="173" t="s">
        <v>296</v>
      </c>
      <c r="B25" s="173"/>
      <c r="G25" s="170" t="s">
        <v>296</v>
      </c>
      <c r="H25" s="170"/>
      <c r="I25" s="94"/>
      <c r="J25" s="94"/>
      <c r="K25" s="94"/>
      <c r="L25" s="94"/>
      <c r="M25" s="3" t="s">
        <v>83</v>
      </c>
      <c r="N25" s="16">
        <v>465725.04</v>
      </c>
      <c r="O25" s="96">
        <v>4.2015378788271857E-2</v>
      </c>
      <c r="P25" s="16">
        <v>14.947479301084845</v>
      </c>
      <c r="Q25" s="16">
        <v>13.947479301084845</v>
      </c>
      <c r="R25" s="170" t="s">
        <v>296</v>
      </c>
      <c r="S25" s="170"/>
      <c r="T25" s="94"/>
      <c r="U25" s="94"/>
      <c r="V25" s="94"/>
      <c r="X25" s="169" t="s">
        <v>296</v>
      </c>
      <c r="Y25" s="169"/>
      <c r="Z25" s="94"/>
      <c r="AA25" s="94"/>
      <c r="AB25" s="94"/>
    </row>
    <row r="26" spans="1:30" ht="120" customHeight="1" x14ac:dyDescent="0.35">
      <c r="A26" s="171" t="s">
        <v>377</v>
      </c>
      <c r="B26" s="171"/>
      <c r="C26" s="171"/>
      <c r="D26" s="171"/>
      <c r="E26" s="171"/>
      <c r="G26" s="171" t="s">
        <v>380</v>
      </c>
      <c r="H26" s="171"/>
      <c r="I26" s="171"/>
      <c r="J26" s="171"/>
      <c r="K26" s="171"/>
      <c r="L26" s="94"/>
      <c r="M26" s="3" t="s">
        <v>118</v>
      </c>
      <c r="N26" s="16">
        <v>205490.50999999998</v>
      </c>
      <c r="O26" s="96">
        <v>2.6169264054292797E-2</v>
      </c>
      <c r="P26" s="16">
        <v>14.923155634277927</v>
      </c>
      <c r="Q26" s="16">
        <v>13.923155634277927</v>
      </c>
      <c r="R26" s="171" t="s">
        <v>383</v>
      </c>
      <c r="S26" s="171"/>
      <c r="T26" s="171"/>
      <c r="U26" s="171"/>
      <c r="V26" s="171"/>
      <c r="X26" s="171" t="s">
        <v>386</v>
      </c>
      <c r="Y26" s="171"/>
      <c r="Z26" s="171"/>
      <c r="AA26" s="171"/>
      <c r="AB26" s="171"/>
      <c r="AC26" s="171"/>
      <c r="AD26" s="171"/>
    </row>
    <row r="27" spans="1:30" x14ac:dyDescent="0.35">
      <c r="G27" s="94"/>
      <c r="H27" s="94"/>
      <c r="I27" s="94"/>
      <c r="J27" s="94"/>
      <c r="K27" s="94"/>
      <c r="L27" s="94"/>
      <c r="M27" s="3" t="s">
        <v>115</v>
      </c>
      <c r="N27" s="16">
        <v>253745.99</v>
      </c>
      <c r="O27" s="96">
        <v>3.2619899859039875E-2</v>
      </c>
      <c r="P27" s="16">
        <v>13.763778370104221</v>
      </c>
      <c r="Q27" s="16">
        <v>12.763778370104221</v>
      </c>
    </row>
    <row r="28" spans="1:30" x14ac:dyDescent="0.35">
      <c r="G28" s="94"/>
      <c r="H28" s="94"/>
      <c r="I28" s="94"/>
      <c r="J28" s="94"/>
      <c r="K28" s="94"/>
      <c r="L28" s="94"/>
      <c r="M28" s="3" t="s">
        <v>100</v>
      </c>
      <c r="N28" s="16">
        <v>788618</v>
      </c>
      <c r="O28" s="96">
        <v>2.7211311141186773E-2</v>
      </c>
      <c r="P28" s="16">
        <v>13.306125520502118</v>
      </c>
      <c r="Q28" s="16">
        <v>12.306125520502118</v>
      </c>
    </row>
    <row r="29" spans="1:30" x14ac:dyDescent="0.35">
      <c r="G29" s="94"/>
      <c r="H29" s="94"/>
      <c r="I29" s="94"/>
      <c r="J29" s="94"/>
      <c r="K29" s="94"/>
      <c r="L29" s="94"/>
      <c r="M29" s="3" t="s">
        <v>102</v>
      </c>
      <c r="N29" s="16">
        <v>673088.25</v>
      </c>
      <c r="O29" s="96">
        <v>4.8393102663386714E-2</v>
      </c>
      <c r="P29" s="16">
        <v>13.275179694359833</v>
      </c>
      <c r="Q29" s="16">
        <v>12.275179694359833</v>
      </c>
    </row>
    <row r="30" spans="1:30" x14ac:dyDescent="0.35">
      <c r="G30" s="94"/>
      <c r="H30" s="94"/>
      <c r="I30" s="94"/>
      <c r="J30" s="94"/>
      <c r="K30" s="94"/>
      <c r="L30" s="94"/>
      <c r="M30" s="3" t="s">
        <v>96</v>
      </c>
      <c r="N30" s="16">
        <v>813422.77</v>
      </c>
      <c r="O30" s="96">
        <v>3.5804675307873311E-2</v>
      </c>
      <c r="P30" s="16">
        <v>11.667992368250696</v>
      </c>
      <c r="Q30" s="16">
        <v>10.667992368250696</v>
      </c>
    </row>
    <row r="31" spans="1:30" x14ac:dyDescent="0.35">
      <c r="G31" s="94"/>
      <c r="H31" s="94"/>
      <c r="I31" s="94"/>
      <c r="J31" s="94"/>
      <c r="K31" s="94"/>
      <c r="L31" s="94"/>
      <c r="M31" s="3" t="s">
        <v>109</v>
      </c>
      <c r="N31" s="16">
        <v>605011.24</v>
      </c>
      <c r="O31" s="96">
        <v>2.9114482100635226E-2</v>
      </c>
      <c r="P31" s="16">
        <v>11.441100700428191</v>
      </c>
      <c r="Q31" s="16">
        <v>10.441100700428191</v>
      </c>
    </row>
    <row r="32" spans="1:30" x14ac:dyDescent="0.35">
      <c r="G32" s="94"/>
      <c r="H32" s="94"/>
      <c r="I32" s="94"/>
      <c r="J32" s="94"/>
      <c r="K32" s="94"/>
      <c r="L32" s="94"/>
      <c r="M32" s="3" t="s">
        <v>87</v>
      </c>
      <c r="N32" s="16">
        <v>1168528.6100000003</v>
      </c>
      <c r="O32" s="96">
        <v>4.3060290922436621E-2</v>
      </c>
      <c r="P32" s="16">
        <v>11.127357077906641</v>
      </c>
      <c r="Q32" s="16">
        <v>10.127357077906641</v>
      </c>
    </row>
    <row r="33" spans="7:17" x14ac:dyDescent="0.35">
      <c r="G33" s="94"/>
      <c r="H33" s="94"/>
      <c r="I33" s="94"/>
      <c r="J33" s="94"/>
      <c r="K33" s="94"/>
      <c r="L33" s="94"/>
      <c r="M33" s="3" t="s">
        <v>106</v>
      </c>
      <c r="N33" s="16">
        <v>357192.18</v>
      </c>
      <c r="O33" s="96">
        <v>1.6664458990085305E-2</v>
      </c>
      <c r="P33" s="16">
        <v>11.124893365936337</v>
      </c>
      <c r="Q33" s="16">
        <v>10.124893365936337</v>
      </c>
    </row>
    <row r="34" spans="7:17" x14ac:dyDescent="0.35">
      <c r="G34" s="94"/>
      <c r="H34" s="94"/>
      <c r="I34" s="94"/>
      <c r="J34" s="94"/>
      <c r="K34" s="94"/>
      <c r="L34" s="94"/>
      <c r="M34" s="3" t="s">
        <v>107</v>
      </c>
      <c r="N34" s="16">
        <v>398499.38999999996</v>
      </c>
      <c r="O34" s="96">
        <v>3.6928430929025848E-2</v>
      </c>
      <c r="P34" s="16">
        <v>10.054681148793865</v>
      </c>
      <c r="Q34" s="16">
        <v>9.054681148793863</v>
      </c>
    </row>
    <row r="35" spans="7:17" x14ac:dyDescent="0.35">
      <c r="G35" s="94"/>
      <c r="H35" s="94"/>
      <c r="I35" s="94"/>
      <c r="J35" s="94"/>
      <c r="K35" s="94"/>
      <c r="L35" s="94"/>
      <c r="M35" s="3" t="s">
        <v>97</v>
      </c>
      <c r="N35" s="16">
        <v>1060969.7200000002</v>
      </c>
      <c r="O35" s="96">
        <v>2.7338619775346896E-2</v>
      </c>
      <c r="P35" s="16">
        <v>9.977803878175532</v>
      </c>
      <c r="Q35" s="16">
        <v>8.9778038781755338</v>
      </c>
    </row>
    <row r="36" spans="7:17" x14ac:dyDescent="0.35">
      <c r="G36" s="94"/>
      <c r="H36" s="94"/>
      <c r="I36" s="94"/>
      <c r="J36" s="94"/>
      <c r="K36" s="94"/>
      <c r="L36" s="94"/>
      <c r="M36" s="3" t="s">
        <v>34</v>
      </c>
      <c r="N36" s="16">
        <v>1198796.98</v>
      </c>
      <c r="O36" s="96">
        <v>7.0826572857321884E-2</v>
      </c>
      <c r="P36" s="16">
        <v>9.7838846412782861</v>
      </c>
      <c r="Q36" s="16">
        <v>8.7838846412782861</v>
      </c>
    </row>
    <row r="37" spans="7:17" x14ac:dyDescent="0.35">
      <c r="G37" s="94"/>
      <c r="H37" s="94"/>
      <c r="I37" s="94"/>
      <c r="J37" s="94"/>
      <c r="K37" s="94"/>
      <c r="L37" s="94"/>
      <c r="M37" s="3" t="s">
        <v>103</v>
      </c>
      <c r="N37" s="16">
        <v>632138.10000000009</v>
      </c>
      <c r="O37" s="96">
        <v>3.7604258274255398E-2</v>
      </c>
      <c r="P37" s="16">
        <v>9.6203456906462304</v>
      </c>
      <c r="Q37" s="16">
        <v>8.6203456906462304</v>
      </c>
    </row>
    <row r="38" spans="7:17" x14ac:dyDescent="0.35">
      <c r="G38" s="94"/>
      <c r="H38" s="94"/>
      <c r="I38" s="94"/>
      <c r="J38" s="94"/>
      <c r="K38" s="94"/>
      <c r="L38" s="94"/>
      <c r="M38" s="3" t="s">
        <v>50</v>
      </c>
      <c r="N38" s="16">
        <v>919152.77000000014</v>
      </c>
      <c r="O38" s="96">
        <v>4.9159701758617433E-2</v>
      </c>
      <c r="P38" s="16">
        <v>9.4808520167392256</v>
      </c>
      <c r="Q38" s="16">
        <v>8.4808520167392256</v>
      </c>
    </row>
    <row r="39" spans="7:17" x14ac:dyDescent="0.35">
      <c r="G39" s="94"/>
      <c r="H39" s="94"/>
      <c r="I39" s="94"/>
      <c r="J39" s="94"/>
      <c r="K39" s="94"/>
      <c r="L39" s="94"/>
      <c r="M39" s="3" t="s">
        <v>86</v>
      </c>
      <c r="N39" s="16">
        <v>807822.1</v>
      </c>
      <c r="O39" s="96">
        <v>7.8665715156837124E-2</v>
      </c>
      <c r="P39" s="16">
        <v>9.2323633597888897</v>
      </c>
      <c r="Q39" s="16">
        <v>8.2323633597888914</v>
      </c>
    </row>
    <row r="40" spans="7:17" x14ac:dyDescent="0.35">
      <c r="G40" s="94"/>
      <c r="H40" s="94"/>
      <c r="I40" s="94"/>
      <c r="J40" s="94"/>
      <c r="K40" s="94"/>
      <c r="L40" s="94"/>
      <c r="M40" s="3" t="s">
        <v>110</v>
      </c>
      <c r="N40" s="16">
        <v>458719.82999999996</v>
      </c>
      <c r="O40" s="96">
        <v>6.9579163114568854E-2</v>
      </c>
      <c r="P40" s="16">
        <v>9.1772837734751338</v>
      </c>
      <c r="Q40" s="16">
        <v>8.1772837734751338</v>
      </c>
    </row>
    <row r="41" spans="7:17" x14ac:dyDescent="0.35">
      <c r="G41" s="94"/>
      <c r="H41" s="94"/>
      <c r="I41" s="94"/>
      <c r="J41" s="94"/>
      <c r="K41" s="94"/>
      <c r="L41" s="94"/>
      <c r="M41" s="3" t="s">
        <v>77</v>
      </c>
      <c r="N41" s="16">
        <v>365717.93000000005</v>
      </c>
      <c r="O41" s="96">
        <v>3.4676180401699334E-2</v>
      </c>
      <c r="P41" s="16">
        <v>8.616052919808201</v>
      </c>
      <c r="Q41" s="16">
        <v>7.616052919808201</v>
      </c>
    </row>
    <row r="42" spans="7:17" x14ac:dyDescent="0.35">
      <c r="G42" s="94"/>
      <c r="H42" s="94"/>
      <c r="I42" s="94"/>
      <c r="J42" s="94"/>
      <c r="K42" s="94"/>
      <c r="L42" s="94"/>
      <c r="M42" s="3" t="s">
        <v>98</v>
      </c>
      <c r="N42" s="16">
        <v>436930.24</v>
      </c>
      <c r="O42" s="96">
        <v>8.4818795587287443E-2</v>
      </c>
      <c r="P42" s="16">
        <v>8.2396029121934848</v>
      </c>
      <c r="Q42" s="16">
        <v>7.2396029121934848</v>
      </c>
    </row>
    <row r="43" spans="7:17" x14ac:dyDescent="0.35">
      <c r="G43" s="94"/>
      <c r="H43" s="94"/>
      <c r="I43" s="94"/>
      <c r="J43" s="94"/>
      <c r="K43" s="94"/>
      <c r="L43" s="94"/>
      <c r="M43" s="3" t="s">
        <v>55</v>
      </c>
      <c r="N43" s="16">
        <v>37162.89</v>
      </c>
      <c r="O43" s="96">
        <v>1.2571373734465716E-2</v>
      </c>
      <c r="P43" s="16">
        <v>8.133293793483805</v>
      </c>
      <c r="Q43" s="16">
        <v>7.1332937934838041</v>
      </c>
    </row>
    <row r="44" spans="7:17" x14ac:dyDescent="0.35">
      <c r="G44" s="94"/>
      <c r="H44" s="94"/>
      <c r="I44" s="94"/>
      <c r="J44" s="94"/>
      <c r="K44" s="94"/>
      <c r="L44" s="94"/>
      <c r="M44" s="3" t="s">
        <v>90</v>
      </c>
      <c r="N44" s="16">
        <v>638997.25</v>
      </c>
      <c r="O44" s="96">
        <v>1.3137458145480504E-2</v>
      </c>
      <c r="P44" s="16">
        <v>7.9400022763922955</v>
      </c>
      <c r="Q44" s="16">
        <v>6.9400022763922964</v>
      </c>
    </row>
    <row r="45" spans="7:17" x14ac:dyDescent="0.35">
      <c r="G45" s="94"/>
      <c r="H45" s="94"/>
      <c r="I45" s="94"/>
      <c r="J45" s="94"/>
      <c r="K45" s="94"/>
      <c r="L45" s="94"/>
      <c r="M45" s="3" t="s">
        <v>85</v>
      </c>
      <c r="N45" s="16">
        <v>572106.98</v>
      </c>
      <c r="O45" s="96">
        <v>5.7003827446396302E-2</v>
      </c>
      <c r="P45" s="16">
        <v>7.9245966033385393</v>
      </c>
      <c r="Q45" s="16">
        <v>6.9245966033385393</v>
      </c>
    </row>
    <row r="46" spans="7:17" x14ac:dyDescent="0.35">
      <c r="G46" s="94"/>
      <c r="H46" s="94"/>
      <c r="I46" s="94"/>
      <c r="J46" s="94"/>
      <c r="K46" s="94"/>
      <c r="L46" s="94"/>
      <c r="M46" s="3" t="s">
        <v>105</v>
      </c>
      <c r="N46" s="16">
        <v>199560.16999999998</v>
      </c>
      <c r="O46" s="96">
        <v>1.3555304377915753E-2</v>
      </c>
      <c r="P46" s="16">
        <v>7.8488291465211839</v>
      </c>
      <c r="Q46" s="16">
        <v>6.8488291465211839</v>
      </c>
    </row>
    <row r="47" spans="7:17" x14ac:dyDescent="0.35">
      <c r="G47" s="94"/>
      <c r="H47" s="94"/>
      <c r="I47" s="94"/>
      <c r="J47" s="94"/>
      <c r="K47" s="94"/>
      <c r="L47" s="94"/>
      <c r="M47" s="3" t="s">
        <v>27</v>
      </c>
      <c r="N47" s="16">
        <v>660873.87000000011</v>
      </c>
      <c r="O47" s="96">
        <v>3.3650143965013209E-2</v>
      </c>
      <c r="P47" s="16">
        <v>7.8117820373446083</v>
      </c>
      <c r="Q47" s="16">
        <v>6.8117820373446083</v>
      </c>
    </row>
    <row r="48" spans="7:17" x14ac:dyDescent="0.35">
      <c r="G48" s="94"/>
      <c r="H48" s="94"/>
      <c r="I48" s="94"/>
      <c r="J48" s="94"/>
      <c r="K48" s="94"/>
      <c r="L48" s="94"/>
      <c r="M48" s="3" t="s">
        <v>70</v>
      </c>
      <c r="N48" s="16">
        <v>1162690.49</v>
      </c>
      <c r="O48" s="96">
        <v>4.9435323422715075E-2</v>
      </c>
      <c r="P48" s="16">
        <v>7.5435394638950086</v>
      </c>
      <c r="Q48" s="16">
        <v>6.5435394638950086</v>
      </c>
    </row>
    <row r="49" spans="7:17" x14ac:dyDescent="0.35">
      <c r="G49" s="94"/>
      <c r="H49" s="94"/>
      <c r="I49" s="94"/>
      <c r="J49" s="94"/>
      <c r="K49" s="94"/>
      <c r="L49" s="94"/>
      <c r="M49" s="3" t="s">
        <v>68</v>
      </c>
      <c r="N49" s="16">
        <v>1001766.99</v>
      </c>
      <c r="O49" s="96">
        <v>4.7236844294803168E-2</v>
      </c>
      <c r="P49" s="16">
        <v>7.3347765898256752</v>
      </c>
      <c r="Q49" s="16">
        <v>6.334776589825676</v>
      </c>
    </row>
    <row r="50" spans="7:17" x14ac:dyDescent="0.35">
      <c r="G50" s="94"/>
      <c r="H50" s="94"/>
      <c r="I50" s="94"/>
      <c r="J50" s="94"/>
      <c r="K50" s="94"/>
      <c r="L50" s="94"/>
      <c r="M50" s="3" t="s">
        <v>66</v>
      </c>
      <c r="N50" s="16">
        <v>312107.38</v>
      </c>
      <c r="O50" s="96">
        <v>6.3824513140799788E-2</v>
      </c>
      <c r="P50" s="16">
        <v>7.2699125907436466</v>
      </c>
      <c r="Q50" s="16">
        <v>6.2699125907436466</v>
      </c>
    </row>
    <row r="51" spans="7:17" x14ac:dyDescent="0.35">
      <c r="G51" s="94"/>
      <c r="H51" s="94"/>
      <c r="I51" s="94"/>
      <c r="J51" s="94"/>
      <c r="K51" s="94"/>
      <c r="L51" s="94"/>
      <c r="M51" s="3" t="s">
        <v>116</v>
      </c>
      <c r="N51" s="16">
        <v>230610.94999999998</v>
      </c>
      <c r="O51" s="96">
        <v>3.7769803397594962E-2</v>
      </c>
      <c r="P51" s="16">
        <v>7.2679037694551374</v>
      </c>
      <c r="Q51" s="16">
        <v>6.2679037694551383</v>
      </c>
    </row>
    <row r="52" spans="7:17" x14ac:dyDescent="0.35">
      <c r="G52" s="94"/>
      <c r="H52" s="94"/>
      <c r="I52" s="94"/>
      <c r="J52" s="94"/>
      <c r="K52" s="94"/>
      <c r="L52" s="94"/>
      <c r="M52" s="3" t="s">
        <v>57</v>
      </c>
      <c r="N52" s="16">
        <v>1062582.3</v>
      </c>
      <c r="O52" s="96">
        <v>4.7656902392508506E-2</v>
      </c>
      <c r="P52" s="16">
        <v>7.1525069665070511</v>
      </c>
      <c r="Q52" s="16">
        <v>6.1525069665070502</v>
      </c>
    </row>
    <row r="53" spans="7:17" x14ac:dyDescent="0.35">
      <c r="G53" s="94"/>
      <c r="H53" s="94"/>
      <c r="I53" s="94"/>
      <c r="J53" s="94"/>
      <c r="K53" s="94"/>
      <c r="L53" s="94"/>
      <c r="M53" s="3" t="s">
        <v>64</v>
      </c>
      <c r="N53" s="16">
        <v>475440.16000000003</v>
      </c>
      <c r="O53" s="96">
        <v>7.7471807278055804E-2</v>
      </c>
      <c r="P53" s="16">
        <v>7.109772554349127</v>
      </c>
      <c r="Q53" s="16">
        <v>6.109772554349127</v>
      </c>
    </row>
    <row r="54" spans="7:17" x14ac:dyDescent="0.35">
      <c r="G54" s="94"/>
      <c r="H54" s="94"/>
      <c r="I54" s="94"/>
      <c r="J54" s="94"/>
      <c r="K54" s="94"/>
      <c r="L54" s="94"/>
      <c r="M54" s="3" t="s">
        <v>93</v>
      </c>
      <c r="N54" s="16">
        <v>589775.28</v>
      </c>
      <c r="O54" s="96">
        <v>1.7094149419470454E-2</v>
      </c>
      <c r="P54" s="16">
        <v>6.456352548702184</v>
      </c>
      <c r="Q54" s="16">
        <v>5.456352548702184</v>
      </c>
    </row>
    <row r="55" spans="7:17" x14ac:dyDescent="0.35">
      <c r="G55" s="94"/>
      <c r="H55" s="94"/>
      <c r="I55" s="94"/>
      <c r="J55" s="94"/>
      <c r="K55" s="94"/>
      <c r="L55" s="94"/>
      <c r="M55" s="3" t="s">
        <v>47</v>
      </c>
      <c r="N55" s="16">
        <v>599131.93999999994</v>
      </c>
      <c r="O55" s="96">
        <v>6.2513797210005453E-2</v>
      </c>
      <c r="P55" s="16">
        <v>6.3451718686323959</v>
      </c>
      <c r="Q55" s="16">
        <v>5.3451718686323959</v>
      </c>
    </row>
    <row r="56" spans="7:17" x14ac:dyDescent="0.35">
      <c r="G56" s="94"/>
      <c r="H56" s="94"/>
      <c r="I56" s="94"/>
      <c r="J56" s="94"/>
      <c r="K56" s="94"/>
      <c r="L56" s="94"/>
      <c r="M56" s="3" t="s">
        <v>108</v>
      </c>
      <c r="N56" s="16">
        <v>320012.57</v>
      </c>
      <c r="O56" s="96">
        <v>0.2357325391715808</v>
      </c>
      <c r="P56" s="16">
        <v>6.3251953667391998</v>
      </c>
      <c r="Q56" s="16">
        <v>5.3251953667391998</v>
      </c>
    </row>
    <row r="57" spans="7:17" x14ac:dyDescent="0.35">
      <c r="G57" s="94"/>
      <c r="H57" s="94"/>
      <c r="I57" s="94"/>
      <c r="J57" s="94"/>
      <c r="K57" s="94"/>
      <c r="L57" s="94"/>
      <c r="M57" s="3" t="s">
        <v>91</v>
      </c>
      <c r="N57" s="16">
        <v>853678.96</v>
      </c>
      <c r="O57" s="96">
        <v>5.7711206603966517E-2</v>
      </c>
      <c r="P57" s="16">
        <v>6.1441672947493808</v>
      </c>
      <c r="Q57" s="16">
        <v>5.1441672947493817</v>
      </c>
    </row>
    <row r="58" spans="7:17" x14ac:dyDescent="0.35">
      <c r="G58" s="94"/>
      <c r="H58" s="94"/>
      <c r="I58" s="94"/>
      <c r="J58" s="94"/>
      <c r="K58" s="94"/>
      <c r="L58" s="94"/>
      <c r="M58" s="3" t="s">
        <v>92</v>
      </c>
      <c r="N58" s="16">
        <v>302761.56</v>
      </c>
      <c r="O58" s="96">
        <v>3.8430558116514468E-2</v>
      </c>
      <c r="P58" s="16">
        <v>6.0801757289455729</v>
      </c>
      <c r="Q58" s="16">
        <v>5.0801757289455729</v>
      </c>
    </row>
    <row r="59" spans="7:17" x14ac:dyDescent="0.35">
      <c r="G59" s="94"/>
      <c r="H59" s="94"/>
      <c r="I59" s="94"/>
      <c r="J59" s="94"/>
      <c r="K59" s="94"/>
      <c r="L59" s="94"/>
      <c r="M59" s="3" t="s">
        <v>94</v>
      </c>
      <c r="N59" s="16">
        <v>439460.42999999993</v>
      </c>
      <c r="O59" s="96">
        <v>3.7008400574474715E-2</v>
      </c>
      <c r="P59" s="16">
        <v>5.9285526863753359</v>
      </c>
      <c r="Q59" s="16">
        <v>4.9285526863753368</v>
      </c>
    </row>
    <row r="60" spans="7:17" x14ac:dyDescent="0.35">
      <c r="G60" s="94"/>
      <c r="H60" s="94"/>
      <c r="I60" s="94"/>
      <c r="J60" s="94"/>
      <c r="K60" s="94"/>
      <c r="L60" s="94"/>
      <c r="M60" s="3" t="s">
        <v>79</v>
      </c>
      <c r="N60" s="16">
        <v>652504.82000000007</v>
      </c>
      <c r="O60" s="96">
        <v>4.4675324675324674E-2</v>
      </c>
      <c r="P60" s="16">
        <v>5.8664901008543362</v>
      </c>
      <c r="Q60" s="16">
        <v>4.8664901008543362</v>
      </c>
    </row>
    <row r="61" spans="7:17" x14ac:dyDescent="0.35">
      <c r="G61" s="94"/>
      <c r="H61" s="94"/>
      <c r="I61" s="94"/>
      <c r="J61" s="94"/>
      <c r="K61" s="94"/>
      <c r="L61" s="94"/>
      <c r="M61" s="3" t="s">
        <v>18</v>
      </c>
      <c r="N61" s="16">
        <v>244117.3</v>
      </c>
      <c r="O61" s="96">
        <v>7.334006550394824E-2</v>
      </c>
      <c r="P61" s="16">
        <v>5.747951922178105</v>
      </c>
      <c r="Q61" s="16">
        <v>4.747951922178105</v>
      </c>
    </row>
    <row r="62" spans="7:17" x14ac:dyDescent="0.35">
      <c r="G62" s="94"/>
      <c r="H62" s="94"/>
      <c r="I62" s="94"/>
      <c r="J62" s="94"/>
      <c r="K62" s="94"/>
      <c r="L62" s="94"/>
      <c r="M62" s="3" t="s">
        <v>42</v>
      </c>
      <c r="N62" s="16">
        <v>422901.3</v>
      </c>
      <c r="O62" s="96">
        <v>4.744436224475606E-2</v>
      </c>
      <c r="P62" s="16">
        <v>4.8023376831318538</v>
      </c>
      <c r="Q62" s="16">
        <v>3.8023376831318543</v>
      </c>
    </row>
    <row r="63" spans="7:17" x14ac:dyDescent="0.35">
      <c r="G63" s="94"/>
      <c r="H63" s="94"/>
      <c r="I63" s="94"/>
      <c r="J63" s="94"/>
      <c r="K63" s="94"/>
      <c r="L63" s="94"/>
      <c r="M63" s="3" t="s">
        <v>82</v>
      </c>
      <c r="N63" s="16">
        <v>356722.95</v>
      </c>
      <c r="O63" s="96">
        <v>3.8782408490302102E-2</v>
      </c>
      <c r="P63" s="16">
        <v>4.699695968863586</v>
      </c>
      <c r="Q63" s="16">
        <v>3.6996959688635864</v>
      </c>
    </row>
    <row r="64" spans="7:17" x14ac:dyDescent="0.35">
      <c r="G64" s="94"/>
      <c r="H64" s="94"/>
      <c r="I64" s="94"/>
      <c r="J64" s="94"/>
      <c r="K64" s="94"/>
      <c r="L64" s="94"/>
      <c r="M64" s="3" t="s">
        <v>120</v>
      </c>
      <c r="N64" s="16">
        <v>531534.51</v>
      </c>
      <c r="O64" s="96">
        <v>4.1494549413185797E-2</v>
      </c>
      <c r="P64" s="16">
        <v>4.1752871256330275</v>
      </c>
      <c r="Q64" s="16">
        <v>3.1752871256330275</v>
      </c>
    </row>
    <row r="65" spans="7:17" x14ac:dyDescent="0.35">
      <c r="G65" s="94"/>
      <c r="H65" s="94"/>
      <c r="I65" s="94"/>
      <c r="J65" s="94"/>
      <c r="K65" s="94"/>
      <c r="L65" s="94"/>
      <c r="M65" s="3" t="s">
        <v>88</v>
      </c>
      <c r="N65" s="16">
        <v>398285.44</v>
      </c>
      <c r="O65" s="96">
        <v>4.9826059199385389E-2</v>
      </c>
      <c r="P65" s="16">
        <v>4.0835582123634522</v>
      </c>
      <c r="Q65" s="16">
        <v>3.0835582123634526</v>
      </c>
    </row>
    <row r="66" spans="7:17" x14ac:dyDescent="0.35">
      <c r="G66" s="94"/>
      <c r="H66" s="94"/>
      <c r="I66" s="94"/>
      <c r="J66" s="94"/>
      <c r="K66" s="94"/>
      <c r="L66" s="94"/>
      <c r="M66" s="3" t="s">
        <v>114</v>
      </c>
      <c r="N66" s="16">
        <v>321128.27</v>
      </c>
      <c r="O66" s="96">
        <v>3.8684944085240494E-2</v>
      </c>
      <c r="P66" s="16">
        <v>3.8892256859107248</v>
      </c>
      <c r="Q66" s="16">
        <v>2.8892256859107248</v>
      </c>
    </row>
    <row r="67" spans="7:17" x14ac:dyDescent="0.35">
      <c r="G67" s="94"/>
      <c r="H67" s="94"/>
      <c r="I67" s="94"/>
      <c r="J67" s="94"/>
      <c r="K67" s="94"/>
      <c r="L67" s="94"/>
      <c r="M67" s="3" t="s">
        <v>78</v>
      </c>
      <c r="N67" s="16">
        <v>58736.83</v>
      </c>
      <c r="O67" s="96">
        <v>6.6657532834318606E-2</v>
      </c>
      <c r="P67" s="16">
        <v>3.8848908348931501</v>
      </c>
      <c r="Q67" s="16">
        <v>2.8848908348931497</v>
      </c>
    </row>
    <row r="68" spans="7:17" x14ac:dyDescent="0.35">
      <c r="G68" s="94"/>
      <c r="H68" s="94"/>
      <c r="I68" s="94"/>
      <c r="J68" s="94"/>
      <c r="K68" s="94"/>
      <c r="L68" s="94"/>
      <c r="M68" s="3" t="s">
        <v>111</v>
      </c>
      <c r="N68" s="16">
        <v>394254.61</v>
      </c>
      <c r="O68" s="96">
        <v>6.6572474410395766E-2</v>
      </c>
      <c r="P68" s="16">
        <v>3.4123985856519767</v>
      </c>
      <c r="Q68" s="16">
        <v>2.4123985856519767</v>
      </c>
    </row>
    <row r="69" spans="7:17" x14ac:dyDescent="0.35">
      <c r="G69" s="94"/>
      <c r="H69" s="94"/>
      <c r="I69" s="94"/>
      <c r="J69" s="94"/>
      <c r="K69" s="94"/>
      <c r="L69" s="94"/>
      <c r="M69" s="3" t="s">
        <v>75</v>
      </c>
      <c r="N69" s="16">
        <v>382489.98</v>
      </c>
      <c r="O69" s="96">
        <v>4.8259264431485628E-2</v>
      </c>
      <c r="P69" s="16">
        <v>3.3542878480570399</v>
      </c>
      <c r="Q69" s="16">
        <v>2.3542878480570399</v>
      </c>
    </row>
    <row r="70" spans="7:17" x14ac:dyDescent="0.35">
      <c r="G70" s="94"/>
      <c r="H70" s="94"/>
      <c r="I70" s="94"/>
      <c r="J70" s="94"/>
      <c r="K70" s="94"/>
      <c r="L70" s="94"/>
      <c r="M70" s="3" t="s">
        <v>112</v>
      </c>
      <c r="N70" s="16">
        <v>165172.84000000003</v>
      </c>
      <c r="O70" s="96">
        <v>6.6191022951057096E-2</v>
      </c>
      <c r="P70" s="16">
        <v>1.9073730357727052</v>
      </c>
      <c r="Q70" s="16">
        <v>0.90737303577270523</v>
      </c>
    </row>
    <row r="71" spans="7:17" x14ac:dyDescent="0.35">
      <c r="G71" s="94"/>
      <c r="H71" s="94"/>
      <c r="I71" s="94"/>
      <c r="J71" s="94"/>
      <c r="K71" s="94"/>
      <c r="L71" s="94"/>
      <c r="M71" s="3" t="s">
        <v>198</v>
      </c>
      <c r="N71" s="16">
        <v>32794278.250000007</v>
      </c>
      <c r="O71" s="96">
        <v>4.4331163376109976E-2</v>
      </c>
      <c r="P71" s="16">
        <v>8.7166646158553043</v>
      </c>
      <c r="Q71" s="16">
        <v>7.7166646158553052</v>
      </c>
    </row>
  </sheetData>
  <mergeCells count="28">
    <mergeCell ref="A20:E20"/>
    <mergeCell ref="A23:E23"/>
    <mergeCell ref="A26:E26"/>
    <mergeCell ref="A4:E4"/>
    <mergeCell ref="G4:K4"/>
    <mergeCell ref="G19:H19"/>
    <mergeCell ref="G20:K20"/>
    <mergeCell ref="G22:H22"/>
    <mergeCell ref="G23:K23"/>
    <mergeCell ref="A19:B19"/>
    <mergeCell ref="A22:B22"/>
    <mergeCell ref="A25:B25"/>
    <mergeCell ref="X5:AL5"/>
    <mergeCell ref="X19:Y19"/>
    <mergeCell ref="G25:H25"/>
    <mergeCell ref="G26:K26"/>
    <mergeCell ref="M4:Q4"/>
    <mergeCell ref="R19:S19"/>
    <mergeCell ref="R20:V20"/>
    <mergeCell ref="R22:S22"/>
    <mergeCell ref="R23:V23"/>
    <mergeCell ref="R25:S25"/>
    <mergeCell ref="R26:V26"/>
    <mergeCell ref="X26:AD26"/>
    <mergeCell ref="X20:AD20"/>
    <mergeCell ref="X22:Y22"/>
    <mergeCell ref="X23:AD23"/>
    <mergeCell ref="X25:Y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3645-9AA0-4B27-BBC0-5A907ECC7C59}">
  <dimension ref="A4:AL71"/>
  <sheetViews>
    <sheetView showGridLines="0" topLeftCell="F1" zoomScale="99" zoomScaleNormal="99" workbookViewId="0">
      <selection activeCell="X23" sqref="X23:AB23"/>
    </sheetView>
  </sheetViews>
  <sheetFormatPr defaultRowHeight="14.5" x14ac:dyDescent="0.35"/>
  <cols>
    <col min="1" max="1" width="12.26953125" bestFit="1" customWidth="1"/>
    <col min="2" max="2" width="11.36328125" bestFit="1" customWidth="1"/>
    <col min="3" max="3" width="11.81640625" bestFit="1" customWidth="1"/>
    <col min="4" max="4" width="8.81640625" bestFit="1" customWidth="1"/>
    <col min="5" max="5" width="7.26953125" bestFit="1" customWidth="1"/>
    <col min="7" max="7" width="12.26953125" bestFit="1" customWidth="1"/>
    <col min="8" max="8" width="12.36328125" bestFit="1" customWidth="1"/>
    <col min="9" max="11" width="11.81640625" bestFit="1" customWidth="1"/>
    <col min="13" max="13" width="15.90625" bestFit="1" customWidth="1"/>
    <col min="14" max="14" width="11.36328125" bestFit="1" customWidth="1"/>
    <col min="15" max="15" width="7.90625" bestFit="1" customWidth="1"/>
    <col min="16" max="16" width="8.81640625" bestFit="1" customWidth="1"/>
    <col min="17" max="17" width="7.26953125" bestFit="1" customWidth="1"/>
    <col min="19" max="19" width="15.90625" bestFit="1" customWidth="1"/>
    <col min="20" max="20" width="13.1796875" bestFit="1" customWidth="1"/>
    <col min="21" max="21" width="7.453125" bestFit="1" customWidth="1"/>
    <col min="22" max="22" width="12.1796875" customWidth="1"/>
    <col min="23" max="23" width="7.26953125" bestFit="1" customWidth="1"/>
    <col min="24" max="24" width="15.90625" bestFit="1" customWidth="1"/>
    <col min="25" max="25" width="13.1796875" bestFit="1" customWidth="1"/>
    <col min="26" max="27" width="11.81640625" bestFit="1" customWidth="1"/>
    <col min="28" max="28" width="12.453125" bestFit="1" customWidth="1"/>
    <col min="29" max="29" width="15.90625" bestFit="1" customWidth="1"/>
    <col min="30" max="30" width="13.1796875" bestFit="1" customWidth="1"/>
    <col min="31" max="32" width="11.81640625" bestFit="1" customWidth="1"/>
    <col min="33" max="33" width="12.453125" bestFit="1" customWidth="1"/>
    <col min="34" max="34" width="15.90625" bestFit="1" customWidth="1"/>
    <col min="35" max="35" width="13.1796875" bestFit="1" customWidth="1"/>
    <col min="36" max="37" width="11.81640625" bestFit="1" customWidth="1"/>
    <col min="38" max="38" width="12.453125" bestFit="1" customWidth="1"/>
  </cols>
  <sheetData>
    <row r="4" spans="1:38" ht="15.5" x14ac:dyDescent="0.35">
      <c r="A4" s="172" t="s">
        <v>308</v>
      </c>
      <c r="B4" s="172"/>
      <c r="C4" s="172"/>
      <c r="D4" s="172"/>
      <c r="E4" s="172"/>
      <c r="G4" s="172" t="s">
        <v>309</v>
      </c>
      <c r="H4" s="172"/>
      <c r="I4" s="172"/>
      <c r="J4" s="172"/>
      <c r="K4" s="172"/>
      <c r="M4" s="172" t="s">
        <v>310</v>
      </c>
      <c r="N4" s="172"/>
      <c r="O4" s="172"/>
      <c r="P4" s="172"/>
      <c r="Q4" s="172"/>
      <c r="X4" s="166" t="s">
        <v>327</v>
      </c>
      <c r="Y4" s="167"/>
      <c r="Z4" s="167"/>
      <c r="AA4" s="167"/>
      <c r="AB4" s="167"/>
      <c r="AC4" s="167"/>
      <c r="AD4" s="167"/>
      <c r="AE4" s="167"/>
      <c r="AF4" s="167"/>
      <c r="AG4" s="167"/>
      <c r="AH4" s="167"/>
      <c r="AI4" s="167"/>
      <c r="AJ4" s="167"/>
      <c r="AK4" s="167"/>
      <c r="AL4" s="168"/>
    </row>
    <row r="5" spans="1:38" ht="15.5" x14ac:dyDescent="0.35">
      <c r="X5" s="97"/>
      <c r="Y5" s="98"/>
      <c r="Z5" s="108"/>
      <c r="AA5" s="108"/>
      <c r="AB5" s="108"/>
      <c r="AC5" s="98"/>
      <c r="AD5" s="98"/>
      <c r="AE5" s="108"/>
      <c r="AF5" s="108"/>
      <c r="AG5" s="108"/>
      <c r="AH5" s="98"/>
      <c r="AI5" s="98"/>
      <c r="AJ5" s="108"/>
      <c r="AK5" s="108"/>
      <c r="AL5" s="108"/>
    </row>
    <row r="6" spans="1:38" ht="15.5" x14ac:dyDescent="0.35">
      <c r="X6" s="95" t="s">
        <v>335</v>
      </c>
      <c r="Y6" s="3" t="s">
        <v>338</v>
      </c>
      <c r="Z6" s="108"/>
      <c r="AA6" s="108"/>
      <c r="AB6" s="108"/>
      <c r="AC6" s="95" t="s">
        <v>335</v>
      </c>
      <c r="AD6" s="3" t="s">
        <v>338</v>
      </c>
      <c r="AE6" s="108"/>
      <c r="AF6" s="108"/>
      <c r="AG6" s="108"/>
      <c r="AH6" s="95" t="s">
        <v>335</v>
      </c>
      <c r="AI6" s="3" t="s">
        <v>338</v>
      </c>
      <c r="AJ6" s="108"/>
      <c r="AK6" s="108"/>
      <c r="AL6" s="108"/>
    </row>
    <row r="7" spans="1:38" x14ac:dyDescent="0.35">
      <c r="A7" s="58" t="s">
        <v>335</v>
      </c>
      <c r="B7" s="1" t="s">
        <v>338</v>
      </c>
      <c r="G7" s="95" t="s">
        <v>335</v>
      </c>
      <c r="H7" s="3" t="s">
        <v>338</v>
      </c>
      <c r="M7" s="95" t="s">
        <v>335</v>
      </c>
      <c r="N7" s="3" t="s">
        <v>338</v>
      </c>
      <c r="X7" s="95" t="s">
        <v>1</v>
      </c>
      <c r="Y7" s="3" t="s">
        <v>28</v>
      </c>
      <c r="AC7" s="95" t="s">
        <v>1</v>
      </c>
      <c r="AD7" s="3" t="s">
        <v>28</v>
      </c>
      <c r="AH7" s="95" t="s">
        <v>1</v>
      </c>
      <c r="AI7" s="3" t="s">
        <v>28</v>
      </c>
    </row>
    <row r="8" spans="1:38" x14ac:dyDescent="0.35">
      <c r="A8" s="58" t="s">
        <v>1</v>
      </c>
      <c r="B8" s="1" t="s">
        <v>28</v>
      </c>
      <c r="G8" s="95" t="s">
        <v>1</v>
      </c>
      <c r="H8" s="3" t="s">
        <v>28</v>
      </c>
      <c r="M8" s="95" t="s">
        <v>1</v>
      </c>
      <c r="N8" s="3" t="s">
        <v>28</v>
      </c>
      <c r="X8" s="95" t="s">
        <v>0</v>
      </c>
      <c r="Y8" s="3" t="s">
        <v>113</v>
      </c>
      <c r="AC8" s="95" t="s">
        <v>0</v>
      </c>
      <c r="AD8" s="3" t="s">
        <v>113</v>
      </c>
      <c r="AH8" s="95" t="s">
        <v>0</v>
      </c>
      <c r="AI8" s="3" t="s">
        <v>113</v>
      </c>
    </row>
    <row r="10" spans="1:38" x14ac:dyDescent="0.35">
      <c r="A10" s="58" t="s">
        <v>3</v>
      </c>
      <c r="B10" s="1" t="s">
        <v>293</v>
      </c>
      <c r="C10" s="1" t="s">
        <v>339</v>
      </c>
      <c r="D10" s="1" t="s">
        <v>333</v>
      </c>
      <c r="E10" s="1" t="s">
        <v>337</v>
      </c>
      <c r="G10" s="95" t="s">
        <v>4</v>
      </c>
      <c r="H10" s="3" t="s">
        <v>293</v>
      </c>
      <c r="I10" s="3" t="s">
        <v>340</v>
      </c>
      <c r="J10" s="3" t="s">
        <v>333</v>
      </c>
      <c r="K10" s="3" t="s">
        <v>337</v>
      </c>
      <c r="M10" s="95" t="s">
        <v>300</v>
      </c>
      <c r="N10" s="3" t="s">
        <v>293</v>
      </c>
      <c r="O10" s="3" t="s">
        <v>339</v>
      </c>
      <c r="P10" s="3" t="s">
        <v>333</v>
      </c>
      <c r="Q10" s="3" t="s">
        <v>337</v>
      </c>
      <c r="X10" s="95" t="s">
        <v>300</v>
      </c>
      <c r="Y10" s="3" t="s">
        <v>293</v>
      </c>
      <c r="Z10" s="3" t="s">
        <v>339</v>
      </c>
      <c r="AA10" s="3" t="s">
        <v>333</v>
      </c>
      <c r="AB10" s="3" t="s">
        <v>337</v>
      </c>
      <c r="AC10" s="95" t="s">
        <v>300</v>
      </c>
      <c r="AD10" s="3" t="s">
        <v>293</v>
      </c>
      <c r="AE10" s="3" t="s">
        <v>339</v>
      </c>
      <c r="AF10" s="3" t="s">
        <v>333</v>
      </c>
      <c r="AG10" s="3" t="s">
        <v>337</v>
      </c>
      <c r="AH10" s="95" t="s">
        <v>300</v>
      </c>
      <c r="AI10" s="3" t="s">
        <v>293</v>
      </c>
      <c r="AJ10" s="3" t="s">
        <v>339</v>
      </c>
      <c r="AK10" s="3" t="s">
        <v>333</v>
      </c>
      <c r="AL10" s="3" t="s">
        <v>337</v>
      </c>
    </row>
    <row r="11" spans="1:38" x14ac:dyDescent="0.35">
      <c r="A11" s="1" t="s">
        <v>21</v>
      </c>
      <c r="B11" s="59">
        <v>5170962.3000000017</v>
      </c>
      <c r="C11" s="60">
        <v>5.8066699196184839E-2</v>
      </c>
      <c r="D11" s="59">
        <v>8.2226369525867966</v>
      </c>
      <c r="E11" s="59">
        <v>7.2226369525867948</v>
      </c>
      <c r="G11" s="3" t="s">
        <v>38</v>
      </c>
      <c r="H11" s="16">
        <v>9126422.870000001</v>
      </c>
      <c r="I11" s="96">
        <v>5.1512847755392784E-2</v>
      </c>
      <c r="J11" s="16">
        <v>6.1430061443840716</v>
      </c>
      <c r="K11" s="16">
        <v>5.1430061443840716</v>
      </c>
      <c r="M11" s="3" t="s">
        <v>113</v>
      </c>
      <c r="N11" s="16">
        <v>15737.65</v>
      </c>
      <c r="O11" s="96">
        <v>3.0822449497930549E-2</v>
      </c>
      <c r="P11" s="16">
        <v>0.20348258005306591</v>
      </c>
      <c r="Q11" s="16">
        <v>-0.79651741994693404</v>
      </c>
      <c r="X11" s="3" t="s">
        <v>37</v>
      </c>
      <c r="Y11" s="3">
        <v>5755.74</v>
      </c>
      <c r="Z11" s="15">
        <v>7.7913576133779886E-3</v>
      </c>
      <c r="AA11" s="16">
        <v>0.11245927660956305</v>
      </c>
      <c r="AB11" s="16">
        <v>-0.88754072339043699</v>
      </c>
      <c r="AC11" s="3" t="s">
        <v>38</v>
      </c>
      <c r="AD11" s="3">
        <v>9981.91</v>
      </c>
      <c r="AE11" s="15">
        <v>6.7153500036881322E-2</v>
      </c>
      <c r="AF11" s="16">
        <v>0.38155908542727013</v>
      </c>
      <c r="AG11" s="16">
        <v>-0.61844091457272987</v>
      </c>
      <c r="AH11" s="3" t="s">
        <v>29</v>
      </c>
      <c r="AI11" s="3">
        <v>5755.74</v>
      </c>
      <c r="AJ11" s="15">
        <v>7.7913576133779886E-3</v>
      </c>
      <c r="AK11" s="16">
        <v>0.11245927660956305</v>
      </c>
      <c r="AL11" s="16">
        <v>-0.88754072339043699</v>
      </c>
    </row>
    <row r="12" spans="1:38" x14ac:dyDescent="0.35">
      <c r="A12" s="1" t="s">
        <v>59</v>
      </c>
      <c r="B12" s="59">
        <v>4354690.49</v>
      </c>
      <c r="C12" s="60">
        <v>5.1785075007712143E-2</v>
      </c>
      <c r="D12" s="59">
        <v>8.4752742427782231</v>
      </c>
      <c r="E12" s="59">
        <v>7.4752742427782231</v>
      </c>
      <c r="G12" s="3" t="s">
        <v>22</v>
      </c>
      <c r="H12" s="16">
        <v>11455876.9</v>
      </c>
      <c r="I12" s="96">
        <v>5.4595185297637544E-2</v>
      </c>
      <c r="J12" s="16">
        <v>8.8471027064517074</v>
      </c>
      <c r="K12" s="16">
        <v>7.8471027064517083</v>
      </c>
      <c r="M12" s="3" t="s">
        <v>87</v>
      </c>
      <c r="N12" s="16">
        <v>190632.31</v>
      </c>
      <c r="O12" s="96">
        <v>3.3283304610620547E-2</v>
      </c>
      <c r="P12" s="16">
        <v>2.1855668578388707</v>
      </c>
      <c r="Q12" s="16">
        <v>1.1855668578388705</v>
      </c>
      <c r="X12" s="3" t="s">
        <v>51</v>
      </c>
      <c r="Y12" s="3">
        <v>9981.91</v>
      </c>
      <c r="Z12" s="15">
        <v>6.7153500036881322E-2</v>
      </c>
      <c r="AA12" s="16">
        <v>0.38155908542727013</v>
      </c>
      <c r="AB12" s="16">
        <v>-0.61844091457272987</v>
      </c>
      <c r="AC12" s="3" t="s">
        <v>30</v>
      </c>
      <c r="AD12" s="3">
        <v>5755.74</v>
      </c>
      <c r="AE12" s="15">
        <v>7.7913576133779886E-3</v>
      </c>
      <c r="AF12" s="16">
        <v>0.11245927660956305</v>
      </c>
      <c r="AG12" s="16">
        <v>-0.88754072339043699</v>
      </c>
      <c r="AH12" s="3" t="s">
        <v>36</v>
      </c>
      <c r="AI12" s="3">
        <v>9981.91</v>
      </c>
      <c r="AJ12" s="15">
        <v>6.7153500036881322E-2</v>
      </c>
      <c r="AK12" s="16">
        <v>0.38155908542727013</v>
      </c>
      <c r="AL12" s="16">
        <v>-0.61844091457272987</v>
      </c>
    </row>
    <row r="13" spans="1:38" x14ac:dyDescent="0.35">
      <c r="A13" s="1" t="s">
        <v>43</v>
      </c>
      <c r="B13" s="59">
        <v>4822790.91</v>
      </c>
      <c r="C13" s="60">
        <v>5.8210753221005121E-2</v>
      </c>
      <c r="D13" s="59">
        <v>6.7297245003723427</v>
      </c>
      <c r="E13" s="59">
        <v>5.7297245003723427</v>
      </c>
      <c r="G13" s="3" t="s">
        <v>30</v>
      </c>
      <c r="H13" s="16">
        <v>9734872.2700000014</v>
      </c>
      <c r="I13" s="96">
        <v>4.7428762584684432E-2</v>
      </c>
      <c r="J13" s="16">
        <v>6.0144912093180753</v>
      </c>
      <c r="K13" s="16">
        <v>5.0144912093180753</v>
      </c>
      <c r="M13" s="3" t="s">
        <v>90</v>
      </c>
      <c r="N13" s="16">
        <v>248856.09000000003</v>
      </c>
      <c r="O13" s="96">
        <v>4.6671736117404945E-2</v>
      </c>
      <c r="P13" s="16">
        <v>3.1038795736669735</v>
      </c>
      <c r="Q13" s="16">
        <v>2.1038795736669735</v>
      </c>
      <c r="X13" s="3" t="s">
        <v>198</v>
      </c>
      <c r="Y13" s="3">
        <v>15737.65</v>
      </c>
      <c r="Z13" s="15">
        <v>3.0822449497930549E-2</v>
      </c>
      <c r="AA13" s="16">
        <v>0.20348258005306591</v>
      </c>
      <c r="AB13" s="16">
        <v>-0.79651741994693404</v>
      </c>
      <c r="AC13" s="3" t="s">
        <v>198</v>
      </c>
      <c r="AD13" s="3">
        <v>15737.65</v>
      </c>
      <c r="AE13" s="15">
        <v>3.0822449497930549E-2</v>
      </c>
      <c r="AF13" s="16">
        <v>0.20348258005306591</v>
      </c>
      <c r="AG13" s="16">
        <v>-0.79651741994693404</v>
      </c>
      <c r="AH13" s="3" t="s">
        <v>198</v>
      </c>
      <c r="AI13" s="3">
        <v>15737.65</v>
      </c>
      <c r="AJ13" s="15">
        <v>3.0822449497930549E-2</v>
      </c>
      <c r="AK13" s="16">
        <v>0.20348258005306591</v>
      </c>
      <c r="AL13" s="16">
        <v>-0.79651741994693404</v>
      </c>
    </row>
    <row r="14" spans="1:38" x14ac:dyDescent="0.35">
      <c r="A14" s="1" t="s">
        <v>37</v>
      </c>
      <c r="B14" s="59">
        <v>5954512.129999999</v>
      </c>
      <c r="C14" s="60">
        <v>5.1833583844111492E-2</v>
      </c>
      <c r="D14" s="59">
        <v>6.2878542335905898</v>
      </c>
      <c r="E14" s="59">
        <v>5.2878542335905898</v>
      </c>
      <c r="G14" s="3" t="s">
        <v>198</v>
      </c>
      <c r="H14" s="16">
        <v>30317172.040000021</v>
      </c>
      <c r="I14" s="96">
        <v>5.1125817743366095E-2</v>
      </c>
      <c r="J14" s="16">
        <v>6.8916705036037254</v>
      </c>
      <c r="K14" s="16">
        <v>5.8916705036037254</v>
      </c>
      <c r="M14" s="3" t="s">
        <v>66</v>
      </c>
      <c r="N14" s="16">
        <v>358194.95</v>
      </c>
      <c r="O14" s="96">
        <v>4.9518350735356535E-2</v>
      </c>
      <c r="P14" s="16">
        <v>3.5180670316131559</v>
      </c>
      <c r="Q14" s="16">
        <v>2.5180670316131559</v>
      </c>
    </row>
    <row r="15" spans="1:38" x14ac:dyDescent="0.35">
      <c r="A15" s="1" t="s">
        <v>63</v>
      </c>
      <c r="B15" s="59">
        <v>4815046.6199999992</v>
      </c>
      <c r="C15" s="60">
        <v>4.4348761208372264E-2</v>
      </c>
      <c r="D15" s="59">
        <v>7.197877682588655</v>
      </c>
      <c r="E15" s="59">
        <v>6.197877682588655</v>
      </c>
      <c r="M15" s="3" t="s">
        <v>68</v>
      </c>
      <c r="N15" s="16">
        <v>138025.00999999998</v>
      </c>
      <c r="O15" s="96">
        <v>7.1322656754733732E-2</v>
      </c>
      <c r="P15" s="16">
        <v>3.8348951679629777</v>
      </c>
      <c r="Q15" s="16">
        <v>2.8348951679629777</v>
      </c>
    </row>
    <row r="16" spans="1:38" x14ac:dyDescent="0.35">
      <c r="A16" s="1" t="s">
        <v>51</v>
      </c>
      <c r="B16" s="59">
        <v>5199169.59</v>
      </c>
      <c r="C16" s="60">
        <v>4.5947277150237685E-2</v>
      </c>
      <c r="D16" s="59">
        <v>5.627762599815517</v>
      </c>
      <c r="E16" s="59">
        <v>4.627762599815517</v>
      </c>
      <c r="M16" s="3" t="s">
        <v>119</v>
      </c>
      <c r="N16" s="16">
        <v>255555.01</v>
      </c>
      <c r="O16" s="96">
        <v>0.10734558478074917</v>
      </c>
      <c r="P16" s="16">
        <v>3.9818418793364296</v>
      </c>
      <c r="Q16" s="16">
        <v>2.9818418793364296</v>
      </c>
    </row>
    <row r="17" spans="1:29" x14ac:dyDescent="0.35">
      <c r="A17" s="1" t="s">
        <v>198</v>
      </c>
      <c r="B17" s="59">
        <v>30317172.040000018</v>
      </c>
      <c r="C17" s="60">
        <v>5.1125817743366095E-2</v>
      </c>
      <c r="D17" s="59">
        <v>6.8916705036037218</v>
      </c>
      <c r="E17" s="59">
        <v>5.8916705036037218</v>
      </c>
      <c r="M17" s="3" t="s">
        <v>78</v>
      </c>
      <c r="N17" s="16">
        <v>457666.30000000005</v>
      </c>
      <c r="O17" s="96">
        <v>5.5079787915836023E-2</v>
      </c>
      <c r="P17" s="16">
        <v>3.9843031100049853</v>
      </c>
      <c r="Q17" s="16">
        <v>2.9843031100049857</v>
      </c>
    </row>
    <row r="18" spans="1:29" x14ac:dyDescent="0.35">
      <c r="M18" s="3" t="s">
        <v>75</v>
      </c>
      <c r="N18" s="16">
        <v>215407.60000000003</v>
      </c>
      <c r="O18" s="96">
        <v>2.9907551620872226E-2</v>
      </c>
      <c r="P18" s="16">
        <v>4.0661156525583353</v>
      </c>
      <c r="Q18" s="16">
        <v>3.0661156525583353</v>
      </c>
    </row>
    <row r="19" spans="1:29" ht="15.5" x14ac:dyDescent="0.35">
      <c r="A19" s="173" t="s">
        <v>294</v>
      </c>
      <c r="B19" s="173"/>
      <c r="G19" s="173" t="s">
        <v>294</v>
      </c>
      <c r="H19" s="173"/>
      <c r="M19" s="3" t="s">
        <v>81</v>
      </c>
      <c r="N19" s="16">
        <v>595385</v>
      </c>
      <c r="O19" s="96">
        <v>2.3799074142035918E-2</v>
      </c>
      <c r="P19" s="16">
        <v>4.1837409854764172</v>
      </c>
      <c r="Q19" s="16">
        <v>3.1837409854764172</v>
      </c>
      <c r="R19" s="173" t="s">
        <v>294</v>
      </c>
      <c r="S19" s="173"/>
      <c r="X19" s="173" t="s">
        <v>294</v>
      </c>
      <c r="Y19" s="173"/>
    </row>
    <row r="20" spans="1:29" ht="57" customHeight="1" x14ac:dyDescent="0.35">
      <c r="A20" s="171" t="s">
        <v>363</v>
      </c>
      <c r="B20" s="171"/>
      <c r="C20" s="171"/>
      <c r="D20" s="171"/>
      <c r="E20" s="171"/>
      <c r="G20" s="171" t="s">
        <v>366</v>
      </c>
      <c r="H20" s="171"/>
      <c r="I20" s="171"/>
      <c r="J20" s="171"/>
      <c r="K20" s="171"/>
      <c r="M20" s="3" t="s">
        <v>111</v>
      </c>
      <c r="N20" s="16">
        <v>596941.19999999995</v>
      </c>
      <c r="O20" s="96">
        <v>4.6552529586312973E-2</v>
      </c>
      <c r="P20" s="16">
        <v>4.244157665014102</v>
      </c>
      <c r="Q20" s="16">
        <v>3.244157665014102</v>
      </c>
      <c r="R20" s="171" t="s">
        <v>369</v>
      </c>
      <c r="S20" s="171"/>
      <c r="T20" s="171"/>
      <c r="U20" s="171"/>
      <c r="V20" s="171"/>
      <c r="X20" s="171" t="s">
        <v>372</v>
      </c>
      <c r="Y20" s="171"/>
      <c r="Z20" s="171"/>
      <c r="AA20" s="171"/>
      <c r="AB20" s="171"/>
    </row>
    <row r="21" spans="1:29" x14ac:dyDescent="0.35">
      <c r="M21" s="3" t="s">
        <v>104</v>
      </c>
      <c r="N21" s="16">
        <v>263465.08</v>
      </c>
      <c r="O21" s="96">
        <v>6.7680340969632394E-2</v>
      </c>
      <c r="P21" s="16">
        <v>4.4591166664607478</v>
      </c>
      <c r="Q21" s="16">
        <v>3.4591166664607478</v>
      </c>
    </row>
    <row r="22" spans="1:29" ht="15.5" x14ac:dyDescent="0.35">
      <c r="A22" s="173" t="s">
        <v>295</v>
      </c>
      <c r="B22" s="173"/>
      <c r="G22" s="173" t="s">
        <v>295</v>
      </c>
      <c r="H22" s="173"/>
      <c r="M22" s="3" t="s">
        <v>106</v>
      </c>
      <c r="N22" s="16">
        <v>473745.71</v>
      </c>
      <c r="O22" s="96">
        <v>6.9583315598240159E-2</v>
      </c>
      <c r="P22" s="16">
        <v>4.5536324234252321</v>
      </c>
      <c r="Q22" s="16">
        <v>3.5536324234252321</v>
      </c>
      <c r="R22" s="173" t="s">
        <v>295</v>
      </c>
      <c r="S22" s="173"/>
      <c r="X22" s="173" t="s">
        <v>295</v>
      </c>
      <c r="Y22" s="173"/>
    </row>
    <row r="23" spans="1:29" ht="77.5" customHeight="1" x14ac:dyDescent="0.35">
      <c r="A23" s="171" t="s">
        <v>364</v>
      </c>
      <c r="B23" s="171"/>
      <c r="C23" s="171"/>
      <c r="D23" s="171"/>
      <c r="E23" s="171"/>
      <c r="G23" s="171" t="s">
        <v>367</v>
      </c>
      <c r="H23" s="171"/>
      <c r="I23" s="171"/>
      <c r="J23" s="171"/>
      <c r="K23" s="171"/>
      <c r="M23" s="3" t="s">
        <v>100</v>
      </c>
      <c r="N23" s="16">
        <v>447170.14</v>
      </c>
      <c r="O23" s="96">
        <v>0.10595922751583234</v>
      </c>
      <c r="P23" s="16">
        <v>4.5620905564030698</v>
      </c>
      <c r="Q23" s="16">
        <v>3.5620905564030698</v>
      </c>
      <c r="R23" s="171" t="s">
        <v>370</v>
      </c>
      <c r="S23" s="171"/>
      <c r="T23" s="171"/>
      <c r="U23" s="171"/>
      <c r="V23" s="171"/>
      <c r="X23" s="171" t="s">
        <v>373</v>
      </c>
      <c r="Y23" s="171"/>
      <c r="Z23" s="171"/>
      <c r="AA23" s="171"/>
      <c r="AB23" s="171"/>
    </row>
    <row r="24" spans="1:29" x14ac:dyDescent="0.35">
      <c r="M24" s="3" t="s">
        <v>109</v>
      </c>
      <c r="N24" s="16">
        <v>543526.59000000008</v>
      </c>
      <c r="O24" s="96">
        <v>7.2911198986185297E-2</v>
      </c>
      <c r="P24" s="16">
        <v>5.2353418082323104</v>
      </c>
      <c r="Q24" s="16">
        <v>4.2353418082323104</v>
      </c>
    </row>
    <row r="25" spans="1:29" ht="15.5" x14ac:dyDescent="0.35">
      <c r="A25" s="173" t="s">
        <v>296</v>
      </c>
      <c r="B25" s="173"/>
      <c r="G25" s="173" t="s">
        <v>296</v>
      </c>
      <c r="H25" s="173"/>
      <c r="M25" s="3" t="s">
        <v>62</v>
      </c>
      <c r="N25" s="16">
        <v>323707.55</v>
      </c>
      <c r="O25" s="96">
        <v>4.4330895968302676E-2</v>
      </c>
      <c r="P25" s="16">
        <v>5.2474928689580675</v>
      </c>
      <c r="Q25" s="16">
        <v>4.2474928689580675</v>
      </c>
      <c r="R25" s="173" t="s">
        <v>296</v>
      </c>
      <c r="S25" s="173"/>
      <c r="X25" s="174" t="s">
        <v>296</v>
      </c>
      <c r="Y25" s="174"/>
    </row>
    <row r="26" spans="1:29" ht="76" customHeight="1" x14ac:dyDescent="0.35">
      <c r="A26" s="171" t="s">
        <v>365</v>
      </c>
      <c r="B26" s="171"/>
      <c r="C26" s="171"/>
      <c r="D26" s="171"/>
      <c r="E26" s="171"/>
      <c r="G26" s="171" t="s">
        <v>368</v>
      </c>
      <c r="H26" s="171"/>
      <c r="I26" s="171"/>
      <c r="J26" s="171"/>
      <c r="K26" s="171"/>
      <c r="M26" s="3" t="s">
        <v>105</v>
      </c>
      <c r="N26" s="16">
        <v>1081722.3</v>
      </c>
      <c r="O26" s="96">
        <v>7.3388783391759166E-2</v>
      </c>
      <c r="P26" s="16">
        <v>5.4148805779891678</v>
      </c>
      <c r="Q26" s="16">
        <v>4.4148805779891678</v>
      </c>
      <c r="R26" s="171" t="s">
        <v>371</v>
      </c>
      <c r="S26" s="171"/>
      <c r="T26" s="171"/>
      <c r="U26" s="171"/>
      <c r="V26" s="171"/>
      <c r="X26" s="171" t="s">
        <v>374</v>
      </c>
      <c r="Y26" s="171"/>
      <c r="Z26" s="171"/>
      <c r="AA26" s="171"/>
      <c r="AB26" s="171"/>
      <c r="AC26" s="171"/>
    </row>
    <row r="27" spans="1:29" x14ac:dyDescent="0.35">
      <c r="M27" s="3" t="s">
        <v>64</v>
      </c>
      <c r="N27" s="16">
        <v>236683.33000000002</v>
      </c>
      <c r="O27" s="96">
        <v>3.4840068490397676E-2</v>
      </c>
      <c r="P27" s="16">
        <v>5.4490331026175625</v>
      </c>
      <c r="Q27" s="16">
        <v>4.4490331026175625</v>
      </c>
    </row>
    <row r="28" spans="1:29" x14ac:dyDescent="0.35">
      <c r="M28" s="3" t="s">
        <v>42</v>
      </c>
      <c r="N28" s="16">
        <v>877398.34</v>
      </c>
      <c r="O28" s="96">
        <v>4.0446169425168238E-2</v>
      </c>
      <c r="P28" s="16">
        <v>5.5113729601003225</v>
      </c>
      <c r="Q28" s="16">
        <v>4.5113729601003225</v>
      </c>
    </row>
    <row r="29" spans="1:29" x14ac:dyDescent="0.35">
      <c r="M29" s="3" t="s">
        <v>27</v>
      </c>
      <c r="N29" s="16">
        <v>736293.26</v>
      </c>
      <c r="O29" s="96">
        <v>7.1232972575338879E-2</v>
      </c>
      <c r="P29" s="16">
        <v>5.5610479578501488</v>
      </c>
      <c r="Q29" s="16">
        <v>4.5610479578501488</v>
      </c>
    </row>
    <row r="30" spans="1:29" x14ac:dyDescent="0.35">
      <c r="M30" s="3" t="s">
        <v>88</v>
      </c>
      <c r="N30" s="16">
        <v>368086.8</v>
      </c>
      <c r="O30" s="96">
        <v>4.2841539596230223E-2</v>
      </c>
      <c r="P30" s="16">
        <v>5.7473187585721028</v>
      </c>
      <c r="Q30" s="16">
        <v>4.7473187585721028</v>
      </c>
    </row>
    <row r="31" spans="1:29" x14ac:dyDescent="0.35">
      <c r="M31" s="3" t="s">
        <v>50</v>
      </c>
      <c r="N31" s="16">
        <v>685865.26</v>
      </c>
      <c r="O31" s="96">
        <v>4.2015408683995836E-2</v>
      </c>
      <c r="P31" s="16">
        <v>5.7616030483691718</v>
      </c>
      <c r="Q31" s="16">
        <v>4.7616030483691718</v>
      </c>
    </row>
    <row r="32" spans="1:29" x14ac:dyDescent="0.35">
      <c r="M32" s="3" t="s">
        <v>86</v>
      </c>
      <c r="N32" s="16">
        <v>907390.72000000009</v>
      </c>
      <c r="O32" s="96">
        <v>5.2381256561369986E-2</v>
      </c>
      <c r="P32" s="16">
        <v>5.8443069466037167</v>
      </c>
      <c r="Q32" s="16">
        <v>4.8443069466037167</v>
      </c>
    </row>
    <row r="33" spans="13:17" x14ac:dyDescent="0.35">
      <c r="M33" s="3" t="s">
        <v>118</v>
      </c>
      <c r="N33" s="16">
        <v>317135.94999999995</v>
      </c>
      <c r="O33" s="96">
        <v>5.0842838636291826E-2</v>
      </c>
      <c r="P33" s="16">
        <v>5.9848568769835202</v>
      </c>
      <c r="Q33" s="16">
        <v>4.9848568769835202</v>
      </c>
    </row>
    <row r="34" spans="13:17" x14ac:dyDescent="0.35">
      <c r="M34" s="3" t="s">
        <v>57</v>
      </c>
      <c r="N34" s="16">
        <v>513212.23</v>
      </c>
      <c r="O34" s="96">
        <v>3.8063199113246016E-2</v>
      </c>
      <c r="P34" s="16">
        <v>6.0290360715022882</v>
      </c>
      <c r="Q34" s="16">
        <v>5.0290360715022882</v>
      </c>
    </row>
    <row r="35" spans="13:17" x14ac:dyDescent="0.35">
      <c r="M35" s="3" t="s">
        <v>98</v>
      </c>
      <c r="N35" s="16">
        <v>485439.38</v>
      </c>
      <c r="O35" s="96">
        <v>7.3027317692475044E-2</v>
      </c>
      <c r="P35" s="16">
        <v>6.1223835050589441</v>
      </c>
      <c r="Q35" s="16">
        <v>5.1223835050589432</v>
      </c>
    </row>
    <row r="36" spans="13:17" x14ac:dyDescent="0.35">
      <c r="M36" s="3" t="s">
        <v>34</v>
      </c>
      <c r="N36" s="16">
        <v>697102.62000000011</v>
      </c>
      <c r="O36" s="96">
        <v>6.1923486811873242E-2</v>
      </c>
      <c r="P36" s="16">
        <v>6.2082208611467298</v>
      </c>
      <c r="Q36" s="16">
        <v>5.2082208611467298</v>
      </c>
    </row>
    <row r="37" spans="13:17" x14ac:dyDescent="0.35">
      <c r="M37" s="3" t="s">
        <v>82</v>
      </c>
      <c r="N37" s="16">
        <v>846326.14999999991</v>
      </c>
      <c r="O37" s="96">
        <v>6.5068329565419386E-2</v>
      </c>
      <c r="P37" s="16">
        <v>6.2745861017800868</v>
      </c>
      <c r="Q37" s="16">
        <v>5.2745861017800868</v>
      </c>
    </row>
    <row r="38" spans="13:17" x14ac:dyDescent="0.35">
      <c r="M38" s="3" t="s">
        <v>84</v>
      </c>
      <c r="N38" s="16">
        <v>963491.99</v>
      </c>
      <c r="O38" s="96">
        <v>5.2582408104135968E-2</v>
      </c>
      <c r="P38" s="16">
        <v>6.3157144738435154</v>
      </c>
      <c r="Q38" s="16">
        <v>5.3157144738435154</v>
      </c>
    </row>
    <row r="39" spans="13:17" x14ac:dyDescent="0.35">
      <c r="M39" s="3" t="s">
        <v>116</v>
      </c>
      <c r="N39" s="16">
        <v>576764.76</v>
      </c>
      <c r="O39" s="96">
        <v>4.4222386828785265E-2</v>
      </c>
      <c r="P39" s="16">
        <v>6.4223317495142034</v>
      </c>
      <c r="Q39" s="16">
        <v>5.4223317495142034</v>
      </c>
    </row>
    <row r="40" spans="13:17" x14ac:dyDescent="0.35">
      <c r="M40" s="3" t="s">
        <v>110</v>
      </c>
      <c r="N40" s="16">
        <v>579735.69999999995</v>
      </c>
      <c r="O40" s="96">
        <v>1.7342443324835647E-2</v>
      </c>
      <c r="P40" s="16">
        <v>6.5986179381664369</v>
      </c>
      <c r="Q40" s="16">
        <v>5.598617938166436</v>
      </c>
    </row>
    <row r="41" spans="13:17" x14ac:dyDescent="0.35">
      <c r="M41" s="3" t="s">
        <v>107</v>
      </c>
      <c r="N41" s="16">
        <v>879550.57</v>
      </c>
      <c r="O41" s="96">
        <v>4.0630930930253467E-2</v>
      </c>
      <c r="P41" s="16">
        <v>6.9228934755854317</v>
      </c>
      <c r="Q41" s="16">
        <v>5.9228934755854317</v>
      </c>
    </row>
    <row r="42" spans="13:17" x14ac:dyDescent="0.35">
      <c r="M42" s="3" t="s">
        <v>114</v>
      </c>
      <c r="N42" s="16">
        <v>511535.58999999997</v>
      </c>
      <c r="O42" s="96">
        <v>3.0377884416390728E-2</v>
      </c>
      <c r="P42" s="16">
        <v>7.0212263739817358</v>
      </c>
      <c r="Q42" s="16">
        <v>6.0212263739817358</v>
      </c>
    </row>
    <row r="43" spans="13:17" x14ac:dyDescent="0.35">
      <c r="M43" s="3" t="s">
        <v>96</v>
      </c>
      <c r="N43" s="16">
        <v>919663.6399999999</v>
      </c>
      <c r="O43" s="96">
        <v>6.0924803686775553E-2</v>
      </c>
      <c r="P43" s="16">
        <v>7.2078765760848595</v>
      </c>
      <c r="Q43" s="16">
        <v>6.2078765760848595</v>
      </c>
    </row>
    <row r="44" spans="13:17" x14ac:dyDescent="0.35">
      <c r="M44" s="3" t="s">
        <v>77</v>
      </c>
      <c r="N44" s="16">
        <v>447816.87000000005</v>
      </c>
      <c r="O44" s="96">
        <v>6.5953951403547192E-2</v>
      </c>
      <c r="P44" s="16">
        <v>7.3825211959233803</v>
      </c>
      <c r="Q44" s="16">
        <v>6.3825211959233803</v>
      </c>
    </row>
    <row r="45" spans="13:17" x14ac:dyDescent="0.35">
      <c r="M45" s="3" t="s">
        <v>115</v>
      </c>
      <c r="N45" s="16">
        <v>429468.02999999997</v>
      </c>
      <c r="O45" s="96">
        <v>4.9879443192284365E-2</v>
      </c>
      <c r="P45" s="16">
        <v>7.4655568842164977</v>
      </c>
      <c r="Q45" s="16">
        <v>6.4655568842164977</v>
      </c>
    </row>
    <row r="46" spans="13:17" x14ac:dyDescent="0.35">
      <c r="M46" s="3" t="s">
        <v>99</v>
      </c>
      <c r="N46" s="16">
        <v>638298.53</v>
      </c>
      <c r="O46" s="96">
        <v>5.0171986444168093E-2</v>
      </c>
      <c r="P46" s="16">
        <v>8.3539175487510402</v>
      </c>
      <c r="Q46" s="16">
        <v>7.3539175487510402</v>
      </c>
    </row>
    <row r="47" spans="13:17" x14ac:dyDescent="0.35">
      <c r="M47" s="3" t="s">
        <v>72</v>
      </c>
      <c r="N47" s="16">
        <v>1210121.3599999999</v>
      </c>
      <c r="O47" s="96">
        <v>4.6781370181558E-2</v>
      </c>
      <c r="P47" s="16">
        <v>9.1585073432888677</v>
      </c>
      <c r="Q47" s="16">
        <v>8.158507343288866</v>
      </c>
    </row>
    <row r="48" spans="13:17" x14ac:dyDescent="0.35">
      <c r="M48" s="3" t="s">
        <v>108</v>
      </c>
      <c r="N48" s="16">
        <v>521539.98000000004</v>
      </c>
      <c r="O48" s="96">
        <v>6.564052866634279E-2</v>
      </c>
      <c r="P48" s="16">
        <v>9.2185639691899084</v>
      </c>
      <c r="Q48" s="16">
        <v>8.2185639691899084</v>
      </c>
    </row>
    <row r="49" spans="13:17" x14ac:dyDescent="0.35">
      <c r="M49" s="3" t="s">
        <v>93</v>
      </c>
      <c r="N49" s="16">
        <v>666613.14</v>
      </c>
      <c r="O49" s="96">
        <v>5.3648720806632993E-2</v>
      </c>
      <c r="P49" s="16">
        <v>9.5331390895616899</v>
      </c>
      <c r="Q49" s="16">
        <v>8.5331390895616899</v>
      </c>
    </row>
    <row r="50" spans="13:17" x14ac:dyDescent="0.35">
      <c r="M50" s="3" t="s">
        <v>117</v>
      </c>
      <c r="N50" s="16">
        <v>305672.16000000003</v>
      </c>
      <c r="O50" s="96">
        <v>4.6337714544702147E-2</v>
      </c>
      <c r="P50" s="16">
        <v>10.644040883525411</v>
      </c>
      <c r="Q50" s="16">
        <v>9.6440408835254114</v>
      </c>
    </row>
    <row r="51" spans="13:17" x14ac:dyDescent="0.35">
      <c r="M51" s="3" t="s">
        <v>67</v>
      </c>
      <c r="N51" s="16">
        <v>1124758.24</v>
      </c>
      <c r="O51" s="96">
        <v>0.10180663475185836</v>
      </c>
      <c r="P51" s="16">
        <v>10.963868190071873</v>
      </c>
      <c r="Q51" s="16">
        <v>9.9638681900718726</v>
      </c>
    </row>
    <row r="52" spans="13:17" x14ac:dyDescent="0.35">
      <c r="M52" s="3" t="s">
        <v>18</v>
      </c>
      <c r="N52" s="16">
        <v>417281.39</v>
      </c>
      <c r="O52" s="96">
        <v>3.385507144168353E-2</v>
      </c>
      <c r="P52" s="16">
        <v>11.429764620712382</v>
      </c>
      <c r="Q52" s="16">
        <v>10.429764620712382</v>
      </c>
    </row>
    <row r="53" spans="13:17" x14ac:dyDescent="0.35">
      <c r="M53" s="3" t="s">
        <v>91</v>
      </c>
      <c r="N53" s="16">
        <v>559754.17999999993</v>
      </c>
      <c r="O53" s="96">
        <v>7.6263018385478817E-2</v>
      </c>
      <c r="P53" s="16">
        <v>11.626117246465821</v>
      </c>
      <c r="Q53" s="16">
        <v>10.626117246465821</v>
      </c>
    </row>
    <row r="54" spans="13:17" x14ac:dyDescent="0.35">
      <c r="M54" s="3" t="s">
        <v>94</v>
      </c>
      <c r="N54" s="16">
        <v>376959.27</v>
      </c>
      <c r="O54" s="96">
        <v>6.7881422611668671E-2</v>
      </c>
      <c r="P54" s="16">
        <v>11.775267080667732</v>
      </c>
      <c r="Q54" s="16">
        <v>10.775267080667733</v>
      </c>
    </row>
    <row r="55" spans="13:17" x14ac:dyDescent="0.35">
      <c r="M55" s="3" t="s">
        <v>85</v>
      </c>
      <c r="N55" s="16">
        <v>607353.12</v>
      </c>
      <c r="O55" s="96">
        <v>4.2738098668018122E-2</v>
      </c>
      <c r="P55" s="16">
        <v>11.896561268004145</v>
      </c>
      <c r="Q55" s="16">
        <v>10.896561268004145</v>
      </c>
    </row>
    <row r="56" spans="13:17" x14ac:dyDescent="0.35">
      <c r="M56" s="3" t="s">
        <v>83</v>
      </c>
      <c r="N56" s="16">
        <v>490682.99</v>
      </c>
      <c r="O56" s="96">
        <v>0.11854191818873615</v>
      </c>
      <c r="P56" s="16">
        <v>11.965525557658665</v>
      </c>
      <c r="Q56" s="16">
        <v>10.965525557658665</v>
      </c>
    </row>
    <row r="57" spans="13:17" x14ac:dyDescent="0.35">
      <c r="M57" s="3" t="s">
        <v>47</v>
      </c>
      <c r="N57" s="16">
        <v>406412.55</v>
      </c>
      <c r="O57" s="96">
        <v>5.4400332673443887E-2</v>
      </c>
      <c r="P57" s="16">
        <v>12.050304613635696</v>
      </c>
      <c r="Q57" s="16">
        <v>11.050304613635696</v>
      </c>
    </row>
    <row r="58" spans="13:17" x14ac:dyDescent="0.35">
      <c r="M58" s="3" t="s">
        <v>55</v>
      </c>
      <c r="N58" s="16">
        <v>579244.13</v>
      </c>
      <c r="O58" s="96">
        <v>5.3576874360951009E-2</v>
      </c>
      <c r="P58" s="16">
        <v>13.21650508940426</v>
      </c>
      <c r="Q58" s="16">
        <v>12.21650508940426</v>
      </c>
    </row>
    <row r="59" spans="13:17" x14ac:dyDescent="0.35">
      <c r="M59" s="3" t="s">
        <v>97</v>
      </c>
      <c r="N59" s="16">
        <v>161835.97999999998</v>
      </c>
      <c r="O59" s="96">
        <v>4.0652950016929652E-2</v>
      </c>
      <c r="P59" s="16">
        <v>13.949453523651908</v>
      </c>
      <c r="Q59" s="16">
        <v>12.949453523651908</v>
      </c>
    </row>
    <row r="60" spans="13:17" x14ac:dyDescent="0.35">
      <c r="M60" s="3" t="s">
        <v>112</v>
      </c>
      <c r="N60" s="16">
        <v>168941.89</v>
      </c>
      <c r="O60" s="96">
        <v>3.2801940812974439E-2</v>
      </c>
      <c r="P60" s="16">
        <v>14.320167527302443</v>
      </c>
      <c r="Q60" s="16">
        <v>13.320167527302441</v>
      </c>
    </row>
    <row r="61" spans="13:17" x14ac:dyDescent="0.35">
      <c r="M61" s="3" t="s">
        <v>79</v>
      </c>
      <c r="N61" s="16">
        <v>434694.37</v>
      </c>
      <c r="O61" s="96">
        <v>4.8505816470800683E-2</v>
      </c>
      <c r="P61" s="16">
        <v>14.773141489581521</v>
      </c>
      <c r="Q61" s="16">
        <v>13.773141489581521</v>
      </c>
    </row>
    <row r="62" spans="13:17" x14ac:dyDescent="0.35">
      <c r="M62" s="3" t="s">
        <v>89</v>
      </c>
      <c r="N62" s="16">
        <v>533540.94999999995</v>
      </c>
      <c r="O62" s="96">
        <v>4.7418044345698185E-2</v>
      </c>
      <c r="P62" s="16">
        <v>15.456496560722712</v>
      </c>
      <c r="Q62" s="16">
        <v>14.45649656072271</v>
      </c>
    </row>
    <row r="63" spans="13:17" x14ac:dyDescent="0.35">
      <c r="M63" s="3" t="s">
        <v>95</v>
      </c>
      <c r="N63" s="16">
        <v>510552.20999999996</v>
      </c>
      <c r="O63" s="96">
        <v>5.7119618255495802E-2</v>
      </c>
      <c r="P63" s="16">
        <v>15.747990370186441</v>
      </c>
      <c r="Q63" s="16">
        <v>14.747990370186439</v>
      </c>
    </row>
    <row r="64" spans="13:17" x14ac:dyDescent="0.35">
      <c r="M64" s="3" t="s">
        <v>71</v>
      </c>
      <c r="N64" s="16">
        <v>517508.92000000004</v>
      </c>
      <c r="O64" s="96">
        <v>6.2091072522927115E-2</v>
      </c>
      <c r="P64" s="16">
        <v>17.371148412841471</v>
      </c>
      <c r="Q64" s="16">
        <v>16.371148412841475</v>
      </c>
    </row>
    <row r="65" spans="13:17" x14ac:dyDescent="0.35">
      <c r="M65" s="3" t="s">
        <v>103</v>
      </c>
      <c r="N65" s="16">
        <v>526005.31000000006</v>
      </c>
      <c r="O65" s="96">
        <v>3.4149836766404873E-2</v>
      </c>
      <c r="P65" s="16">
        <v>21.911820808104796</v>
      </c>
      <c r="Q65" s="16">
        <v>20.911820808104796</v>
      </c>
    </row>
    <row r="66" spans="13:17" x14ac:dyDescent="0.35">
      <c r="M66" s="3" t="s">
        <v>120</v>
      </c>
      <c r="N66" s="16">
        <v>189965.75</v>
      </c>
      <c r="O66" s="96">
        <v>0.10089140597088526</v>
      </c>
      <c r="P66" s="16">
        <v>25.094849212209922</v>
      </c>
      <c r="Q66" s="16">
        <v>24.094849212209919</v>
      </c>
    </row>
    <row r="67" spans="13:17" x14ac:dyDescent="0.35">
      <c r="M67" s="3" t="s">
        <v>102</v>
      </c>
      <c r="N67" s="16">
        <v>313932.02</v>
      </c>
      <c r="O67" s="96">
        <v>0.11213757754890875</v>
      </c>
      <c r="P67" s="16">
        <v>32.111307162065273</v>
      </c>
      <c r="Q67" s="16">
        <v>31.11130716206527</v>
      </c>
    </row>
    <row r="68" spans="13:17" x14ac:dyDescent="0.35">
      <c r="M68" s="3" t="s">
        <v>70</v>
      </c>
      <c r="N68" s="16">
        <v>437664.48</v>
      </c>
      <c r="O68" s="96">
        <v>4.4657261268671387E-2</v>
      </c>
      <c r="P68" s="16">
        <v>37.209944201808696</v>
      </c>
      <c r="Q68" s="16">
        <v>36.209944201808696</v>
      </c>
    </row>
    <row r="69" spans="13:17" x14ac:dyDescent="0.35">
      <c r="M69" s="3" t="s">
        <v>101</v>
      </c>
      <c r="N69" s="16">
        <v>237453.09</v>
      </c>
      <c r="O69" s="96">
        <v>2.8027702219225715E-4</v>
      </c>
      <c r="P69" s="16">
        <v>42.327282158600909</v>
      </c>
      <c r="Q69" s="16">
        <v>41.327282158600909</v>
      </c>
    </row>
    <row r="70" spans="13:17" x14ac:dyDescent="0.35">
      <c r="M70" s="3" t="s">
        <v>92</v>
      </c>
      <c r="N70" s="16">
        <v>195686.35</v>
      </c>
      <c r="O70" s="96">
        <v>4.9116333438012492E-2</v>
      </c>
      <c r="P70" s="16">
        <v>489.54631876516646</v>
      </c>
      <c r="Q70" s="16">
        <v>488.54631876516646</v>
      </c>
    </row>
    <row r="71" spans="13:17" x14ac:dyDescent="0.35">
      <c r="M71" s="3" t="s">
        <v>198</v>
      </c>
      <c r="N71" s="16">
        <v>30317172.04000001</v>
      </c>
      <c r="O71" s="96">
        <v>5.1125817743366095E-2</v>
      </c>
      <c r="P71" s="16">
        <v>6.8916705036037174</v>
      </c>
      <c r="Q71" s="16">
        <v>5.8916705036037165</v>
      </c>
    </row>
  </sheetData>
  <mergeCells count="28">
    <mergeCell ref="A4:E4"/>
    <mergeCell ref="G4:K4"/>
    <mergeCell ref="M4:Q4"/>
    <mergeCell ref="A19:B19"/>
    <mergeCell ref="A20:E20"/>
    <mergeCell ref="A22:B22"/>
    <mergeCell ref="A23:E23"/>
    <mergeCell ref="A25:B25"/>
    <mergeCell ref="A26:E26"/>
    <mergeCell ref="G19:H19"/>
    <mergeCell ref="G20:K20"/>
    <mergeCell ref="G22:H22"/>
    <mergeCell ref="G23:K23"/>
    <mergeCell ref="G25:H25"/>
    <mergeCell ref="G26:K26"/>
    <mergeCell ref="X4:AL4"/>
    <mergeCell ref="R19:S19"/>
    <mergeCell ref="R20:V20"/>
    <mergeCell ref="R22:S22"/>
    <mergeCell ref="R23:V23"/>
    <mergeCell ref="R26:V26"/>
    <mergeCell ref="X19:Y19"/>
    <mergeCell ref="X20:AB20"/>
    <mergeCell ref="X22:Y22"/>
    <mergeCell ref="X23:AB23"/>
    <mergeCell ref="X25:Y25"/>
    <mergeCell ref="X26:AC26"/>
    <mergeCell ref="R25:S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148C-B2A0-4931-8510-2DBCBB3268B3}">
  <dimension ref="A1:AA31"/>
  <sheetViews>
    <sheetView showGridLines="0" topLeftCell="A4" zoomScaleNormal="100" workbookViewId="0">
      <selection activeCell="Q9" sqref="Q9"/>
    </sheetView>
  </sheetViews>
  <sheetFormatPr defaultRowHeight="14.5" x14ac:dyDescent="0.35"/>
  <cols>
    <col min="1" max="1" width="13.1796875" bestFit="1" customWidth="1"/>
    <col min="2" max="3" width="11.36328125" bestFit="1" customWidth="1"/>
    <col min="4" max="4" width="11" bestFit="1" customWidth="1"/>
    <col min="8" max="8" width="12.26953125" bestFit="1" customWidth="1"/>
    <col min="9" max="10" width="11.36328125" bestFit="1" customWidth="1"/>
    <col min="15" max="15" width="12.26953125" bestFit="1" customWidth="1"/>
    <col min="17" max="17" width="17.7265625" customWidth="1"/>
    <col min="22" max="22" width="14.1796875" bestFit="1" customWidth="1"/>
  </cols>
  <sheetData>
    <row r="1" spans="1:27" ht="18.5" x14ac:dyDescent="0.45">
      <c r="A1" s="199" t="s">
        <v>353</v>
      </c>
      <c r="B1" s="199"/>
      <c r="C1" s="199"/>
    </row>
    <row r="2" spans="1:27" ht="15.5" x14ac:dyDescent="0.35">
      <c r="A2" s="200" t="s">
        <v>302</v>
      </c>
      <c r="B2" s="200"/>
      <c r="C2" s="200"/>
    </row>
    <row r="3" spans="1:27" ht="15.5" x14ac:dyDescent="0.35">
      <c r="A3" s="200" t="s">
        <v>301</v>
      </c>
      <c r="B3" s="200"/>
      <c r="C3" s="200"/>
    </row>
    <row r="5" spans="1:27" x14ac:dyDescent="0.35">
      <c r="A5" s="202" t="s">
        <v>318</v>
      </c>
      <c r="B5" s="202"/>
      <c r="C5" s="202"/>
      <c r="D5" s="202"/>
      <c r="E5" s="202"/>
      <c r="F5" s="202"/>
      <c r="H5" s="187" t="s">
        <v>319</v>
      </c>
      <c r="I5" s="188"/>
      <c r="J5" s="189"/>
      <c r="O5" s="187" t="s">
        <v>322</v>
      </c>
      <c r="P5" s="188"/>
      <c r="Q5" s="189"/>
      <c r="V5" s="187" t="s">
        <v>324</v>
      </c>
      <c r="W5" s="188"/>
      <c r="X5" s="189"/>
    </row>
    <row r="6" spans="1:27" x14ac:dyDescent="0.35">
      <c r="A6" s="102" t="s">
        <v>303</v>
      </c>
      <c r="B6" s="102" t="s">
        <v>48</v>
      </c>
      <c r="C6" s="102" t="s">
        <v>28</v>
      </c>
      <c r="D6" s="175" t="s">
        <v>311</v>
      </c>
      <c r="E6" s="175"/>
      <c r="F6" s="175"/>
      <c r="H6" s="102" t="s">
        <v>303</v>
      </c>
      <c r="I6" s="102" t="s">
        <v>48</v>
      </c>
      <c r="J6" s="102" t="s">
        <v>28</v>
      </c>
      <c r="O6" s="102" t="s">
        <v>303</v>
      </c>
      <c r="P6" s="102" t="s">
        <v>48</v>
      </c>
      <c r="Q6" s="102" t="s">
        <v>28</v>
      </c>
      <c r="V6" s="102" t="s">
        <v>303</v>
      </c>
      <c r="W6" s="102" t="s">
        <v>48</v>
      </c>
      <c r="X6" s="102" t="s">
        <v>28</v>
      </c>
    </row>
    <row r="7" spans="1:27" x14ac:dyDescent="0.35">
      <c r="A7" s="100" t="s">
        <v>293</v>
      </c>
      <c r="B7" s="101">
        <f>GETPIVOTDATA("Total Revenue",Region_Analysis!$A$10,"Region","South")</f>
        <v>32794278.249999985</v>
      </c>
      <c r="C7" s="101">
        <f>GETPIVOTDATA("Total Revenue",Region_Analysis!$A$10,"Region","West")</f>
        <v>30317172.040000007</v>
      </c>
      <c r="D7" s="201" t="s">
        <v>312</v>
      </c>
      <c r="E7" s="201"/>
      <c r="F7" s="201"/>
      <c r="H7" s="100" t="s">
        <v>305</v>
      </c>
      <c r="I7" s="101" t="s">
        <v>63</v>
      </c>
      <c r="J7" s="101" t="s">
        <v>59</v>
      </c>
      <c r="O7" s="100" t="s">
        <v>306</v>
      </c>
      <c r="P7" s="101" t="s">
        <v>22</v>
      </c>
      <c r="Q7" s="101" t="s">
        <v>22</v>
      </c>
      <c r="V7" s="100" t="s">
        <v>307</v>
      </c>
      <c r="W7" s="101" t="s">
        <v>67</v>
      </c>
      <c r="X7" s="101" t="str">
        <f>Bottom_Driver_Analysis!M70</f>
        <v>CMP_004</v>
      </c>
    </row>
    <row r="8" spans="1:27" x14ac:dyDescent="0.35">
      <c r="A8" s="100" t="s">
        <v>304</v>
      </c>
      <c r="B8" s="101">
        <f>GETPIVOTDATA("Total Spend",Region_Analysis!$A$10,"Region","South")</f>
        <v>3762250.78</v>
      </c>
      <c r="C8" s="101">
        <f>GETPIVOTDATA("Total Spend",Region_Analysis!$A$10,"Region","West")</f>
        <v>4399103.5300000021</v>
      </c>
      <c r="D8" s="201" t="s">
        <v>313</v>
      </c>
      <c r="E8" s="201"/>
      <c r="F8" s="201"/>
      <c r="H8" s="100" t="s">
        <v>320</v>
      </c>
      <c r="I8" s="101">
        <v>9.7200000000000006</v>
      </c>
      <c r="J8" s="101">
        <v>8.48</v>
      </c>
      <c r="O8" s="100" t="s">
        <v>323</v>
      </c>
      <c r="P8" s="101">
        <v>9.32</v>
      </c>
      <c r="Q8" s="101">
        <v>8.85</v>
      </c>
      <c r="V8" s="100" t="s">
        <v>325</v>
      </c>
      <c r="W8" s="101">
        <v>49.81</v>
      </c>
      <c r="X8" s="101">
        <f>GETPIVOTDATA("Avg ROAS",Bottom_Driver_Analysis!$M$10,"Campaign_ID","CMP_004")</f>
        <v>489.54631876516646</v>
      </c>
    </row>
    <row r="9" spans="1:27" x14ac:dyDescent="0.35">
      <c r="A9" s="100" t="s">
        <v>145</v>
      </c>
      <c r="B9" s="101">
        <f>GETPIVOTDATA("Avg ROAS",Region_Analysis!$A$10,"Region","South")</f>
        <v>8.7166646158552954</v>
      </c>
      <c r="C9" s="101">
        <f>GETPIVOTDATA("Avg ROAS",Region_Analysis!$A$10,"Region","West")</f>
        <v>6.8916705036037174</v>
      </c>
      <c r="D9" s="201" t="s">
        <v>314</v>
      </c>
      <c r="E9" s="201"/>
      <c r="F9" s="201"/>
    </row>
    <row r="10" spans="1:27" x14ac:dyDescent="0.35">
      <c r="A10" s="100" t="s">
        <v>146</v>
      </c>
      <c r="B10" s="101">
        <f>GETPIVOTDATA("Avg ROI",Region_Analysis!$A$10,"Region","South")</f>
        <v>7.7166646158552954</v>
      </c>
      <c r="C10" s="101">
        <f>GETPIVOTDATA("Avg ROI",Region_Analysis!$A$10,"Region","West")</f>
        <v>5.8916705036037182</v>
      </c>
      <c r="D10" s="201" t="s">
        <v>315</v>
      </c>
      <c r="E10" s="201"/>
      <c r="F10" s="201"/>
      <c r="H10" s="175" t="s">
        <v>317</v>
      </c>
      <c r="I10" s="176"/>
      <c r="O10" s="175" t="s">
        <v>317</v>
      </c>
      <c r="P10" s="176"/>
      <c r="V10" s="190" t="s">
        <v>317</v>
      </c>
      <c r="W10" s="191"/>
    </row>
    <row r="11" spans="1:27" ht="14.5" customHeight="1" x14ac:dyDescent="0.35">
      <c r="A11" s="100" t="s">
        <v>142</v>
      </c>
      <c r="B11" s="109">
        <f>GETPIVOTDATA(" Avg CTR",Region_Analysis!$A$10,"Region","South")</f>
        <v>4.4331163376109976E-2</v>
      </c>
      <c r="C11" s="109">
        <f>GETPIVOTDATA(" Avg CTR",Region_Analysis!$A$10,"Region","West")</f>
        <v>5.1125817743366095E-2</v>
      </c>
      <c r="D11" s="201" t="s">
        <v>316</v>
      </c>
      <c r="E11" s="201"/>
      <c r="F11" s="201"/>
      <c r="H11" s="192" t="s">
        <v>357</v>
      </c>
      <c r="I11" s="193"/>
      <c r="J11" s="193"/>
      <c r="K11" s="193"/>
      <c r="L11" s="193"/>
      <c r="M11" s="194"/>
      <c r="O11" s="177" t="s">
        <v>360</v>
      </c>
      <c r="P11" s="178"/>
      <c r="Q11" s="178"/>
      <c r="R11" s="178"/>
      <c r="S11" s="178"/>
      <c r="T11" s="179"/>
      <c r="V11" s="186" t="s">
        <v>328</v>
      </c>
      <c r="W11" s="186"/>
      <c r="X11" s="186"/>
      <c r="Y11" s="186"/>
      <c r="Z11" s="186"/>
      <c r="AA11" s="186"/>
    </row>
    <row r="12" spans="1:27" ht="26.5" customHeight="1" x14ac:dyDescent="0.35">
      <c r="H12" s="195"/>
      <c r="I12" s="196"/>
      <c r="J12" s="196"/>
      <c r="K12" s="196"/>
      <c r="L12" s="196"/>
      <c r="M12" s="197"/>
      <c r="O12" s="183"/>
      <c r="P12" s="184"/>
      <c r="Q12" s="184"/>
      <c r="R12" s="184"/>
      <c r="S12" s="184"/>
      <c r="T12" s="185"/>
      <c r="V12" s="186"/>
      <c r="W12" s="186"/>
      <c r="X12" s="186"/>
      <c r="Y12" s="186"/>
      <c r="Z12" s="186"/>
      <c r="AA12" s="186"/>
    </row>
    <row r="13" spans="1:27" x14ac:dyDescent="0.35">
      <c r="A13" s="175" t="s">
        <v>317</v>
      </c>
      <c r="B13" s="176"/>
      <c r="V13" s="186"/>
      <c r="W13" s="186"/>
      <c r="X13" s="186"/>
      <c r="Y13" s="186"/>
      <c r="Z13" s="186"/>
      <c r="AA13" s="186"/>
    </row>
    <row r="14" spans="1:27" ht="14.5" customHeight="1" x14ac:dyDescent="0.35">
      <c r="A14" s="186" t="s">
        <v>354</v>
      </c>
      <c r="B14" s="186"/>
      <c r="C14" s="186"/>
      <c r="D14" s="186"/>
      <c r="E14" s="186"/>
      <c r="F14" s="186"/>
      <c r="H14" s="175" t="s">
        <v>321</v>
      </c>
      <c r="I14" s="176"/>
      <c r="O14" s="175" t="s">
        <v>321</v>
      </c>
      <c r="P14" s="176"/>
      <c r="V14" s="186"/>
      <c r="W14" s="186"/>
      <c r="X14" s="186"/>
      <c r="Y14" s="186"/>
      <c r="Z14" s="186"/>
      <c r="AA14" s="186"/>
    </row>
    <row r="15" spans="1:27" ht="14.5" customHeight="1" x14ac:dyDescent="0.35">
      <c r="A15" s="186"/>
      <c r="B15" s="186"/>
      <c r="C15" s="186"/>
      <c r="D15" s="186"/>
      <c r="E15" s="186"/>
      <c r="F15" s="186"/>
      <c r="H15" s="192" t="s">
        <v>358</v>
      </c>
      <c r="I15" s="193"/>
      <c r="J15" s="193"/>
      <c r="K15" s="193"/>
      <c r="L15" s="193"/>
      <c r="M15" s="194"/>
      <c r="O15" s="177" t="s">
        <v>361</v>
      </c>
      <c r="P15" s="178"/>
      <c r="Q15" s="178"/>
      <c r="R15" s="178"/>
      <c r="S15" s="178"/>
      <c r="T15" s="179"/>
      <c r="V15" s="186"/>
      <c r="W15" s="186"/>
      <c r="X15" s="186"/>
      <c r="Y15" s="186"/>
      <c r="Z15" s="186"/>
      <c r="AA15" s="186"/>
    </row>
    <row r="16" spans="1:27" ht="44" customHeight="1" x14ac:dyDescent="0.35">
      <c r="A16" s="186"/>
      <c r="B16" s="186"/>
      <c r="C16" s="186"/>
      <c r="D16" s="186"/>
      <c r="E16" s="186"/>
      <c r="F16" s="186"/>
      <c r="H16" s="195"/>
      <c r="I16" s="196"/>
      <c r="J16" s="196"/>
      <c r="K16" s="196"/>
      <c r="L16" s="196"/>
      <c r="M16" s="197"/>
      <c r="O16" s="183"/>
      <c r="P16" s="184"/>
      <c r="Q16" s="184"/>
      <c r="R16" s="184"/>
      <c r="S16" s="184"/>
      <c r="T16" s="185"/>
    </row>
    <row r="17" spans="1:27" ht="10" customHeight="1" x14ac:dyDescent="0.35">
      <c r="A17" s="186"/>
      <c r="B17" s="186"/>
      <c r="C17" s="186"/>
      <c r="D17" s="186"/>
      <c r="E17" s="186"/>
      <c r="F17" s="186"/>
      <c r="V17" s="175" t="s">
        <v>321</v>
      </c>
      <c r="W17" s="176"/>
    </row>
    <row r="18" spans="1:27" ht="14.5" customHeight="1" x14ac:dyDescent="0.35">
      <c r="H18" s="175" t="s">
        <v>296</v>
      </c>
      <c r="I18" s="176"/>
      <c r="O18" s="175" t="s">
        <v>296</v>
      </c>
      <c r="P18" s="176"/>
      <c r="V18" s="186" t="s">
        <v>329</v>
      </c>
      <c r="W18" s="186"/>
      <c r="X18" s="186"/>
      <c r="Y18" s="186"/>
      <c r="Z18" s="186"/>
      <c r="AA18" s="186"/>
    </row>
    <row r="19" spans="1:27" ht="14.5" customHeight="1" x14ac:dyDescent="0.35">
      <c r="A19" s="175" t="s">
        <v>321</v>
      </c>
      <c r="B19" s="176"/>
      <c r="H19" s="177" t="s">
        <v>359</v>
      </c>
      <c r="I19" s="178"/>
      <c r="J19" s="178"/>
      <c r="K19" s="178"/>
      <c r="L19" s="178"/>
      <c r="M19" s="179"/>
      <c r="O19" s="177" t="s">
        <v>362</v>
      </c>
      <c r="P19" s="178"/>
      <c r="Q19" s="178"/>
      <c r="R19" s="178"/>
      <c r="S19" s="178"/>
      <c r="T19" s="179"/>
      <c r="V19" s="186"/>
      <c r="W19" s="186"/>
      <c r="X19" s="186"/>
      <c r="Y19" s="186"/>
      <c r="Z19" s="186"/>
      <c r="AA19" s="186"/>
    </row>
    <row r="20" spans="1:27" ht="33" customHeight="1" x14ac:dyDescent="0.35">
      <c r="A20" s="198" t="s">
        <v>355</v>
      </c>
      <c r="B20" s="198"/>
      <c r="C20" s="198"/>
      <c r="D20" s="198"/>
      <c r="E20" s="198"/>
      <c r="F20" s="198"/>
      <c r="H20" s="183"/>
      <c r="I20" s="184"/>
      <c r="J20" s="184"/>
      <c r="K20" s="184"/>
      <c r="L20" s="184"/>
      <c r="M20" s="185"/>
      <c r="O20" s="183"/>
      <c r="P20" s="184"/>
      <c r="Q20" s="184"/>
      <c r="R20" s="184"/>
      <c r="S20" s="184"/>
      <c r="T20" s="185"/>
      <c r="V20" s="186"/>
      <c r="W20" s="186"/>
      <c r="X20" s="186"/>
      <c r="Y20" s="186"/>
      <c r="Z20" s="186"/>
      <c r="AA20" s="186"/>
    </row>
    <row r="21" spans="1:27" x14ac:dyDescent="0.35">
      <c r="A21" s="198"/>
      <c r="B21" s="198"/>
      <c r="C21" s="198"/>
      <c r="D21" s="198"/>
      <c r="E21" s="198"/>
      <c r="F21" s="198"/>
      <c r="V21" s="186"/>
      <c r="W21" s="186"/>
      <c r="X21" s="186"/>
      <c r="Y21" s="186"/>
      <c r="Z21" s="186"/>
      <c r="AA21" s="186"/>
    </row>
    <row r="22" spans="1:27" x14ac:dyDescent="0.35">
      <c r="A22" s="198"/>
      <c r="B22" s="198"/>
      <c r="C22" s="198"/>
      <c r="D22" s="198"/>
      <c r="E22" s="198"/>
      <c r="F22" s="198"/>
      <c r="V22" s="186"/>
      <c r="W22" s="186"/>
      <c r="X22" s="186"/>
      <c r="Y22" s="186"/>
      <c r="Z22" s="186"/>
      <c r="AA22" s="186"/>
    </row>
    <row r="23" spans="1:27" x14ac:dyDescent="0.35">
      <c r="V23" s="186"/>
      <c r="W23" s="186"/>
      <c r="X23" s="186"/>
      <c r="Y23" s="186"/>
      <c r="Z23" s="186"/>
      <c r="AA23" s="186"/>
    </row>
    <row r="24" spans="1:27" x14ac:dyDescent="0.35">
      <c r="A24" s="175" t="s">
        <v>296</v>
      </c>
      <c r="B24" s="176"/>
      <c r="V24" s="186"/>
      <c r="W24" s="186"/>
      <c r="X24" s="186"/>
      <c r="Y24" s="186"/>
      <c r="Z24" s="186"/>
      <c r="AA24" s="186"/>
    </row>
    <row r="25" spans="1:27" ht="14.5" customHeight="1" x14ac:dyDescent="0.35">
      <c r="A25" s="198" t="s">
        <v>356</v>
      </c>
      <c r="B25" s="198"/>
      <c r="C25" s="198"/>
      <c r="D25" s="198"/>
      <c r="E25" s="198"/>
      <c r="F25" s="198"/>
    </row>
    <row r="26" spans="1:27" x14ac:dyDescent="0.35">
      <c r="A26" s="198"/>
      <c r="B26" s="198"/>
      <c r="C26" s="198"/>
      <c r="D26" s="198"/>
      <c r="E26" s="198"/>
      <c r="F26" s="198"/>
      <c r="V26" s="175" t="s">
        <v>296</v>
      </c>
      <c r="W26" s="176"/>
    </row>
    <row r="27" spans="1:27" ht="14.5" customHeight="1" x14ac:dyDescent="0.35">
      <c r="A27" s="198"/>
      <c r="B27" s="198"/>
      <c r="C27" s="198"/>
      <c r="D27" s="198"/>
      <c r="E27" s="198"/>
      <c r="F27" s="198"/>
      <c r="V27" s="177" t="s">
        <v>330</v>
      </c>
      <c r="W27" s="178"/>
      <c r="X27" s="178"/>
      <c r="Y27" s="178"/>
      <c r="Z27" s="178"/>
      <c r="AA27" s="179"/>
    </row>
    <row r="28" spans="1:27" x14ac:dyDescent="0.35">
      <c r="V28" s="180"/>
      <c r="W28" s="181"/>
      <c r="X28" s="181"/>
      <c r="Y28" s="181"/>
      <c r="Z28" s="181"/>
      <c r="AA28" s="182"/>
    </row>
    <row r="29" spans="1:27" x14ac:dyDescent="0.35">
      <c r="V29" s="180"/>
      <c r="W29" s="181"/>
      <c r="X29" s="181"/>
      <c r="Y29" s="181"/>
      <c r="Z29" s="181"/>
      <c r="AA29" s="182"/>
    </row>
    <row r="30" spans="1:27" x14ac:dyDescent="0.35">
      <c r="V30" s="180"/>
      <c r="W30" s="181"/>
      <c r="X30" s="181"/>
      <c r="Y30" s="181"/>
      <c r="Z30" s="181"/>
      <c r="AA30" s="182"/>
    </row>
    <row r="31" spans="1:27" x14ac:dyDescent="0.35">
      <c r="V31" s="183"/>
      <c r="W31" s="184"/>
      <c r="X31" s="184"/>
      <c r="Y31" s="184"/>
      <c r="Z31" s="184"/>
      <c r="AA31" s="185"/>
    </row>
  </sheetData>
  <mergeCells count="37">
    <mergeCell ref="A24:B24"/>
    <mergeCell ref="A25:F27"/>
    <mergeCell ref="A1:C1"/>
    <mergeCell ref="A14:F17"/>
    <mergeCell ref="A19:B19"/>
    <mergeCell ref="A20:F22"/>
    <mergeCell ref="A2:C2"/>
    <mergeCell ref="A3:C3"/>
    <mergeCell ref="D6:F6"/>
    <mergeCell ref="D7:F7"/>
    <mergeCell ref="D8:F8"/>
    <mergeCell ref="D10:F10"/>
    <mergeCell ref="D11:F11"/>
    <mergeCell ref="A13:B13"/>
    <mergeCell ref="A5:F5"/>
    <mergeCell ref="D9:F9"/>
    <mergeCell ref="V5:X5"/>
    <mergeCell ref="V10:W10"/>
    <mergeCell ref="H19:M20"/>
    <mergeCell ref="O5:Q5"/>
    <mergeCell ref="O10:P10"/>
    <mergeCell ref="O11:T12"/>
    <mergeCell ref="O14:P14"/>
    <mergeCell ref="O15:T16"/>
    <mergeCell ref="O18:P18"/>
    <mergeCell ref="O19:T20"/>
    <mergeCell ref="H10:I10"/>
    <mergeCell ref="H11:M12"/>
    <mergeCell ref="H14:I14"/>
    <mergeCell ref="H15:M16"/>
    <mergeCell ref="H18:I18"/>
    <mergeCell ref="H5:J5"/>
    <mergeCell ref="V26:W26"/>
    <mergeCell ref="V27:AA31"/>
    <mergeCell ref="V11:AA15"/>
    <mergeCell ref="V17:W17"/>
    <mergeCell ref="V18:AA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Finance_Data</vt:lpstr>
      <vt:lpstr>Data_Validation</vt:lpstr>
      <vt:lpstr>KPI_Calculation</vt:lpstr>
      <vt:lpstr>Outlier_Detection</vt:lpstr>
      <vt:lpstr>Region_Analysis</vt:lpstr>
      <vt:lpstr>Country_Analysis</vt:lpstr>
      <vt:lpstr>Product_Analysis</vt:lpstr>
      <vt:lpstr>Channel_Analysis</vt:lpstr>
      <vt:lpstr>Campaign_Analysis</vt:lpstr>
      <vt:lpstr>Time-Trend_Analysis</vt:lpstr>
      <vt:lpstr>Executive_Summary</vt:lpstr>
      <vt:lpstr>Top_Driver_Analysis</vt:lpstr>
      <vt:lpstr>Bottom_Driver_Analysis</vt:lpstr>
      <vt:lpstr>Comparison_Analysis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Papia Sarkar (Omnicom)</cp:lastModifiedBy>
  <dcterms:created xsi:type="dcterms:W3CDTF">2026-05-26T10:37:55Z</dcterms:created>
  <dcterms:modified xsi:type="dcterms:W3CDTF">2026-09-11T06:26:24Z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2026-05-26T10:52:43Z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9f249491-1c50-43c9-b2ed-fe8bb20c17ce</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